
<file path=[Content_Types].xml><?xml version="1.0" encoding="utf-8"?>
<Types xmlns="http://schemas.openxmlformats.org/package/2006/content-types">
  <Default ContentType="application/vnd.openxmlformats-officedocument.spreadsheetml.printerSettings" Extension="bin"/>
  <Default ContentType="image/gif" Extension="gif"/>
  <Default ContentType="image/jpeg" Extension="jpeg"/>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calcChain+xml" PartName="/xl/calcChain.xml"/>
  <Override ContentType="application/vnd.openxmlformats-officedocument.drawingml.chart+xml" PartName="/xl/charts/chart1.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drawing+xml" PartName="/xl/drawings/drawing1.xml"/>
  <Override ContentType="application/vnd.openxmlformats-officedocument.drawing+xml" PartName="/xl/drawings/drawing2.xml"/>
  <Override ContentType="application/vnd.openxmlformats-officedocument.drawingml.chartshapes+xml" PartName="/xl/drawings/drawing3.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spreadsheetml.externalLink+xml" PartName="/xl/externalLinks/externalLink4.xml"/>
  <Override ContentType="application/vnd.openxmlformats-officedocument.spreadsheetml.externalLink+xml" PartName="/xl/externalLinks/externalLink5.xml"/>
  <Override ContentType="application/vnd.openxmlformats-officedocument.spreadsheetml.externalLink+xml" PartName="/xl/externalLinks/externalLink6.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openxmlformats-officedocument.spreadsheetml.volatileDependencies+xml" PartName="/xl/volatileDependencies.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updateLinks="never" codeName="ThisWorkbook"/>
  <bookViews>
    <workbookView xWindow="0" yWindow="-15" windowWidth="9615" windowHeight="7980" tabRatio="835" firstSheet="1" activeTab="1"/>
  </bookViews>
  <sheets>
    <sheet name="__FDSCACHE__" sheetId="431" state="veryHidden" r:id="rId1"/>
    <sheet name="ImportantDisclosures" sheetId="467" r:id="rId2"/>
    <sheet name="Model" sheetId="1" r:id="rId3"/>
    <sheet name="BS" sheetId="42" r:id="rId4"/>
    <sheet name="CF" sheetId="3" r:id="rId5"/>
    <sheet name="MS Revenue Analysis" sheetId="41" r:id="rId6"/>
    <sheet name="5-Year View" sheetId="442" r:id="rId7"/>
    <sheet name="IndexInformation" sheetId="468" r:id="rId8"/>
    <sheet name="ModPubIndex" sheetId="469" r:id="rId9"/>
    <sheet name="MW-Cache" sheetId="445" state="veryHidden" r:id="rId10"/>
  </sheets>
  <functionGroups builtInGroupCount="17"/>
  <externalReferences>
    <externalReference r:id="rId11"/>
    <externalReference r:id="rId12"/>
    <externalReference r:id="rId13"/>
    <externalReference r:id="rId14"/>
    <externalReference r:id="rId15"/>
    <externalReference r:id="rId16"/>
  </externalReferences>
  <definedNames>
    <definedName name="__FDS_HYPERLINK_TOGGLE_STATE__" hidden="1">"ON"</definedName>
    <definedName name="__IntlFixup" hidden="1">TRUE</definedName>
    <definedName name="_1__FDSAUDITLINK__" localSheetId="6" hidden="1">{"fdsup://directions/FAT Viewer?action=UPDATE&amp;creator=factset&amp;DYN_ARGS=TRUE&amp;DOC_NAME=FAT:FQL_AUDITING_CLIENT_TEMPLATE.FAT&amp;display_string=Audit&amp;VAR:KEY=SZSVOVIRYP&amp;VAR:QUERY=RkZfRUJJVChBTk4sMzcyNTYp&amp;WINDOW=FIRST_POPUP&amp;HEIGHT=450&amp;WIDTH=450&amp;START_MAXIMIZED=FALS","E&amp;VAR:CALENDAR=US&amp;VAR:SYMBOL=CHKP&amp;VAR:INDEX=0"}</definedName>
    <definedName name="_10__FDSAUDITLINK__" hidden="1">{"fdsup://directions/FAT Viewer?action=UPDATE&amp;creator=factset&amp;DYN_ARGS=TRUE&amp;DOC_NAME=FAT:FQL_AUDITING_CLIENT_TEMPLATE.FAT&amp;display_string=Audit&amp;VAR:KEY=XGJCNYLUZO&amp;VAR:QUERY=Q1NGX0xJQUJTX09USF9YREZEX1JFVihRVFIsNDEwOTAsNDEwOTAsRlEp&amp;WINDOW=FIRST_POPUP&amp;HEIGHT=45","0&amp;WIDTH=450&amp;START_MAXIMIZED=FALSE&amp;VAR:CALENDAR=US&amp;VAR:SYMBOL=011827&amp;VAR:INDEX=0"}</definedName>
    <definedName name="_100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000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001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002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003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004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005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006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007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008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009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01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010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011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012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013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014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015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016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017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018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019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02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020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021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022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023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024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025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026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027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028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029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03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030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031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032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033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034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035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036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037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038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039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04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040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041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042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043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044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045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046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047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048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049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05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050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051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052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053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054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055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056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057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058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059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06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060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061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062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063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064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065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066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067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068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069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07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070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071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072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073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074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075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076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077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078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079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08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080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081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082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083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084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085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086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087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088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089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09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090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091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092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093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094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095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096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097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098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099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1__FDSAUDITLINK__" hidden="1">{"fdsup://directions/FAT Viewer?action=UPDATE&amp;creator=factset&amp;DYN_ARGS=TRUE&amp;DOC_NAME=FAT:FQL_AUDITING_CLIENT_TEMPLATE.FAT&amp;display_string=Audit&amp;VAR:KEY=FKXCLAFITQ&amp;VAR:QUERY=Q1NGX0xJQUJTX09USF9YREZEX1JFVihRVFIsNDA5OTksNDA5OTksRlEp&amp;WINDOW=FIRST_POPUP&amp;HEIGHT=45","0&amp;WIDTH=450&amp;START_MAXIMIZED=FALSE&amp;VAR:CALENDAR=US&amp;VAR:SYMBOL=011827&amp;VAR:INDEX=0"}</definedName>
    <definedName name="_110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100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101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102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103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104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105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106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107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108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109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11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110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111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112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113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114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115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116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117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118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119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12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120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121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122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123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124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125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126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127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128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129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13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130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131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132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133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134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135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136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137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138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139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14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140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141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142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143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144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145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146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147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148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149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15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150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151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152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153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154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155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156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157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158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159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16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160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161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162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163__FDSAUDITLINK__" hidden="1">{"fdsup://directions/FAT Viewer?action=UPDATE&amp;creator=factset&amp;DYN_ARGS=TRUE&amp;DOC_NAME=FAT:FQL_AUDITING_CLIENT_TEMPLATE.FAT&amp;display_string=Audit&amp;VAR:KEY=RSBILOLANG&amp;VAR:QUERY=RkZfRU5UUlBSX1ZBTChRVFIsNDA2NjksLCwsVVNEKQ==&amp;WINDOW=FIRST_POPUP&amp;HEIGHT=450&amp;WIDTH=450&amp;","START_MAXIMIZED=FALSE&amp;VAR:CALENDAR=US&amp;VAR:SYMBOL=CRM&amp;VAR:INDEX=0"}</definedName>
    <definedName name="_1164__FDSAUDITLINK__" hidden="1">{"fdsup://directions/FAT Viewer?action=UPDATE&amp;creator=factset&amp;DYN_ARGS=TRUE&amp;DOC_NAME=FAT:FQL_AUDITING_CLIENT_TEMPLATE.FAT&amp;display_string=Audit&amp;VAR:KEY=JSNCDEDSRE&amp;VAR:QUERY=RkZfRU5UUlBSX1ZBTChRVFIsNDA2NjIsLCwsVVNEKQ==&amp;WINDOW=FIRST_POPUP&amp;HEIGHT=450&amp;WIDTH=450&amp;","START_MAXIMIZED=FALSE&amp;VAR:CALENDAR=US&amp;VAR:SYMBOL=CRM&amp;VAR:INDEX=0"}</definedName>
    <definedName name="_1165__FDSAUDITLINK__" hidden="1">{"fdsup://directions/FAT Viewer?action=UPDATE&amp;creator=factset&amp;DYN_ARGS=TRUE&amp;DOC_NAME=FAT:FQL_AUDITING_CLIENT_TEMPLATE.FAT&amp;display_string=Audit&amp;VAR:KEY=JETKTKFEBY&amp;VAR:QUERY=RkZfRU5UUlBSX1ZBTChRVFIsNDA2NTUsLCwsVVNEKQ==&amp;WINDOW=FIRST_POPUP&amp;HEIGHT=450&amp;WIDTH=450&amp;","START_MAXIMIZED=FALSE&amp;VAR:CALENDAR=US&amp;VAR:SYMBOL=CRM&amp;VAR:INDEX=0"}</definedName>
    <definedName name="_1166__FDSAUDITLINK__" hidden="1">{"fdsup://directions/FAT Viewer?action=UPDATE&amp;creator=factset&amp;DYN_ARGS=TRUE&amp;DOC_NAME=FAT:FQL_AUDITING_CLIENT_TEMPLATE.FAT&amp;display_string=Audit&amp;VAR:KEY=XKRSZELKDE&amp;VAR:QUERY=RkZfRU5UUlBSX1ZBTChRVFIsNDA2NDgsLCwsVVNEKQ==&amp;WINDOW=FIRST_POPUP&amp;HEIGHT=450&amp;WIDTH=450&amp;","START_MAXIMIZED=FALSE&amp;VAR:CALENDAR=US&amp;VAR:SYMBOL=CRM&amp;VAR:INDEX=0"}</definedName>
    <definedName name="_1167__FDSAUDITLINK__" hidden="1">{"fdsup://directions/FAT Viewer?action=UPDATE&amp;creator=factset&amp;DYN_ARGS=TRUE&amp;DOC_NAME=FAT:FQL_AUDITING_CLIENT_TEMPLATE.FAT&amp;display_string=Audit&amp;VAR:KEY=BULOLYVQBQ&amp;VAR:QUERY=RkZfRU5UUlBSX1ZBTChRVFIsNDA2NDEsLCwsVVNEKQ==&amp;WINDOW=FIRST_POPUP&amp;HEIGHT=450&amp;WIDTH=450&amp;","START_MAXIMIZED=FALSE&amp;VAR:CALENDAR=US&amp;VAR:SYMBOL=CRM&amp;VAR:INDEX=0"}</definedName>
    <definedName name="_1168__FDSAUDITLINK__" hidden="1">{"fdsup://directions/FAT Viewer?action=UPDATE&amp;creator=factset&amp;DYN_ARGS=TRUE&amp;DOC_NAME=FAT:FQL_AUDITING_CLIENT_TEMPLATE.FAT&amp;display_string=Audit&amp;VAR:KEY=TOLGTKZSTY&amp;VAR:QUERY=RkZfRU5UUlBSX1ZBTChRVFIsNDA2MzQsLCwsVVNEKQ==&amp;WINDOW=FIRST_POPUP&amp;HEIGHT=450&amp;WIDTH=450&amp;","START_MAXIMIZED=FALSE&amp;VAR:CALENDAR=US&amp;VAR:SYMBOL=CRM&amp;VAR:INDEX=0"}</definedName>
    <definedName name="_1169__FDSAUDITLINK__" hidden="1">{"fdsup://directions/FAT Viewer?action=UPDATE&amp;creator=factset&amp;DYN_ARGS=TRUE&amp;DOC_NAME=FAT:FQL_AUDITING_CLIENT_TEMPLATE.FAT&amp;display_string=Audit&amp;VAR:KEY=BKZYLQDKLC&amp;VAR:QUERY=RkZfRU5UUlBSX1ZBTChRVFIsNDA2MjcsLCwsVVNEKQ==&amp;WINDOW=FIRST_POPUP&amp;HEIGHT=450&amp;WIDTH=450&amp;","START_MAXIMIZED=FALSE&amp;VAR:CALENDAR=US&amp;VAR:SYMBOL=CRM&amp;VAR:INDEX=0"}</definedName>
    <definedName name="_117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170__FDSAUDITLINK__" hidden="1">{"fdsup://directions/FAT Viewer?action=UPDATE&amp;creator=factset&amp;DYN_ARGS=TRUE&amp;DOC_NAME=FAT:FQL_AUDITING_CLIENT_TEMPLATE.FAT&amp;display_string=Audit&amp;VAR:KEY=NWTYTYZCTM&amp;VAR:QUERY=RkZfRU5UUlBSX1ZBTChRVFIsNDA2MjAsLCwsVVNEKQ==&amp;WINDOW=FIRST_POPUP&amp;HEIGHT=450&amp;WIDTH=450&amp;","START_MAXIMIZED=FALSE&amp;VAR:CALENDAR=US&amp;VAR:SYMBOL=CRM&amp;VAR:INDEX=0"}</definedName>
    <definedName name="_1171__FDSAUDITLINK__" hidden="1">{"fdsup://directions/FAT Viewer?action=UPDATE&amp;creator=factset&amp;DYN_ARGS=TRUE&amp;DOC_NAME=FAT:FQL_AUDITING_CLIENT_TEMPLATE.FAT&amp;display_string=Audit&amp;VAR:KEY=DELANSRCFY&amp;VAR:QUERY=RkZfRU5UUlBSX1ZBTChRVFIsNDA2MTMsLCwsVVNEKQ==&amp;WINDOW=FIRST_POPUP&amp;HEIGHT=450&amp;WIDTH=450&amp;","START_MAXIMIZED=FALSE&amp;VAR:CALENDAR=US&amp;VAR:SYMBOL=CRM&amp;VAR:INDEX=0"}</definedName>
    <definedName name="_1172__FDSAUDITLINK__" hidden="1">{"fdsup://directions/FAT Viewer?action=UPDATE&amp;creator=factset&amp;DYN_ARGS=TRUE&amp;DOC_NAME=FAT:FQL_AUDITING_CLIENT_TEMPLATE.FAT&amp;display_string=Audit&amp;VAR:KEY=FWXCLEVETW&amp;VAR:QUERY=RkZfRU5UUlBSX1ZBTChRVFIsNDA2MDYsLCwsVVNEKQ==&amp;WINDOW=FIRST_POPUP&amp;HEIGHT=450&amp;WIDTH=450&amp;","START_MAXIMIZED=FALSE&amp;VAR:CALENDAR=US&amp;VAR:SYMBOL=CRM&amp;VAR:INDEX=0"}</definedName>
    <definedName name="_1173__FDSAUDITLINK__" hidden="1">{"fdsup://directions/FAT Viewer?action=UPDATE&amp;creator=factset&amp;DYN_ARGS=TRUE&amp;DOC_NAME=FAT:FQL_AUDITING_CLIENT_TEMPLATE.FAT&amp;display_string=Audit&amp;VAR:KEY=ROTKFAJQLO&amp;VAR:QUERY=RkZfRU5UUlBSX1ZBTChRVFIsNDA1OTksLCwsVVNEKQ==&amp;WINDOW=FIRST_POPUP&amp;HEIGHT=450&amp;WIDTH=450&amp;","START_MAXIMIZED=FALSE&amp;VAR:CALENDAR=US&amp;VAR:SYMBOL=CRM&amp;VAR:INDEX=0"}</definedName>
    <definedName name="_1174__FDSAUDITLINK__" hidden="1">{"fdsup://directions/FAT Viewer?action=UPDATE&amp;creator=factset&amp;DYN_ARGS=TRUE&amp;DOC_NAME=FAT:FQL_AUDITING_CLIENT_TEMPLATE.FAT&amp;display_string=Audit&amp;VAR:KEY=LMXIFEBATO&amp;VAR:QUERY=RkZfRU5UUlBSX1ZBTChRVFIsNDA1OTIsLCwsVVNEKQ==&amp;WINDOW=FIRST_POPUP&amp;HEIGHT=450&amp;WIDTH=450&amp;","START_MAXIMIZED=FALSE&amp;VAR:CALENDAR=US&amp;VAR:SYMBOL=CRM&amp;VAR:INDEX=0"}</definedName>
    <definedName name="_1175__FDSAUDITLINK__" hidden="1">{"fdsup://directions/FAT Viewer?action=UPDATE&amp;creator=factset&amp;DYN_ARGS=TRUE&amp;DOC_NAME=FAT:FQL_AUDITING_CLIENT_TEMPLATE.FAT&amp;display_string=Audit&amp;VAR:KEY=JGJEJUJMHU&amp;VAR:QUERY=RkZfRU5UUlBSX1ZBTChRVFIsNDA1ODUsLCwsVVNEKQ==&amp;WINDOW=FIRST_POPUP&amp;HEIGHT=450&amp;WIDTH=450&amp;","START_MAXIMIZED=FALSE&amp;VAR:CALENDAR=US&amp;VAR:SYMBOL=CRM&amp;VAR:INDEX=0"}</definedName>
    <definedName name="_1176__FDSAUDITLINK__" hidden="1">{"fdsup://directions/FAT Viewer?action=UPDATE&amp;creator=factset&amp;DYN_ARGS=TRUE&amp;DOC_NAME=FAT:FQL_AUDITING_CLIENT_TEMPLATE.FAT&amp;display_string=Audit&amp;VAR:KEY=JGJMZILYTQ&amp;VAR:QUERY=RkZfRU5UUlBSX1ZBTChRVFIsNDA1NzgsLCwsVVNEKQ==&amp;WINDOW=FIRST_POPUP&amp;HEIGHT=450&amp;WIDTH=450&amp;","START_MAXIMIZED=FALSE&amp;VAR:CALENDAR=US&amp;VAR:SYMBOL=CRM&amp;VAR:INDEX=0"}</definedName>
    <definedName name="_1177__FDSAUDITLINK__" hidden="1">{"fdsup://directions/FAT Viewer?action=UPDATE&amp;creator=factset&amp;DYN_ARGS=TRUE&amp;DOC_NAME=FAT:FQL_AUDITING_CLIENT_TEMPLATE.FAT&amp;display_string=Audit&amp;VAR:KEY=FCBEJSZYZU&amp;VAR:QUERY=RkZfRU5UUlBSX1ZBTChRVFIsNDA1NzEsLCwsVVNEKQ==&amp;WINDOW=FIRST_POPUP&amp;HEIGHT=450&amp;WIDTH=450&amp;","START_MAXIMIZED=FALSE&amp;VAR:CALENDAR=US&amp;VAR:SYMBOL=CRM&amp;VAR:INDEX=0"}</definedName>
    <definedName name="_1178__FDSAUDITLINK__" hidden="1">{"fdsup://directions/FAT Viewer?action=UPDATE&amp;creator=factset&amp;DYN_ARGS=TRUE&amp;DOC_NAME=FAT:FQL_AUDITING_CLIENT_TEMPLATE.FAT&amp;display_string=Audit&amp;VAR:KEY=NGBAZERWBQ&amp;VAR:QUERY=RkZfRU5UUlBSX1ZBTChRVFIsNDA1NjQsLCwsVVNEKQ==&amp;WINDOW=FIRST_POPUP&amp;HEIGHT=450&amp;WIDTH=450&amp;","START_MAXIMIZED=FALSE&amp;VAR:CALENDAR=US&amp;VAR:SYMBOL=CRM&amp;VAR:INDEX=0"}</definedName>
    <definedName name="_1179__FDSAUDITLINK__" hidden="1">{"fdsup://directions/FAT Viewer?action=UPDATE&amp;creator=factset&amp;DYN_ARGS=TRUE&amp;DOC_NAME=FAT:FQL_AUDITING_CLIENT_TEMPLATE.FAT&amp;display_string=Audit&amp;VAR:KEY=NKJSJIVERY&amp;VAR:QUERY=RkZfRU5UUlBSX1ZBTChRVFIsNDA1NTcsLCwsVVNEKQ==&amp;WINDOW=FIRST_POPUP&amp;HEIGHT=450&amp;WIDTH=450&amp;","START_MAXIMIZED=FALSE&amp;VAR:CALENDAR=US&amp;VAR:SYMBOL=CRM&amp;VAR:INDEX=0"}</definedName>
    <definedName name="_118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180__FDSAUDITLINK__" hidden="1">{"fdsup://directions/FAT Viewer?action=UPDATE&amp;creator=factset&amp;DYN_ARGS=TRUE&amp;DOC_NAME=FAT:FQL_AUDITING_CLIENT_TEMPLATE.FAT&amp;display_string=Audit&amp;VAR:KEY=JUJORIRUPG&amp;VAR:QUERY=RkZfRU5UUlBSX1ZBTChRVFIsNDA1NTAsLCwsVVNEKQ==&amp;WINDOW=FIRST_POPUP&amp;HEIGHT=450&amp;WIDTH=450&amp;","START_MAXIMIZED=FALSE&amp;VAR:CALENDAR=US&amp;VAR:SYMBOL=CRM&amp;VAR:INDEX=0"}</definedName>
    <definedName name="_1181__FDSAUDITLINK__" hidden="1">{"fdsup://directions/FAT Viewer?action=UPDATE&amp;creator=factset&amp;DYN_ARGS=TRUE&amp;DOC_NAME=FAT:FQL_AUDITING_CLIENT_TEMPLATE.FAT&amp;display_string=Audit&amp;VAR:KEY=ZQLYJKFOPO&amp;VAR:QUERY=RkZfRU5UUlBSX1ZBTChRVFIsNDA1NDMsLCwsVVNEKQ==&amp;WINDOW=FIRST_POPUP&amp;HEIGHT=450&amp;WIDTH=450&amp;","START_MAXIMIZED=FALSE&amp;VAR:CALENDAR=US&amp;VAR:SYMBOL=CRM&amp;VAR:INDEX=0"}</definedName>
    <definedName name="_1182__FDSAUDITLINK__" hidden="1">{"fdsup://directions/FAT Viewer?action=UPDATE&amp;creator=factset&amp;DYN_ARGS=TRUE&amp;DOC_NAME=FAT:FQL_AUDITING_CLIENT_TEMPLATE.FAT&amp;display_string=Audit&amp;VAR:KEY=FYPOHMVUXI&amp;VAR:QUERY=RkZfRU5UUlBSX1ZBTChRVFIsNDA1MzYsLCwsVVNEKQ==&amp;WINDOW=FIRST_POPUP&amp;HEIGHT=450&amp;WIDTH=450&amp;","START_MAXIMIZED=FALSE&amp;VAR:CALENDAR=US&amp;VAR:SYMBOL=CRM&amp;VAR:INDEX=0"}</definedName>
    <definedName name="_1183__FDSAUDITLINK__" hidden="1">{"fdsup://directions/FAT Viewer?action=UPDATE&amp;creator=factset&amp;DYN_ARGS=TRUE&amp;DOC_NAME=FAT:FQL_AUDITING_CLIENT_TEMPLATE.FAT&amp;display_string=Audit&amp;VAR:KEY=BYLGJKPEHK&amp;VAR:QUERY=RkZfRU5UUlBSX1ZBTChRVFIsNDA1MjksLCwsVVNEKQ==&amp;WINDOW=FIRST_POPUP&amp;HEIGHT=450&amp;WIDTH=450&amp;","START_MAXIMIZED=FALSE&amp;VAR:CALENDAR=US&amp;VAR:SYMBOL=CRM&amp;VAR:INDEX=0"}</definedName>
    <definedName name="_1184__FDSAUDITLINK__" hidden="1">{"fdsup://directions/FAT Viewer?action=UPDATE&amp;creator=factset&amp;DYN_ARGS=TRUE&amp;DOC_NAME=FAT:FQL_AUDITING_CLIENT_TEMPLATE.FAT&amp;display_string=Audit&amp;VAR:KEY=NWVWJOTQTM&amp;VAR:QUERY=RkZfRU5UUlBSX1ZBTChRVFIsNDA1MjIsLCwsVVNEKQ==&amp;WINDOW=FIRST_POPUP&amp;HEIGHT=450&amp;WIDTH=450&amp;","START_MAXIMIZED=FALSE&amp;VAR:CALENDAR=US&amp;VAR:SYMBOL=CRM&amp;VAR:INDEX=0"}</definedName>
    <definedName name="_1185__FDSAUDITLINK__" hidden="1">{"fdsup://directions/FAT Viewer?action=UPDATE&amp;creator=factset&amp;DYN_ARGS=TRUE&amp;DOC_NAME=FAT:FQL_AUDITING_CLIENT_TEMPLATE.FAT&amp;display_string=Audit&amp;VAR:KEY=BIPEXERSRK&amp;VAR:QUERY=RkZfRU5UUlBSX1ZBTChRVFIsNDA1MTUsLCwsVVNEKQ==&amp;WINDOW=FIRST_POPUP&amp;HEIGHT=450&amp;WIDTH=450&amp;","START_MAXIMIZED=FALSE&amp;VAR:CALENDAR=US&amp;VAR:SYMBOL=CRM&amp;VAR:INDEX=0"}</definedName>
    <definedName name="_1186__FDSAUDITLINK__" hidden="1">{"fdsup://directions/FAT Viewer?action=UPDATE&amp;creator=factset&amp;DYN_ARGS=TRUE&amp;DOC_NAME=FAT:FQL_AUDITING_CLIENT_TEMPLATE.FAT&amp;display_string=Audit&amp;VAR:KEY=RATWTSNUXG&amp;VAR:QUERY=RkZfRU5UUlBSX1ZBTChRVFIsNDA1MDgsLCwsVVNEKQ==&amp;WINDOW=FIRST_POPUP&amp;HEIGHT=450&amp;WIDTH=450&amp;","START_MAXIMIZED=FALSE&amp;VAR:CALENDAR=US&amp;VAR:SYMBOL=CRM&amp;VAR:INDEX=0"}</definedName>
    <definedName name="_1187__FDSAUDITLINK__" hidden="1">{"fdsup://directions/FAT Viewer?action=UPDATE&amp;creator=factset&amp;DYN_ARGS=TRUE&amp;DOC_NAME=FAT:FQL_AUDITING_CLIENT_TEMPLATE.FAT&amp;display_string=Audit&amp;VAR:KEY=BWNUZSVUXK&amp;VAR:QUERY=RkZfRU5UUlBSX1ZBTChRVFIsNDA1MDEsLCwsVVNEKQ==&amp;WINDOW=FIRST_POPUP&amp;HEIGHT=450&amp;WIDTH=450&amp;","START_MAXIMIZED=FALSE&amp;VAR:CALENDAR=US&amp;VAR:SYMBOL=CRM&amp;VAR:INDEX=0"}</definedName>
    <definedName name="_1188__FDSAUDITLINK__" hidden="1">{"fdsup://directions/FAT Viewer?action=UPDATE&amp;creator=factset&amp;DYN_ARGS=TRUE&amp;DOC_NAME=FAT:FQL_AUDITING_CLIENT_TEMPLATE.FAT&amp;display_string=Audit&amp;VAR:KEY=DWHGJYPWZS&amp;VAR:QUERY=RkZfRU5UUlBSX1ZBTChRVFIsNDA0OTQsLCwsVVNEKQ==&amp;WINDOW=FIRST_POPUP&amp;HEIGHT=450&amp;WIDTH=450&amp;","START_MAXIMIZED=FALSE&amp;VAR:CALENDAR=US&amp;VAR:SYMBOL=CRM&amp;VAR:INDEX=0"}</definedName>
    <definedName name="_1189__FDSAUDITLINK__" hidden="1">{"fdsup://directions/FAT Viewer?action=UPDATE&amp;creator=factset&amp;DYN_ARGS=TRUE&amp;DOC_NAME=FAT:FQL_AUDITING_CLIENT_TEMPLATE.FAT&amp;display_string=Audit&amp;VAR:KEY=ZYNQPUPAPI&amp;VAR:QUERY=RkZfRU5UUlBSX1ZBTChRVFIsNDA0ODcsLCwsVVNEKQ==&amp;WINDOW=FIRST_POPUP&amp;HEIGHT=450&amp;WIDTH=450&amp;","START_MAXIMIZED=FALSE&amp;VAR:CALENDAR=US&amp;VAR:SYMBOL=CRM&amp;VAR:INDEX=0"}</definedName>
    <definedName name="_119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190__FDSAUDITLINK__" hidden="1">{"fdsup://directions/FAT Viewer?action=UPDATE&amp;creator=factset&amp;DYN_ARGS=TRUE&amp;DOC_NAME=FAT:FQL_AUDITING_CLIENT_TEMPLATE.FAT&amp;display_string=Audit&amp;VAR:KEY=NYZSPOBMJM&amp;VAR:QUERY=RkZfRU5UUlBSX1ZBTChRVFIsNDA0ODAsLCwsVVNEKQ==&amp;WINDOW=FIRST_POPUP&amp;HEIGHT=450&amp;WIDTH=450&amp;","START_MAXIMIZED=FALSE&amp;VAR:CALENDAR=US&amp;VAR:SYMBOL=CRM&amp;VAR:INDEX=0"}</definedName>
    <definedName name="_1191__FDSAUDITLINK__" hidden="1">{"fdsup://directions/FAT Viewer?action=UPDATE&amp;creator=factset&amp;DYN_ARGS=TRUE&amp;DOC_NAME=FAT:FQL_AUDITING_CLIENT_TEMPLATE.FAT&amp;display_string=Audit&amp;VAR:KEY=ZEXARGBYFS&amp;VAR:QUERY=RkZfRU5UUlBSX1ZBTChRVFIsNDA0NzMsLCwsVVNEKQ==&amp;WINDOW=FIRST_POPUP&amp;HEIGHT=450&amp;WIDTH=450&amp;","START_MAXIMIZED=FALSE&amp;VAR:CALENDAR=US&amp;VAR:SYMBOL=CRM&amp;VAR:INDEX=0"}</definedName>
    <definedName name="_1192__FDSAUDITLINK__" hidden="1">{"fdsup://directions/FAT Viewer?action=UPDATE&amp;creator=factset&amp;DYN_ARGS=TRUE&amp;DOC_NAME=FAT:FQL_AUDITING_CLIENT_TEMPLATE.FAT&amp;display_string=Audit&amp;VAR:KEY=BQNKZCJSNK&amp;VAR:QUERY=RkZfRU5UUlBSX1ZBTChRVFIsNDA0NjYsLCwsVVNEKQ==&amp;WINDOW=FIRST_POPUP&amp;HEIGHT=450&amp;WIDTH=450&amp;","START_MAXIMIZED=FALSE&amp;VAR:CALENDAR=US&amp;VAR:SYMBOL=CRM&amp;VAR:INDEX=0"}</definedName>
    <definedName name="_1193__FDSAUDITLINK__" hidden="1">{"fdsup://directions/FAT Viewer?action=UPDATE&amp;creator=factset&amp;DYN_ARGS=TRUE&amp;DOC_NAME=FAT:FQL_AUDITING_CLIENT_TEMPLATE.FAT&amp;display_string=Audit&amp;VAR:KEY=ZYFMTSNMJA&amp;VAR:QUERY=RkZfRU5UUlBSX1ZBTChRVFIsNDA0NTksLCwsVVNEKQ==&amp;WINDOW=FIRST_POPUP&amp;HEIGHT=450&amp;WIDTH=450&amp;","START_MAXIMIZED=FALSE&amp;VAR:CALENDAR=US&amp;VAR:SYMBOL=CRM&amp;VAR:INDEX=0"}</definedName>
    <definedName name="_1194__FDSAUDITLINK__" hidden="1">{"fdsup://directions/FAT Viewer?action=UPDATE&amp;creator=factset&amp;DYN_ARGS=TRUE&amp;DOC_NAME=FAT:FQL_AUDITING_CLIENT_TEMPLATE.FAT&amp;display_string=Audit&amp;VAR:KEY=VMDYNQLGJI&amp;VAR:QUERY=RkZfRU5UUlBSX1ZBTChRVFIsNDA0NTIsLCwsVVNEKQ==&amp;WINDOW=FIRST_POPUP&amp;HEIGHT=450&amp;WIDTH=450&amp;","START_MAXIMIZED=FALSE&amp;VAR:CALENDAR=US&amp;VAR:SYMBOL=CRM&amp;VAR:INDEX=0"}</definedName>
    <definedName name="_1195__FDSAUDITLINK__" hidden="1">{"fdsup://directions/FAT Viewer?action=UPDATE&amp;creator=factset&amp;DYN_ARGS=TRUE&amp;DOC_NAME=FAT:FQL_AUDITING_CLIENT_TEMPLATE.FAT&amp;display_string=Audit&amp;VAR:KEY=HSXANMJIBG&amp;VAR:QUERY=RkZfRU5UUlBSX1ZBTChRVFIsNDA0NDUsLCwsVVNEKQ==&amp;WINDOW=FIRST_POPUP&amp;HEIGHT=450&amp;WIDTH=450&amp;","START_MAXIMIZED=FALSE&amp;VAR:CALENDAR=US&amp;VAR:SYMBOL=CRM&amp;VAR:INDEX=0"}</definedName>
    <definedName name="_1196__FDSAUDITLINK__" hidden="1">{"fdsup://directions/FAT Viewer?action=UPDATE&amp;creator=factset&amp;DYN_ARGS=TRUE&amp;DOC_NAME=FAT:FQL_AUDITING_CLIENT_TEMPLATE.FAT&amp;display_string=Audit&amp;VAR:KEY=VMVGDEZYLK&amp;VAR:QUERY=RkZfRU5UUlBSX1ZBTChRVFIsNDA0MzgsLCwsVVNEKQ==&amp;WINDOW=FIRST_POPUP&amp;HEIGHT=450&amp;WIDTH=450&amp;","START_MAXIMIZED=FALSE&amp;VAR:CALENDAR=US&amp;VAR:SYMBOL=CRM&amp;VAR:INDEX=0"}</definedName>
    <definedName name="_1197__FDSAUDITLINK__" hidden="1">{"fdsup://directions/FAT Viewer?action=UPDATE&amp;creator=factset&amp;DYN_ARGS=TRUE&amp;DOC_NAME=FAT:FQL_AUDITING_CLIENT_TEMPLATE.FAT&amp;display_string=Audit&amp;VAR:KEY=BKZAZWFETI&amp;VAR:QUERY=RkZfRU5UUlBSX1ZBTChRVFIsNDA0MzEsLCwsVVNEKQ==&amp;WINDOW=FIRST_POPUP&amp;HEIGHT=450&amp;WIDTH=450&amp;","START_MAXIMIZED=FALSE&amp;VAR:CALENDAR=US&amp;VAR:SYMBOL=CRM&amp;VAR:INDEX=0"}</definedName>
    <definedName name="_1198__FDSAUDITLINK__" hidden="1">{"fdsup://directions/FAT Viewer?action=UPDATE&amp;creator=factset&amp;DYN_ARGS=TRUE&amp;DOC_NAME=FAT:FQL_AUDITING_CLIENT_TEMPLATE.FAT&amp;display_string=Audit&amp;VAR:KEY=HCNELCRCXI&amp;VAR:QUERY=RkZfRU5UUlBSX1ZBTChRVFIsNDA0MjQsLCwsVVNEKQ==&amp;WINDOW=FIRST_POPUP&amp;HEIGHT=450&amp;WIDTH=450&amp;","START_MAXIMIZED=FALSE&amp;VAR:CALENDAR=US&amp;VAR:SYMBOL=CRM&amp;VAR:INDEX=0"}</definedName>
    <definedName name="_1199__FDSAUDITLINK__" hidden="1">{"fdsup://directions/FAT Viewer?action=UPDATE&amp;creator=factset&amp;DYN_ARGS=TRUE&amp;DOC_NAME=FAT:FQL_AUDITING_CLIENT_TEMPLATE.FAT&amp;display_string=Audit&amp;VAR:KEY=DGLABUPSLW&amp;VAR:QUERY=RkZfRU5UUlBSX1ZBTChRVFIsNDA0MTcsLCwsVVNEKQ==&amp;WINDOW=FIRST_POPUP&amp;HEIGHT=450&amp;WIDTH=450&amp;","START_MAXIMIZED=FALSE&amp;VAR:CALENDAR=US&amp;VAR:SYMBOL=CRM&amp;VAR:INDEX=0"}</definedName>
    <definedName name="_12__FDSAUDITLINK__" hidden="1">{"fdsup://directions/FAT Viewer?action=UPDATE&amp;creator=factset&amp;DYN_ARGS=TRUE&amp;DOC_NAME=FAT:FQL_AUDITING_CLIENT_TEMPLATE.FAT&amp;display_string=Audit&amp;VAR:KEY=TKREVMBYJQ&amp;VAR:QUERY=Q1NGX0xJQUJTX09USF9YREZEX1JFVihRVFIsNDA5MDgsNDA5MDgsRlEp&amp;WINDOW=FIRST_POPUP&amp;HEIGHT=45","0&amp;WIDTH=450&amp;START_MAXIMIZED=FALSE&amp;VAR:CALENDAR=US&amp;VAR:SYMBOL=011827&amp;VAR:INDEX=0"}</definedName>
    <definedName name="_120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200__FDSAUDITLINK__" hidden="1">{"fdsup://directions/FAT Viewer?action=UPDATE&amp;creator=factset&amp;DYN_ARGS=TRUE&amp;DOC_NAME=FAT:FQL_AUDITING_CLIENT_TEMPLATE.FAT&amp;display_string=Audit&amp;VAR:KEY=FSPADCPWXW&amp;VAR:QUERY=RkZfRU5UUlBSX1ZBTChRVFIsNDA0MTAsLCwsVVNEKQ==&amp;WINDOW=FIRST_POPUP&amp;HEIGHT=450&amp;WIDTH=450&amp;","START_MAXIMIZED=FALSE&amp;VAR:CALENDAR=US&amp;VAR:SYMBOL=CRM&amp;VAR:INDEX=0"}</definedName>
    <definedName name="_1201__FDSAUDITLINK__" hidden="1">{"fdsup://directions/FAT Viewer?action=UPDATE&amp;creator=factset&amp;DYN_ARGS=TRUE&amp;DOC_NAME=FAT:FQL_AUDITING_CLIENT_TEMPLATE.FAT&amp;display_string=Audit&amp;VAR:KEY=JYJMNIHWJI&amp;VAR:QUERY=RkZfRU5UUlBSX1ZBTChRVFIsNDA0MDMsLCwsVVNEKQ==&amp;WINDOW=FIRST_POPUP&amp;HEIGHT=450&amp;WIDTH=450&amp;","START_MAXIMIZED=FALSE&amp;VAR:CALENDAR=US&amp;VAR:SYMBOL=CRM&amp;VAR:INDEX=0"}</definedName>
    <definedName name="_1202__FDSAUDITLINK__" hidden="1">{"fdsup://directions/FAT Viewer?action=UPDATE&amp;creator=factset&amp;DYN_ARGS=TRUE&amp;DOC_NAME=FAT:FQL_AUDITING_CLIENT_TEMPLATE.FAT&amp;display_string=Audit&amp;VAR:KEY=BCTUHETWLG&amp;VAR:QUERY=RkZfRU5UUlBSX1ZBTChRVFIsNDAzOTYsLCwsVVNEKQ==&amp;WINDOW=FIRST_POPUP&amp;HEIGHT=450&amp;WIDTH=450&amp;","START_MAXIMIZED=FALSE&amp;VAR:CALENDAR=US&amp;VAR:SYMBOL=CRM&amp;VAR:INDEX=0"}</definedName>
    <definedName name="_1203__FDSAUDITLINK__" hidden="1">{"fdsup://directions/FAT Viewer?action=UPDATE&amp;creator=factset&amp;DYN_ARGS=TRUE&amp;DOC_NAME=FAT:FQL_AUDITING_CLIENT_TEMPLATE.FAT&amp;display_string=Audit&amp;VAR:KEY=VWJSXIVUBW&amp;VAR:QUERY=RkZfRU5UUlBSX1ZBTChRVFIsNDAzODksLCwsVVNEKQ==&amp;WINDOW=FIRST_POPUP&amp;HEIGHT=450&amp;WIDTH=450&amp;","START_MAXIMIZED=FALSE&amp;VAR:CALENDAR=US&amp;VAR:SYMBOL=CRM&amp;VAR:INDEX=0"}</definedName>
    <definedName name="_1204__FDSAUDITLINK__" hidden="1">{"fdsup://directions/FAT Viewer?action=UPDATE&amp;creator=factset&amp;DYN_ARGS=TRUE&amp;DOC_NAME=FAT:FQL_AUDITING_CLIENT_TEMPLATE.FAT&amp;display_string=Audit&amp;VAR:KEY=PKBWPGDGBC&amp;VAR:QUERY=RkZfRU5UUlBSX1ZBTChRVFIsNDAzODIsLCwsVVNEKQ==&amp;WINDOW=FIRST_POPUP&amp;HEIGHT=450&amp;WIDTH=450&amp;","START_MAXIMIZED=FALSE&amp;VAR:CALENDAR=US&amp;VAR:SYMBOL=CRM&amp;VAR:INDEX=0"}</definedName>
    <definedName name="_1205__FDSAUDITLINK__" hidden="1">{"fdsup://directions/FAT Viewer?action=UPDATE&amp;creator=factset&amp;DYN_ARGS=TRUE&amp;DOC_NAME=FAT:FQL_AUDITING_CLIENT_TEMPLATE.FAT&amp;display_string=Audit&amp;VAR:KEY=ZWDATYRETE&amp;VAR:QUERY=RkZfRU5UUlBSX1ZBTChRVFIsNDAzNzUsLCwsVVNEKQ==&amp;WINDOW=FIRST_POPUP&amp;HEIGHT=450&amp;WIDTH=450&amp;","START_MAXIMIZED=FALSE&amp;VAR:CALENDAR=US&amp;VAR:SYMBOL=CRM&amp;VAR:INDEX=0"}</definedName>
    <definedName name="_1206__FDSAUDITLINK__" hidden="1">{"fdsup://directions/FAT Viewer?action=UPDATE&amp;creator=factset&amp;DYN_ARGS=TRUE&amp;DOC_NAME=FAT:FQL_AUDITING_CLIENT_TEMPLATE.FAT&amp;display_string=Audit&amp;VAR:KEY=ZIVCNSBEXS&amp;VAR:QUERY=RkZfRU5UUlBSX1ZBTChRVFIsNDAzNjgsLCwsVVNEKQ==&amp;WINDOW=FIRST_POPUP&amp;HEIGHT=450&amp;WIDTH=450&amp;","START_MAXIMIZED=FALSE&amp;VAR:CALENDAR=US&amp;VAR:SYMBOL=CRM&amp;VAR:INDEX=0"}</definedName>
    <definedName name="_1207__FDSAUDITLINK__" hidden="1">{"fdsup://directions/FAT Viewer?action=UPDATE&amp;creator=factset&amp;DYN_ARGS=TRUE&amp;DOC_NAME=FAT:FQL_AUDITING_CLIENT_TEMPLATE.FAT&amp;display_string=Audit&amp;VAR:KEY=DSHEHQTAHM&amp;VAR:QUERY=RkZfRU5UUlBSX1ZBTChRVFIsNDAzNjEsLCwsVVNEKQ==&amp;WINDOW=FIRST_POPUP&amp;HEIGHT=450&amp;WIDTH=450&amp;","START_MAXIMIZED=FALSE&amp;VAR:CALENDAR=US&amp;VAR:SYMBOL=CRM&amp;VAR:INDEX=0"}</definedName>
    <definedName name="_1208__FDSAUDITLINK__" hidden="1">{"fdsup://directions/FAT Viewer?action=UPDATE&amp;creator=factset&amp;DYN_ARGS=TRUE&amp;DOC_NAME=FAT:FQL_AUDITING_CLIENT_TEMPLATE.FAT&amp;display_string=Audit&amp;VAR:KEY=JQRIFEXOFW&amp;VAR:QUERY=RkZfRU5UUlBSX1ZBTChRVFIsNDAzNTQsLCwsVVNEKQ==&amp;WINDOW=FIRST_POPUP&amp;HEIGHT=450&amp;WIDTH=450&amp;","START_MAXIMIZED=FALSE&amp;VAR:CALENDAR=US&amp;VAR:SYMBOL=CRM&amp;VAR:INDEX=0"}</definedName>
    <definedName name="_1209__FDSAUDITLINK__" hidden="1">{"fdsup://directions/FAT Viewer?action=UPDATE&amp;creator=factset&amp;DYN_ARGS=TRUE&amp;DOC_NAME=FAT:FQL_AUDITING_CLIENT_TEMPLATE.FAT&amp;display_string=Audit&amp;VAR:KEY=VKTUFYLGJK&amp;VAR:QUERY=RkZfRU5UUlBSX1ZBTChRVFIsNDAzNDcsLCwsVVNEKQ==&amp;WINDOW=FIRST_POPUP&amp;HEIGHT=450&amp;WIDTH=450&amp;","START_MAXIMIZED=FALSE&amp;VAR:CALENDAR=US&amp;VAR:SYMBOL=CRM&amp;VAR:INDEX=0"}</definedName>
    <definedName name="_121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210__FDSAUDITLINK__" hidden="1">{"fdsup://directions/FAT Viewer?action=UPDATE&amp;creator=factset&amp;DYN_ARGS=TRUE&amp;DOC_NAME=FAT:FQL_AUDITING_CLIENT_TEMPLATE.FAT&amp;display_string=Audit&amp;VAR:KEY=XQPIHMTQZO&amp;VAR:QUERY=RkZfRU5UUlBSX1ZBTChRVFIsNDAzNDAsLCwsVVNEKQ==&amp;WINDOW=FIRST_POPUP&amp;HEIGHT=450&amp;WIDTH=450&amp;","START_MAXIMIZED=FALSE&amp;VAR:CALENDAR=US&amp;VAR:SYMBOL=CRM&amp;VAR:INDEX=0"}</definedName>
    <definedName name="_1211__FDSAUDITLINK__" hidden="1">{"fdsup://directions/FAT Viewer?action=UPDATE&amp;creator=factset&amp;DYN_ARGS=TRUE&amp;DOC_NAME=FAT:FQL_AUDITING_CLIENT_TEMPLATE.FAT&amp;display_string=Audit&amp;VAR:KEY=JOHOHYHQPI&amp;VAR:QUERY=RkZfRU5UUlBSX1ZBTChRVFIsNDAzMzMsLCwsVVNEKQ==&amp;WINDOW=FIRST_POPUP&amp;HEIGHT=450&amp;WIDTH=450&amp;","START_MAXIMIZED=FALSE&amp;VAR:CALENDAR=US&amp;VAR:SYMBOL=CRM&amp;VAR:INDEX=0"}</definedName>
    <definedName name="_1212__FDSAUDITLINK__" hidden="1">{"fdsup://directions/FAT Viewer?action=UPDATE&amp;creator=factset&amp;DYN_ARGS=TRUE&amp;DOC_NAME=FAT:FQL_AUDITING_CLIENT_TEMPLATE.FAT&amp;display_string=Audit&amp;VAR:KEY=JCPWFENWHG&amp;VAR:QUERY=RkZfRU5UUlBSX1ZBTChRVFIsNDAzMjYsLCwsVVNEKQ==&amp;WINDOW=FIRST_POPUP&amp;HEIGHT=450&amp;WIDTH=450&amp;","START_MAXIMIZED=FALSE&amp;VAR:CALENDAR=US&amp;VAR:SYMBOL=CRM&amp;VAR:INDEX=0"}</definedName>
    <definedName name="_1213__FDSAUDITLINK__" hidden="1">{"fdsup://directions/FAT Viewer?action=UPDATE&amp;creator=factset&amp;DYN_ARGS=TRUE&amp;DOC_NAME=FAT:FQL_AUDITING_CLIENT_TEMPLATE.FAT&amp;display_string=Audit&amp;VAR:KEY=HKJKRWHQDI&amp;VAR:QUERY=RkZfRU5UUlBSX1ZBTChRVFIsNDAzMTksLCwsVVNEKQ==&amp;WINDOW=FIRST_POPUP&amp;HEIGHT=450&amp;WIDTH=450&amp;","START_MAXIMIZED=FALSE&amp;VAR:CALENDAR=US&amp;VAR:SYMBOL=CRM&amp;VAR:INDEX=0"}</definedName>
    <definedName name="_1214__FDSAUDITLINK__" hidden="1">{"fdsup://directions/FAT Viewer?action=UPDATE&amp;creator=factset&amp;DYN_ARGS=TRUE&amp;DOC_NAME=FAT:FQL_AUDITING_CLIENT_TEMPLATE.FAT&amp;display_string=Audit&amp;VAR:KEY=NYJIHGVGHQ&amp;VAR:QUERY=RkZfRU5UUlBSX1ZBTChRVFIsNDAzMTIsLCwsVVNEKQ==&amp;WINDOW=FIRST_POPUP&amp;HEIGHT=450&amp;WIDTH=450&amp;","START_MAXIMIZED=FALSE&amp;VAR:CALENDAR=US&amp;VAR:SYMBOL=CRM&amp;VAR:INDEX=0"}</definedName>
    <definedName name="_1215__FDSAUDITLINK__" hidden="1">{"fdsup://directions/FAT Viewer?action=UPDATE&amp;creator=factset&amp;DYN_ARGS=TRUE&amp;DOC_NAME=FAT:FQL_AUDITING_CLIENT_TEMPLATE.FAT&amp;display_string=Audit&amp;VAR:KEY=RYLULEDYDK&amp;VAR:QUERY=RkZfRU5UUlBSX1ZBTChRVFIsNDAzMDUsLCwsVVNEKQ==&amp;WINDOW=FIRST_POPUP&amp;HEIGHT=450&amp;WIDTH=450&amp;","START_MAXIMIZED=FALSE&amp;VAR:CALENDAR=US&amp;VAR:SYMBOL=CRM&amp;VAR:INDEX=0"}</definedName>
    <definedName name="_1216__FDSAUDITLINK__" hidden="1">{"fdsup://directions/FAT Viewer?action=UPDATE&amp;creator=factset&amp;DYN_ARGS=TRUE&amp;DOC_NAME=FAT:FQL_AUDITING_CLIENT_TEMPLATE.FAT&amp;display_string=Audit&amp;VAR:KEY=RUVUXYXAXY&amp;VAR:QUERY=RkZfRU5UUlBSX1ZBTChRVFIsNDAyOTgsLCwsVVNEKQ==&amp;WINDOW=FIRST_POPUP&amp;HEIGHT=450&amp;WIDTH=450&amp;","START_MAXIMIZED=FALSE&amp;VAR:CALENDAR=US&amp;VAR:SYMBOL=CRM&amp;VAR:INDEX=0"}</definedName>
    <definedName name="_1217__FDSAUDITLINK__" hidden="1">{"fdsup://directions/FAT Viewer?action=UPDATE&amp;creator=factset&amp;DYN_ARGS=TRUE&amp;DOC_NAME=FAT:FQL_AUDITING_CLIENT_TEMPLATE.FAT&amp;display_string=Audit&amp;VAR:KEY=DGRYHIRSHU&amp;VAR:QUERY=RkZfRU5UUlBSX1ZBTChRVFIsNDAyOTEsLCwsVVNEKQ==&amp;WINDOW=FIRST_POPUP&amp;HEIGHT=450&amp;WIDTH=450&amp;","START_MAXIMIZED=FALSE&amp;VAR:CALENDAR=US&amp;VAR:SYMBOL=CRM&amp;VAR:INDEX=0"}</definedName>
    <definedName name="_1218__FDSAUDITLINK__" hidden="1">{"fdsup://directions/FAT Viewer?action=UPDATE&amp;creator=factset&amp;DYN_ARGS=TRUE&amp;DOC_NAME=FAT:FQL_AUDITING_CLIENT_TEMPLATE.FAT&amp;display_string=Audit&amp;VAR:KEY=PKNMDWTIRA&amp;VAR:QUERY=RkZfRU5UUlBSX1ZBTChRVFIsNDAyODQsLCwsVVNEKQ==&amp;WINDOW=FIRST_POPUP&amp;HEIGHT=450&amp;WIDTH=450&amp;","START_MAXIMIZED=FALSE&amp;VAR:CALENDAR=US&amp;VAR:SYMBOL=CRM&amp;VAR:INDEX=0"}</definedName>
    <definedName name="_1219__FDSAUDITLINK__" hidden="1">{"fdsup://directions/FAT Viewer?action=UPDATE&amp;creator=factset&amp;DYN_ARGS=TRUE&amp;DOC_NAME=FAT:FQL_AUDITING_CLIENT_TEMPLATE.FAT&amp;display_string=Audit&amp;VAR:KEY=ROPGJSJWXO&amp;VAR:QUERY=RkZfRU5UUlBSX1ZBTChRVFIsNDAyNzcsLCwsVVNEKQ==&amp;WINDOW=FIRST_POPUP&amp;HEIGHT=450&amp;WIDTH=450&amp;","START_MAXIMIZED=FALSE&amp;VAR:CALENDAR=US&amp;VAR:SYMBOL=CRM&amp;VAR:INDEX=0"}</definedName>
    <definedName name="_122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220__FDSAUDITLINK__" hidden="1">{"fdsup://directions/FAT Viewer?action=UPDATE&amp;creator=factset&amp;DYN_ARGS=TRUE&amp;DOC_NAME=FAT:FQL_AUDITING_CLIENT_TEMPLATE.FAT&amp;display_string=Audit&amp;VAR:KEY=ZMPYFKFAHI&amp;VAR:QUERY=RkZfRU5UUlBSX1ZBTChRVFIsNDAyNzAsLCwsVVNEKQ==&amp;WINDOW=FIRST_POPUP&amp;HEIGHT=450&amp;WIDTH=450&amp;","START_MAXIMIZED=FALSE&amp;VAR:CALENDAR=US&amp;VAR:SYMBOL=CRM&amp;VAR:INDEX=0"}</definedName>
    <definedName name="_1221__FDSAUDITLINK__" hidden="1">{"fdsup://directions/FAT Viewer?action=UPDATE&amp;creator=factset&amp;DYN_ARGS=TRUE&amp;DOC_NAME=FAT:FQL_AUDITING_CLIENT_TEMPLATE.FAT&amp;display_string=Audit&amp;VAR:KEY=FOBAHSBARY&amp;VAR:QUERY=RkZfRU5UUlBSX1ZBTChRVFIsNDAyNjMsLCwsVVNEKQ==&amp;WINDOW=FIRST_POPUP&amp;HEIGHT=450&amp;WIDTH=450&amp;","START_MAXIMIZED=FALSE&amp;VAR:CALENDAR=US&amp;VAR:SYMBOL=CRM&amp;VAR:INDEX=0"}</definedName>
    <definedName name="_1222__FDSAUDITLINK__" hidden="1">{"fdsup://directions/FAT Viewer?action=UPDATE&amp;creator=factset&amp;DYN_ARGS=TRUE&amp;DOC_NAME=FAT:FQL_AUDITING_CLIENT_TEMPLATE.FAT&amp;display_string=Audit&amp;VAR:KEY=XKPGFGZYNY&amp;VAR:QUERY=RkZfRU5UUlBSX1ZBTChRVFIsNDAyNTYsLCwsVVNEKQ==&amp;WINDOW=FIRST_POPUP&amp;HEIGHT=450&amp;WIDTH=450&amp;","START_MAXIMIZED=FALSE&amp;VAR:CALENDAR=US&amp;VAR:SYMBOL=CRM&amp;VAR:INDEX=0"}</definedName>
    <definedName name="_1223__FDSAUDITLINK__" hidden="1">{"fdsup://directions/FAT Viewer?action=UPDATE&amp;creator=factset&amp;DYN_ARGS=TRUE&amp;DOC_NAME=FAT:FQL_AUDITING_CLIENT_TEMPLATE.FAT&amp;display_string=Audit&amp;VAR:KEY=RENCHUZQBY&amp;VAR:QUERY=RkZfRU5UUlBSX1ZBTChRVFIsNDAyNDksLCwsVVNEKQ==&amp;WINDOW=FIRST_POPUP&amp;HEIGHT=450&amp;WIDTH=450&amp;","START_MAXIMIZED=FALSE&amp;VAR:CALENDAR=US&amp;VAR:SYMBOL=CRM&amp;VAR:INDEX=0"}</definedName>
    <definedName name="_1224__FDSAUDITLINK__" hidden="1">{"fdsup://directions/FAT Viewer?action=UPDATE&amp;creator=factset&amp;DYN_ARGS=TRUE&amp;DOC_NAME=FAT:FQL_AUDITING_CLIENT_TEMPLATE.FAT&amp;display_string=Audit&amp;VAR:KEY=JMBEPMHUNW&amp;VAR:QUERY=RkZfRU5UUlBSX1ZBTChRVFIsNDAyNDIsLCwsVVNEKQ==&amp;WINDOW=FIRST_POPUP&amp;HEIGHT=450&amp;WIDTH=450&amp;","START_MAXIMIZED=FALSE&amp;VAR:CALENDAR=US&amp;VAR:SYMBOL=CRM&amp;VAR:INDEX=0"}</definedName>
    <definedName name="_1225__FDSAUDITLINK__" hidden="1">{"fdsup://directions/FAT Viewer?action=UPDATE&amp;creator=factset&amp;DYN_ARGS=TRUE&amp;DOC_NAME=FAT:FQL_AUDITING_CLIENT_TEMPLATE.FAT&amp;display_string=Audit&amp;VAR:KEY=ZIFKNEHUJE&amp;VAR:QUERY=RkZfRU5UUlBSX1ZBTChRVFIsNDAyMzUsLCwsVVNEKQ==&amp;WINDOW=FIRST_POPUP&amp;HEIGHT=450&amp;WIDTH=450&amp;","START_MAXIMIZED=FALSE&amp;VAR:CALENDAR=US&amp;VAR:SYMBOL=CRM&amp;VAR:INDEX=0"}</definedName>
    <definedName name="_1226__FDSAUDITLINK__" hidden="1">{"fdsup://directions/FAT Viewer?action=UPDATE&amp;creator=factset&amp;DYN_ARGS=TRUE&amp;DOC_NAME=FAT:FQL_AUDITING_CLIENT_TEMPLATE.FAT&amp;display_string=Audit&amp;VAR:KEY=RKTKBEBGVK&amp;VAR:QUERY=RkZfRU5UUlBSX1ZBTChRVFIsNDAyMjgsLCwsVVNEKQ==&amp;WINDOW=FIRST_POPUP&amp;HEIGHT=450&amp;WIDTH=450&amp;","START_MAXIMIZED=FALSE&amp;VAR:CALENDAR=US&amp;VAR:SYMBOL=CRM&amp;VAR:INDEX=0"}</definedName>
    <definedName name="_1227__FDSAUDITLINK__" hidden="1">{"fdsup://directions/FAT Viewer?action=UPDATE&amp;creator=factset&amp;DYN_ARGS=TRUE&amp;DOC_NAME=FAT:FQL_AUDITING_CLIENT_TEMPLATE.FAT&amp;display_string=Audit&amp;VAR:KEY=ZSDQPWXQVE&amp;VAR:QUERY=RkZfRU5UUlBSX1ZBTChRVFIsNDAyMjEsLCwsVVNEKQ==&amp;WINDOW=FIRST_POPUP&amp;HEIGHT=450&amp;WIDTH=450&amp;","START_MAXIMIZED=FALSE&amp;VAR:CALENDAR=US&amp;VAR:SYMBOL=CRM&amp;VAR:INDEX=0"}</definedName>
    <definedName name="_1228__FDSAUDITLINK__" hidden="1">{"fdsup://directions/FAT Viewer?action=UPDATE&amp;creator=factset&amp;DYN_ARGS=TRUE&amp;DOC_NAME=FAT:FQL_AUDITING_CLIENT_TEMPLATE.FAT&amp;display_string=Audit&amp;VAR:KEY=NQNSLALAZE&amp;VAR:QUERY=RkZfRU5UUlBSX1ZBTChRVFIsNDAyMTQsLCwsVVNEKQ==&amp;WINDOW=FIRST_POPUP&amp;HEIGHT=450&amp;WIDTH=450&amp;","START_MAXIMIZED=FALSE&amp;VAR:CALENDAR=US&amp;VAR:SYMBOL=CRM&amp;VAR:INDEX=0"}</definedName>
    <definedName name="_1229__FDSAUDITLINK__" hidden="1">{"fdsup://directions/FAT Viewer?action=UPDATE&amp;creator=factset&amp;DYN_ARGS=TRUE&amp;DOC_NAME=FAT:FQL_AUDITING_CLIENT_TEMPLATE.FAT&amp;display_string=Audit&amp;VAR:KEY=TYPELSDARY&amp;VAR:QUERY=RkZfRU5UUlBSX1ZBTChRVFIsNDAyMDcsLCwsVVNEKQ==&amp;WINDOW=FIRST_POPUP&amp;HEIGHT=450&amp;WIDTH=450&amp;","START_MAXIMIZED=FALSE&amp;VAR:CALENDAR=US&amp;VAR:SYMBOL=CRM&amp;VAR:INDEX=0"}</definedName>
    <definedName name="_123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230__FDSAUDITLINK__" hidden="1">{"fdsup://directions/FAT Viewer?action=UPDATE&amp;creator=factset&amp;DYN_ARGS=TRUE&amp;DOC_NAME=FAT:FQL_AUDITING_CLIENT_TEMPLATE.FAT&amp;display_string=Audit&amp;VAR:KEY=JYRSJYJSJS&amp;VAR:QUERY=RkZfRU5UUlBSX1ZBTChRVFIsNDAyMDAsLCwsVVNEKQ==&amp;WINDOW=FIRST_POPUP&amp;HEIGHT=450&amp;WIDTH=450&amp;","START_MAXIMIZED=FALSE&amp;VAR:CALENDAR=US&amp;VAR:SYMBOL=CRM&amp;VAR:INDEX=0"}</definedName>
    <definedName name="_1231__FDSAUDITLINK__" hidden="1">{"fdsup://directions/FAT Viewer?action=UPDATE&amp;creator=factset&amp;DYN_ARGS=TRUE&amp;DOC_NAME=FAT:FQL_AUDITING_CLIENT_TEMPLATE.FAT&amp;display_string=Audit&amp;VAR:KEY=XGTKTCDSXG&amp;VAR:QUERY=RkZfRU5UUlBSX1ZBTChRVFIsNDAxOTMsLCwsVVNEKQ==&amp;WINDOW=FIRST_POPUP&amp;HEIGHT=450&amp;WIDTH=450&amp;","START_MAXIMIZED=FALSE&amp;VAR:CALENDAR=US&amp;VAR:SYMBOL=CRM&amp;VAR:INDEX=0"}</definedName>
    <definedName name="_1232__FDSAUDITLINK__" hidden="1">{"fdsup://directions/FAT Viewer?action=UPDATE&amp;creator=factset&amp;DYN_ARGS=TRUE&amp;DOC_NAME=FAT:FQL_AUDITING_CLIENT_TEMPLATE.FAT&amp;display_string=Audit&amp;VAR:KEY=FQVUVIVYJM&amp;VAR:QUERY=RkZfRU5UUlBSX1ZBTChRVFIsNDAxODYsLCwsVVNEKQ==&amp;WINDOW=FIRST_POPUP&amp;HEIGHT=450&amp;WIDTH=450&amp;","START_MAXIMIZED=FALSE&amp;VAR:CALENDAR=US&amp;VAR:SYMBOL=CRM&amp;VAR:INDEX=0"}</definedName>
    <definedName name="_1233__FDSAUDITLINK__" hidden="1">{"fdsup://directions/FAT Viewer?action=UPDATE&amp;creator=factset&amp;DYN_ARGS=TRUE&amp;DOC_NAME=FAT:FQL_AUDITING_CLIENT_TEMPLATE.FAT&amp;display_string=Audit&amp;VAR:KEY=ZWZCZQHQPK&amp;VAR:QUERY=RkZfRU5UUlBSX1ZBTChRVFIsNDAxNzksLCwsVVNEKQ==&amp;WINDOW=FIRST_POPUP&amp;HEIGHT=450&amp;WIDTH=450&amp;","START_MAXIMIZED=FALSE&amp;VAR:CALENDAR=US&amp;VAR:SYMBOL=CRM&amp;VAR:INDEX=0"}</definedName>
    <definedName name="_1234__FDSAUDITLINK__" hidden="1">{"fdsup://directions/FAT Viewer?action=UPDATE&amp;creator=factset&amp;DYN_ARGS=TRUE&amp;DOC_NAME=FAT:FQL_AUDITING_CLIENT_TEMPLATE.FAT&amp;display_string=Audit&amp;VAR:KEY=FUJWNATUDI&amp;VAR:QUERY=RkZfRU5UUlBSX1ZBTChRVFIsNDAxNzIsLCwsVVNEKQ==&amp;WINDOW=FIRST_POPUP&amp;HEIGHT=450&amp;WIDTH=450&amp;","START_MAXIMIZED=FALSE&amp;VAR:CALENDAR=US&amp;VAR:SYMBOL=CRM&amp;VAR:INDEX=0"}</definedName>
    <definedName name="_1235__FDSAUDITLINK__" hidden="1">{"fdsup://directions/FAT Viewer?action=UPDATE&amp;creator=factset&amp;DYN_ARGS=TRUE&amp;DOC_NAME=FAT:FQL_AUDITING_CLIENT_TEMPLATE.FAT&amp;display_string=Audit&amp;VAR:KEY=RGJKVGHGNM&amp;VAR:QUERY=RkZfRU5UUlBSX1ZBTChRVFIsNDAxNjUsLCwsVVNEKQ==&amp;WINDOW=FIRST_POPUP&amp;HEIGHT=450&amp;WIDTH=450&amp;","START_MAXIMIZED=FALSE&amp;VAR:CALENDAR=US&amp;VAR:SYMBOL=CRM&amp;VAR:INDEX=0"}</definedName>
    <definedName name="_1236__FDSAUDITLINK__" hidden="1">{"fdsup://directions/FAT Viewer?action=UPDATE&amp;creator=factset&amp;DYN_ARGS=TRUE&amp;DOC_NAME=FAT:FQL_AUDITING_CLIENT_TEMPLATE.FAT&amp;display_string=Audit&amp;VAR:KEY=NAJYLORUVY&amp;VAR:QUERY=RkZfRU5UUlBSX1ZBTChRVFIsNDAxNTgsLCwsVVNEKQ==&amp;WINDOW=FIRST_POPUP&amp;HEIGHT=450&amp;WIDTH=450&amp;","START_MAXIMIZED=FALSE&amp;VAR:CALENDAR=US&amp;VAR:SYMBOL=CRM&amp;VAR:INDEX=0"}</definedName>
    <definedName name="_1237__FDSAUDITLINK__" hidden="1">{"fdsup://directions/FAT Viewer?action=UPDATE&amp;creator=factset&amp;DYN_ARGS=TRUE&amp;DOC_NAME=FAT:FQL_AUDITING_CLIENT_TEMPLATE.FAT&amp;display_string=Audit&amp;VAR:KEY=LKZENGLANS&amp;VAR:QUERY=RkZfRU5UUlBSX1ZBTChRVFIsNDAxNTEsLCwsVVNEKQ==&amp;WINDOW=FIRST_POPUP&amp;HEIGHT=450&amp;WIDTH=450&amp;","START_MAXIMIZED=FALSE&amp;VAR:CALENDAR=US&amp;VAR:SYMBOL=CRM&amp;VAR:INDEX=0"}</definedName>
    <definedName name="_1238__FDSAUDITLINK__" hidden="1">{"fdsup://directions/FAT Viewer?action=UPDATE&amp;creator=factset&amp;DYN_ARGS=TRUE&amp;DOC_NAME=FAT:FQL_AUDITING_CLIENT_TEMPLATE.FAT&amp;display_string=Audit&amp;VAR:KEY=FYJUNIBYPS&amp;VAR:QUERY=RkZfRU5UUlBSX1ZBTChRVFIsNDAxNDQsLCwsVVNEKQ==&amp;WINDOW=FIRST_POPUP&amp;HEIGHT=450&amp;WIDTH=450&amp;","START_MAXIMIZED=FALSE&amp;VAR:CALENDAR=US&amp;VAR:SYMBOL=CRM&amp;VAR:INDEX=0"}</definedName>
    <definedName name="_1239__FDSAUDITLINK__" hidden="1">{"fdsup://directions/FAT Viewer?action=UPDATE&amp;creator=factset&amp;DYN_ARGS=TRUE&amp;DOC_NAME=FAT:FQL_AUDITING_CLIENT_TEMPLATE.FAT&amp;display_string=Audit&amp;VAR:KEY=FSLWDUPSXQ&amp;VAR:QUERY=RkZfRU5UUlBSX1ZBTChRVFIsNDAxMzcsLCwsVVNEKQ==&amp;WINDOW=FIRST_POPUP&amp;HEIGHT=450&amp;WIDTH=450&amp;","START_MAXIMIZED=FALSE&amp;VAR:CALENDAR=US&amp;VAR:SYMBOL=CRM&amp;VAR:INDEX=0"}</definedName>
    <definedName name="_124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240__FDSAUDITLINK__" hidden="1">{"fdsup://directions/FAT Viewer?action=UPDATE&amp;creator=factset&amp;DYN_ARGS=TRUE&amp;DOC_NAME=FAT:FQL_AUDITING_CLIENT_TEMPLATE.FAT&amp;display_string=Audit&amp;VAR:KEY=RCFCJIRQRY&amp;VAR:QUERY=RkZfRU5UUlBSX1ZBTChRVFIsNDAxMzAsLCwsVVNEKQ==&amp;WINDOW=FIRST_POPUP&amp;HEIGHT=450&amp;WIDTH=450&amp;","START_MAXIMIZED=FALSE&amp;VAR:CALENDAR=US&amp;VAR:SYMBOL=CRM&amp;VAR:INDEX=0"}</definedName>
    <definedName name="_1241__FDSAUDITLINK__" hidden="1">{"fdsup://directions/FAT Viewer?action=UPDATE&amp;creator=factset&amp;DYN_ARGS=TRUE&amp;DOC_NAME=FAT:FQL_AUDITING_CLIENT_TEMPLATE.FAT&amp;display_string=Audit&amp;VAR:KEY=JYBUNIFMFC&amp;VAR:QUERY=RkZfRU5UUlBSX1ZBTChRVFIsNDAxMjMsLCwsVVNEKQ==&amp;WINDOW=FIRST_POPUP&amp;HEIGHT=450&amp;WIDTH=450&amp;","START_MAXIMIZED=FALSE&amp;VAR:CALENDAR=US&amp;VAR:SYMBOL=CRM&amp;VAR:INDEX=0"}</definedName>
    <definedName name="_1242__FDSAUDITLINK__" hidden="1">{"fdsup://directions/FAT Viewer?action=UPDATE&amp;creator=factset&amp;DYN_ARGS=TRUE&amp;DOC_NAME=FAT:FQL_AUDITING_CLIENT_TEMPLATE.FAT&amp;display_string=Audit&amp;VAR:KEY=BMDMRSLSVE&amp;VAR:QUERY=RkZfRU5UUlBSX1ZBTChRVFIsNDAxMTYsLCwsVVNEKQ==&amp;WINDOW=FIRST_POPUP&amp;HEIGHT=450&amp;WIDTH=450&amp;","START_MAXIMIZED=FALSE&amp;VAR:CALENDAR=US&amp;VAR:SYMBOL=CRM&amp;VAR:INDEX=0"}</definedName>
    <definedName name="_1243__FDSAUDITLINK__" hidden="1">{"fdsup://directions/FAT Viewer?action=UPDATE&amp;creator=factset&amp;DYN_ARGS=TRUE&amp;DOC_NAME=FAT:FQL_AUDITING_CLIENT_TEMPLATE.FAT&amp;display_string=Audit&amp;VAR:KEY=DEJCLAPYJA&amp;VAR:QUERY=RkZfRU5UUlBSX1ZBTChRVFIsNDAxMDksLCwsVVNEKQ==&amp;WINDOW=FIRST_POPUP&amp;HEIGHT=450&amp;WIDTH=450&amp;","START_MAXIMIZED=FALSE&amp;VAR:CALENDAR=US&amp;VAR:SYMBOL=CRM&amp;VAR:INDEX=0"}</definedName>
    <definedName name="_1244__FDSAUDITLINK__" hidden="1">{"fdsup://directions/FAT Viewer?action=UPDATE&amp;creator=factset&amp;DYN_ARGS=TRUE&amp;DOC_NAME=FAT:FQL_AUDITING_CLIENT_TEMPLATE.FAT&amp;display_string=Audit&amp;VAR:KEY=ZWZSTUBCVK&amp;VAR:QUERY=RkZfRU5UUlBSX1ZBTChRVFIsNDAxMDIsLCwsVVNEKQ==&amp;WINDOW=FIRST_POPUP&amp;HEIGHT=450&amp;WIDTH=450&amp;","START_MAXIMIZED=FALSE&amp;VAR:CALENDAR=US&amp;VAR:SYMBOL=CRM&amp;VAR:INDEX=0"}</definedName>
    <definedName name="_1245__FDSAUDITLINK__" hidden="1">{"fdsup://directions/FAT Viewer?action=UPDATE&amp;creator=factset&amp;DYN_ARGS=TRUE&amp;DOC_NAME=FAT:FQL_AUDITING_CLIENT_TEMPLATE.FAT&amp;display_string=Audit&amp;VAR:KEY=BSXOZMXITC&amp;VAR:QUERY=RkZfRU5UUlBSX1ZBTChRVFIsNDAwOTUsLCwsVVNEKQ==&amp;WINDOW=FIRST_POPUP&amp;HEIGHT=450&amp;WIDTH=450&amp;","START_MAXIMIZED=FALSE&amp;VAR:CALENDAR=US&amp;VAR:SYMBOL=CRM&amp;VAR:INDEX=0"}</definedName>
    <definedName name="_1246__FDSAUDITLINK__" hidden="1">{"fdsup://directions/FAT Viewer?action=UPDATE&amp;creator=factset&amp;DYN_ARGS=TRUE&amp;DOC_NAME=FAT:FQL_AUDITING_CLIENT_TEMPLATE.FAT&amp;display_string=Audit&amp;VAR:KEY=NKVYTWTMJM&amp;VAR:QUERY=RkZfRU5UUlBSX1ZBTChRVFIsNDAwODgsLCwsVVNEKQ==&amp;WINDOW=FIRST_POPUP&amp;HEIGHT=450&amp;WIDTH=450&amp;","START_MAXIMIZED=FALSE&amp;VAR:CALENDAR=US&amp;VAR:SYMBOL=CRM&amp;VAR:INDEX=0"}</definedName>
    <definedName name="_1247__FDSAUDITLINK__" hidden="1">{"fdsup://directions/FAT Viewer?action=UPDATE&amp;creator=factset&amp;DYN_ARGS=TRUE&amp;DOC_NAME=FAT:FQL_AUDITING_CLIENT_TEMPLATE.FAT&amp;display_string=Audit&amp;VAR:KEY=ZKLGPOFEZK&amp;VAR:QUERY=RkZfRU5UUlBSX1ZBTChRVFIsNDAwODEsLCwsVVNEKQ==&amp;WINDOW=FIRST_POPUP&amp;HEIGHT=450&amp;WIDTH=450&amp;","START_MAXIMIZED=FALSE&amp;VAR:CALENDAR=US&amp;VAR:SYMBOL=CRM&amp;VAR:INDEX=0"}</definedName>
    <definedName name="_1248__FDSAUDITLINK__" hidden="1">{"fdsup://directions/FAT Viewer?action=UPDATE&amp;creator=factset&amp;DYN_ARGS=TRUE&amp;DOC_NAME=FAT:FQL_AUDITING_CLIENT_TEMPLATE.FAT&amp;display_string=Audit&amp;VAR:KEY=TQNWBQFIHY&amp;VAR:QUERY=RkZfRU5UUlBSX1ZBTChRVFIsNDAwNzQsLCwsVVNEKQ==&amp;WINDOW=FIRST_POPUP&amp;HEIGHT=450&amp;WIDTH=450&amp;","START_MAXIMIZED=FALSE&amp;VAR:CALENDAR=US&amp;VAR:SYMBOL=CRM&amp;VAR:INDEX=0"}</definedName>
    <definedName name="_1249__FDSAUDITLINK__" hidden="1">{"fdsup://directions/FAT Viewer?action=UPDATE&amp;creator=factset&amp;DYN_ARGS=TRUE&amp;DOC_NAME=FAT:FQL_AUDITING_CLIENT_TEMPLATE.FAT&amp;display_string=Audit&amp;VAR:KEY=XWVQFIBWVW&amp;VAR:QUERY=RkZfRU5UUlBSX1ZBTChRVFIsNDAwNjcsLCwsVVNEKQ==&amp;WINDOW=FIRST_POPUP&amp;HEIGHT=450&amp;WIDTH=450&amp;","START_MAXIMIZED=FALSE&amp;VAR:CALENDAR=US&amp;VAR:SYMBOL=CRM&amp;VAR:INDEX=0"}</definedName>
    <definedName name="_125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250__FDSAUDITLINK__" hidden="1">{"fdsup://directions/FAT Viewer?action=UPDATE&amp;creator=factset&amp;DYN_ARGS=TRUE&amp;DOC_NAME=FAT:FQL_AUDITING_CLIENT_TEMPLATE.FAT&amp;display_string=Audit&amp;VAR:KEY=TEPQLSNYFC&amp;VAR:QUERY=RkZfRU5UUlBSX1ZBTChRVFIsNDAwNjAsLCwsVVNEKQ==&amp;WINDOW=FIRST_POPUP&amp;HEIGHT=450&amp;WIDTH=450&amp;","START_MAXIMIZED=FALSE&amp;VAR:CALENDAR=US&amp;VAR:SYMBOL=CRM&amp;VAR:INDEX=0"}</definedName>
    <definedName name="_1251__FDSAUDITLINK__" hidden="1">{"fdsup://directions/FAT Viewer?action=UPDATE&amp;creator=factset&amp;DYN_ARGS=TRUE&amp;DOC_NAME=FAT:FQL_AUDITING_CLIENT_TEMPLATE.FAT&amp;display_string=Audit&amp;VAR:KEY=TILWBYJAVS&amp;VAR:QUERY=RkZfRU5UUlBSX1ZBTChRVFIsNDAwNTMsLCwsVVNEKQ==&amp;WINDOW=FIRST_POPUP&amp;HEIGHT=450&amp;WIDTH=450&amp;","START_MAXIMIZED=FALSE&amp;VAR:CALENDAR=US&amp;VAR:SYMBOL=CRM&amp;VAR:INDEX=0"}</definedName>
    <definedName name="_1252__FDSAUDITLINK__" hidden="1">{"fdsup://directions/FAT Viewer?action=UPDATE&amp;creator=factset&amp;DYN_ARGS=TRUE&amp;DOC_NAME=FAT:FQL_AUDITING_CLIENT_TEMPLATE.FAT&amp;display_string=Audit&amp;VAR:KEY=XMLYPKXGDM&amp;VAR:QUERY=RkZfRU5UUlBSX1ZBTChRVFIsNDAwNDYsLCwsVVNEKQ==&amp;WINDOW=FIRST_POPUP&amp;HEIGHT=450&amp;WIDTH=450&amp;","START_MAXIMIZED=FALSE&amp;VAR:CALENDAR=US&amp;VAR:SYMBOL=CRM&amp;VAR:INDEX=0"}</definedName>
    <definedName name="_1253__FDSAUDITLINK__" hidden="1">{"fdsup://directions/FAT Viewer?action=UPDATE&amp;creator=factset&amp;DYN_ARGS=TRUE&amp;DOC_NAME=FAT:FQL_AUDITING_CLIENT_TEMPLATE.FAT&amp;display_string=Audit&amp;VAR:KEY=VMPKRONORE&amp;VAR:QUERY=RkZfRU5UUlBSX1ZBTChRVFIsNDAwMzksLCwsVVNEKQ==&amp;WINDOW=FIRST_POPUP&amp;HEIGHT=450&amp;WIDTH=450&amp;","START_MAXIMIZED=FALSE&amp;VAR:CALENDAR=US&amp;VAR:SYMBOL=CRM&amp;VAR:INDEX=0"}</definedName>
    <definedName name="_1254__FDSAUDITLINK__" hidden="1">{"fdsup://directions/FAT Viewer?action=UPDATE&amp;creator=factset&amp;DYN_ARGS=TRUE&amp;DOC_NAME=FAT:FQL_AUDITING_CLIENT_TEMPLATE.FAT&amp;display_string=Audit&amp;VAR:KEY=DCXMTEZYLA&amp;VAR:QUERY=RkZfRU5UUlBSX1ZBTChRVFIsNDAwMzIsLCwsVVNEKQ==&amp;WINDOW=FIRST_POPUP&amp;HEIGHT=450&amp;WIDTH=450&amp;","START_MAXIMIZED=FALSE&amp;VAR:CALENDAR=US&amp;VAR:SYMBOL=CRM&amp;VAR:INDEX=0"}</definedName>
    <definedName name="_1255__FDSAUDITLINK__" hidden="1">{"fdsup://directions/FAT Viewer?action=UPDATE&amp;creator=factset&amp;DYN_ARGS=TRUE&amp;DOC_NAME=FAT:FQL_AUDITING_CLIENT_TEMPLATE.FAT&amp;display_string=Audit&amp;VAR:KEY=JMLGPOJMDK&amp;VAR:QUERY=RkZfRU5UUlBSX1ZBTChRVFIsNDAwMjUsLCwsVVNEKQ==&amp;WINDOW=FIRST_POPUP&amp;HEIGHT=450&amp;WIDTH=450&amp;","START_MAXIMIZED=FALSE&amp;VAR:CALENDAR=US&amp;VAR:SYMBOL=CRM&amp;VAR:INDEX=0"}</definedName>
    <definedName name="_1256__FDSAUDITLINK__" hidden="1">{"fdsup://directions/FAT Viewer?action=UPDATE&amp;creator=factset&amp;DYN_ARGS=TRUE&amp;DOC_NAME=FAT:FQL_AUDITING_CLIENT_TEMPLATE.FAT&amp;display_string=Audit&amp;VAR:KEY=NAFWRGXIRI&amp;VAR:QUERY=RkZfRU5UUlBSX1ZBTChRVFIsNDAwMTgsLCwsVVNEKQ==&amp;WINDOW=FIRST_POPUP&amp;HEIGHT=450&amp;WIDTH=450&amp;","START_MAXIMIZED=FALSE&amp;VAR:CALENDAR=US&amp;VAR:SYMBOL=CRM&amp;VAR:INDEX=0"}</definedName>
    <definedName name="_1257__FDSAUDITLINK__" hidden="1">{"fdsup://directions/FAT Viewer?action=UPDATE&amp;creator=factset&amp;DYN_ARGS=TRUE&amp;DOC_NAME=FAT:FQL_AUDITING_CLIENT_TEMPLATE.FAT&amp;display_string=Audit&amp;VAR:KEY=ZEZWRABKDC&amp;VAR:QUERY=RkZfRU5UUlBSX1ZBTChRVFIsNDAwMTEsLCwsVVNEKQ==&amp;WINDOW=FIRST_POPUP&amp;HEIGHT=450&amp;WIDTH=450&amp;","START_MAXIMIZED=FALSE&amp;VAR:CALENDAR=US&amp;VAR:SYMBOL=CRM&amp;VAR:INDEX=0"}</definedName>
    <definedName name="_1258__FDSAUDITLINK__" hidden="1">{"fdsup://directions/FAT Viewer?action=UPDATE&amp;creator=factset&amp;DYN_ARGS=TRUE&amp;DOC_NAME=FAT:FQL_AUDITING_CLIENT_TEMPLATE.FAT&amp;display_string=Audit&amp;VAR:KEY=DAXYZAHIZQ&amp;VAR:QUERY=RkZfRU5UUlBSX1ZBTChRVFIsNDAwMDQsLCwsVVNEKQ==&amp;WINDOW=FIRST_POPUP&amp;HEIGHT=450&amp;WIDTH=450&amp;","START_MAXIMIZED=FALSE&amp;VAR:CALENDAR=US&amp;VAR:SYMBOL=CRM&amp;VAR:INDEX=0"}</definedName>
    <definedName name="_1259__FDSAUDITLINK__" hidden="1">{"fdsup://directions/FAT Viewer?action=UPDATE&amp;creator=factset&amp;DYN_ARGS=TRUE&amp;DOC_NAME=FAT:FQL_AUDITING_CLIENT_TEMPLATE.FAT&amp;display_string=Audit&amp;VAR:KEY=TONONSRKLU&amp;VAR:QUERY=RkZfRU5UUlBSX1ZBTChRVFIsMzk5OTcsLCwsVVNEKQ==&amp;WINDOW=FIRST_POPUP&amp;HEIGHT=450&amp;WIDTH=450&amp;","START_MAXIMIZED=FALSE&amp;VAR:CALENDAR=US&amp;VAR:SYMBOL=CRM&amp;VAR:INDEX=0"}</definedName>
    <definedName name="_126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260__FDSAUDITLINK__" hidden="1">{"fdsup://directions/FAT Viewer?action=UPDATE&amp;creator=factset&amp;DYN_ARGS=TRUE&amp;DOC_NAME=FAT:FQL_AUDITING_CLIENT_TEMPLATE.FAT&amp;display_string=Audit&amp;VAR:KEY=JCPYXMFUNS&amp;VAR:QUERY=RkZfRU5UUlBSX1ZBTChRVFIsMzk5OTAsLCwsVVNEKQ==&amp;WINDOW=FIRST_POPUP&amp;HEIGHT=450&amp;WIDTH=450&amp;","START_MAXIMIZED=FALSE&amp;VAR:CALENDAR=US&amp;VAR:SYMBOL=CRM&amp;VAR:INDEX=0"}</definedName>
    <definedName name="_1261__FDSAUDITLINK__" hidden="1">{"fdsup://directions/FAT Viewer?action=UPDATE&amp;creator=factset&amp;DYN_ARGS=TRUE&amp;DOC_NAME=FAT:FQL_AUDITING_CLIENT_TEMPLATE.FAT&amp;display_string=Audit&amp;VAR:KEY=XCNYBGJEXE&amp;VAR:QUERY=RkZfRU5UUlBSX1ZBTChRVFIsMzk5ODMsLCwsVVNEKQ==&amp;WINDOW=FIRST_POPUP&amp;HEIGHT=450&amp;WIDTH=450&amp;","START_MAXIMIZED=FALSE&amp;VAR:CALENDAR=US&amp;VAR:SYMBOL=CRM&amp;VAR:INDEX=0"}</definedName>
    <definedName name="_1262__FDSAUDITLINK__" hidden="1">{"fdsup://directions/FAT Viewer?action=UPDATE&amp;creator=factset&amp;DYN_ARGS=TRUE&amp;DOC_NAME=FAT:FQL_AUDITING_CLIENT_TEMPLATE.FAT&amp;display_string=Audit&amp;VAR:KEY=NEHSFKTATY&amp;VAR:QUERY=RkZfRU5UUlBSX1ZBTChRVFIsMzk5NzYsLCwsVVNEKQ==&amp;WINDOW=FIRST_POPUP&amp;HEIGHT=450&amp;WIDTH=450&amp;","START_MAXIMIZED=FALSE&amp;VAR:CALENDAR=US&amp;VAR:SYMBOL=CRM&amp;VAR:INDEX=0"}</definedName>
    <definedName name="_1263__FDSAUDITLINK__" hidden="1">{"fdsup://directions/FAT Viewer?action=UPDATE&amp;creator=factset&amp;DYN_ARGS=TRUE&amp;DOC_NAME=FAT:FQL_AUDITING_CLIENT_TEMPLATE.FAT&amp;display_string=Audit&amp;VAR:KEY=VMFQZYDQPG&amp;VAR:QUERY=RkZfRU5UUlBSX1ZBTChRVFIsMzk5NjksLCwsVVNEKQ==&amp;WINDOW=FIRST_POPUP&amp;HEIGHT=450&amp;WIDTH=450&amp;","START_MAXIMIZED=FALSE&amp;VAR:CALENDAR=US&amp;VAR:SYMBOL=CRM&amp;VAR:INDEX=0"}</definedName>
    <definedName name="_1264__FDSAUDITLINK__" hidden="1">{"fdsup://directions/FAT Viewer?action=UPDATE&amp;creator=factset&amp;DYN_ARGS=TRUE&amp;DOC_NAME=FAT:FQL_AUDITING_CLIENT_TEMPLATE.FAT&amp;display_string=Audit&amp;VAR:KEY=TQXSVKZWLM&amp;VAR:QUERY=RkZfRU5UUlBSX1ZBTChRVFIsMzk5NjIsLCwsVVNEKQ==&amp;WINDOW=FIRST_POPUP&amp;HEIGHT=450&amp;WIDTH=450&amp;","START_MAXIMIZED=FALSE&amp;VAR:CALENDAR=US&amp;VAR:SYMBOL=CRM&amp;VAR:INDEX=0"}</definedName>
    <definedName name="_1265__FDSAUDITLINK__" hidden="1">{"fdsup://directions/FAT Viewer?action=UPDATE&amp;creator=factset&amp;DYN_ARGS=TRUE&amp;DOC_NAME=FAT:FQL_AUDITING_CLIENT_TEMPLATE.FAT&amp;display_string=Audit&amp;VAR:KEY=BQZILSRKXS&amp;VAR:QUERY=RkZfRU5UUlBSX1ZBTChRVFIsMzk5NTUsLCwsVVNEKQ==&amp;WINDOW=FIRST_POPUP&amp;HEIGHT=450&amp;WIDTH=450&amp;","START_MAXIMIZED=FALSE&amp;VAR:CALENDAR=US&amp;VAR:SYMBOL=CRM&amp;VAR:INDEX=0"}</definedName>
    <definedName name="_1266__FDSAUDITLINK__" hidden="1">{"fdsup://directions/FAT Viewer?action=UPDATE&amp;creator=factset&amp;DYN_ARGS=TRUE&amp;DOC_NAME=FAT:FQL_AUDITING_CLIENT_TEMPLATE.FAT&amp;display_string=Audit&amp;VAR:KEY=HSJQHQZKPQ&amp;VAR:QUERY=RkZfRU5UUlBSX1ZBTChRVFIsMzk5NDgsLCwsVVNEKQ==&amp;WINDOW=FIRST_POPUP&amp;HEIGHT=450&amp;WIDTH=450&amp;","START_MAXIMIZED=FALSE&amp;VAR:CALENDAR=US&amp;VAR:SYMBOL=CRM&amp;VAR:INDEX=0"}</definedName>
    <definedName name="_1267__FDSAUDITLINK__" hidden="1">{"fdsup://directions/FAT Viewer?action=UPDATE&amp;creator=factset&amp;DYN_ARGS=TRUE&amp;DOC_NAME=FAT:FQL_AUDITING_CLIENT_TEMPLATE.FAT&amp;display_string=Audit&amp;VAR:KEY=TCHIJGRUNI&amp;VAR:QUERY=RkZfRU5UUlBSX1ZBTChRVFIsMzk5NDEsLCwsVVNEKQ==&amp;WINDOW=FIRST_POPUP&amp;HEIGHT=450&amp;WIDTH=450&amp;","START_MAXIMIZED=FALSE&amp;VAR:CALENDAR=US&amp;VAR:SYMBOL=CRM&amp;VAR:INDEX=0"}</definedName>
    <definedName name="_1268__FDSAUDITLINK__" hidden="1">{"fdsup://directions/FAT Viewer?action=UPDATE&amp;creator=factset&amp;DYN_ARGS=TRUE&amp;DOC_NAME=FAT:FQL_AUDITING_CLIENT_TEMPLATE.FAT&amp;display_string=Audit&amp;VAR:KEY=JIFIBSNUNG&amp;VAR:QUERY=RkZfRU5UUlBSX1ZBTChRVFIsMzk5MzQsLCwsVVNEKQ==&amp;WINDOW=FIRST_POPUP&amp;HEIGHT=450&amp;WIDTH=450&amp;","START_MAXIMIZED=FALSE&amp;VAR:CALENDAR=US&amp;VAR:SYMBOL=CRM&amp;VAR:INDEX=0"}</definedName>
    <definedName name="_1269__FDSAUDITLINK__" hidden="1">{"fdsup://directions/FAT Viewer?action=UPDATE&amp;creator=factset&amp;DYN_ARGS=TRUE&amp;DOC_NAME=FAT:FQL_AUDITING_CLIENT_TEMPLATE.FAT&amp;display_string=Audit&amp;VAR:KEY=VKRQVWHODM&amp;VAR:QUERY=RkZfRU5UUlBSX1ZBTChRVFIsMzk5MjcsLCwsVVNEKQ==&amp;WINDOW=FIRST_POPUP&amp;HEIGHT=450&amp;WIDTH=450&amp;","START_MAXIMIZED=FALSE&amp;VAR:CALENDAR=US&amp;VAR:SYMBOL=CRM&amp;VAR:INDEX=0"}</definedName>
    <definedName name="_127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270__FDSAUDITLINK__" hidden="1">{"fdsup://directions/FAT Viewer?action=UPDATE&amp;creator=factset&amp;DYN_ARGS=TRUE&amp;DOC_NAME=FAT:FQL_AUDITING_CLIENT_TEMPLATE.FAT&amp;display_string=Audit&amp;VAR:KEY=TGZWBOTYRA&amp;VAR:QUERY=RkZfRU5UUlBSX1ZBTChRVFIsMzk5MjAsLCwsVVNEKQ==&amp;WINDOW=FIRST_POPUP&amp;HEIGHT=450&amp;WIDTH=450&amp;","START_MAXIMIZED=FALSE&amp;VAR:CALENDAR=US&amp;VAR:SYMBOL=CRM&amp;VAR:INDEX=0"}</definedName>
    <definedName name="_1271__FDSAUDITLINK__" hidden="1">{"fdsup://directions/FAT Viewer?action=UPDATE&amp;creator=factset&amp;DYN_ARGS=TRUE&amp;DOC_NAME=FAT:FQL_AUDITING_CLIENT_TEMPLATE.FAT&amp;display_string=Audit&amp;VAR:KEY=JUHWVEDITW&amp;VAR:QUERY=RkZfRU5UUlBSX1ZBTChRVFIsMzk5MTIsLCwsVVNEKQ==&amp;WINDOW=FIRST_POPUP&amp;HEIGHT=450&amp;WIDTH=450&amp;","START_MAXIMIZED=FALSE&amp;VAR:CALENDAR=US&amp;VAR:SYMBOL=CRM&amp;VAR:INDEX=0"}</definedName>
    <definedName name="_1272__FDSAUDITLINK__" hidden="1">{"fdsup://directions/FAT Viewer?action=UPDATE&amp;creator=factset&amp;DYN_ARGS=TRUE&amp;DOC_NAME=FAT:FQL_AUDITING_CLIENT_TEMPLATE.FAT&amp;display_string=Audit&amp;VAR:KEY=VOFUVWRYVE&amp;VAR:QUERY=RkZfRU5UUlBSX1ZBTChRVFIsMzk5MDYsLCwsVVNEKQ==&amp;WINDOW=FIRST_POPUP&amp;HEIGHT=450&amp;WIDTH=450&amp;","START_MAXIMIZED=FALSE&amp;VAR:CALENDAR=US&amp;VAR:SYMBOL=CRM&amp;VAR:INDEX=0"}</definedName>
    <definedName name="_1273__FDSAUDITLINK__" hidden="1">{"fdsup://directions/FAT Viewer?action=UPDATE&amp;creator=factset&amp;DYN_ARGS=TRUE&amp;DOC_NAME=FAT:FQL_AUDITING_CLIENT_TEMPLATE.FAT&amp;display_string=Audit&amp;VAR:KEY=FEROLYFGRY&amp;VAR:QUERY=RkZfRU5UUlBSX1ZBTChRVFIsMzk4OTksLCwsVVNEKQ==&amp;WINDOW=FIRST_POPUP&amp;HEIGHT=450&amp;WIDTH=450&amp;","START_MAXIMIZED=FALSE&amp;VAR:CALENDAR=US&amp;VAR:SYMBOL=CRM&amp;VAR:INDEX=0"}</definedName>
    <definedName name="_1274__FDSAUDITLINK__" hidden="1">{"fdsup://directions/FAT Viewer?action=UPDATE&amp;creator=factset&amp;DYN_ARGS=TRUE&amp;DOC_NAME=FAT:FQL_AUDITING_CLIENT_TEMPLATE.FAT&amp;display_string=Audit&amp;VAR:KEY=VEZYFSHQNK&amp;VAR:QUERY=RkZfRU5UUlBSX1ZBTChRVFIsMzk4OTIsLCwsVVNEKQ==&amp;WINDOW=FIRST_POPUP&amp;HEIGHT=450&amp;WIDTH=450&amp;","START_MAXIMIZED=FALSE&amp;VAR:CALENDAR=US&amp;VAR:SYMBOL=CRM&amp;VAR:INDEX=0"}</definedName>
    <definedName name="_1275__FDSAUDITLINK__" hidden="1">{"fdsup://directions/FAT Viewer?action=UPDATE&amp;creator=factset&amp;DYN_ARGS=TRUE&amp;DOC_NAME=FAT:FQL_AUDITING_CLIENT_TEMPLATE.FAT&amp;display_string=Audit&amp;VAR:KEY=JUVMNMVEFM&amp;VAR:QUERY=RkZfRU5UUlBSX1ZBTChRVFIsMzk4ODUsLCwsVVNEKQ==&amp;WINDOW=FIRST_POPUP&amp;HEIGHT=450&amp;WIDTH=450&amp;","START_MAXIMIZED=FALSE&amp;VAR:CALENDAR=US&amp;VAR:SYMBOL=CRM&amp;VAR:INDEX=0"}</definedName>
    <definedName name="_1276__FDSAUDITLINK__" hidden="1">{"fdsup://directions/FAT Viewer?action=UPDATE&amp;creator=factset&amp;DYN_ARGS=TRUE&amp;DOC_NAME=FAT:FQL_AUDITING_CLIENT_TEMPLATE.FAT&amp;display_string=Audit&amp;VAR:KEY=RMLCVOTMVS&amp;VAR:QUERY=RkZfRU5UUlBSX1ZBTChRVFIsMzk4NzgsLCwsVVNEKQ==&amp;WINDOW=FIRST_POPUP&amp;HEIGHT=450&amp;WIDTH=450&amp;","START_MAXIMIZED=FALSE&amp;VAR:CALENDAR=US&amp;VAR:SYMBOL=CRM&amp;VAR:INDEX=0"}</definedName>
    <definedName name="_1277__FDSAUDITLINK__" hidden="1">{"fdsup://directions/FAT Viewer?action=UPDATE&amp;creator=factset&amp;DYN_ARGS=TRUE&amp;DOC_NAME=FAT:FQL_AUDITING_CLIENT_TEMPLATE.FAT&amp;display_string=Audit&amp;VAR:KEY=NUVABEZUFC&amp;VAR:QUERY=RkZfRU5UUlBSX1ZBTChRVFIsMzk4NzEsLCwsVVNEKQ==&amp;WINDOW=FIRST_POPUP&amp;HEIGHT=450&amp;WIDTH=450&amp;","START_MAXIMIZED=FALSE&amp;VAR:CALENDAR=US&amp;VAR:SYMBOL=CRM&amp;VAR:INDEX=0"}</definedName>
    <definedName name="_1278__FDSAUDITLINK__" hidden="1">{"fdsup://directions/FAT Viewer?action=UPDATE&amp;creator=factset&amp;DYN_ARGS=TRUE&amp;DOC_NAME=FAT:FQL_AUDITING_CLIENT_TEMPLATE.FAT&amp;display_string=Audit&amp;VAR:KEY=DEZQBSRCFI&amp;VAR:QUERY=RkZfRU5UUlBSX1ZBTChRVFIsMzk4NjQsLCwsVVNEKQ==&amp;WINDOW=FIRST_POPUP&amp;HEIGHT=450&amp;WIDTH=450&amp;","START_MAXIMIZED=FALSE&amp;VAR:CALENDAR=US&amp;VAR:SYMBOL=CRM&amp;VAR:INDEX=0"}</definedName>
    <definedName name="_1279__FDSAUDITLINK__" hidden="1">{"fdsup://directions/FAT Viewer?action=UPDATE&amp;creator=factset&amp;DYN_ARGS=TRUE&amp;DOC_NAME=FAT:FQL_AUDITING_CLIENT_TEMPLATE.FAT&amp;display_string=Audit&amp;VAR:KEY=FSBKHEBOTU&amp;VAR:QUERY=RkZfRU5UUlBSX1ZBTChRVFIsMzk4NTcsLCwsVVNEKQ==&amp;WINDOW=FIRST_POPUP&amp;HEIGHT=450&amp;WIDTH=450&amp;","START_MAXIMIZED=FALSE&amp;VAR:CALENDAR=US&amp;VAR:SYMBOL=CRM&amp;VAR:INDEX=0"}</definedName>
    <definedName name="_128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280__FDSAUDITLINK__" hidden="1">{"fdsup://directions/FAT Viewer?action=UPDATE&amp;creator=factset&amp;DYN_ARGS=TRUE&amp;DOC_NAME=FAT:FQL_AUDITING_CLIENT_TEMPLATE.FAT&amp;display_string=Audit&amp;VAR:KEY=LKNELKTEZW&amp;VAR:QUERY=RkZfRU5UUlBSX1ZBTChRVFIsMzk4NTAsLCwsVVNEKQ==&amp;WINDOW=FIRST_POPUP&amp;HEIGHT=450&amp;WIDTH=450&amp;","START_MAXIMIZED=FALSE&amp;VAR:CALENDAR=US&amp;VAR:SYMBOL=CRM&amp;VAR:INDEX=0"}</definedName>
    <definedName name="_1281__FDSAUDITLINK__" hidden="1">{"fdsup://directions/FAT Viewer?action=UPDATE&amp;creator=factset&amp;DYN_ARGS=TRUE&amp;DOC_NAME=FAT:FQL_AUDITING_CLIENT_TEMPLATE.FAT&amp;display_string=Audit&amp;VAR:KEY=FIFGBAFWZQ&amp;VAR:QUERY=RkZfRU5UUlBSX1ZBTChRVFIsMzk4NDMsLCwsVVNEKQ==&amp;WINDOW=FIRST_POPUP&amp;HEIGHT=450&amp;WIDTH=450&amp;","START_MAXIMIZED=FALSE&amp;VAR:CALENDAR=US&amp;VAR:SYMBOL=CRM&amp;VAR:INDEX=0"}</definedName>
    <definedName name="_1282__FDSAUDITLINK__" hidden="1">{"fdsup://directions/FAT Viewer?action=UPDATE&amp;creator=factset&amp;DYN_ARGS=TRUE&amp;DOC_NAME=FAT:FQL_AUDITING_CLIENT_TEMPLATE.FAT&amp;display_string=Audit&amp;VAR:KEY=DSRMDGNYVI&amp;VAR:QUERY=RkZfRU5UUlBSX1ZBTChRVFIsMzk4MzYsLCwsVVNEKQ==&amp;WINDOW=FIRST_POPUP&amp;HEIGHT=450&amp;WIDTH=450&amp;","START_MAXIMIZED=FALSE&amp;VAR:CALENDAR=US&amp;VAR:SYMBOL=CRM&amp;VAR:INDEX=0"}</definedName>
    <definedName name="_1283__FDSAUDITLINK__" hidden="1">{"fdsup://directions/FAT Viewer?action=UPDATE&amp;creator=factset&amp;DYN_ARGS=TRUE&amp;DOC_NAME=FAT:FQL_AUDITING_CLIENT_TEMPLATE.FAT&amp;display_string=Audit&amp;VAR:KEY=FUVUFCJEFG&amp;VAR:QUERY=RkZfRU5UUlBSX1ZBTChRVFIsMzk4MjksLCwsVVNEKQ==&amp;WINDOW=FIRST_POPUP&amp;HEIGHT=450&amp;WIDTH=450&amp;","START_MAXIMIZED=FALSE&amp;VAR:CALENDAR=US&amp;VAR:SYMBOL=CRM&amp;VAR:INDEX=0"}</definedName>
    <definedName name="_1284__FDSAUDITLINK__" hidden="1">{"fdsup://directions/FAT Viewer?action=UPDATE&amp;creator=factset&amp;DYN_ARGS=TRUE&amp;DOC_NAME=FAT:FQL_AUDITING_CLIENT_TEMPLATE.FAT&amp;display_string=Audit&amp;VAR:KEY=XIHEHIPCTC&amp;VAR:QUERY=RkZfRU5UUlBSX1ZBTChRVFIsMzk4MjIsLCwsVVNEKQ==&amp;WINDOW=FIRST_POPUP&amp;HEIGHT=450&amp;WIDTH=450&amp;","START_MAXIMIZED=FALSE&amp;VAR:CALENDAR=US&amp;VAR:SYMBOL=CRM&amp;VAR:INDEX=0"}</definedName>
    <definedName name="_1285__FDSAUDITLINK__" hidden="1">{"fdsup://directions/FAT Viewer?action=UPDATE&amp;creator=factset&amp;DYN_ARGS=TRUE&amp;DOC_NAME=FAT:FQL_AUDITING_CLIENT_TEMPLATE.FAT&amp;display_string=Audit&amp;VAR:KEY=FADIXGNSZC&amp;VAR:QUERY=RkZfRU5UUlBSX1ZBTChRVFIsMzk4MTUsLCwsVVNEKQ==&amp;WINDOW=FIRST_POPUP&amp;HEIGHT=450&amp;WIDTH=450&amp;","START_MAXIMIZED=FALSE&amp;VAR:CALENDAR=US&amp;VAR:SYMBOL=CRM&amp;VAR:INDEX=0"}</definedName>
    <definedName name="_1286__FDSAUDITLINK__" hidden="1">{"fdsup://directions/FAT Viewer?action=UPDATE&amp;creator=factset&amp;DYN_ARGS=TRUE&amp;DOC_NAME=FAT:FQL_AUDITING_CLIENT_TEMPLATE.FAT&amp;display_string=Audit&amp;VAR:KEY=NWFMBWRSTA&amp;VAR:QUERY=RkZfRU5UUlBSX1ZBTChRVFIsMzk4MDgsLCwsVVNEKQ==&amp;WINDOW=FIRST_POPUP&amp;HEIGHT=450&amp;WIDTH=450&amp;","START_MAXIMIZED=FALSE&amp;VAR:CALENDAR=US&amp;VAR:SYMBOL=CRM&amp;VAR:INDEX=0"}</definedName>
    <definedName name="_1287__FDSAUDITLINK__" hidden="1">{"fdsup://directions/FAT Viewer?action=UPDATE&amp;creator=factset&amp;DYN_ARGS=TRUE&amp;DOC_NAME=FAT:FQL_AUDITING_CLIENT_TEMPLATE.FAT&amp;display_string=Audit&amp;VAR:KEY=PONYHGZWRO&amp;VAR:QUERY=RkZfRU5UUlBSX1ZBTChRVFIsMzk4MDEsLCwsVVNEKQ==&amp;WINDOW=FIRST_POPUP&amp;HEIGHT=450&amp;WIDTH=450&amp;","START_MAXIMIZED=FALSE&amp;VAR:CALENDAR=US&amp;VAR:SYMBOL=CRM&amp;VAR:INDEX=0"}</definedName>
    <definedName name="_1288__FDSAUDITLINK__" hidden="1">{"fdsup://directions/FAT Viewer?action=UPDATE&amp;creator=factset&amp;DYN_ARGS=TRUE&amp;DOC_NAME=FAT:FQL_AUDITING_CLIENT_TEMPLATE.FAT&amp;display_string=Audit&amp;VAR:KEY=XWZKFEPSJE&amp;VAR:QUERY=RkZfRU5UUlBSX1ZBTChRVFIsMzk3OTQsLCwsVVNEKQ==&amp;WINDOW=FIRST_POPUP&amp;HEIGHT=450&amp;WIDTH=450&amp;","START_MAXIMIZED=FALSE&amp;VAR:CALENDAR=US&amp;VAR:SYMBOL=CRM&amp;VAR:INDEX=0"}</definedName>
    <definedName name="_1289__FDSAUDITLINK__" hidden="1">{"fdsup://directions/FAT Viewer?action=UPDATE&amp;creator=factset&amp;DYN_ARGS=TRUE&amp;DOC_NAME=FAT:FQL_AUDITING_CLIENT_TEMPLATE.FAT&amp;display_string=Audit&amp;VAR:KEY=ZQVAZYPSRS&amp;VAR:QUERY=RkZfRU5UUlBSX1ZBTChRVFIsMzk3ODcsLCwsVVNEKQ==&amp;WINDOW=FIRST_POPUP&amp;HEIGHT=450&amp;WIDTH=450&amp;","START_MAXIMIZED=FALSE&amp;VAR:CALENDAR=US&amp;VAR:SYMBOL=CRM&amp;VAR:INDEX=0"}</definedName>
    <definedName name="_129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290__FDSAUDITLINK__" hidden="1">{"fdsup://directions/FAT Viewer?action=UPDATE&amp;creator=factset&amp;DYN_ARGS=TRUE&amp;DOC_NAME=FAT:FQL_AUDITING_CLIENT_TEMPLATE.FAT&amp;display_string=Audit&amp;VAR:KEY=POLSFAJUPS&amp;VAR:QUERY=RkZfRU5UUlBSX1ZBTChRVFIsMzk3ODAsLCwsVVNEKQ==&amp;WINDOW=FIRST_POPUP&amp;HEIGHT=450&amp;WIDTH=450&amp;","START_MAXIMIZED=FALSE&amp;VAR:CALENDAR=US&amp;VAR:SYMBOL=CRM&amp;VAR:INDEX=0"}</definedName>
    <definedName name="_1291__FDSAUDITLINK__" hidden="1">{"fdsup://directions/FAT Viewer?action=UPDATE&amp;creator=factset&amp;DYN_ARGS=TRUE&amp;DOC_NAME=FAT:FQL_AUDITING_CLIENT_TEMPLATE.FAT&amp;display_string=Audit&amp;VAR:KEY=RMDWRMROTE&amp;VAR:QUERY=RkZfRU5UUlBSX1ZBTChRVFIsMzk3NzMsLCwsVVNEKQ==&amp;WINDOW=FIRST_POPUP&amp;HEIGHT=450&amp;WIDTH=450&amp;","START_MAXIMIZED=FALSE&amp;VAR:CALENDAR=US&amp;VAR:SYMBOL=CRM&amp;VAR:INDEX=0"}</definedName>
    <definedName name="_1292__FDSAUDITLINK__" hidden="1">{"fdsup://directions/FAT Viewer?action=UPDATE&amp;creator=factset&amp;DYN_ARGS=TRUE&amp;DOC_NAME=FAT:FQL_AUDITING_CLIENT_TEMPLATE.FAT&amp;display_string=Audit&amp;VAR:KEY=TYVMRQLUPS&amp;VAR:QUERY=RkZfRU5UUlBSX1ZBTChRVFIsMzk3NjYsLCwsVVNEKQ==&amp;WINDOW=FIRST_POPUP&amp;HEIGHT=450&amp;WIDTH=450&amp;","START_MAXIMIZED=FALSE&amp;VAR:CALENDAR=US&amp;VAR:SYMBOL=CRM&amp;VAR:INDEX=0"}</definedName>
    <definedName name="_1293__FDSAUDITLINK__" hidden="1">{"fdsup://directions/FAT Viewer?action=UPDATE&amp;creator=factset&amp;DYN_ARGS=TRUE&amp;DOC_NAME=FAT:FQL_AUDITING_CLIENT_TEMPLATE.FAT&amp;display_string=Audit&amp;VAR:KEY=JAHQJGRIZC&amp;VAR:QUERY=RkZfRU5UUlBSX1ZBTChRVFIsMzk3NTksLCwsVVNEKQ==&amp;WINDOW=FIRST_POPUP&amp;HEIGHT=450&amp;WIDTH=450&amp;","START_MAXIMIZED=FALSE&amp;VAR:CALENDAR=US&amp;VAR:SYMBOL=CRM&amp;VAR:INDEX=0"}</definedName>
    <definedName name="_1294__FDSAUDITLINK__" hidden="1">{"fdsup://directions/FAT Viewer?action=UPDATE&amp;creator=factset&amp;DYN_ARGS=TRUE&amp;DOC_NAME=FAT:FQL_AUDITING_CLIENT_TEMPLATE.FAT&amp;display_string=Audit&amp;VAR:KEY=JMBGFQVCFE&amp;VAR:QUERY=RkZfRU5UUlBSX1ZBTChRVFIsMzk3NTIsLCwsVVNEKQ==&amp;WINDOW=FIRST_POPUP&amp;HEIGHT=450&amp;WIDTH=450&amp;","START_MAXIMIZED=FALSE&amp;VAR:CALENDAR=US&amp;VAR:SYMBOL=CRM&amp;VAR:INDEX=0"}</definedName>
    <definedName name="_1295__FDSAUDITLINK__" hidden="1">{"fdsup://directions/FAT Viewer?action=UPDATE&amp;creator=factset&amp;DYN_ARGS=TRUE&amp;DOC_NAME=FAT:FQL_AUDITING_CLIENT_TEMPLATE.FAT&amp;display_string=Audit&amp;VAR:KEY=VEBCZSXUHC&amp;VAR:QUERY=RkZfRU5UUlBSX1ZBTChRVFIsMzk3NDUsLCwsVVNEKQ==&amp;WINDOW=FIRST_POPUP&amp;HEIGHT=450&amp;WIDTH=450&amp;","START_MAXIMIZED=FALSE&amp;VAR:CALENDAR=US&amp;VAR:SYMBOL=CRM&amp;VAR:INDEX=0"}</definedName>
    <definedName name="_1296__FDSAUDITLINK__" hidden="1">{"fdsup://directions/FAT Viewer?action=UPDATE&amp;creator=factset&amp;DYN_ARGS=TRUE&amp;DOC_NAME=FAT:FQL_AUDITING_CLIENT_TEMPLATE.FAT&amp;display_string=Audit&amp;VAR:KEY=LGDQNUZAXU&amp;VAR:QUERY=RkZfRU5UUlBSX1ZBTChRVFIsMzk3MzgsLCwsVVNEKQ==&amp;WINDOW=FIRST_POPUP&amp;HEIGHT=450&amp;WIDTH=450&amp;","START_MAXIMIZED=FALSE&amp;VAR:CALENDAR=US&amp;VAR:SYMBOL=CRM&amp;VAR:INDEX=0"}</definedName>
    <definedName name="_1297__FDSAUDITLINK__" hidden="1">{"fdsup://directions/FAT Viewer?action=UPDATE&amp;creator=factset&amp;DYN_ARGS=TRUE&amp;DOC_NAME=FAT:FQL_AUDITING_CLIENT_TEMPLATE.FAT&amp;display_string=Audit&amp;VAR:KEY=FEFWDILQNC&amp;VAR:QUERY=RkZfRU5UUlBSX1ZBTChRVFIsMzk3MzEsLCwsVVNEKQ==&amp;WINDOW=FIRST_POPUP&amp;HEIGHT=450&amp;WIDTH=450&amp;","START_MAXIMIZED=FALSE&amp;VAR:CALENDAR=US&amp;VAR:SYMBOL=CRM&amp;VAR:INDEX=0"}</definedName>
    <definedName name="_1298__FDSAUDITLINK__" hidden="1">{"fdsup://directions/FAT Viewer?action=UPDATE&amp;creator=factset&amp;DYN_ARGS=TRUE&amp;DOC_NAME=FAT:FQL_AUDITING_CLIENT_TEMPLATE.FAT&amp;display_string=Audit&amp;VAR:KEY=JWFYTQVYVW&amp;VAR:QUERY=RkZfRU5UUlBSX1ZBTChRVFIsMzk3MjQsLCwsVVNEKQ==&amp;WINDOW=FIRST_POPUP&amp;HEIGHT=450&amp;WIDTH=450&amp;","START_MAXIMIZED=FALSE&amp;VAR:CALENDAR=US&amp;VAR:SYMBOL=CRM&amp;VAR:INDEX=0"}</definedName>
    <definedName name="_1299__FDSAUDITLINK__" hidden="1">{"fdsup://directions/FAT Viewer?action=UPDATE&amp;creator=factset&amp;DYN_ARGS=TRUE&amp;DOC_NAME=FAT:FQL_AUDITING_CLIENT_TEMPLATE.FAT&amp;display_string=Audit&amp;VAR:KEY=TOTILUNGHO&amp;VAR:QUERY=RkZfRU5UUlBSX1ZBTChRVFIsMzk3MTcsLCwsVVNEKQ==&amp;WINDOW=FIRST_POPUP&amp;HEIGHT=450&amp;WIDTH=450&amp;","START_MAXIMIZED=FALSE&amp;VAR:CALENDAR=US&amp;VAR:SYMBOL=CRM&amp;VAR:INDEX=0"}</definedName>
    <definedName name="_13__FDSAUDITLINK__" hidden="1">{"fdsup://directions/FAT Viewer?action=UPDATE&amp;creator=factset&amp;DYN_ARGS=TRUE&amp;DOC_NAME=FAT:FQL_AUDITING_CLIENT_TEMPLATE.FAT&amp;display_string=Audit&amp;VAR:KEY=TKREVMBYJQ&amp;VAR:QUERY=Q1NGX0xJQUJTX09USF9YREZEX1JFVihRVFIsNDA5MDgsNDA5MDgsRlEp&amp;WINDOW=FIRST_POPUP&amp;HEIGHT=45","0&amp;WIDTH=450&amp;START_MAXIMIZED=FALSE&amp;VAR:CALENDAR=US&amp;VAR:SYMBOL=011827&amp;VAR:INDEX=0"}</definedName>
    <definedName name="_130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300__FDSAUDITLINK__" hidden="1">{"fdsup://directions/FAT Viewer?action=UPDATE&amp;creator=factset&amp;DYN_ARGS=TRUE&amp;DOC_NAME=FAT:FQL_AUDITING_CLIENT_TEMPLATE.FAT&amp;display_string=Audit&amp;VAR:KEY=XKTWZQHODS&amp;VAR:QUERY=RkZfRU5UUlBSX1ZBTChRVFIsMzk3MTAsLCwsVVNEKQ==&amp;WINDOW=FIRST_POPUP&amp;HEIGHT=450&amp;WIDTH=450&amp;","START_MAXIMIZED=FALSE&amp;VAR:CALENDAR=US&amp;VAR:SYMBOL=CRM&amp;VAR:INDEX=0"}</definedName>
    <definedName name="_1301__FDSAUDITLINK__" hidden="1">{"fdsup://directions/FAT Viewer?action=UPDATE&amp;creator=factset&amp;DYN_ARGS=TRUE&amp;DOC_NAME=FAT:FQL_AUDITING_CLIENT_TEMPLATE.FAT&amp;display_string=Audit&amp;VAR:KEY=FWZUNQNKRE&amp;VAR:QUERY=RkZfRU5UUlBSX1ZBTChRVFIsMzk3MDMsLCwsVVNEKQ==&amp;WINDOW=FIRST_POPUP&amp;HEIGHT=450&amp;WIDTH=450&amp;","START_MAXIMIZED=FALSE&amp;VAR:CALENDAR=US&amp;VAR:SYMBOL=CRM&amp;VAR:INDEX=0"}</definedName>
    <definedName name="_1302__FDSAUDITLINK__" hidden="1">{"fdsup://directions/FAT Viewer?action=UPDATE&amp;creator=factset&amp;DYN_ARGS=TRUE&amp;DOC_NAME=FAT:FQL_AUDITING_CLIENT_TEMPLATE.FAT&amp;display_string=Audit&amp;VAR:KEY=RWXAVIJILQ&amp;VAR:QUERY=RkZfRU5UUlBSX1ZBTChRVFIsMzk2OTYsLCwsVVNEKQ==&amp;WINDOW=FIRST_POPUP&amp;HEIGHT=450&amp;WIDTH=450&amp;","START_MAXIMIZED=FALSE&amp;VAR:CALENDAR=US&amp;VAR:SYMBOL=CRM&amp;VAR:INDEX=0"}</definedName>
    <definedName name="_1303__FDSAUDITLINK__" hidden="1">{"fdsup://directions/FAT Viewer?action=UPDATE&amp;creator=factset&amp;DYN_ARGS=TRUE&amp;DOC_NAME=FAT:FQL_AUDITING_CLIENT_TEMPLATE.FAT&amp;display_string=Audit&amp;VAR:KEY=BAHMVYXATE&amp;VAR:QUERY=RkZfRU5UUlBSX1ZBTChRVFIsMzk2ODksLCwsVVNEKQ==&amp;WINDOW=FIRST_POPUP&amp;HEIGHT=450&amp;WIDTH=450&amp;","START_MAXIMIZED=FALSE&amp;VAR:CALENDAR=US&amp;VAR:SYMBOL=CRM&amp;VAR:INDEX=0"}</definedName>
    <definedName name="_1304__FDSAUDITLINK__" hidden="1">{"fdsup://directions/FAT Viewer?action=UPDATE&amp;creator=factset&amp;DYN_ARGS=TRUE&amp;DOC_NAME=FAT:FQL_AUDITING_CLIENT_TEMPLATE.FAT&amp;display_string=Audit&amp;VAR:KEY=TSJYHGDSVS&amp;VAR:QUERY=RkZfRU5UUlBSX1ZBTChRVFIsMzk2ODIsLCwsVVNEKQ==&amp;WINDOW=FIRST_POPUP&amp;HEIGHT=450&amp;WIDTH=450&amp;","START_MAXIMIZED=FALSE&amp;VAR:CALENDAR=US&amp;VAR:SYMBOL=CRM&amp;VAR:INDEX=0"}</definedName>
    <definedName name="_1305__FDSAUDITLINK__" hidden="1">{"fdsup://directions/FAT Viewer?action=UPDATE&amp;creator=factset&amp;DYN_ARGS=TRUE&amp;DOC_NAME=FAT:FQL_AUDITING_CLIENT_TEMPLATE.FAT&amp;display_string=Audit&amp;VAR:KEY=JSNSJMXYJY&amp;VAR:QUERY=RkZfRU5UUlBSX1ZBTChRVFIsMzk2NzUsLCwsVVNEKQ==&amp;WINDOW=FIRST_POPUP&amp;HEIGHT=450&amp;WIDTH=450&amp;","START_MAXIMIZED=FALSE&amp;VAR:CALENDAR=US&amp;VAR:SYMBOL=CRM&amp;VAR:INDEX=0"}</definedName>
    <definedName name="_1306__FDSAUDITLINK__" hidden="1">{"fdsup://directions/FAT Viewer?action=UPDATE&amp;creator=factset&amp;DYN_ARGS=TRUE&amp;DOC_NAME=FAT:FQL_AUDITING_CLIENT_TEMPLATE.FAT&amp;display_string=Audit&amp;VAR:KEY=NUXKPABKNS&amp;VAR:QUERY=RkZfRU5UUlBSX1ZBTChRVFIsMzk2NjgsLCwsVVNEKQ==&amp;WINDOW=FIRST_POPUP&amp;HEIGHT=450&amp;WIDTH=450&amp;","START_MAXIMIZED=FALSE&amp;VAR:CALENDAR=US&amp;VAR:SYMBOL=CRM&amp;VAR:INDEX=0"}</definedName>
    <definedName name="_1307__FDSAUDITLINK__" hidden="1">{"fdsup://directions/FAT Viewer?action=UPDATE&amp;creator=factset&amp;DYN_ARGS=TRUE&amp;DOC_NAME=FAT:FQL_AUDITING_CLIENT_TEMPLATE.FAT&amp;display_string=Audit&amp;VAR:KEY=ZMTOPKVCVU&amp;VAR:QUERY=RkZfRU5UUlBSX1ZBTChRVFIsMzk2NjEsLCwsVVNEKQ==&amp;WINDOW=FIRST_POPUP&amp;HEIGHT=450&amp;WIDTH=450&amp;","START_MAXIMIZED=FALSE&amp;VAR:CALENDAR=US&amp;VAR:SYMBOL=CRM&amp;VAR:INDEX=0"}</definedName>
    <definedName name="_1308__FDSAUDITLINK__" hidden="1">{"fdsup://directions/FAT Viewer?action=UPDATE&amp;creator=factset&amp;DYN_ARGS=TRUE&amp;DOC_NAME=FAT:FQL_AUDITING_CLIENT_TEMPLATE.FAT&amp;display_string=Audit&amp;VAR:KEY=TYLSLOTCRO&amp;VAR:QUERY=RkZfRU5UUlBSX1ZBTChRVFIsMzk2NTQsLCwsVVNEKQ==&amp;WINDOW=FIRST_POPUP&amp;HEIGHT=450&amp;WIDTH=450&amp;","START_MAXIMIZED=FALSE&amp;VAR:CALENDAR=US&amp;VAR:SYMBOL=CRM&amp;VAR:INDEX=0"}</definedName>
    <definedName name="_1309__FDSAUDITLINK__" hidden="1">{"fdsup://directions/FAT Viewer?action=UPDATE&amp;creator=factset&amp;DYN_ARGS=TRUE&amp;DOC_NAME=FAT:FQL_AUDITING_CLIENT_TEMPLATE.FAT&amp;display_string=Audit&amp;VAR:KEY=HMLYDODQXY&amp;VAR:QUERY=RkZfRU5UUlBSX1ZBTChRVFIsMzk2NDcsLCwsVVNEKQ==&amp;WINDOW=FIRST_POPUP&amp;HEIGHT=450&amp;WIDTH=450&amp;","START_MAXIMIZED=FALSE&amp;VAR:CALENDAR=US&amp;VAR:SYMBOL=CRM&amp;VAR:INDEX=0"}</definedName>
    <definedName name="_131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310__FDSAUDITLINK__" hidden="1">{"fdsup://directions/FAT Viewer?action=UPDATE&amp;creator=factset&amp;DYN_ARGS=TRUE&amp;DOC_NAME=FAT:FQL_AUDITING_CLIENT_TEMPLATE.FAT&amp;display_string=Audit&amp;VAR:KEY=ZQHEDSDYPA&amp;VAR:QUERY=RkZfRU5UUlBSX1ZBTChRVFIsMzk2NDAsLCwsVVNEKQ==&amp;WINDOW=FIRST_POPUP&amp;HEIGHT=450&amp;WIDTH=450&amp;","START_MAXIMIZED=FALSE&amp;VAR:CALENDAR=US&amp;VAR:SYMBOL=CRM&amp;VAR:INDEX=0"}</definedName>
    <definedName name="_1311__FDSAUDITLINK__" hidden="1">{"fdsup://directions/FAT Viewer?action=UPDATE&amp;creator=factset&amp;DYN_ARGS=TRUE&amp;DOC_NAME=FAT:FQL_AUDITING_CLIENT_TEMPLATE.FAT&amp;display_string=Audit&amp;VAR:KEY=BAJGFITEXK&amp;VAR:QUERY=RkZfRU5UUlBSX1ZBTChRVFIsMzk2MzIsLCwsVVNEKQ==&amp;WINDOW=FIRST_POPUP&amp;HEIGHT=450&amp;WIDTH=450&amp;","START_MAXIMIZED=FALSE&amp;VAR:CALENDAR=US&amp;VAR:SYMBOL=CRM&amp;VAR:INDEX=0"}</definedName>
    <definedName name="_1312__FDSAUDITLINK__" hidden="1">{"fdsup://directions/FAT Viewer?action=UPDATE&amp;creator=factset&amp;DYN_ARGS=TRUE&amp;DOC_NAME=FAT:FQL_AUDITING_CLIENT_TEMPLATE.FAT&amp;display_string=Audit&amp;VAR:KEY=DKXYJSDWPO&amp;VAR:QUERY=RkZfRU5UUlBSX1ZBTChRVFIsMzk2MjYsLCwsVVNEKQ==&amp;WINDOW=FIRST_POPUP&amp;HEIGHT=450&amp;WIDTH=450&amp;","START_MAXIMIZED=FALSE&amp;VAR:CALENDAR=US&amp;VAR:SYMBOL=CRM&amp;VAR:INDEX=0"}</definedName>
    <definedName name="_1313__FDSAUDITLINK__" hidden="1">{"fdsup://directions/FAT Viewer?action=UPDATE&amp;creator=factset&amp;DYN_ARGS=TRUE&amp;DOC_NAME=FAT:FQL_AUDITING_CLIENT_TEMPLATE.FAT&amp;display_string=Audit&amp;VAR:KEY=LIBQRWTWPW&amp;VAR:QUERY=RkZfRU5UUlBSX1ZBTChRVFIsMzk2MTksLCwsVVNEKQ==&amp;WINDOW=FIRST_POPUP&amp;HEIGHT=450&amp;WIDTH=450&amp;","START_MAXIMIZED=FALSE&amp;VAR:CALENDAR=US&amp;VAR:SYMBOL=CRM&amp;VAR:INDEX=0"}</definedName>
    <definedName name="_1314__FDSAUDITLINK__" hidden="1">{"fdsup://directions/FAT Viewer?action=UPDATE&amp;creator=factset&amp;DYN_ARGS=TRUE&amp;DOC_NAME=FAT:FQL_AUDITING_CLIENT_TEMPLATE.FAT&amp;display_string=Audit&amp;VAR:KEY=LYVSJQZELA&amp;VAR:QUERY=RkZfRU5UUlBSX1ZBTChRVFIsMzk2MTIsLCwsVVNEKQ==&amp;WINDOW=FIRST_POPUP&amp;HEIGHT=450&amp;WIDTH=450&amp;","START_MAXIMIZED=FALSE&amp;VAR:CALENDAR=US&amp;VAR:SYMBOL=CRM&amp;VAR:INDEX=0"}</definedName>
    <definedName name="_1315__FDSAUDITLINK__" hidden="1">{"fdsup://directions/FAT Viewer?action=UPDATE&amp;creator=factset&amp;DYN_ARGS=TRUE&amp;DOC_NAME=FAT:FQL_AUDITING_CLIENT_TEMPLATE.FAT&amp;display_string=Audit&amp;VAR:KEY=PQDOHGNADA&amp;VAR:QUERY=RkZfRU5UUlBSX1ZBTChRVFIsMzk2MDUsLCwsVVNEKQ==&amp;WINDOW=FIRST_POPUP&amp;HEIGHT=450&amp;WIDTH=450&amp;","START_MAXIMIZED=FALSE&amp;VAR:CALENDAR=US&amp;VAR:SYMBOL=CRM&amp;VAR:INDEX=0"}</definedName>
    <definedName name="_1316__FDSAUDITLINK__" hidden="1">{"fdsup://directions/FAT Viewer?action=UPDATE&amp;creator=factset&amp;DYN_ARGS=TRUE&amp;DOC_NAME=FAT:FQL_AUDITING_CLIENT_TEMPLATE.FAT&amp;display_string=Audit&amp;VAR:KEY=LUVETYNQTK&amp;VAR:QUERY=RkZfRU5UUlBSX1ZBTChRVFIsMzk1OTgsLCwsVVNEKQ==&amp;WINDOW=FIRST_POPUP&amp;HEIGHT=450&amp;WIDTH=450&amp;","START_MAXIMIZED=FALSE&amp;VAR:CALENDAR=US&amp;VAR:SYMBOL=CRM&amp;VAR:INDEX=0"}</definedName>
    <definedName name="_1317__FDSAUDITLINK__" hidden="1">{"fdsup://directions/FAT Viewer?action=UPDATE&amp;creator=factset&amp;DYN_ARGS=TRUE&amp;DOC_NAME=FAT:FQL_AUDITING_CLIENT_TEMPLATE.FAT&amp;display_string=Audit&amp;VAR:KEY=JSJULABYDG&amp;VAR:QUERY=RkZfRU5UUlBSX1ZBTChRVFIsMzk1OTEsLCwsVVNEKQ==&amp;WINDOW=FIRST_POPUP&amp;HEIGHT=450&amp;WIDTH=450&amp;","START_MAXIMIZED=FALSE&amp;VAR:CALENDAR=US&amp;VAR:SYMBOL=CRM&amp;VAR:INDEX=0"}</definedName>
    <definedName name="_1318__FDSAUDITLINK__" hidden="1">{"fdsup://directions/FAT Viewer?action=UPDATE&amp;creator=factset&amp;DYN_ARGS=TRUE&amp;DOC_NAME=FAT:FQL_AUDITING_CLIENT_TEMPLATE.FAT&amp;display_string=Audit&amp;VAR:KEY=XCJYFYXELQ&amp;VAR:QUERY=RkZfRU5UUlBSX1ZBTChRVFIsMzk1ODQsLCwsVVNEKQ==&amp;WINDOW=FIRST_POPUP&amp;HEIGHT=450&amp;WIDTH=450&amp;","START_MAXIMIZED=FALSE&amp;VAR:CALENDAR=US&amp;VAR:SYMBOL=CRM&amp;VAR:INDEX=0"}</definedName>
    <definedName name="_1319__FDSAUDITLINK__" hidden="1">{"fdsup://directions/FAT Viewer?action=UPDATE&amp;creator=factset&amp;DYN_ARGS=TRUE&amp;DOC_NAME=FAT:FQL_AUDITING_CLIENT_TEMPLATE.FAT&amp;display_string=Audit&amp;VAR:KEY=PGHGRWDWNE&amp;VAR:QUERY=RkZfRU5UUlBSX1ZBTChRVFIsMzk1NzcsLCwsVVNEKQ==&amp;WINDOW=FIRST_POPUP&amp;HEIGHT=450&amp;WIDTH=450&amp;","START_MAXIMIZED=FALSE&amp;VAR:CALENDAR=US&amp;VAR:SYMBOL=CRM&amp;VAR:INDEX=0"}</definedName>
    <definedName name="_132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320__FDSAUDITLINK__" hidden="1">{"fdsup://directions/FAT Viewer?action=UPDATE&amp;creator=factset&amp;DYN_ARGS=TRUE&amp;DOC_NAME=FAT:FQL_AUDITING_CLIENT_TEMPLATE.FAT&amp;display_string=Audit&amp;VAR:KEY=BMTATMNCNA&amp;VAR:QUERY=RkZfRU5UUlBSX1ZBTChRVFIsMzk1NzAsLCwsVVNEKQ==&amp;WINDOW=FIRST_POPUP&amp;HEIGHT=450&amp;WIDTH=450&amp;","START_MAXIMIZED=FALSE&amp;VAR:CALENDAR=US&amp;VAR:SYMBOL=CRM&amp;VAR:INDEX=0"}</definedName>
    <definedName name="_1321__FDSAUDITLINK__" hidden="1">{"fdsup://directions/FAT Viewer?action=UPDATE&amp;creator=factset&amp;DYN_ARGS=TRUE&amp;DOC_NAME=FAT:FQL_AUDITING_CLIENT_TEMPLATE.FAT&amp;display_string=Audit&amp;VAR:KEY=XEPGRGBUJO&amp;VAR:QUERY=RkZfRU5UUlBSX1ZBTChRVFIsMzk1NjMsLCwsVVNEKQ==&amp;WINDOW=FIRST_POPUP&amp;HEIGHT=450&amp;WIDTH=450&amp;","START_MAXIMIZED=FALSE&amp;VAR:CALENDAR=US&amp;VAR:SYMBOL=CRM&amp;VAR:INDEX=0"}</definedName>
    <definedName name="_1322__FDSAUDITLINK__" hidden="1">{"fdsup://directions/FAT Viewer?action=UPDATE&amp;creator=factset&amp;DYN_ARGS=TRUE&amp;DOC_NAME=FAT:FQL_AUDITING_CLIENT_TEMPLATE.FAT&amp;display_string=Audit&amp;VAR:KEY=DUBEFIXMVY&amp;VAR:QUERY=RkZfRU5UUlBSX1ZBTChRVFIsMzk1NTYsLCwsVVNEKQ==&amp;WINDOW=FIRST_POPUP&amp;HEIGHT=450&amp;WIDTH=450&amp;","START_MAXIMIZED=FALSE&amp;VAR:CALENDAR=US&amp;VAR:SYMBOL=CRM&amp;VAR:INDEX=0"}</definedName>
    <definedName name="_1323__FDSAUDITLINK__" hidden="1">{"fdsup://directions/FAT Viewer?action=UPDATE&amp;creator=factset&amp;DYN_ARGS=TRUE&amp;DOC_NAME=FAT:FQL_AUDITING_CLIENT_TEMPLATE.FAT&amp;display_string=Audit&amp;VAR:KEY=PIPABGHOHG&amp;VAR:QUERY=RkZfRU5UUlBSX1ZBTChRVFIsMzk1NDksLCwsVVNEKQ==&amp;WINDOW=FIRST_POPUP&amp;HEIGHT=450&amp;WIDTH=450&amp;","START_MAXIMIZED=FALSE&amp;VAR:CALENDAR=US&amp;VAR:SYMBOL=CRM&amp;VAR:INDEX=0"}</definedName>
    <definedName name="_1324__FDSAUDITLINK__" hidden="1">{"fdsup://directions/FAT Viewer?action=UPDATE&amp;creator=factset&amp;DYN_ARGS=TRUE&amp;DOC_NAME=FAT:FQL_AUDITING_CLIENT_TEMPLATE.FAT&amp;display_string=Audit&amp;VAR:KEY=RWHULGZYHE&amp;VAR:QUERY=RkZfRU5UUlBSX1ZBTChRVFIsMzk1NDIsLCwsVVNEKQ==&amp;WINDOW=FIRST_POPUP&amp;HEIGHT=450&amp;WIDTH=450&amp;","START_MAXIMIZED=FALSE&amp;VAR:CALENDAR=US&amp;VAR:SYMBOL=CRM&amp;VAR:INDEX=0"}</definedName>
    <definedName name="_1325__FDSAUDITLINK__" hidden="1">{"fdsup://directions/FAT Viewer?action=UPDATE&amp;creator=factset&amp;DYN_ARGS=TRUE&amp;DOC_NAME=FAT:FQL_AUDITING_CLIENT_TEMPLATE.FAT&amp;display_string=Audit&amp;VAR:KEY=LGXGJYLCZA&amp;VAR:QUERY=RkZfRU5UUlBSX1ZBTChRVFIsMzk1MzUsLCwsVVNEKQ==&amp;WINDOW=FIRST_POPUP&amp;HEIGHT=450&amp;WIDTH=450&amp;","START_MAXIMIZED=FALSE&amp;VAR:CALENDAR=US&amp;VAR:SYMBOL=CRM&amp;VAR:INDEX=0"}</definedName>
    <definedName name="_1326__FDSAUDITLINK__" hidden="1">{"fdsup://directions/FAT Viewer?action=UPDATE&amp;creator=factset&amp;DYN_ARGS=TRUE&amp;DOC_NAME=FAT:FQL_AUDITING_CLIENT_TEMPLATE.FAT&amp;display_string=Audit&amp;VAR:KEY=FCHUXGTUBY&amp;VAR:QUERY=RkZfRU5UUlBSX1ZBTChRVFIsMzk1MjcsLCwsVVNEKQ==&amp;WINDOW=FIRST_POPUP&amp;HEIGHT=450&amp;WIDTH=450&amp;","START_MAXIMIZED=FALSE&amp;VAR:CALENDAR=US&amp;VAR:SYMBOL=CRM&amp;VAR:INDEX=0"}</definedName>
    <definedName name="_1327__FDSAUDITLINK__" hidden="1">{"fdsup://directions/FAT Viewer?action=UPDATE&amp;creator=factset&amp;DYN_ARGS=TRUE&amp;DOC_NAME=FAT:FQL_AUDITING_CLIENT_TEMPLATE.FAT&amp;display_string=Audit&amp;VAR:KEY=JCDUFIXABO&amp;VAR:QUERY=RkZfRU5UUlBSX1ZBTChRVFIsMzk1MjEsLCwsVVNEKQ==&amp;WINDOW=FIRST_POPUP&amp;HEIGHT=450&amp;WIDTH=450&amp;","START_MAXIMIZED=FALSE&amp;VAR:CALENDAR=US&amp;VAR:SYMBOL=CRM&amp;VAR:INDEX=0"}</definedName>
    <definedName name="_1328__FDSAUDITLINK__" hidden="1">{"fdsup://directions/FAT Viewer?action=UPDATE&amp;creator=factset&amp;DYN_ARGS=TRUE&amp;DOC_NAME=FAT:FQL_AUDITING_CLIENT_TEMPLATE.FAT&amp;display_string=Audit&amp;VAR:KEY=LQJQVSHIBE&amp;VAR:QUERY=RkZfRU5UUlBSX1ZBTChRVFIsMzk1MTQsLCwsVVNEKQ==&amp;WINDOW=FIRST_POPUP&amp;HEIGHT=450&amp;WIDTH=450&amp;","START_MAXIMIZED=FALSE&amp;VAR:CALENDAR=US&amp;VAR:SYMBOL=CRM&amp;VAR:INDEX=0"}</definedName>
    <definedName name="_1329__FDSAUDITLINK__" hidden="1">{"fdsup://directions/FAT Viewer?action=UPDATE&amp;creator=factset&amp;DYN_ARGS=TRUE&amp;DOC_NAME=FAT:FQL_AUDITING_CLIENT_TEMPLATE.FAT&amp;display_string=Audit&amp;VAR:KEY=LYTGRQDEFC&amp;VAR:QUERY=RkZfRU5UUlBSX1ZBTChRVFIsMzk1MDcsLCwsVVNEKQ==&amp;WINDOW=FIRST_POPUP&amp;HEIGHT=450&amp;WIDTH=450&amp;","START_MAXIMIZED=FALSE&amp;VAR:CALENDAR=US&amp;VAR:SYMBOL=CRM&amp;VAR:INDEX=0"}</definedName>
    <definedName name="_133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330__FDSAUDITLINK__" hidden="1">{"fdsup://directions/FAT Viewer?action=UPDATE&amp;creator=factset&amp;DYN_ARGS=TRUE&amp;DOC_NAME=FAT:FQL_AUDITING_CLIENT_TEMPLATE.FAT&amp;display_string=Audit&amp;VAR:KEY=TAXIVALAPA&amp;VAR:QUERY=RkZfRU5UUlBSX1ZBTChRVFIsMzk1MDAsLCwsVVNEKQ==&amp;WINDOW=FIRST_POPUP&amp;HEIGHT=450&amp;WIDTH=450&amp;","START_MAXIMIZED=FALSE&amp;VAR:CALENDAR=US&amp;VAR:SYMBOL=CRM&amp;VAR:INDEX=0"}</definedName>
    <definedName name="_1331__FDSAUDITLINK__" hidden="1">{"fdsup://directions/FAT Viewer?action=UPDATE&amp;creator=factset&amp;DYN_ARGS=TRUE&amp;DOC_NAME=FAT:FQL_AUDITING_CLIENT_TEMPLATE.FAT&amp;display_string=Audit&amp;VAR:KEY=VGTWFSRYVS&amp;VAR:QUERY=RkZfRU5UUlBSX1ZBTChRVFIsMzk0OTMsLCwsVVNEKQ==&amp;WINDOW=FIRST_POPUP&amp;HEIGHT=450&amp;WIDTH=450&amp;","START_MAXIMIZED=FALSE&amp;VAR:CALENDAR=US&amp;VAR:SYMBOL=CRM&amp;VAR:INDEX=0"}</definedName>
    <definedName name="_1332__FDSAUDITLINK__" hidden="1">{"fdsup://directions/FAT Viewer?action=UPDATE&amp;creator=factset&amp;DYN_ARGS=TRUE&amp;DOC_NAME=FAT:FQL_AUDITING_CLIENT_TEMPLATE.FAT&amp;display_string=Audit&amp;VAR:KEY=HUHMJYDWBG&amp;VAR:QUERY=RkZfRU5UUlBSX1ZBTChRVFIsMzk0ODYsLCwsVVNEKQ==&amp;WINDOW=FIRST_POPUP&amp;HEIGHT=450&amp;WIDTH=450&amp;","START_MAXIMIZED=FALSE&amp;VAR:CALENDAR=US&amp;VAR:SYMBOL=CRM&amp;VAR:INDEX=0"}</definedName>
    <definedName name="_1333__FDSAUDITLINK__" hidden="1">{"fdsup://directions/FAT Viewer?action=UPDATE&amp;creator=factset&amp;DYN_ARGS=TRUE&amp;DOC_NAME=FAT:FQL_AUDITING_CLIENT_TEMPLATE.FAT&amp;display_string=Audit&amp;VAR:KEY=NCLIZMRANG&amp;VAR:QUERY=RkZfRU5UUlBSX1ZBTChRVFIsMzk0NzksLCwsVVNEKQ==&amp;WINDOW=FIRST_POPUP&amp;HEIGHT=450&amp;WIDTH=450&amp;","START_MAXIMIZED=FALSE&amp;VAR:CALENDAR=US&amp;VAR:SYMBOL=CRM&amp;VAR:INDEX=0"}</definedName>
    <definedName name="_1334__FDSAUDITLINK__" hidden="1">{"fdsup://directions/FAT Viewer?action=UPDATE&amp;creator=factset&amp;DYN_ARGS=TRUE&amp;DOC_NAME=FAT:FQL_AUDITING_CLIENT_TEMPLATE.FAT&amp;display_string=Audit&amp;VAR:KEY=RWPUPGPMTA&amp;VAR:QUERY=RkZfRU5UUlBSX1ZBTChRVFIsMzk0NzIsLCwsVVNEKQ==&amp;WINDOW=FIRST_POPUP&amp;HEIGHT=450&amp;WIDTH=450&amp;","START_MAXIMIZED=FALSE&amp;VAR:CALENDAR=US&amp;VAR:SYMBOL=CRM&amp;VAR:INDEX=0"}</definedName>
    <definedName name="_1335__FDSAUDITLINK__" hidden="1">{"fdsup://directions/FAT Viewer?action=UPDATE&amp;creator=factset&amp;DYN_ARGS=TRUE&amp;DOC_NAME=FAT:FQL_AUDITING_CLIENT_TEMPLATE.FAT&amp;display_string=Audit&amp;VAR:KEY=ZETODAVQNC&amp;VAR:QUERY=RkZfRU5UUlBSX1ZBTChRVFIsMzk0NjUsLCwsVVNEKQ==&amp;WINDOW=FIRST_POPUP&amp;HEIGHT=450&amp;WIDTH=450&amp;","START_MAXIMIZED=FALSE&amp;VAR:CALENDAR=US&amp;VAR:SYMBOL=CRM&amp;VAR:INDEX=0"}</definedName>
    <definedName name="_1336__FDSAUDITLINK__" hidden="1">{"fdsup://directions/FAT Viewer?action=UPDATE&amp;creator=factset&amp;DYN_ARGS=TRUE&amp;DOC_NAME=FAT:FQL_AUDITING_CLIENT_TEMPLATE.FAT&amp;display_string=Audit&amp;VAR:KEY=ZKTUDMVWFW&amp;VAR:QUERY=RkZfRU5UUlBSX1ZBTChRVFIsMzk0NTgsLCwsVVNEKQ==&amp;WINDOW=FIRST_POPUP&amp;HEIGHT=450&amp;WIDTH=450&amp;","START_MAXIMIZED=FALSE&amp;VAR:CALENDAR=US&amp;VAR:SYMBOL=CRM&amp;VAR:INDEX=0"}</definedName>
    <definedName name="_1337__FDSAUDITLINK__" hidden="1">{"fdsup://directions/FAT Viewer?action=UPDATE&amp;creator=factset&amp;DYN_ARGS=TRUE&amp;DOC_NAME=FAT:FQL_AUDITING_CLIENT_TEMPLATE.FAT&amp;display_string=Audit&amp;VAR:KEY=HCFMLWBCLC&amp;VAR:QUERY=RkZfRU5UUlBSX1ZBTChRVFIsMzk0NTEsLCwsVVNEKQ==&amp;WINDOW=FIRST_POPUP&amp;HEIGHT=450&amp;WIDTH=450&amp;","START_MAXIMIZED=FALSE&amp;VAR:CALENDAR=US&amp;VAR:SYMBOL=CRM&amp;VAR:INDEX=0"}</definedName>
    <definedName name="_1338__FDSAUDITLINK__" hidden="1">{"fdsup://directions/FAT Viewer?action=UPDATE&amp;creator=factset&amp;DYN_ARGS=TRUE&amp;DOC_NAME=FAT:FQL_AUDITING_CLIENT_TEMPLATE.FAT&amp;display_string=Audit&amp;VAR:KEY=XSFCXODMXA&amp;VAR:QUERY=RkZfRU5UUlBSX1ZBTChRVFIsMzk0NDQsLCwsVVNEKQ==&amp;WINDOW=FIRST_POPUP&amp;HEIGHT=450&amp;WIDTH=450&amp;","START_MAXIMIZED=FALSE&amp;VAR:CALENDAR=US&amp;VAR:SYMBOL=CRM&amp;VAR:INDEX=0"}</definedName>
    <definedName name="_1339__FDSAUDITLINK__" hidden="1">{"fdsup://directions/FAT Viewer?action=UPDATE&amp;creator=factset&amp;DYN_ARGS=TRUE&amp;DOC_NAME=FAT:FQL_AUDITING_CLIENT_TEMPLATE.FAT&amp;display_string=Audit&amp;VAR:KEY=PSJMHQVWNK&amp;VAR:QUERY=RkZfRU5UUlBSX1ZBTChRVFIsMzk0MzcsLCwsVVNEKQ==&amp;WINDOW=FIRST_POPUP&amp;HEIGHT=450&amp;WIDTH=450&amp;","START_MAXIMIZED=FALSE&amp;VAR:CALENDAR=US&amp;VAR:SYMBOL=CRM&amp;VAR:INDEX=0"}</definedName>
    <definedName name="_134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340__FDSAUDITLINK__" hidden="1">{"fdsup://directions/FAT Viewer?action=UPDATE&amp;creator=factset&amp;DYN_ARGS=TRUE&amp;DOC_NAME=FAT:FQL_AUDITING_CLIENT_TEMPLATE.FAT&amp;display_string=Audit&amp;VAR:KEY=VSTKBCJSHW&amp;VAR:QUERY=RkZfRU5UUlBSX1ZBTChRVFIsMzk0MzAsLCwsVVNEKQ==&amp;WINDOW=FIRST_POPUP&amp;HEIGHT=450&amp;WIDTH=450&amp;","START_MAXIMIZED=FALSE&amp;VAR:CALENDAR=US&amp;VAR:SYMBOL=CRM&amp;VAR:INDEX=0"}</definedName>
    <definedName name="_1341__FDSAUDITLINK__" hidden="1">{"fdsup://directions/FAT Viewer?action=UPDATE&amp;creator=factset&amp;DYN_ARGS=TRUE&amp;DOC_NAME=FAT:FQL_AUDITING_CLIENT_TEMPLATE.FAT&amp;display_string=Audit&amp;VAR:KEY=LYLCXKLAPY&amp;VAR:QUERY=RkZfRU5UUlBSX1ZBTChRVFIsMzk0MjMsLCwsVVNEKQ==&amp;WINDOW=FIRST_POPUP&amp;HEIGHT=450&amp;WIDTH=450&amp;","START_MAXIMIZED=FALSE&amp;VAR:CALENDAR=US&amp;VAR:SYMBOL=CRM&amp;VAR:INDEX=0"}</definedName>
    <definedName name="_1342__FDSAUDITLINK__" hidden="1">{"fdsup://directions/FAT Viewer?action=UPDATE&amp;creator=factset&amp;DYN_ARGS=TRUE&amp;DOC_NAME=FAT:FQL_AUDITING_CLIENT_TEMPLATE.FAT&amp;display_string=Audit&amp;VAR:KEY=BUPSFGFMPA&amp;VAR:QUERY=RkZfRU5UUlBSX1ZBTChRVFIsMzk0MTYsLCwsVVNEKQ==&amp;WINDOW=FIRST_POPUP&amp;HEIGHT=450&amp;WIDTH=450&amp;","START_MAXIMIZED=FALSE&amp;VAR:CALENDAR=US&amp;VAR:SYMBOL=CRM&amp;VAR:INDEX=0"}</definedName>
    <definedName name="_1343__FDSAUDITLINK__" hidden="1">{"fdsup://directions/FAT Viewer?action=UPDATE&amp;creator=factset&amp;DYN_ARGS=TRUE&amp;DOC_NAME=FAT:FQL_AUDITING_CLIENT_TEMPLATE.FAT&amp;display_string=Audit&amp;VAR:KEY=VQXOTORSFS&amp;VAR:QUERY=RkZfRU5UUlBSX1ZBTChRVFIsMzk0MDksLCwsVVNEKQ==&amp;WINDOW=FIRST_POPUP&amp;HEIGHT=450&amp;WIDTH=450&amp;","START_MAXIMIZED=FALSE&amp;VAR:CALENDAR=US&amp;VAR:SYMBOL=CRM&amp;VAR:INDEX=0"}</definedName>
    <definedName name="_1344__FDSAUDITLINK__" hidden="1">{"fdsup://directions/FAT Viewer?action=UPDATE&amp;creator=factset&amp;DYN_ARGS=TRUE&amp;DOC_NAME=FAT:FQL_AUDITING_CLIENT_TEMPLATE.FAT&amp;display_string=Audit&amp;VAR:KEY=TOJILMPYZI&amp;VAR:QUERY=RkZfRU5UUlBSX1ZBTChRVFIsMzk0MDIsLCwsVVNEKQ==&amp;WINDOW=FIRST_POPUP&amp;HEIGHT=450&amp;WIDTH=450&amp;","START_MAXIMIZED=FALSE&amp;VAR:CALENDAR=US&amp;VAR:SYMBOL=CRM&amp;VAR:INDEX=0"}</definedName>
    <definedName name="_1345__FDSAUDITLINK__" hidden="1">{"fdsup://directions/FAT Viewer?action=UPDATE&amp;creator=factset&amp;DYN_ARGS=TRUE&amp;DOC_NAME=FAT:FQL_AUDITING_CLIENT_TEMPLATE.FAT&amp;display_string=Audit&amp;VAR:KEY=JAJSPSBGFO&amp;VAR:QUERY=RkZfRU5UUlBSX1ZBTChRVFIsMzkzOTUsLCwsVVNEKQ==&amp;WINDOW=FIRST_POPUP&amp;HEIGHT=450&amp;WIDTH=450&amp;","START_MAXIMIZED=FALSE&amp;VAR:CALENDAR=US&amp;VAR:SYMBOL=CRM&amp;VAR:INDEX=0"}</definedName>
    <definedName name="_1346__FDSAUDITLINK__" hidden="1">{"fdsup://directions/FAT Viewer?action=UPDATE&amp;creator=factset&amp;DYN_ARGS=TRUE&amp;DOC_NAME=FAT:FQL_AUDITING_CLIENT_TEMPLATE.FAT&amp;display_string=Audit&amp;VAR:KEY=XGVMPWVCHA&amp;VAR:QUERY=RkZfRU5UUlBSX1ZBTChRVFIsMzkzODgsLCwsVVNEKQ==&amp;WINDOW=FIRST_POPUP&amp;HEIGHT=450&amp;WIDTH=450&amp;","START_MAXIMIZED=FALSE&amp;VAR:CALENDAR=US&amp;VAR:SYMBOL=CRM&amp;VAR:INDEX=0"}</definedName>
    <definedName name="_1347__FDSAUDITLINK__" hidden="1">{"fdsup://directions/FAT Viewer?action=UPDATE&amp;creator=factset&amp;DYN_ARGS=TRUE&amp;DOC_NAME=FAT:FQL_AUDITING_CLIENT_TEMPLATE.FAT&amp;display_string=Audit&amp;VAR:KEY=PMBGFALOHK&amp;VAR:QUERY=RkZfRU5UUlBSX1ZBTChRVFIsMzkzODEsLCwsVVNEKQ==&amp;WINDOW=FIRST_POPUP&amp;HEIGHT=450&amp;WIDTH=450&amp;","START_MAXIMIZED=FALSE&amp;VAR:CALENDAR=US&amp;VAR:SYMBOL=CRM&amp;VAR:INDEX=0"}</definedName>
    <definedName name="_1348__FDSAUDITLINK__" hidden="1">{"fdsup://directions/FAT Viewer?action=UPDATE&amp;creator=factset&amp;DYN_ARGS=TRUE&amp;DOC_NAME=FAT:FQL_AUDITING_CLIENT_TEMPLATE.FAT&amp;display_string=Audit&amp;VAR:KEY=RGFQVMRQJE&amp;VAR:QUERY=RkZfRU5UUlBSX1ZBTChRVFIsMzkzNzQsLCwsVVNEKQ==&amp;WINDOW=FIRST_POPUP&amp;HEIGHT=450&amp;WIDTH=450&amp;","START_MAXIMIZED=FALSE&amp;VAR:CALENDAR=US&amp;VAR:SYMBOL=CRM&amp;VAR:INDEX=0"}</definedName>
    <definedName name="_1349__FDSAUDITLINK__" hidden="1">{"fdsup://directions/FAT Viewer?action=UPDATE&amp;creator=factset&amp;DYN_ARGS=TRUE&amp;DOC_NAME=FAT:FQL_AUDITING_CLIENT_TEMPLATE.FAT&amp;display_string=Audit&amp;VAR:KEY=XULMNWLIJS&amp;VAR:QUERY=RkZfRU5UUlBSX1ZBTChRVFIsMzkzNjcsLCwsVVNEKQ==&amp;WINDOW=FIRST_POPUP&amp;HEIGHT=450&amp;WIDTH=450&amp;","START_MAXIMIZED=FALSE&amp;VAR:CALENDAR=US&amp;VAR:SYMBOL=CRM&amp;VAR:INDEX=0"}</definedName>
    <definedName name="_135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350__FDSAUDITLINK__" hidden="1">{"fdsup://directions/FAT Viewer?action=UPDATE&amp;creator=factset&amp;DYN_ARGS=TRUE&amp;DOC_NAME=FAT:FQL_AUDITING_CLIENT_TEMPLATE.FAT&amp;display_string=Audit&amp;VAR:KEY=RMRYXSDSDC&amp;VAR:QUERY=RkZfRU5UUlBSX1ZBTChRVFIsMzkzNjAsLCwsVVNEKQ==&amp;WINDOW=FIRST_POPUP&amp;HEIGHT=450&amp;WIDTH=450&amp;","START_MAXIMIZED=FALSE&amp;VAR:CALENDAR=US&amp;VAR:SYMBOL=CRM&amp;VAR:INDEX=0"}</definedName>
    <definedName name="_1351__FDSAUDITLINK__" hidden="1">{"fdsup://directions/FAT Viewer?action=UPDATE&amp;creator=factset&amp;DYN_ARGS=TRUE&amp;DOC_NAME=FAT:FQL_AUDITING_CLIENT_TEMPLATE.FAT&amp;display_string=Audit&amp;VAR:KEY=VURSHANWZM&amp;VAR:QUERY=RkZfRU5UUlBSX1ZBTChRVFIsMzkzNTMsLCwsVVNEKQ==&amp;WINDOW=FIRST_POPUP&amp;HEIGHT=450&amp;WIDTH=450&amp;","START_MAXIMIZED=FALSE&amp;VAR:CALENDAR=US&amp;VAR:SYMBOL=CRM&amp;VAR:INDEX=0"}</definedName>
    <definedName name="_1352__FDSAUDITLINK__" hidden="1">{"fdsup://directions/FAT Viewer?action=UPDATE&amp;creator=factset&amp;DYN_ARGS=TRUE&amp;DOC_NAME=FAT:FQL_AUDITING_CLIENT_TEMPLATE.FAT&amp;display_string=Audit&amp;VAR:KEY=HMNQHYBALA&amp;VAR:QUERY=RkZfRU5UUlBSX1ZBTChRVFIsMzkzNDYsLCwsVVNEKQ==&amp;WINDOW=FIRST_POPUP&amp;HEIGHT=450&amp;WIDTH=450&amp;","START_MAXIMIZED=FALSE&amp;VAR:CALENDAR=US&amp;VAR:SYMBOL=CRM&amp;VAR:INDEX=0"}</definedName>
    <definedName name="_1353__FDSAUDITLINK__" hidden="1">{"fdsup://directions/FAT Viewer?action=UPDATE&amp;creator=factset&amp;DYN_ARGS=TRUE&amp;DOC_NAME=FAT:FQL_AUDITING_CLIENT_TEMPLATE.FAT&amp;display_string=Audit&amp;VAR:KEY=VANONUBCZQ&amp;VAR:QUERY=RkZfRU5UUlBSX1ZBTChRVFIsMzkzMzksLCwsVVNEKQ==&amp;WINDOW=FIRST_POPUP&amp;HEIGHT=450&amp;WIDTH=450&amp;","START_MAXIMIZED=FALSE&amp;VAR:CALENDAR=US&amp;VAR:SYMBOL=CRM&amp;VAR:INDEX=0"}</definedName>
    <definedName name="_1354__FDSAUDITLINK__" hidden="1">{"fdsup://directions/FAT Viewer?action=UPDATE&amp;creator=factset&amp;DYN_ARGS=TRUE&amp;DOC_NAME=FAT:FQL_AUDITING_CLIENT_TEMPLATE.FAT&amp;display_string=Audit&amp;VAR:KEY=JYTIVSZOJY&amp;VAR:QUERY=RkZfRU5UUlBSX1ZBTChRVFIsMzkzMzIsLCwsVVNEKQ==&amp;WINDOW=FIRST_POPUP&amp;HEIGHT=450&amp;WIDTH=450&amp;","START_MAXIMIZED=FALSE&amp;VAR:CALENDAR=US&amp;VAR:SYMBOL=CRM&amp;VAR:INDEX=0"}</definedName>
    <definedName name="_1355__FDSAUDITLINK__" hidden="1">{"fdsup://directions/FAT Viewer?action=UPDATE&amp;creator=factset&amp;DYN_ARGS=TRUE&amp;DOC_NAME=FAT:FQL_AUDITING_CLIENT_TEMPLATE.FAT&amp;display_string=Audit&amp;VAR:KEY=XIFWXONIZE&amp;VAR:QUERY=RkZfRU5UUlBSX1ZBTChRVFIsMzkzMjUsLCwsVVNEKQ==&amp;WINDOW=FIRST_POPUP&amp;HEIGHT=450&amp;WIDTH=450&amp;","START_MAXIMIZED=FALSE&amp;VAR:CALENDAR=US&amp;VAR:SYMBOL=CRM&amp;VAR:INDEX=0"}</definedName>
    <definedName name="_1356__FDSAUDITLINK__" hidden="1">{"fdsup://directions/FAT Viewer?action=UPDATE&amp;creator=factset&amp;DYN_ARGS=TRUE&amp;DOC_NAME=FAT:FQL_AUDITING_CLIENT_TEMPLATE.FAT&amp;display_string=Audit&amp;VAR:KEY=LGPMPMZUDU&amp;VAR:QUERY=RkZfRU5UUlBSX1ZBTChRVFIsMzkzMTgsLCwsVVNEKQ==&amp;WINDOW=FIRST_POPUP&amp;HEIGHT=450&amp;WIDTH=450&amp;","START_MAXIMIZED=FALSE&amp;VAR:CALENDAR=US&amp;VAR:SYMBOL=CRM&amp;VAR:INDEX=0"}</definedName>
    <definedName name="_1357__FDSAUDITLINK__" hidden="1">{"fdsup://directions/FAT Viewer?action=UPDATE&amp;creator=factset&amp;DYN_ARGS=TRUE&amp;DOC_NAME=FAT:FQL_AUDITING_CLIENT_TEMPLATE.FAT&amp;display_string=Audit&amp;VAR:KEY=DSVGLYNINY&amp;VAR:QUERY=RkZfRU5UUlBSX1ZBTChRVFIsMzkzMTEsLCwsVVNEKQ==&amp;WINDOW=FIRST_POPUP&amp;HEIGHT=450&amp;WIDTH=450&amp;","START_MAXIMIZED=FALSE&amp;VAR:CALENDAR=US&amp;VAR:SYMBOL=CRM&amp;VAR:INDEX=0"}</definedName>
    <definedName name="_1358__FDSAUDITLINK__" hidden="1">{"fdsup://directions/FAT Viewer?action=UPDATE&amp;creator=factset&amp;DYN_ARGS=TRUE&amp;DOC_NAME=FAT:FQL_AUDITING_CLIENT_TEMPLATE.FAT&amp;display_string=Audit&amp;VAR:KEY=TSRIHMLEFM&amp;VAR:QUERY=RkZfRU5UUlBSX1ZBTChRVFIsMzkzMDQsLCwsVVNEKQ==&amp;WINDOW=FIRST_POPUP&amp;HEIGHT=450&amp;WIDTH=450&amp;","START_MAXIMIZED=FALSE&amp;VAR:CALENDAR=US&amp;VAR:SYMBOL=CRM&amp;VAR:INDEX=0"}</definedName>
    <definedName name="_1359__FDSAUDITLINK__" hidden="1">{"fdsup://directions/FAT Viewer?action=UPDATE&amp;creator=factset&amp;DYN_ARGS=TRUE&amp;DOC_NAME=FAT:FQL_AUDITING_CLIENT_TEMPLATE.FAT&amp;display_string=Audit&amp;VAR:KEY=NMXAVILUPS&amp;VAR:QUERY=RkZfRU5UUlBSX1ZBTChRVFIsMzkyOTcsLCwsVVNEKQ==&amp;WINDOW=FIRST_POPUP&amp;HEIGHT=450&amp;WIDTH=450&amp;","START_MAXIMIZED=FALSE&amp;VAR:CALENDAR=US&amp;VAR:SYMBOL=CRM&amp;VAR:INDEX=0"}</definedName>
    <definedName name="_136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360__FDSAUDITLINK__" hidden="1">{"fdsup://directions/FAT Viewer?action=UPDATE&amp;creator=factset&amp;DYN_ARGS=TRUE&amp;DOC_NAME=FAT:FQL_AUDITING_CLIENT_TEMPLATE.FAT&amp;display_string=Audit&amp;VAR:KEY=FMZKFUVEPQ&amp;VAR:QUERY=RkZfRU5UUlBSX1ZBTChRVFIsMzkyOTAsLCwsVVNEKQ==&amp;WINDOW=FIRST_POPUP&amp;HEIGHT=450&amp;WIDTH=450&amp;","START_MAXIMIZED=FALSE&amp;VAR:CALENDAR=US&amp;VAR:SYMBOL=CRM&amp;VAR:INDEX=0"}</definedName>
    <definedName name="_1361__FDSAUDITLINK__" hidden="1">{"fdsup://directions/FAT Viewer?action=UPDATE&amp;creator=factset&amp;DYN_ARGS=TRUE&amp;DOC_NAME=FAT:FQL_AUDITING_CLIENT_TEMPLATE.FAT&amp;display_string=Audit&amp;VAR:KEY=JWFGDETIHM&amp;VAR:QUERY=RkZfRU5UUlBSX1ZBTChRVFIsMzkyODMsLCwsVVNEKQ==&amp;WINDOW=FIRST_POPUP&amp;HEIGHT=450&amp;WIDTH=450&amp;","START_MAXIMIZED=FALSE&amp;VAR:CALENDAR=US&amp;VAR:SYMBOL=CRM&amp;VAR:INDEX=0"}</definedName>
    <definedName name="_1362__FDSAUDITLINK__" hidden="1">{"fdsup://directions/FAT Viewer?action=UPDATE&amp;creator=factset&amp;DYN_ARGS=TRUE&amp;DOC_NAME=FAT:FQL_AUDITING_CLIENT_TEMPLATE.FAT&amp;display_string=Audit&amp;VAR:KEY=NETQRKFUVQ&amp;VAR:QUERY=RkZfRU5UUlBSX1ZBTChRVFIsMzkyNzYsLCwsVVNEKQ==&amp;WINDOW=FIRST_POPUP&amp;HEIGHT=450&amp;WIDTH=450&amp;","START_MAXIMIZED=FALSE&amp;VAR:CALENDAR=US&amp;VAR:SYMBOL=CRM&amp;VAR:INDEX=0"}</definedName>
    <definedName name="_1363__FDSAUDITLINK__" hidden="1">{"fdsup://directions/FAT Viewer?action=UPDATE&amp;creator=factset&amp;DYN_ARGS=TRUE&amp;DOC_NAME=FAT:FQL_AUDITING_CLIENT_TEMPLATE.FAT&amp;display_string=Audit&amp;VAR:KEY=RKVQNMLQJY&amp;VAR:QUERY=RkZfRU5UUlBSX1ZBTChRVFIsMzkyNjksLCwsVVNEKQ==&amp;WINDOW=FIRST_POPUP&amp;HEIGHT=450&amp;WIDTH=450&amp;","START_MAXIMIZED=FALSE&amp;VAR:CALENDAR=US&amp;VAR:SYMBOL=CRM&amp;VAR:INDEX=0"}</definedName>
    <definedName name="_1364__FDSAUDITLINK__" hidden="1">{"fdsup://directions/FAT Viewer?action=UPDATE&amp;creator=factset&amp;DYN_ARGS=TRUE&amp;DOC_NAME=FAT:FQL_AUDITING_CLIENT_TEMPLATE.FAT&amp;display_string=Audit&amp;VAR:KEY=LSZYXSPEJM&amp;VAR:QUERY=RkZfRU5UUlBSX1ZBTChRVFIsMzkyNjIsLCwsVVNEKQ==&amp;WINDOW=FIRST_POPUP&amp;HEIGHT=450&amp;WIDTH=450&amp;","START_MAXIMIZED=FALSE&amp;VAR:CALENDAR=US&amp;VAR:SYMBOL=CRM&amp;VAR:INDEX=0"}</definedName>
    <definedName name="_1365__FDSAUDITLINK__" hidden="1">{"fdsup://directions/FAT Viewer?action=UPDATE&amp;creator=factset&amp;DYN_ARGS=TRUE&amp;DOC_NAME=FAT:FQL_AUDITING_CLIENT_TEMPLATE.FAT&amp;display_string=Audit&amp;VAR:KEY=ZAVQBCDCPO&amp;VAR:QUERY=RkZfRU5UUlBSX1ZBTChRVFIsMzkyNTUsLCwsVVNEKQ==&amp;WINDOW=FIRST_POPUP&amp;HEIGHT=450&amp;WIDTH=450&amp;","START_MAXIMIZED=FALSE&amp;VAR:CALENDAR=US&amp;VAR:SYMBOL=CRM&amp;VAR:INDEX=0"}</definedName>
    <definedName name="_1366__FDSAUDITLINK__" hidden="1">{"fdsup://directions/FAT Viewer?action=UPDATE&amp;creator=factset&amp;DYN_ARGS=TRUE&amp;DOC_NAME=FAT:FQL_AUDITING_CLIENT_TEMPLATE.FAT&amp;display_string=Audit&amp;VAR:KEY=TUHYVIPSVG&amp;VAR:QUERY=RkZfRU5UUlBSX1ZBTChRVFIsMzkyNDgsLCwsVVNEKQ==&amp;WINDOW=FIRST_POPUP&amp;HEIGHT=450&amp;WIDTH=450&amp;","START_MAXIMIZED=FALSE&amp;VAR:CALENDAR=US&amp;VAR:SYMBOL=CRM&amp;VAR:INDEX=0"}</definedName>
    <definedName name="_1367__FDSAUDITLINK__" hidden="1">{"fdsup://directions/FAT Viewer?action=UPDATE&amp;creator=factset&amp;DYN_ARGS=TRUE&amp;DOC_NAME=FAT:FQL_AUDITING_CLIENT_TEMPLATE.FAT&amp;display_string=Audit&amp;VAR:KEY=PELKDSPIDS&amp;VAR:QUERY=RkZfRU5UUlBSX1ZBTChRVFIsMzkyNDEsLCwsVVNEKQ==&amp;WINDOW=FIRST_POPUP&amp;HEIGHT=450&amp;WIDTH=450&amp;","START_MAXIMIZED=FALSE&amp;VAR:CALENDAR=US&amp;VAR:SYMBOL=CRM&amp;VAR:INDEX=0"}</definedName>
    <definedName name="_1368__FDSAUDITLINK__" hidden="1">{"fdsup://directions/FAT Viewer?action=UPDATE&amp;creator=factset&amp;DYN_ARGS=TRUE&amp;DOC_NAME=FAT:FQL_AUDITING_CLIENT_TEMPLATE.FAT&amp;display_string=Audit&amp;VAR:KEY=JGFSDABOFS&amp;VAR:QUERY=RkZfRU5UUlBSX1ZBTChRVFIsMzkyMzQsLCwsVVNEKQ==&amp;WINDOW=FIRST_POPUP&amp;HEIGHT=450&amp;WIDTH=450&amp;","START_MAXIMIZED=FALSE&amp;VAR:CALENDAR=US&amp;VAR:SYMBOL=CRM&amp;VAR:INDEX=0"}</definedName>
    <definedName name="_1369__FDSAUDITLINK__" hidden="1">{"fdsup://directions/FAT Viewer?action=UPDATE&amp;creator=factset&amp;DYN_ARGS=TRUE&amp;DOC_NAME=FAT:FQL_AUDITING_CLIENT_TEMPLATE.FAT&amp;display_string=Audit&amp;VAR:KEY=XAVSFQDANK&amp;VAR:QUERY=RkZfRU5UUlBSX1ZBTChRVFIsMzkyMjcsLCwsVVNEKQ==&amp;WINDOW=FIRST_POPUP&amp;HEIGHT=450&amp;WIDTH=450&amp;","START_MAXIMIZED=FALSE&amp;VAR:CALENDAR=US&amp;VAR:SYMBOL=CRM&amp;VAR:INDEX=0"}</definedName>
    <definedName name="_137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370__FDSAUDITLINK__" hidden="1">{"fdsup://directions/FAT Viewer?action=UPDATE&amp;creator=factset&amp;DYN_ARGS=TRUE&amp;DOC_NAME=FAT:FQL_AUDITING_CLIENT_TEMPLATE.FAT&amp;display_string=Audit&amp;VAR:KEY=HARYVUJABS&amp;VAR:QUERY=RkZfRU5UUlBSX1ZBTChRVFIsMzkyMjAsLCwsVVNEKQ==&amp;WINDOW=FIRST_POPUP&amp;HEIGHT=450&amp;WIDTH=450&amp;","START_MAXIMIZED=FALSE&amp;VAR:CALENDAR=US&amp;VAR:SYMBOL=CRM&amp;VAR:INDEX=0"}</definedName>
    <definedName name="_1371__FDSAUDITLINK__" hidden="1">{"fdsup://directions/FAT Viewer?action=UPDATE&amp;creator=factset&amp;DYN_ARGS=TRUE&amp;DOC_NAME=FAT:FQL_AUDITING_CLIENT_TEMPLATE.FAT&amp;display_string=Audit&amp;VAR:KEY=HQTYVMNEXI&amp;VAR:QUERY=RkZfRU5UUlBSX1ZBTChRVFIsMzkyMTMsLCwsVVNEKQ==&amp;WINDOW=FIRST_POPUP&amp;HEIGHT=450&amp;WIDTH=450&amp;","START_MAXIMIZED=FALSE&amp;VAR:CALENDAR=US&amp;VAR:SYMBOL=CRM&amp;VAR:INDEX=0"}</definedName>
    <definedName name="_1372__FDSAUDITLINK__" hidden="1">{"fdsup://directions/FAT Viewer?action=UPDATE&amp;creator=factset&amp;DYN_ARGS=TRUE&amp;DOC_NAME=FAT:FQL_AUDITING_CLIENT_TEMPLATE.FAT&amp;display_string=Audit&amp;VAR:KEY=BUTSPCPOXY&amp;VAR:QUERY=RkZfRU5UUlBSX1ZBTChRVFIsMzkyMDYsLCwsVVNEKQ==&amp;WINDOW=FIRST_POPUP&amp;HEIGHT=450&amp;WIDTH=450&amp;","START_MAXIMIZED=FALSE&amp;VAR:CALENDAR=US&amp;VAR:SYMBOL=CRM&amp;VAR:INDEX=0"}</definedName>
    <definedName name="_1373__FDSAUDITLINK__" hidden="1">{"fdsup://directions/FAT Viewer?action=UPDATE&amp;creator=factset&amp;DYN_ARGS=TRUE&amp;DOC_NAME=FAT:FQL_AUDITING_CLIENT_TEMPLATE.FAT&amp;display_string=Audit&amp;VAR:KEY=RABQPKPQRS&amp;VAR:QUERY=RkZfRU5UUlBSX1ZBTChRVFIsMzkxOTksLCwsVVNEKQ==&amp;WINDOW=FIRST_POPUP&amp;HEIGHT=450&amp;WIDTH=450&amp;","START_MAXIMIZED=FALSE&amp;VAR:CALENDAR=US&amp;VAR:SYMBOL=CRM&amp;VAR:INDEX=0"}</definedName>
    <definedName name="_1374__FDSAUDITLINK__" hidden="1">{"fdsup://directions/FAT Viewer?action=UPDATE&amp;creator=factset&amp;DYN_ARGS=TRUE&amp;DOC_NAME=FAT:FQL_AUDITING_CLIENT_TEMPLATE.FAT&amp;display_string=Audit&amp;VAR:KEY=RAPCDINQBA&amp;VAR:QUERY=RkZfRU5UUlBSX1ZBTChRVFIsMzkxOTIsLCwsVVNEKQ==&amp;WINDOW=FIRST_POPUP&amp;HEIGHT=450&amp;WIDTH=450&amp;","START_MAXIMIZED=FALSE&amp;VAR:CALENDAR=US&amp;VAR:SYMBOL=CRM&amp;VAR:INDEX=0"}</definedName>
    <definedName name="_1375__FDSAUDITLINK__" hidden="1">{"fdsup://directions/FAT Viewer?action=UPDATE&amp;creator=factset&amp;DYN_ARGS=TRUE&amp;DOC_NAME=FAT:FQL_AUDITING_CLIENT_TEMPLATE.FAT&amp;display_string=Audit&amp;VAR:KEY=FQVMTGTEFO&amp;VAR:QUERY=RkZfRU5UUlBSX1ZBTChRVFIsMzkxODUsLCwsVVNEKQ==&amp;WINDOW=FIRST_POPUP&amp;HEIGHT=450&amp;WIDTH=450&amp;","START_MAXIMIZED=FALSE&amp;VAR:CALENDAR=US&amp;VAR:SYMBOL=CRM&amp;VAR:INDEX=0"}</definedName>
    <definedName name="_1376__FDSAUDITLINK__" hidden="1">{"fdsup://directions/FAT Viewer?action=UPDATE&amp;creator=factset&amp;DYN_ARGS=TRUE&amp;DOC_NAME=FAT:FQL_AUDITING_CLIENT_TEMPLATE.FAT&amp;display_string=Audit&amp;VAR:KEY=NKTQXWTOTC&amp;VAR:QUERY=RkZfRU5UUlBSX1ZBTChRVFIsMzkxNzcsLCwsVVNEKQ==&amp;WINDOW=FIRST_POPUP&amp;HEIGHT=450&amp;WIDTH=450&amp;","START_MAXIMIZED=FALSE&amp;VAR:CALENDAR=US&amp;VAR:SYMBOL=CRM&amp;VAR:INDEX=0"}</definedName>
    <definedName name="_1377__FDSAUDITLINK__" hidden="1">{"fdsup://directions/FAT Viewer?action=UPDATE&amp;creator=factset&amp;DYN_ARGS=TRUE&amp;DOC_NAME=FAT:FQL_AUDITING_CLIENT_TEMPLATE.FAT&amp;display_string=Audit&amp;VAR:KEY=HGPGRCXIVM&amp;VAR:QUERY=RkZfRU5UUlBSX1ZBTChRVFIsMzkxNzEsLCwsVVNEKQ==&amp;WINDOW=FIRST_POPUP&amp;HEIGHT=450&amp;WIDTH=450&amp;","START_MAXIMIZED=FALSE&amp;VAR:CALENDAR=US&amp;VAR:SYMBOL=CRM&amp;VAR:INDEX=0"}</definedName>
    <definedName name="_1378__FDSAUDITLINK__" hidden="1">{"fdsup://directions/FAT Viewer?action=UPDATE&amp;creator=factset&amp;DYN_ARGS=TRUE&amp;DOC_NAME=FAT:FQL_AUDITING_CLIENT_TEMPLATE.FAT&amp;display_string=Audit&amp;VAR:KEY=FMTKTGDOJO&amp;VAR:QUERY=RkZfRU5UUlBSX1ZBTChRVFIsMzkxNjQsLCwsVVNEKQ==&amp;WINDOW=FIRST_POPUP&amp;HEIGHT=450&amp;WIDTH=450&amp;","START_MAXIMIZED=FALSE&amp;VAR:CALENDAR=US&amp;VAR:SYMBOL=CRM&amp;VAR:INDEX=0"}</definedName>
    <definedName name="_1379__FDSAUDITLINK__" hidden="1">{"fdsup://directions/FAT Viewer?action=UPDATE&amp;creator=factset&amp;DYN_ARGS=TRUE&amp;DOC_NAME=FAT:FQL_AUDITING_CLIENT_TEMPLATE.FAT&amp;display_string=Audit&amp;VAR:KEY=TCVOPSHITE&amp;VAR:QUERY=RkZfRU5UUlBSX1ZBTChRVFIsMzkxNTcsLCwsVVNEKQ==&amp;WINDOW=FIRST_POPUP&amp;HEIGHT=450&amp;WIDTH=450&amp;","START_MAXIMIZED=FALSE&amp;VAR:CALENDAR=US&amp;VAR:SYMBOL=CRM&amp;VAR:INDEX=0"}</definedName>
    <definedName name="_138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380__FDSAUDITLINK__" hidden="1">{"fdsup://directions/FAT Viewer?action=UPDATE&amp;creator=factset&amp;DYN_ARGS=TRUE&amp;DOC_NAME=FAT:FQL_AUDITING_CLIENT_TEMPLATE.FAT&amp;display_string=Audit&amp;VAR:KEY=ZOJCVWFALQ&amp;VAR:QUERY=RkZfRU5UUlBSX1ZBTChRVFIsMzkxNTAsLCwsVVNEKQ==&amp;WINDOW=FIRST_POPUP&amp;HEIGHT=450&amp;WIDTH=450&amp;","START_MAXIMIZED=FALSE&amp;VAR:CALENDAR=US&amp;VAR:SYMBOL=CRM&amp;VAR:INDEX=0"}</definedName>
    <definedName name="_1381__FDSAUDITLINK__" hidden="1">{"fdsup://directions/FAT Viewer?action=UPDATE&amp;creator=factset&amp;DYN_ARGS=TRUE&amp;DOC_NAME=FAT:FQL_AUDITING_CLIENT_TEMPLATE.FAT&amp;display_string=Audit&amp;VAR:KEY=TSZKRAVIJC&amp;VAR:QUERY=RkZfRU5UUlBSX1ZBTChRVFIsMzkxNDMsLCwsVVNEKQ==&amp;WINDOW=FIRST_POPUP&amp;HEIGHT=450&amp;WIDTH=450&amp;","START_MAXIMIZED=FALSE&amp;VAR:CALENDAR=US&amp;VAR:SYMBOL=CRM&amp;VAR:INDEX=0"}</definedName>
    <definedName name="_1382__FDSAUDITLINK__" hidden="1">{"fdsup://directions/FAT Viewer?action=UPDATE&amp;creator=factset&amp;DYN_ARGS=TRUE&amp;DOC_NAME=FAT:FQL_AUDITING_CLIENT_TEMPLATE.FAT&amp;display_string=Audit&amp;VAR:KEY=RMBCLYHYVE&amp;VAR:QUERY=RkZfRU5UUlBSX1ZBTChRVFIsMzkxMzYsLCwsVVNEKQ==&amp;WINDOW=FIRST_POPUP&amp;HEIGHT=450&amp;WIDTH=450&amp;","START_MAXIMIZED=FALSE&amp;VAR:CALENDAR=US&amp;VAR:SYMBOL=CRM&amp;VAR:INDEX=0"}</definedName>
    <definedName name="_1383__FDSAUDITLINK__" hidden="1">{"fdsup://directions/FAT Viewer?action=UPDATE&amp;creator=factset&amp;DYN_ARGS=TRUE&amp;DOC_NAME=FAT:FQL_AUDITING_CLIENT_TEMPLATE.FAT&amp;display_string=Audit&amp;VAR:KEY=NEDIJSPYVG&amp;VAR:QUERY=RkZfRU5UUlBSX1ZBTChRVFIsMzkxMjksLCwsVVNEKQ==&amp;WINDOW=FIRST_POPUP&amp;HEIGHT=450&amp;WIDTH=450&amp;","START_MAXIMIZED=FALSE&amp;VAR:CALENDAR=US&amp;VAR:SYMBOL=CRM&amp;VAR:INDEX=0"}</definedName>
    <definedName name="_1384__FDSAUDITLINK__" hidden="1">{"fdsup://directions/FAT Viewer?action=UPDATE&amp;creator=factset&amp;DYN_ARGS=TRUE&amp;DOC_NAME=FAT:FQL_AUDITING_CLIENT_TEMPLATE.FAT&amp;display_string=Audit&amp;VAR:KEY=HGRMNWJMFA&amp;VAR:QUERY=RkZfRU5UUlBSX1ZBTChRVFIsMzkxMjIsLCwsVVNEKQ==&amp;WINDOW=FIRST_POPUP&amp;HEIGHT=450&amp;WIDTH=450&amp;","START_MAXIMIZED=FALSE&amp;VAR:CALENDAR=US&amp;VAR:SYMBOL=CRM&amp;VAR:INDEX=0"}</definedName>
    <definedName name="_1385__FDSAUDITLINK__" hidden="1">{"fdsup://directions/FAT Viewer?action=UPDATE&amp;creator=factset&amp;DYN_ARGS=TRUE&amp;DOC_NAME=FAT:FQL_AUDITING_CLIENT_TEMPLATE.FAT&amp;display_string=Audit&amp;VAR:KEY=JQLMXUTOBK&amp;VAR:QUERY=RkZfRU5UUlBSX1ZBTChRVFIsMzkxMTUsLCwsVVNEKQ==&amp;WINDOW=FIRST_POPUP&amp;HEIGHT=450&amp;WIDTH=450&amp;","START_MAXIMIZED=FALSE&amp;VAR:CALENDAR=US&amp;VAR:SYMBOL=CRM&amp;VAR:INDEX=0"}</definedName>
    <definedName name="_1386__FDSAUDITLINK__" hidden="1">{"fdsup://directions/FAT Viewer?action=UPDATE&amp;creator=factset&amp;DYN_ARGS=TRUE&amp;DOC_NAME=FAT:FQL_AUDITING_CLIENT_TEMPLATE.FAT&amp;display_string=Audit&amp;VAR:KEY=JUBWJIHUPW&amp;VAR:QUERY=RkZfRU5UUlBSX1ZBTChRVFIsMzkxMDgsLCwsVVNEKQ==&amp;WINDOW=FIRST_POPUP&amp;HEIGHT=450&amp;WIDTH=450&amp;","START_MAXIMIZED=FALSE&amp;VAR:CALENDAR=US&amp;VAR:SYMBOL=CRM&amp;VAR:INDEX=0"}</definedName>
    <definedName name="_1387__FDSAUDITLINK__" hidden="1">{"fdsup://directions/FAT Viewer?action=UPDATE&amp;creator=factset&amp;DYN_ARGS=TRUE&amp;DOC_NAME=FAT:FQL_AUDITING_CLIENT_TEMPLATE.FAT&amp;display_string=Audit&amp;VAR:KEY=HILYFIZGJQ&amp;VAR:QUERY=RkZfRU5UUlBSX1ZBTChRVFIsMzkxMDEsLCwsVVNEKQ==&amp;WINDOW=FIRST_POPUP&amp;HEIGHT=450&amp;WIDTH=450&amp;","START_MAXIMIZED=FALSE&amp;VAR:CALENDAR=US&amp;VAR:SYMBOL=CRM&amp;VAR:INDEX=0"}</definedName>
    <definedName name="_1388__FDSAUDITLINK__" hidden="1">{"fdsup://directions/FAT Viewer?action=UPDATE&amp;creator=factset&amp;DYN_ARGS=TRUE&amp;DOC_NAME=FAT:FQL_AUDITING_CLIENT_TEMPLATE.FAT&amp;display_string=Audit&amp;VAR:KEY=XQVYTYDIFU&amp;VAR:QUERY=RkZfRU5UUlBSX1ZBTChRVFIsMzkwOTQsLCwsVVNEKQ==&amp;WINDOW=FIRST_POPUP&amp;HEIGHT=450&amp;WIDTH=450&amp;","START_MAXIMIZED=FALSE&amp;VAR:CALENDAR=US&amp;VAR:SYMBOL=CRM&amp;VAR:INDEX=0"}</definedName>
    <definedName name="_1389__FDSAUDITLINK__" hidden="1">{"fdsup://directions/FAT Viewer?action=UPDATE&amp;creator=factset&amp;DYN_ARGS=TRUE&amp;DOC_NAME=FAT:FQL_AUDITING_CLIENT_TEMPLATE.FAT&amp;display_string=Audit&amp;VAR:KEY=RYBMRQFKNK&amp;VAR:QUERY=RkZfRU5UUlBSX1ZBTChRVFIsMzkwODcsLCwsVVNEKQ==&amp;WINDOW=FIRST_POPUP&amp;HEIGHT=450&amp;WIDTH=450&amp;","START_MAXIMIZED=FALSE&amp;VAR:CALENDAR=US&amp;VAR:SYMBOL=CRM&amp;VAR:INDEX=0"}</definedName>
    <definedName name="_139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390__FDSAUDITLINK__" hidden="1">{"fdsup://directions/FAT Viewer?action=UPDATE&amp;creator=factset&amp;DYN_ARGS=TRUE&amp;DOC_NAME=FAT:FQL_AUDITING_CLIENT_TEMPLATE.FAT&amp;display_string=Audit&amp;VAR:KEY=HKJIBYDAFK&amp;VAR:QUERY=RkZfRU5UUlBSX1ZBTChRVFIsMzkwODAsLCwsVVNEKQ==&amp;WINDOW=FIRST_POPUP&amp;HEIGHT=450&amp;WIDTH=450&amp;","START_MAXIMIZED=FALSE&amp;VAR:CALENDAR=US&amp;VAR:SYMBOL=CRM&amp;VAR:INDEX=0"}</definedName>
    <definedName name="_1391__FDSAUDITLINK__" hidden="1">{"fdsup://directions/FAT Viewer?action=UPDATE&amp;creator=factset&amp;DYN_ARGS=TRUE&amp;DOC_NAME=FAT:FQL_AUDITING_CLIENT_TEMPLATE.FAT&amp;display_string=Audit&amp;VAR:KEY=RABSHQFYBG&amp;VAR:QUERY=RkZfRU5UUlBSX1ZBTChRVFIsMzkwNzMsLCwsVVNEKQ==&amp;WINDOW=FIRST_POPUP&amp;HEIGHT=450&amp;WIDTH=450&amp;","START_MAXIMIZED=FALSE&amp;VAR:CALENDAR=US&amp;VAR:SYMBOL=CRM&amp;VAR:INDEX=0"}</definedName>
    <definedName name="_1392__FDSAUDITLINK__" hidden="1">{"fdsup://directions/FAT Viewer?action=UPDATE&amp;creator=factset&amp;DYN_ARGS=TRUE&amp;DOC_NAME=FAT:FQL_AUDITING_CLIENT_TEMPLATE.FAT&amp;display_string=Audit&amp;VAR:KEY=XYRGPCXOVS&amp;VAR:QUERY=RkZfRU5UUlBSX1ZBTChRVFIsMzkwNjYsLCwsVVNEKQ==&amp;WINDOW=FIRST_POPUP&amp;HEIGHT=450&amp;WIDTH=450&amp;","START_MAXIMIZED=FALSE&amp;VAR:CALENDAR=US&amp;VAR:SYMBOL=CRM&amp;VAR:INDEX=0"}</definedName>
    <definedName name="_1393__FDSAUDITLINK__" hidden="1">{"fdsup://directions/FAT Viewer?action=UPDATE&amp;creator=factset&amp;DYN_ARGS=TRUE&amp;DOC_NAME=FAT:FQL_AUDITING_CLIENT_TEMPLATE.FAT&amp;display_string=Audit&amp;VAR:KEY=BKXGJGVYJQ&amp;VAR:QUERY=RkZfRU5UUlBSX1ZBTChRVFIsMzkwNTksLCwsVVNEKQ==&amp;WINDOW=FIRST_POPUP&amp;HEIGHT=450&amp;WIDTH=450&amp;","START_MAXIMIZED=FALSE&amp;VAR:CALENDAR=US&amp;VAR:SYMBOL=CRM&amp;VAR:INDEX=0"}</definedName>
    <definedName name="_1394__FDSAUDITLINK__" hidden="1">{"fdsup://directions/FAT Viewer?action=UPDATE&amp;creator=factset&amp;DYN_ARGS=TRUE&amp;DOC_NAME=FAT:FQL_AUDITING_CLIENT_TEMPLATE.FAT&amp;display_string=Audit&amp;VAR:KEY=XATIDYHUHU&amp;VAR:QUERY=RkZfRU5UUlBSX1ZBTChRVFIsMzkwNTIsLCwsVVNEKQ==&amp;WINDOW=FIRST_POPUP&amp;HEIGHT=450&amp;WIDTH=450&amp;","START_MAXIMIZED=FALSE&amp;VAR:CALENDAR=US&amp;VAR:SYMBOL=CRM&amp;VAR:INDEX=0"}</definedName>
    <definedName name="_1395__FDSAUDITLINK__" hidden="1">{"fdsup://directions/FAT Viewer?action=UPDATE&amp;creator=factset&amp;DYN_ARGS=TRUE&amp;DOC_NAME=FAT:FQL_AUDITING_CLIENT_TEMPLATE.FAT&amp;display_string=Audit&amp;VAR:KEY=LQBCNWTSVW&amp;VAR:QUERY=RkZfRU5UUlBSX1ZBTChRVFIsMzkwNDUsLCwsVVNEKQ==&amp;WINDOW=FIRST_POPUP&amp;HEIGHT=450&amp;WIDTH=450&amp;","START_MAXIMIZED=FALSE&amp;VAR:CALENDAR=US&amp;VAR:SYMBOL=CRM&amp;VAR:INDEX=0"}</definedName>
    <definedName name="_1396__FDSAUDITLINK__" hidden="1">{"fdsup://directions/FAT Viewer?action=UPDATE&amp;creator=factset&amp;DYN_ARGS=TRUE&amp;DOC_NAME=FAT:FQL_AUDITING_CLIENT_TEMPLATE.FAT&amp;display_string=Audit&amp;VAR:KEY=NSJIRMTKLK&amp;VAR:QUERY=RkZfRU5UUlBSX1ZBTChRVFIsMzkwMzgsLCwsVVNEKQ==&amp;WINDOW=FIRST_POPUP&amp;HEIGHT=450&amp;WIDTH=450&amp;","START_MAXIMIZED=FALSE&amp;VAR:CALENDAR=US&amp;VAR:SYMBOL=CRM&amp;VAR:INDEX=0"}</definedName>
    <definedName name="_1397__FDSAUDITLINK__" hidden="1">{"fdsup://directions/FAT Viewer?action=UPDATE&amp;creator=factset&amp;DYN_ARGS=TRUE&amp;DOC_NAME=FAT:FQL_AUDITING_CLIENT_TEMPLATE.FAT&amp;display_string=Audit&amp;VAR:KEY=JCLOBOLWJI&amp;VAR:QUERY=RkZfRU5UUlBSX1ZBTChRVFIsMzkwMzEsLCwsVVNEKQ==&amp;WINDOW=FIRST_POPUP&amp;HEIGHT=450&amp;WIDTH=450&amp;","START_MAXIMIZED=FALSE&amp;VAR:CALENDAR=US&amp;VAR:SYMBOL=CRM&amp;VAR:INDEX=0"}</definedName>
    <definedName name="_1398__FDSAUDITLINK__" hidden="1">{"fdsup://directions/FAT Viewer?action=UPDATE&amp;creator=factset&amp;DYN_ARGS=TRUE&amp;DOC_NAME=FAT:FQL_AUDITING_CLIENT_TEMPLATE.FAT&amp;display_string=Audit&amp;VAR:KEY=PQNWPCBKNS&amp;VAR:QUERY=RkZfRU5UUlBSX1ZBTChRVFIsMzkwMjQsLCwsVVNEKQ==&amp;WINDOW=FIRST_POPUP&amp;HEIGHT=450&amp;WIDTH=450&amp;","START_MAXIMIZED=FALSE&amp;VAR:CALENDAR=US&amp;VAR:SYMBOL=CRM&amp;VAR:INDEX=0"}</definedName>
    <definedName name="_1399__FDSAUDITLINK__" hidden="1">{"fdsup://directions/FAT Viewer?action=UPDATE&amp;creator=factset&amp;DYN_ARGS=TRUE&amp;DOC_NAME=FAT:FQL_AUDITING_CLIENT_TEMPLATE.FAT&amp;display_string=Audit&amp;VAR:KEY=RSNSVYFYZO&amp;VAR:QUERY=RkZfRU5UUlBSX1ZBTChRVFIsMzkwMTcsLCwsVVNEKQ==&amp;WINDOW=FIRST_POPUP&amp;HEIGHT=450&amp;WIDTH=450&amp;","START_MAXIMIZED=FALSE&amp;VAR:CALENDAR=US&amp;VAR:SYMBOL=CRM&amp;VAR:INDEX=0"}</definedName>
    <definedName name="_14__FDSAUDITLINK__" hidden="1">{"fdsup://directions/FAT Viewer?action=UPDATE&amp;creator=factset&amp;DYN_ARGS=TRUE&amp;DOC_NAME=FAT:FQL_AUDITING_CLIENT_TEMPLATE.FAT&amp;display_string=Audit&amp;VAR:KEY=ZQLINOHMBY&amp;VAR:QUERY=Q1NGX0xJQUJTX09USF9YREZEX1JFVihRVFIsNDA4MTYsNDA4MTYsRlEp&amp;WINDOW=FIRST_POPUP&amp;HEIGHT=45","0&amp;WIDTH=450&amp;START_MAXIMIZED=FALSE&amp;VAR:CALENDAR=US&amp;VAR:SYMBOL=011827&amp;VAR:INDEX=0"}</definedName>
    <definedName name="_140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400__FDSAUDITLINK__" hidden="1">{"fdsup://directions/FAT Viewer?action=UPDATE&amp;creator=factset&amp;DYN_ARGS=TRUE&amp;DOC_NAME=FAT:FQL_AUDITING_CLIENT_TEMPLATE.FAT&amp;display_string=Audit&amp;VAR:KEY=LIVWPWPSNS&amp;VAR:QUERY=RkZfRU5UUlBSX1ZBTChRVFIsMzkwMTAsLCwsVVNEKQ==&amp;WINDOW=FIRST_POPUP&amp;HEIGHT=450&amp;WIDTH=450&amp;","START_MAXIMIZED=FALSE&amp;VAR:CALENDAR=US&amp;VAR:SYMBOL=CRM&amp;VAR:INDEX=0"}</definedName>
    <definedName name="_1401__FDSAUDITLINK__" hidden="1">{"fdsup://directions/FAT Viewer?action=UPDATE&amp;creator=factset&amp;DYN_ARGS=TRUE&amp;DOC_NAME=FAT:FQL_AUDITING_CLIENT_TEMPLATE.FAT&amp;display_string=Audit&amp;VAR:KEY=PWVORWBITA&amp;VAR:QUERY=RkZfRU5UUlBSX1ZBTChRVFIsMzkwMDMsLCwsVVNEKQ==&amp;WINDOW=FIRST_POPUP&amp;HEIGHT=450&amp;WIDTH=450&amp;","START_MAXIMIZED=FALSE&amp;VAR:CALENDAR=US&amp;VAR:SYMBOL=CRM&amp;VAR:INDEX=0"}</definedName>
    <definedName name="_1402__FDSAUDITLINK__" hidden="1">{"fdsup://directions/FAT Viewer?action=UPDATE&amp;creator=factset&amp;DYN_ARGS=TRUE&amp;DOC_NAME=FAT:FQL_AUDITING_CLIENT_TEMPLATE.FAT&amp;display_string=Audit&amp;VAR:KEY=NGPENSHKZU&amp;VAR:QUERY=RkZfRU5UUlBSX1ZBTChRVFIsMzg5OTYsLCwsVVNEKQ==&amp;WINDOW=FIRST_POPUP&amp;HEIGHT=450&amp;WIDTH=450&amp;","START_MAXIMIZED=FALSE&amp;VAR:CALENDAR=US&amp;VAR:SYMBOL=CRM&amp;VAR:INDEX=0"}</definedName>
    <definedName name="_1403__FDSAUDITLINK__" hidden="1">{"fdsup://directions/FAT Viewer?action=UPDATE&amp;creator=factset&amp;DYN_ARGS=TRUE&amp;DOC_NAME=FAT:FQL_AUDITING_CLIENT_TEMPLATE.FAT&amp;display_string=Audit&amp;VAR:KEY=NUFETQDGHY&amp;VAR:QUERY=RkZfRU5UUlBSX1ZBTChRVFIsMzg5ODksLCwsVVNEKQ==&amp;WINDOW=FIRST_POPUP&amp;HEIGHT=450&amp;WIDTH=450&amp;","START_MAXIMIZED=FALSE&amp;VAR:CALENDAR=US&amp;VAR:SYMBOL=CRM&amp;VAR:INDEX=0"}</definedName>
    <definedName name="_1404__FDSAUDITLINK__" hidden="1">{"fdsup://directions/FAT Viewer?action=UPDATE&amp;creator=factset&amp;DYN_ARGS=TRUE&amp;DOC_NAME=FAT:FQL_AUDITING_CLIENT_TEMPLATE.FAT&amp;display_string=Audit&amp;VAR:KEY=ZQLSRCZIJU&amp;VAR:QUERY=RkZfRU5UUlBSX1ZBTChRVFIsMzg5ODIsLCwsVVNEKQ==&amp;WINDOW=FIRST_POPUP&amp;HEIGHT=450&amp;WIDTH=450&amp;","START_MAXIMIZED=FALSE&amp;VAR:CALENDAR=US&amp;VAR:SYMBOL=CRM&amp;VAR:INDEX=0"}</definedName>
    <definedName name="_1405__FDSAUDITLINK__" hidden="1">{"fdsup://directions/FAT Viewer?action=UPDATE&amp;creator=factset&amp;DYN_ARGS=TRUE&amp;DOC_NAME=FAT:FQL_AUDITING_CLIENT_TEMPLATE.FAT&amp;display_string=Audit&amp;VAR:KEY=BYBEXMPQXO&amp;VAR:QUERY=RkZfRU5UUlBSX1ZBTChRVFIsMzg5NzUsLCwsVVNEKQ==&amp;WINDOW=FIRST_POPUP&amp;HEIGHT=450&amp;WIDTH=450&amp;","START_MAXIMIZED=FALSE&amp;VAR:CALENDAR=US&amp;VAR:SYMBOL=CRM&amp;VAR:INDEX=0"}</definedName>
    <definedName name="_1406__FDSAUDITLINK__" hidden="1">{"fdsup://directions/FAT Viewer?action=UPDATE&amp;creator=factset&amp;DYN_ARGS=TRUE&amp;DOC_NAME=FAT:FQL_AUDITING_CLIENT_TEMPLATE.FAT&amp;display_string=Audit&amp;VAR:KEY=ZKBMHEDYZO&amp;VAR:QUERY=RkZfRU5UUlBSX1ZBTChRVFIsMzg5NjgsLCwsVVNEKQ==&amp;WINDOW=FIRST_POPUP&amp;HEIGHT=450&amp;WIDTH=450&amp;","START_MAXIMIZED=FALSE&amp;VAR:CALENDAR=US&amp;VAR:SYMBOL=CRM&amp;VAR:INDEX=0"}</definedName>
    <definedName name="_1407__FDSAUDITLINK__" hidden="1">{"fdsup://directions/FAT Viewer?action=UPDATE&amp;creator=factset&amp;DYN_ARGS=TRUE&amp;DOC_NAME=FAT:FQL_AUDITING_CLIENT_TEMPLATE.FAT&amp;display_string=Audit&amp;VAR:KEY=LOPONALIVO&amp;VAR:QUERY=RkZfRU5UUlBSX1ZBTChRVFIsMzg5NjEsLCwsVVNEKQ==&amp;WINDOW=FIRST_POPUP&amp;HEIGHT=450&amp;WIDTH=450&amp;","START_MAXIMIZED=FALSE&amp;VAR:CALENDAR=US&amp;VAR:SYMBOL=CRM&amp;VAR:INDEX=0"}</definedName>
    <definedName name="_1408__FDSAUDITLINK__" hidden="1">{"fdsup://directions/FAT Viewer?action=UPDATE&amp;creator=factset&amp;DYN_ARGS=TRUE&amp;DOC_NAME=FAT:FQL_AUDITING_CLIENT_TEMPLATE.FAT&amp;display_string=Audit&amp;VAR:KEY=HQVYJAVOXC&amp;VAR:QUERY=RkZfRU5UUlBSX1ZBTChRVFIsMzg5NTQsLCwsVVNEKQ==&amp;WINDOW=FIRST_POPUP&amp;HEIGHT=450&amp;WIDTH=450&amp;","START_MAXIMIZED=FALSE&amp;VAR:CALENDAR=US&amp;VAR:SYMBOL=CRM&amp;VAR:INDEX=0"}</definedName>
    <definedName name="_1409__FDSAUDITLINK__" hidden="1">{"fdsup://directions/FAT Viewer?action=UPDATE&amp;creator=factset&amp;DYN_ARGS=TRUE&amp;DOC_NAME=FAT:FQL_AUDITING_CLIENT_TEMPLATE.FAT&amp;display_string=Audit&amp;VAR:KEY=BERGHULOZQ&amp;VAR:QUERY=RkZfRU5UUlBSX1ZBTChRVFIsMzg5NDcsLCwsVVNEKQ==&amp;WINDOW=FIRST_POPUP&amp;HEIGHT=450&amp;WIDTH=450&amp;","START_MAXIMIZED=FALSE&amp;VAR:CALENDAR=US&amp;VAR:SYMBOL=CRM&amp;VAR:INDEX=0"}</definedName>
    <definedName name="_141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410__FDSAUDITLINK__" hidden="1">{"fdsup://directions/FAT Viewer?action=UPDATE&amp;creator=factset&amp;DYN_ARGS=TRUE&amp;DOC_NAME=FAT:FQL_AUDITING_CLIENT_TEMPLATE.FAT&amp;display_string=Audit&amp;VAR:KEY=NYJUNOTAZM&amp;VAR:QUERY=RkZfRU5UUlBSX1ZBTChRVFIsMzg5NDAsLCwsVVNEKQ==&amp;WINDOW=FIRST_POPUP&amp;HEIGHT=450&amp;WIDTH=450&amp;","START_MAXIMIZED=FALSE&amp;VAR:CALENDAR=US&amp;VAR:SYMBOL=CRM&amp;VAR:INDEX=0"}</definedName>
    <definedName name="_1411__FDSAUDITLINK__" hidden="1">{"fdsup://directions/FAT Viewer?action=UPDATE&amp;creator=factset&amp;DYN_ARGS=TRUE&amp;DOC_NAME=FAT:FQL_AUDITING_CLIENT_TEMPLATE.FAT&amp;display_string=Audit&amp;VAR:KEY=BYHKLUPKBU&amp;VAR:QUERY=RkZfRU5UUlBSX1ZBTChRVFIsMzg5MzMsLCwsVVNEKQ==&amp;WINDOW=FIRST_POPUP&amp;HEIGHT=450&amp;WIDTH=450&amp;","START_MAXIMIZED=FALSE&amp;VAR:CALENDAR=US&amp;VAR:SYMBOL=CRM&amp;VAR:INDEX=0"}</definedName>
    <definedName name="_1412__FDSAUDITLINK__" hidden="1">{"fdsup://directions/FAT Viewer?action=UPDATE&amp;creator=factset&amp;DYN_ARGS=TRUE&amp;DOC_NAME=FAT:FQL_AUDITING_CLIENT_TEMPLATE.FAT&amp;display_string=Audit&amp;VAR:KEY=NYLKRIFMZO&amp;VAR:QUERY=RkZfRU5UUlBSX1ZBTChRVFIsMzg5MjYsLCwsVVNEKQ==&amp;WINDOW=FIRST_POPUP&amp;HEIGHT=450&amp;WIDTH=450&amp;","START_MAXIMIZED=FALSE&amp;VAR:CALENDAR=US&amp;VAR:SYMBOL=CRM&amp;VAR:INDEX=0"}</definedName>
    <definedName name="_1413__FDSAUDITLINK__" hidden="1">{"fdsup://directions/FAT Viewer?action=UPDATE&amp;creator=factset&amp;DYN_ARGS=TRUE&amp;DOC_NAME=FAT:FQL_AUDITING_CLIENT_TEMPLATE.FAT&amp;display_string=Audit&amp;VAR:KEY=JUZCZKNCJM&amp;VAR:QUERY=RkZfRU5UUlBSX1ZBTChRVFIsMzg5MTksLCwsVVNEKQ==&amp;WINDOW=FIRST_POPUP&amp;HEIGHT=450&amp;WIDTH=450&amp;","START_MAXIMIZED=FALSE&amp;VAR:CALENDAR=US&amp;VAR:SYMBOL=CRM&amp;VAR:INDEX=0"}</definedName>
    <definedName name="_1414__FDSAUDITLINK__" hidden="1">{"fdsup://directions/FAT Viewer?action=UPDATE&amp;creator=factset&amp;DYN_ARGS=TRUE&amp;DOC_NAME=FAT:FQL_AUDITING_CLIENT_TEMPLATE.FAT&amp;display_string=Audit&amp;VAR:KEY=JSXMNYXKBC&amp;VAR:QUERY=RkZfRU5UUlBSX1ZBTChRVFIsMzg5MTIsLCwsVVNEKQ==&amp;WINDOW=FIRST_POPUP&amp;HEIGHT=450&amp;WIDTH=450&amp;","START_MAXIMIZED=FALSE&amp;VAR:CALENDAR=US&amp;VAR:SYMBOL=CRM&amp;VAR:INDEX=0"}</definedName>
    <definedName name="_1415__FDSAUDITLINK__" hidden="1">{"fdsup://directions/FAT Viewer?action=UPDATE&amp;creator=factset&amp;DYN_ARGS=TRUE&amp;DOC_NAME=FAT:FQL_AUDITING_CLIENT_TEMPLATE.FAT&amp;display_string=Audit&amp;VAR:KEY=DQTQRQDQHW&amp;VAR:QUERY=RkZfRU5UUlBSX1ZBTChRVFIsMzg5MDUsLCwsVVNEKQ==&amp;WINDOW=FIRST_POPUP&amp;HEIGHT=450&amp;WIDTH=450&amp;","START_MAXIMIZED=FALSE&amp;VAR:CALENDAR=US&amp;VAR:SYMBOL=CRM&amp;VAR:INDEX=0"}</definedName>
    <definedName name="_1416__FDSAUDITLINK__" hidden="1">{"fdsup://directions/FAT Viewer?action=UPDATE&amp;creator=factset&amp;DYN_ARGS=TRUE&amp;DOC_NAME=FAT:FQL_AUDITING_CLIENT_TEMPLATE.FAT&amp;display_string=Audit&amp;VAR:KEY=FMDKLWZCBG&amp;VAR:QUERY=RkZfRU5UUlBSX1ZBTChRVFIsMzg4OTgsLCwsVVNEKQ==&amp;WINDOW=FIRST_POPUP&amp;HEIGHT=450&amp;WIDTH=450&amp;","START_MAXIMIZED=FALSE&amp;VAR:CALENDAR=US&amp;VAR:SYMBOL=CRM&amp;VAR:INDEX=0"}</definedName>
    <definedName name="_1417__FDSAUDITLINK__" hidden="1">{"fdsup://directions/FAT Viewer?action=UPDATE&amp;creator=factset&amp;DYN_ARGS=TRUE&amp;DOC_NAME=FAT:FQL_AUDITING_CLIENT_TEMPLATE.FAT&amp;display_string=Audit&amp;VAR:KEY=XERANETQJA&amp;VAR:QUERY=RkZfRU5UUlBSX1ZBTChRVFIsMzg4OTEsLCwsVVNEKQ==&amp;WINDOW=FIRST_POPUP&amp;HEIGHT=450&amp;WIDTH=450&amp;","START_MAXIMIZED=FALSE&amp;VAR:CALENDAR=US&amp;VAR:SYMBOL=CRM&amp;VAR:INDEX=0"}</definedName>
    <definedName name="_1418__FDSAUDITLINK__" hidden="1">{"fdsup://directions/FAT Viewer?action=UPDATE&amp;creator=factset&amp;DYN_ARGS=TRUE&amp;DOC_NAME=FAT:FQL_AUDITING_CLIENT_TEMPLATE.FAT&amp;display_string=Audit&amp;VAR:KEY=POZSVYZOFK&amp;VAR:QUERY=RkZfRU5UUlBSX1ZBTChRVFIsMzg4ODQsLCwsVVNEKQ==&amp;WINDOW=FIRST_POPUP&amp;HEIGHT=450&amp;WIDTH=450&amp;","START_MAXIMIZED=FALSE&amp;VAR:CALENDAR=US&amp;VAR:SYMBOL=CRM&amp;VAR:INDEX=0"}</definedName>
    <definedName name="_1419__FDSAUDITLINK__" hidden="1">{"fdsup://directions/FAT Viewer?action=UPDATE&amp;creator=factset&amp;DYN_ARGS=TRUE&amp;DOC_NAME=FAT:FQL_AUDITING_CLIENT_TEMPLATE.FAT&amp;display_string=Audit&amp;VAR:KEY=DONGHENGJY&amp;VAR:QUERY=RkZfRU5UUlBSX1ZBTChRVFIsMzg4NzcsLCwsVVNEKQ==&amp;WINDOW=FIRST_POPUP&amp;HEIGHT=450&amp;WIDTH=450&amp;","START_MAXIMIZED=FALSE&amp;VAR:CALENDAR=US&amp;VAR:SYMBOL=CRM&amp;VAR:INDEX=0"}</definedName>
    <definedName name="_142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420__FDSAUDITLINK__" hidden="1">{"fdsup://directions/FAT Viewer?action=UPDATE&amp;creator=factset&amp;DYN_ARGS=TRUE&amp;DOC_NAME=FAT:FQL_AUDITING_CLIENT_TEMPLATE.FAT&amp;display_string=Audit&amp;VAR:KEY=PKRWFYTYFU&amp;VAR:QUERY=RkZfRU5UUlBSX1ZBTChRVFIsMzg4NzAsLCwsVVNEKQ==&amp;WINDOW=FIRST_POPUP&amp;HEIGHT=450&amp;WIDTH=450&amp;","START_MAXIMIZED=FALSE&amp;VAR:CALENDAR=US&amp;VAR:SYMBOL=CRM&amp;VAR:INDEX=0"}</definedName>
    <definedName name="_1421__FDSAUDITLINK__" hidden="1">{"fdsup://directions/FAT Viewer?action=UPDATE&amp;creator=factset&amp;DYN_ARGS=TRUE&amp;DOC_NAME=FAT:FQL_AUDITING_CLIENT_TEMPLATE.FAT&amp;display_string=Audit&amp;VAR:KEY=BADMLSJETG&amp;VAR:QUERY=RkZfRU5UUlBSX1ZBTChRVFIsMzg4NjMsLCwsVVNEKQ==&amp;WINDOW=FIRST_POPUP&amp;HEIGHT=450&amp;WIDTH=450&amp;","START_MAXIMIZED=FALSE&amp;VAR:CALENDAR=US&amp;VAR:SYMBOL=CRM&amp;VAR:INDEX=0"}</definedName>
    <definedName name="_1422__FDSAUDITLINK__" hidden="1">{"fdsup://directions/FAT Viewer?action=UPDATE&amp;creator=factset&amp;DYN_ARGS=TRUE&amp;DOC_NAME=FAT:FQL_AUDITING_CLIENT_TEMPLATE.FAT&amp;display_string=Audit&amp;VAR:KEY=NYFUHSTMVS&amp;VAR:QUERY=RkZfRU5UUlBSX1ZBTChRVFIsMzg4NTYsLCwsVVNEKQ==&amp;WINDOW=FIRST_POPUP&amp;HEIGHT=450&amp;WIDTH=450&amp;","START_MAXIMIZED=FALSE&amp;VAR:CALENDAR=US&amp;VAR:SYMBOL=CRM&amp;VAR:INDEX=0"}</definedName>
    <definedName name="_1423__FDSAUDITLINK__" hidden="1">{"fdsup://directions/FAT Viewer?action=UPDATE&amp;creator=factset&amp;DYN_ARGS=TRUE&amp;DOC_NAME=FAT:FQL_AUDITING_CLIENT_TEMPLATE.FAT&amp;display_string=Audit&amp;VAR:KEY=VYZITQHUDI&amp;VAR:QUERY=RkZfRU5UUlBSX1ZBTChRVFIsMzg4NDksLCwsVVNEKQ==&amp;WINDOW=FIRST_POPUP&amp;HEIGHT=450&amp;WIDTH=450&amp;","START_MAXIMIZED=FALSE&amp;VAR:CALENDAR=US&amp;VAR:SYMBOL=CRM&amp;VAR:INDEX=0"}</definedName>
    <definedName name="_1424__FDSAUDITLINK__" hidden="1">{"fdsup://directions/FAT Viewer?action=UPDATE&amp;creator=factset&amp;DYN_ARGS=TRUE&amp;DOC_NAME=FAT:FQL_AUDITING_CLIENT_TEMPLATE.FAT&amp;display_string=Audit&amp;VAR:KEY=BQVWJIPWPO&amp;VAR:QUERY=RkZfRU5UUlBSX1ZBTChRVFIsMzg4NDIsLCwsVVNEKQ==&amp;WINDOW=FIRST_POPUP&amp;HEIGHT=450&amp;WIDTH=450&amp;","START_MAXIMIZED=FALSE&amp;VAR:CALENDAR=US&amp;VAR:SYMBOL=CRM&amp;VAR:INDEX=0"}</definedName>
    <definedName name="_1425__FDSAUDITLINK__" hidden="1">{"fdsup://directions/FAT Viewer?action=UPDATE&amp;creator=factset&amp;DYN_ARGS=TRUE&amp;DOC_NAME=FAT:FQL_AUDITING_CLIENT_TEMPLATE.FAT&amp;display_string=Audit&amp;VAR:KEY=BOLEJOJIVM&amp;VAR:QUERY=RkZfRU5UUlBSX1ZBTChRVFIsMzg4MzUsLCwsVVNEKQ==&amp;WINDOW=FIRST_POPUP&amp;HEIGHT=450&amp;WIDTH=450&amp;","START_MAXIMIZED=FALSE&amp;VAR:CALENDAR=US&amp;VAR:SYMBOL=CRM&amp;VAR:INDEX=0"}</definedName>
    <definedName name="_1426__FDSAUDITLINK__" hidden="1">{"fdsup://directions/FAT Viewer?action=UPDATE&amp;creator=factset&amp;DYN_ARGS=TRUE&amp;DOC_NAME=FAT:FQL_AUDITING_CLIENT_TEMPLATE.FAT&amp;display_string=Audit&amp;VAR:KEY=ZOFGLEBIZA&amp;VAR:QUERY=RkZfRU5UUlBSX1ZBTChRVFIsMzg4MjgsLCwsVVNEKQ==&amp;WINDOW=FIRST_POPUP&amp;HEIGHT=450&amp;WIDTH=450&amp;","START_MAXIMIZED=FALSE&amp;VAR:CALENDAR=US&amp;VAR:SYMBOL=CRM&amp;VAR:INDEX=0"}</definedName>
    <definedName name="_1427__FDSAUDITLINK__" hidden="1">{"fdsup://directions/FAT Viewer?action=UPDATE&amp;creator=factset&amp;DYN_ARGS=TRUE&amp;DOC_NAME=FAT:FQL_AUDITING_CLIENT_TEMPLATE.FAT&amp;display_string=Audit&amp;VAR:KEY=TCVCZKVYNO&amp;VAR:QUERY=RkZfRU5UUlBSX1ZBTChRVFIsMzg4MjAsLCwsVVNEKQ==&amp;WINDOW=FIRST_POPUP&amp;HEIGHT=450&amp;WIDTH=450&amp;","START_MAXIMIZED=FALSE&amp;VAR:CALENDAR=US&amp;VAR:SYMBOL=CRM&amp;VAR:INDEX=0"}</definedName>
    <definedName name="_1428__FDSAUDITLINK__" hidden="1">{"fdsup://directions/FAT Viewer?action=UPDATE&amp;creator=factset&amp;DYN_ARGS=TRUE&amp;DOC_NAME=FAT:FQL_AUDITING_CLIENT_TEMPLATE.FAT&amp;display_string=Audit&amp;VAR:KEY=JUHIFIHSFO&amp;VAR:QUERY=RkZfRU5UUlBSX1ZBTChRVFIsMzg4MTQsLCwsVVNEKQ==&amp;WINDOW=FIRST_POPUP&amp;HEIGHT=450&amp;WIDTH=450&amp;","START_MAXIMIZED=FALSE&amp;VAR:CALENDAR=US&amp;VAR:SYMBOL=CRM&amp;VAR:INDEX=0"}</definedName>
    <definedName name="_1429__FDSAUDITLINK__" hidden="1">{"fdsup://directions/FAT Viewer?action=UPDATE&amp;creator=factset&amp;DYN_ARGS=TRUE&amp;DOC_NAME=FAT:FQL_AUDITING_CLIENT_TEMPLATE.FAT&amp;display_string=Audit&amp;VAR:KEY=VCHGXMZETK&amp;VAR:QUERY=RkZfRU5UUlBSX1ZBTChRVFIsMzg4MDcsLCwsVVNEKQ==&amp;WINDOW=FIRST_POPUP&amp;HEIGHT=450&amp;WIDTH=450&amp;","START_MAXIMIZED=FALSE&amp;VAR:CALENDAR=US&amp;VAR:SYMBOL=CRM&amp;VAR:INDEX=0"}</definedName>
    <definedName name="_143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430__FDSAUDITLINK__" hidden="1">{"fdsup://directions/FAT Viewer?action=UPDATE&amp;creator=factset&amp;DYN_ARGS=TRUE&amp;DOC_NAME=FAT:FQL_AUDITING_CLIENT_TEMPLATE.FAT&amp;display_string=Audit&amp;VAR:KEY=HCJKHOFSBO&amp;VAR:QUERY=RkZfRU5UUlBSX1ZBTChRVFIsMzg4MDAsLCwsVVNEKQ==&amp;WINDOW=FIRST_POPUP&amp;HEIGHT=450&amp;WIDTH=450&amp;","START_MAXIMIZED=FALSE&amp;VAR:CALENDAR=US&amp;VAR:SYMBOL=CRM&amp;VAR:INDEX=0"}</definedName>
    <definedName name="_1431__FDSAUDITLINK__" hidden="1">{"fdsup://directions/FAT Viewer?action=UPDATE&amp;creator=factset&amp;DYN_ARGS=TRUE&amp;DOC_NAME=FAT:FQL_AUDITING_CLIENT_TEMPLATE.FAT&amp;display_string=Audit&amp;VAR:KEY=RWRUPWFQFQ&amp;VAR:QUERY=RkZfRU5UUlBSX1ZBTChRVFIsMzg3OTMsLCwsVVNEKQ==&amp;WINDOW=FIRST_POPUP&amp;HEIGHT=450&amp;WIDTH=450&amp;","START_MAXIMIZED=FALSE&amp;VAR:CALENDAR=US&amp;VAR:SYMBOL=CRM&amp;VAR:INDEX=0"}</definedName>
    <definedName name="_1432__FDSAUDITLINK__" hidden="1">{"fdsup://directions/FAT Viewer?action=UPDATE&amp;creator=factset&amp;DYN_ARGS=TRUE&amp;DOC_NAME=FAT:FQL_AUDITING_CLIENT_TEMPLATE.FAT&amp;display_string=Audit&amp;VAR:KEY=FCJYHOTOFU&amp;VAR:QUERY=RkZfRU5UUlBSX1ZBTChRVFIsMzg3ODYsLCwsVVNEKQ==&amp;WINDOW=FIRST_POPUP&amp;HEIGHT=450&amp;WIDTH=450&amp;","START_MAXIMIZED=FALSE&amp;VAR:CALENDAR=US&amp;VAR:SYMBOL=CRM&amp;VAR:INDEX=0"}</definedName>
    <definedName name="_1433__FDSAUDITLINK__" hidden="1">{"fdsup://directions/FAT Viewer?action=UPDATE&amp;creator=factset&amp;DYN_ARGS=TRUE&amp;DOC_NAME=FAT:FQL_AUDITING_CLIENT_TEMPLATE.FAT&amp;display_string=Audit&amp;VAR:KEY=HMLWJCDKTS&amp;VAR:QUERY=RkZfRU5UUlBSX1ZBTChRVFIsMzg3NzksLCwsVVNEKQ==&amp;WINDOW=FIRST_POPUP&amp;HEIGHT=450&amp;WIDTH=450&amp;","START_MAXIMIZED=FALSE&amp;VAR:CALENDAR=US&amp;VAR:SYMBOL=CRM&amp;VAR:INDEX=0"}</definedName>
    <definedName name="_1434__FDSAUDITLINK__" hidden="1">{"fdsup://directions/FAT Viewer?action=UPDATE&amp;creator=factset&amp;DYN_ARGS=TRUE&amp;DOC_NAME=FAT:FQL_AUDITING_CLIENT_TEMPLATE.FAT&amp;display_string=Audit&amp;VAR:KEY=VGROPUPQHQ&amp;VAR:QUERY=RkZfRU5UUlBSX1ZBTChRVFIsMzg3NzIsLCwsVVNEKQ==&amp;WINDOW=FIRST_POPUP&amp;HEIGHT=450&amp;WIDTH=450&amp;","START_MAXIMIZED=FALSE&amp;VAR:CALENDAR=US&amp;VAR:SYMBOL=CRM&amp;VAR:INDEX=0"}</definedName>
    <definedName name="_1435__FDSAUDITLINK__" hidden="1">{"fdsup://directions/FAT Viewer?action=UPDATE&amp;creator=factset&amp;DYN_ARGS=TRUE&amp;DOC_NAME=FAT:FQL_AUDITING_CLIENT_TEMPLATE.FAT&amp;display_string=Audit&amp;VAR:KEY=HEPWDKNQHI&amp;VAR:QUERY=RkZfRU5UUlBSX1ZBTChRVFIsMzg3NjUsLCwsVVNEKQ==&amp;WINDOW=FIRST_POPUP&amp;HEIGHT=450&amp;WIDTH=450&amp;","START_MAXIMIZED=FALSE&amp;VAR:CALENDAR=US&amp;VAR:SYMBOL=CRM&amp;VAR:INDEX=0"}</definedName>
    <definedName name="_1436__FDSAUDITLINK__" hidden="1">{"fdsup://directions/FAT Viewer?action=UPDATE&amp;creator=factset&amp;DYN_ARGS=TRUE&amp;DOC_NAME=FAT:FQL_AUDITING_CLIENT_TEMPLATE.FAT&amp;display_string=Audit&amp;VAR:KEY=VEBWFANKBS&amp;VAR:QUERY=RkZfRU5UUlBSX1ZBTChRVFIsMzg3NTgsLCwsVVNEKQ==&amp;WINDOW=FIRST_POPUP&amp;HEIGHT=450&amp;WIDTH=450&amp;","START_MAXIMIZED=FALSE&amp;VAR:CALENDAR=US&amp;VAR:SYMBOL=CRM&amp;VAR:INDEX=0"}</definedName>
    <definedName name="_1437__FDSAUDITLINK__" hidden="1">{"fdsup://directions/FAT Viewer?action=UPDATE&amp;creator=factset&amp;DYN_ARGS=TRUE&amp;DOC_NAME=FAT:FQL_AUDITING_CLIENT_TEMPLATE.FAT&amp;display_string=Audit&amp;VAR:KEY=HMRABAZQPA&amp;VAR:QUERY=RkZfRU5UUlBSX1ZBTChRVFIsMzg3NTEsLCwsVVNEKQ==&amp;WINDOW=FIRST_POPUP&amp;HEIGHT=450&amp;WIDTH=450&amp;","START_MAXIMIZED=FALSE&amp;VAR:CALENDAR=US&amp;VAR:SYMBOL=CRM&amp;VAR:INDEX=0"}</definedName>
    <definedName name="_1438__FDSAUDITLINK__" hidden="1">{"fdsup://directions/FAT Viewer?action=UPDATE&amp;creator=factset&amp;DYN_ARGS=TRUE&amp;DOC_NAME=FAT:FQL_AUDITING_CLIENT_TEMPLATE.FAT&amp;display_string=Audit&amp;VAR:KEY=LEPOLWNGDK&amp;VAR:QUERY=RkZfRU5UUlBSX1ZBTChRVFIsMzg3NDQsLCwsVVNEKQ==&amp;WINDOW=FIRST_POPUP&amp;HEIGHT=450&amp;WIDTH=450&amp;","START_MAXIMIZED=FALSE&amp;VAR:CALENDAR=US&amp;VAR:SYMBOL=CRM&amp;VAR:INDEX=0"}</definedName>
    <definedName name="_1439__FDSAUDITLINK__" hidden="1">{"fdsup://directions/FAT Viewer?action=UPDATE&amp;creator=factset&amp;DYN_ARGS=TRUE&amp;DOC_NAME=FAT:FQL_AUDITING_CLIENT_TEMPLATE.FAT&amp;display_string=Audit&amp;VAR:KEY=DGJCVCRCJK&amp;VAR:QUERY=RkZfRU5UUlBSX1ZBTChRVFIsMzg3MzcsLCwsVVNEKQ==&amp;WINDOW=FIRST_POPUP&amp;HEIGHT=450&amp;WIDTH=450&amp;","START_MAXIMIZED=FALSE&amp;VAR:CALENDAR=US&amp;VAR:SYMBOL=CRM&amp;VAR:INDEX=0"}</definedName>
    <definedName name="_144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440__FDSAUDITLINK__" hidden="1">{"fdsup://directions/FAT Viewer?action=UPDATE&amp;creator=factset&amp;DYN_ARGS=TRUE&amp;DOC_NAME=FAT:FQL_AUDITING_CLIENT_TEMPLATE.FAT&amp;display_string=Audit&amp;VAR:KEY=LUNOZCJYZG&amp;VAR:QUERY=RkZfRU5UUlBSX1ZBTChRVFIsMzg3MzAsLCwsVVNEKQ==&amp;WINDOW=FIRST_POPUP&amp;HEIGHT=450&amp;WIDTH=450&amp;","START_MAXIMIZED=FALSE&amp;VAR:CALENDAR=US&amp;VAR:SYMBOL=CRM&amp;VAR:INDEX=0"}</definedName>
    <definedName name="_1441__FDSAUDITLINK__" hidden="1">{"fdsup://directions/FAT Viewer?action=UPDATE&amp;creator=factset&amp;DYN_ARGS=TRUE&amp;DOC_NAME=FAT:FQL_AUDITING_CLIENT_TEMPLATE.FAT&amp;display_string=Audit&amp;VAR:KEY=ZKZKJIPARU&amp;VAR:QUERY=RkZfRU5UUlBSX1ZBTChRVFIsMzg3MjMsLCwsVVNEKQ==&amp;WINDOW=FIRST_POPUP&amp;HEIGHT=450&amp;WIDTH=450&amp;","START_MAXIMIZED=FALSE&amp;VAR:CALENDAR=US&amp;VAR:SYMBOL=CRM&amp;VAR:INDEX=0"}</definedName>
    <definedName name="_1442__FDSAUDITLINK__" hidden="1">{"fdsup://directions/FAT Viewer?action=UPDATE&amp;creator=factset&amp;DYN_ARGS=TRUE&amp;DOC_NAME=FAT:FQL_AUDITING_CLIENT_TEMPLATE.FAT&amp;display_string=Audit&amp;VAR:KEY=NOREVGXGZC&amp;VAR:QUERY=RkZfRU5UUlBSX1ZBTChRVFIsMzg3MTYsLCwsVVNEKQ==&amp;WINDOW=FIRST_POPUP&amp;HEIGHT=450&amp;WIDTH=450&amp;","START_MAXIMIZED=FALSE&amp;VAR:CALENDAR=US&amp;VAR:SYMBOL=CRM&amp;VAR:INDEX=0"}</definedName>
    <definedName name="_1443__FDSAUDITLINK__" hidden="1">{"fdsup://directions/FAT Viewer?action=UPDATE&amp;creator=factset&amp;DYN_ARGS=TRUE&amp;DOC_NAME=FAT:FQL_AUDITING_CLIENT_TEMPLATE.FAT&amp;display_string=Audit&amp;VAR:KEY=TARMFKNIJA&amp;VAR:QUERY=RkZfRU5UUlBSX1ZBTChRVFIsMzg3MDksLCwsVVNEKQ==&amp;WINDOW=FIRST_POPUP&amp;HEIGHT=450&amp;WIDTH=450&amp;","START_MAXIMIZED=FALSE&amp;VAR:CALENDAR=US&amp;VAR:SYMBOL=CRM&amp;VAR:INDEX=0"}</definedName>
    <definedName name="_1444__FDSAUDITLINK__" hidden="1">{"fdsup://directions/FAT Viewer?action=UPDATE&amp;creator=factset&amp;DYN_ARGS=TRUE&amp;DOC_NAME=FAT:FQL_AUDITING_CLIENT_TEMPLATE.FAT&amp;display_string=Audit&amp;VAR:KEY=TKDWTSVEVI&amp;VAR:QUERY=RkZfRU5UUlBSX1ZBTChRVFIsMzg3MDIsLCwsVVNEKQ==&amp;WINDOW=FIRST_POPUP&amp;HEIGHT=450&amp;WIDTH=450&amp;","START_MAXIMIZED=FALSE&amp;VAR:CALENDAR=US&amp;VAR:SYMBOL=CRM&amp;VAR:INDEX=0"}</definedName>
    <definedName name="_1445__FDSAUDITLINK__" hidden="1">{"fdsup://directions/FAT Viewer?action=UPDATE&amp;creator=factset&amp;DYN_ARGS=TRUE&amp;DOC_NAME=FAT:FQL_AUDITING_CLIENT_TEMPLATE.FAT&amp;display_string=Audit&amp;VAR:KEY=XOFQDKNCBK&amp;VAR:QUERY=RkZfRU5UUlBSX1ZBTChRVFIsMzg2OTUsLCwsVVNEKQ==&amp;WINDOW=FIRST_POPUP&amp;HEIGHT=450&amp;WIDTH=450&amp;","START_MAXIMIZED=FALSE&amp;VAR:CALENDAR=US&amp;VAR:SYMBOL=CRM&amp;VAR:INDEX=0"}</definedName>
    <definedName name="_145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46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47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48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49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5__FDSAUDITLINK__" hidden="1">{"fdsup://directions/FAT Viewer?action=UPDATE&amp;creator=factset&amp;DYN_ARGS=TRUE&amp;DOC_NAME=FAT:FQL_AUDITING_CLIENT_TEMPLATE.FAT&amp;display_string=Audit&amp;VAR:KEY=JAXURYJIHY&amp;VAR:QUERY=Q1NGX0xJQUJTX09USF9YREZEX1JFVihRVFIsNDA3MjQsNDA3MjQsRlEp&amp;WINDOW=FIRST_POPUP&amp;HEIGHT=45","0&amp;WIDTH=450&amp;START_MAXIMIZED=FALSE&amp;VAR:CALENDAR=US&amp;VAR:SYMBOL=011827&amp;VAR:INDEX=0"}</definedName>
    <definedName name="_150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51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52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53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54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55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56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57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58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59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6__FDSAUDITLINK__" hidden="1">{"fdsup://directions/FAT Viewer?action=UPDATE&amp;creator=factset&amp;DYN_ARGS=TRUE&amp;DOC_NAME=FAT:FQL_AUDITING_CLIENT_TEMPLATE.FAT&amp;display_string=Audit&amp;VAR:KEY=PQJYNCDAHA&amp;VAR:QUERY=Q1NGX0xJQUJTX09USF9YREZEX1JFVihRVFIsNDA2MzMsNDA2MzMsRlEp&amp;WINDOW=FIRST_POPUP&amp;HEIGHT=45","0&amp;WIDTH=450&amp;START_MAXIMIZED=FALSE&amp;VAR:CALENDAR=US&amp;VAR:SYMBOL=011827&amp;VAR:INDEX=0"}</definedName>
    <definedName name="_160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61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62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63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64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65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66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67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68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69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7__FDSAUDITLINK__" hidden="1">{"fdsup://directions/FAT Viewer?action=UPDATE&amp;creator=factset&amp;DYN_ARGS=TRUE&amp;DOC_NAME=FAT:FQL_AUDITING_CLIENT_TEMPLATE.FAT&amp;display_string=Audit&amp;VAR:KEY=FYBMZABOJU&amp;VAR:QUERY=Q1NGX0xJQUJTX09USF9YREZEX1JFVihRVFIsNDA1NDMsNDA1NDMsRlEp&amp;WINDOW=FIRST_POPUP&amp;HEIGHT=45","0&amp;WIDTH=450&amp;START_MAXIMIZED=FALSE&amp;VAR:CALENDAR=US&amp;VAR:SYMBOL=011827&amp;VAR:INDEX=0"}</definedName>
    <definedName name="_170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71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72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73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74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75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76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77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78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79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8__FDSAUDITLINK__" hidden="1">{"fdsup://directions/FAT Viewer?action=UPDATE&amp;creator=factset&amp;DYN_ARGS=TRUE&amp;DOC_NAME=FAT:FQL_AUDITING_CLIENT_TEMPLATE.FAT&amp;display_string=Audit&amp;VAR:KEY=FYBMZABOJU&amp;VAR:QUERY=Q1NGX0xJQUJTX09USF9YREZEX1JFVihRVFIsNDA1NDMsNDA1NDMsRlEp&amp;WINDOW=FIRST_POPUP&amp;HEIGHT=45","0&amp;WIDTH=450&amp;START_MAXIMIZED=FALSE&amp;VAR:CALENDAR=US&amp;VAR:SYMBOL=011827&amp;VAR:INDEX=0"}</definedName>
    <definedName name="_180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81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82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83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84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85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86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87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88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89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9__FDSAUDITLINK__" hidden="1">{"fdsup://directions/FAT Viewer?action=UPDATE&amp;creator=factset&amp;DYN_ARGS=TRUE&amp;DOC_NAME=FAT:FQL_AUDITING_CLIENT_TEMPLATE.FAT&amp;display_string=Audit&amp;VAR:KEY=JKZYLARAJQ&amp;VAR:QUERY=Q1NGX0xJQUJTX09USF9YREZEX1JFVihRVFIsNDA0NTEsNDA0NTEsRlEp&amp;WINDOW=FIRST_POPUP&amp;HEIGHT=45","0&amp;WIDTH=450&amp;START_MAXIMIZED=FALSE&amp;VAR:CALENDAR=US&amp;VAR:SYMBOL=011827&amp;VAR:INDEX=0"}</definedName>
    <definedName name="_190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91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92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93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94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95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96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97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98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99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1c00">Model!$L$6:$L$288</definedName>
    <definedName name="_1c01">Model!$R$6:$R$288</definedName>
    <definedName name="_1c02">Model!$G$6:$G$278</definedName>
    <definedName name="_1c03">Model!$M$6:$M$278</definedName>
    <definedName name="_1c04">Model!$S$6:$S$278</definedName>
    <definedName name="_1c05">Model!$Y$6:$Y$278</definedName>
    <definedName name="_1c06">Model!$AE$6:$AE$278</definedName>
    <definedName name="_1c07">Model!$AK$6:$AK$278</definedName>
    <definedName name="_1c08">Model!$AQ$5:$AQ$50003</definedName>
    <definedName name="_1c09">Model!$AW$5:$AW$50003</definedName>
    <definedName name="_1c10">Model!$BC$5:$BC$50003</definedName>
    <definedName name="_1c11">Model!$BI$5:$BI$50003</definedName>
    <definedName name="_1c12">Model!$BO$5:$BO$50003</definedName>
    <definedName name="_1c13">Model!$BU$5:$BU$50003</definedName>
    <definedName name="_1c14">Model!$CA$5:$CA$50003</definedName>
    <definedName name="_1c15">Model!$CG$5:$CG$50003</definedName>
    <definedName name="_1c99">Model!$F$6:$F$288</definedName>
    <definedName name="_2__123Graph_Aｸﾞﾗﾌ_1" hidden="1">[1]ｾｸﾞﾒﾝﾄ!$E$164:$I$164</definedName>
    <definedName name="_2__FDSAUDITLINK__" localSheetId="6" hidden="1">{"fdsup://directions/FAT Viewer?action=UPDATE&amp;creator=factset&amp;DYN_ARGS=TRUE&amp;DOC_NAME=FAT:FQL_AUDITING_CLIENT_TEMPLATE.FAT&amp;display_string=Audit&amp;VAR:KEY=JIJGBEJAJW&amp;VAR:QUERY=RkZfRUJJVF9PUEVSKDM3MjU2LDM3MjU2LEFZLCwsVVNEKQ==&amp;WINDOW=FIRST_POPUP&amp;HEIGHT=450&amp;WIDTH=","450&amp;START_MAXIMIZED=FALSE&amp;VAR:CALENDAR=US&amp;VAR:SYMBOL=B109&amp;VAR:INDEX=0"}</definedName>
    <definedName name="_20__FDSAUDITLINK__" hidden="1">{"fdsup://directions/FAT Viewer?action=UPDATE&amp;creator=factset&amp;DYN_ARGS=TRUE&amp;DOC_NAME=FAT:FQL_AUDITING_CLIENT_TEMPLATE.FAT&amp;display_string=Audit&amp;VAR:KEY=ZKJQDSZAJO&amp;VAR:QUERY=Q1NGX0xJQUJTX09USF9YREZEX1JFVihRVFIsNDAzNTksNDAzNTksRlEp&amp;WINDOW=FIRST_POPUP&amp;HEIGHT=45","0&amp;WIDTH=450&amp;START_MAXIMIZED=FALSE&amp;VAR:CALENDAR=US&amp;VAR:SYMBOL=011827&amp;VAR:INDEX=0"}</definedName>
    <definedName name="_200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201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202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203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204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205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206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207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208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209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21__FDSAUDITLINK__" hidden="1">{"fdsup://directions/FAT Viewer?action=UPDATE&amp;creator=factset&amp;DYN_ARGS=TRUE&amp;DOC_NAME=FAT:FQL_AUDITING_CLIENT_TEMPLATE.FAT&amp;display_string=Audit&amp;VAR:KEY=HERSVKVWRA&amp;VAR:QUERY=Q1NGX0xJQUJTX09USF9YREZEX1JFVihRVFIsNDAyNjgsNDAyNjgsRlEp&amp;WINDOW=FIRST_POPUP&amp;HEIGHT=45","0&amp;WIDTH=450&amp;START_MAXIMIZED=FALSE&amp;VAR:CALENDAR=US&amp;VAR:SYMBOL=011827&amp;VAR:INDEX=0"}</definedName>
    <definedName name="_210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211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212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213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214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215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216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217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218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219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22__FDSAUDITLINK__" hidden="1">{"fdsup://directions/FAT Viewer?action=UPDATE&amp;creator=factset&amp;DYN_ARGS=TRUE&amp;DOC_NAME=FAT:FQL_AUDITING_CLIENT_TEMPLATE.FAT&amp;display_string=Audit&amp;VAR:KEY=LADYXAJCPU&amp;VAR:QUERY=Q1NGX0xJQUJTX09USF9YREZEX1JFVihRVFIsNDAxNzgsNDAxNzgsRlEp&amp;WINDOW=FIRST_POPUP&amp;HEIGHT=45","0&amp;WIDTH=450&amp;START_MAXIMIZED=FALSE&amp;VAR:CALENDAR=US&amp;VAR:SYMBOL=011827&amp;VAR:INDEX=0"}</definedName>
    <definedName name="_220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221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222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223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224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225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226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227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228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229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23__FDSAUDITLINK__" hidden="1">{"fdsup://directions/FAT Viewer?action=UPDATE&amp;creator=factset&amp;DYN_ARGS=TRUE&amp;DOC_NAME=FAT:FQL_AUDITING_CLIENT_TEMPLATE.FAT&amp;display_string=Audit&amp;VAR:KEY=LADYXAJCPU&amp;VAR:QUERY=Q1NGX0xJQUJTX09USF9YREZEX1JFVihRVFIsNDAxNzgsNDAxNzgsRlEp&amp;WINDOW=FIRST_POPUP&amp;HEIGHT=45","0&amp;WIDTH=450&amp;START_MAXIMIZED=FALSE&amp;VAR:CALENDAR=US&amp;VAR:SYMBOL=011827&amp;VAR:INDEX=0"}</definedName>
    <definedName name="_230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231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232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233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234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235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236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237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238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239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24__FDSAUDITLINK__" hidden="1">{"fdsup://directions/FAT Viewer?action=UPDATE&amp;creator=factset&amp;DYN_ARGS=TRUE&amp;DOC_NAME=FAT:FQL_AUDITING_CLIENT_TEMPLATE.FAT&amp;display_string=Audit&amp;VAR:KEY=BMPSPKFCLC&amp;VAR:QUERY=Q1NGX0xJQUJTX09USF9YREZEX1JFVihRVFIsNDAwODYsNDAwODYsRlEp&amp;WINDOW=FIRST_POPUP&amp;HEIGHT=45","0&amp;WIDTH=450&amp;START_MAXIMIZED=FALSE&amp;VAR:CALENDAR=US&amp;VAR:SYMBOL=011827&amp;VAR:INDEX=0"}</definedName>
    <definedName name="_240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241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242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243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244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245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246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247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248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249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25__FDSAUDITLINK__" hidden="1">{"fdsup://directions/FAT Viewer?action=UPDATE&amp;creator=factset&amp;DYN_ARGS=TRUE&amp;DOC_NAME=FAT:FQL_AUDITING_CLIENT_TEMPLATE.FAT&amp;display_string=Audit&amp;VAR:KEY=PIXEBURWHY&amp;VAR:QUERY=Q1NGX0xJQUJTX09USF9YREZEX1JFVihRVFIsMzk5OTQsMzk5OTQsRlEp&amp;WINDOW=FIRST_POPUP&amp;HEIGHT=45","0&amp;WIDTH=450&amp;START_MAXIMIZED=FALSE&amp;VAR:CALENDAR=US&amp;VAR:SYMBOL=011827&amp;VAR:INDEX=0"}</definedName>
    <definedName name="_250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251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252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253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254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255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256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257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258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259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26__FDSAUDITLINK__" hidden="1">{"fdsup://directions/FAT Viewer?action=UPDATE&amp;creator=factset&amp;DYN_ARGS=TRUE&amp;DOC_NAME=FAT:FQL_AUDITING_CLIENT_TEMPLATE.FAT&amp;display_string=Audit&amp;VAR:KEY=BMROJGNODG&amp;VAR:QUERY=Q1NGX0xJQUJTX09USF9YREZEX1JFVihRVFIsMzk5MDMsMzk5MDMsRlEp&amp;WINDOW=FIRST_POPUP&amp;HEIGHT=45","0&amp;WIDTH=450&amp;START_MAXIMIZED=FALSE&amp;VAR:CALENDAR=US&amp;VAR:SYMBOL=011827&amp;VAR:INDEX=0"}</definedName>
    <definedName name="_260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261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262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263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264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265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266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267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268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269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27__FDSAUDITLINK__" hidden="1">{"fdsup://directions/FAT Viewer?action=UPDATE&amp;creator=factset&amp;DYN_ARGS=TRUE&amp;DOC_NAME=FAT:FQL_AUDITING_CLIENT_TEMPLATE.FAT&amp;display_string=Audit&amp;VAR:KEY=RMXOPAXQPQ&amp;VAR:QUERY=Q1NGX0xJQUJTX09USF9YREZEX1JFVihRVFIsMzk4MTMsMzk4MTMsRlEp&amp;WINDOW=FIRST_POPUP&amp;HEIGHT=45","0&amp;WIDTH=450&amp;START_MAXIMIZED=FALSE&amp;VAR:CALENDAR=US&amp;VAR:SYMBOL=011827&amp;VAR:INDEX=0"}</definedName>
    <definedName name="_270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271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272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273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274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275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276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277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278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279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28__FDSAUDITLINK__" hidden="1">{"fdsup://directions/FAT Viewer?action=UPDATE&amp;creator=factset&amp;DYN_ARGS=TRUE&amp;DOC_NAME=FAT:FQL_AUDITING_CLIENT_TEMPLATE.FAT&amp;display_string=Audit&amp;VAR:KEY=RMXOPAXQPQ&amp;VAR:QUERY=Q1NGX0xJQUJTX09USF9YREZEX1JFVihRVFIsMzk4MTMsMzk4MTMsRlEp&amp;WINDOW=FIRST_POPUP&amp;HEIGHT=45","0&amp;WIDTH=450&amp;START_MAXIMIZED=FALSE&amp;VAR:CALENDAR=US&amp;VAR:SYMBOL=011827&amp;VAR:INDEX=0"}</definedName>
    <definedName name="_280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281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282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283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284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285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286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287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288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289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29__FDSAUDITLINK__" hidden="1">{"fdsup://directions/FAT Viewer?action=UPDATE&amp;creator=factset&amp;DYN_ARGS=TRUE&amp;DOC_NAME=FAT:FQL_AUDITING_CLIENT_TEMPLATE.FAT&amp;display_string=Audit&amp;VAR:KEY=JCPABMNYBQ&amp;VAR:QUERY=Q1NGX0xJQUJTX09USF9YREZEX1JFVihRVFIsMzk3MjEsMzk3MjEsRlEp&amp;WINDOW=FIRST_POPUP&amp;HEIGHT=45","0&amp;WIDTH=450&amp;START_MAXIMIZED=FALSE&amp;VAR:CALENDAR=US&amp;VAR:SYMBOL=011827&amp;VAR:INDEX=0"}</definedName>
    <definedName name="_290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291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292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293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294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295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296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297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298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299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2c00">Model!$M$6:$M$288</definedName>
    <definedName name="_2c01">Model!$S$6:$S$288</definedName>
    <definedName name="_2c02">Model!$H$6:$H$278</definedName>
    <definedName name="_2c03">Model!$N$6:$N$278</definedName>
    <definedName name="_2c04">Model!$T$6:$T$278</definedName>
    <definedName name="_2c05">Model!$Z$6:$Z$278</definedName>
    <definedName name="_2c06">Model!$AF$6:$AF$278</definedName>
    <definedName name="_2c07">Model!$AL$6:$AL$278</definedName>
    <definedName name="_2c08">Model!$AR$5:$AR$50003</definedName>
    <definedName name="_2c09">Model!$AX$5:$AX$50003</definedName>
    <definedName name="_2c10">Model!$BD$6:$BD$288</definedName>
    <definedName name="_2c11">Model!$BJ$6:$BJ$294</definedName>
    <definedName name="_2c12">Model!$BP$6:$BP$294</definedName>
    <definedName name="_2c13">Model!$BV$6:$BV$294</definedName>
    <definedName name="_2c14">Model!$CB$6:$CB$294</definedName>
    <definedName name="_2c15">Model!$CH$6:$CH$294</definedName>
    <definedName name="_2c99">Model!$G$6:$G$288</definedName>
    <definedName name="_3__123Graph_Aｸﾞﾗﾌ_2" hidden="1">[1]単独!$AR$14:$AR$18</definedName>
    <definedName name="_3__FDSAUDITLINK__" localSheetId="6" hidden="1">{"fdsup://directions/FAT Viewer?action=UPDATE&amp;creator=factset&amp;DYN_ARGS=TRUE&amp;DOC_NAME=FAT:FQL_AUDITING_CLIENT_TEMPLATE.FAT&amp;display_string=Audit&amp;VAR:KEY=JIJGBEJAJW&amp;VAR:QUERY=RkZfRUJJVF9PUEVSKDM3MjU2LDM3MjU2LEFZLCwsVVNEKQ==&amp;WINDOW=FIRST_POPUP&amp;HEIGHT=450&amp;WIDTH=","450&amp;START_MAXIMIZED=FALSE&amp;VAR:CALENDAR=US&amp;VAR:SYMBOL=B109&amp;VAR:INDEX=0"}</definedName>
    <definedName name="_30__FDSAUDITLINK__" hidden="1">{"fdsup://directions/FAT Viewer?action=UPDATE&amp;creator=factset&amp;DYN_ARGS=TRUE&amp;DOC_NAME=FAT:FQL_AUDITING_CLIENT_TEMPLATE.FAT&amp;display_string=Audit&amp;VAR:KEY=HETQFOZALE&amp;VAR:QUERY=Q1NGX0xJQUJTX09USF9YREZEX1JFVihRVFIsMzk2MjksMzk2MjksRlEp&amp;WINDOW=FIRST_POPUP&amp;HEIGHT=45","0&amp;WIDTH=450&amp;START_MAXIMIZED=FALSE&amp;VAR:CALENDAR=US&amp;VAR:SYMBOL=011827&amp;VAR:INDEX=0"}</definedName>
    <definedName name="_300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301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302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303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304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305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306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307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308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309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31__FDSAUDITLINK__" hidden="1">{"fdsup://directions/FAT Viewer?action=UPDATE&amp;creator=factset&amp;DYN_ARGS=TRUE&amp;DOC_NAME=FAT:FQL_AUDITING_CLIENT_TEMPLATE.FAT&amp;display_string=Audit&amp;VAR:KEY=JKVGRGXYRC&amp;VAR:QUERY=Q1NGX0xJQUJTX09USF9YREZEX1JFVihRVFIsMzk1MzgsMzk1MzgsRlEp&amp;WINDOW=FIRST_POPUP&amp;HEIGHT=45","0&amp;WIDTH=450&amp;START_MAXIMIZED=FALSE&amp;VAR:CALENDAR=US&amp;VAR:SYMBOL=011827&amp;VAR:INDEX=0"}</definedName>
    <definedName name="_310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311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312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313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314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315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316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317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318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319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32__FDSAUDITLINK__" hidden="1">{"fdsup://directions/FAT Viewer?action=UPDATE&amp;creator=factset&amp;DYN_ARGS=TRUE&amp;DOC_NAME=FAT:FQL_AUDITING_CLIENT_TEMPLATE.FAT&amp;display_string=Audit&amp;VAR:KEY=TGVCRQBGRM&amp;VAR:QUERY=Q1NGX0xJQUJTX09USF9YREZEX1JFVihRVFIsMzk0NDcsMzk0NDcsRlEp&amp;WINDOW=FIRST_POPUP&amp;HEIGHT=45","0&amp;WIDTH=450&amp;START_MAXIMIZED=FALSE&amp;VAR:CALENDAR=US&amp;VAR:SYMBOL=011827&amp;VAR:INDEX=0"}</definedName>
    <definedName name="_320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321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322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323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324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325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326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327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328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329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33__FDSAUDITLINK__" hidden="1">{"fdsup://directions/FAT Viewer?action=UPDATE&amp;creator=factset&amp;DYN_ARGS=TRUE&amp;DOC_NAME=FAT:FQL_AUDITING_CLIENT_TEMPLATE.FAT&amp;display_string=Audit&amp;VAR:KEY=TGVCRQBGRM&amp;VAR:QUERY=Q1NGX0xJQUJTX09USF9YREZEX1JFVihRVFIsMzk0NDcsMzk0NDcsRlEp&amp;WINDOW=FIRST_POPUP&amp;HEIGHT=45","0&amp;WIDTH=450&amp;START_MAXIMIZED=FALSE&amp;VAR:CALENDAR=US&amp;VAR:SYMBOL=011827&amp;VAR:INDEX=0"}</definedName>
    <definedName name="_330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331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332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333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334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335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336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337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338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339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34__FDSAUDITLINK__" hidden="1">{"fdsup://directions/FAT Viewer?action=UPDATE&amp;creator=factset&amp;DYN_ARGS=TRUE&amp;DOC_NAME=FAT:FQL_AUDITING_CLIENT_TEMPLATE.FAT&amp;display_string=Audit&amp;VAR:KEY=ZKHIPUBITY&amp;VAR:QUERY=Q1NGX0xJQUJTX09USF9YREZEX1JFVihRVFIsMzkzNTUsMzkzNTUsRlEp&amp;WINDOW=FIRST_POPUP&amp;HEIGHT=45","0&amp;WIDTH=450&amp;START_MAXIMIZED=FALSE&amp;VAR:CALENDAR=US&amp;VAR:SYMBOL=011827&amp;VAR:INDEX=0"}</definedName>
    <definedName name="_340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341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342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343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344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345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346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347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348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349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35__FDSAUDITLINK__" hidden="1">{"fdsup://directions/FAT Viewer?action=UPDATE&amp;creator=factset&amp;DYN_ARGS=TRUE&amp;DOC_NAME=FAT:FQL_AUDITING_CLIENT_TEMPLATE.FAT&amp;display_string=Audit&amp;VAR:KEY=ZYJENCVYPM&amp;VAR:QUERY=Q1NGX0xJQUJTX09USF9YREZEX1JFVihRVFIsMzkyNjMsMzkyNjMsRlEp&amp;WINDOW=FIRST_POPUP&amp;HEIGHT=45","0&amp;WIDTH=450&amp;START_MAXIMIZED=FALSE&amp;VAR:CALENDAR=US&amp;VAR:SYMBOL=011827&amp;VAR:INDEX=0"}</definedName>
    <definedName name="_350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351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352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353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354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355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356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357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358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359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36__FDSAUDITLINK__" hidden="1">{"fdsup://directions/FAT Viewer?action=UPDATE&amp;creator=factset&amp;DYN_ARGS=TRUE&amp;DOC_NAME=FAT:FQL_AUDITING_CLIENT_TEMPLATE.FAT&amp;display_string=Audit&amp;VAR:KEY=RGJAHAPIPQ&amp;VAR:QUERY=Q1NGX0xJQUJTX09USF9YREZEX1JFVihRVFIsMzkxNzIsMzkxNzIsRlEp&amp;WINDOW=FIRST_POPUP&amp;HEIGHT=45","0&amp;WIDTH=450&amp;START_MAXIMIZED=FALSE&amp;VAR:CALENDAR=US&amp;VAR:SYMBOL=011827&amp;VAR:INDEX=0"}</definedName>
    <definedName name="_360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361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362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363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364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365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366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367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368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369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37__FDSAUDITLINK__" hidden="1">{"fdsup://directions/FAT Viewer?action=UPDATE&amp;creator=factset&amp;DYN_ARGS=TRUE&amp;DOC_NAME=FAT:FQL_AUDITING_CLIENT_TEMPLATE.FAT&amp;display_string=Audit&amp;VAR:KEY=TUNQPEHWVM&amp;VAR:QUERY=Q1NGX0xJQUJTX09USF9YREZEX1JFVihRVFIsMzkwODIsMzkwODIsRlEp&amp;WINDOW=FIRST_POPUP&amp;HEIGHT=45","0&amp;WIDTH=450&amp;START_MAXIMIZED=FALSE&amp;VAR:CALENDAR=US&amp;VAR:SYMBOL=011827&amp;VAR:INDEX=0"}</definedName>
    <definedName name="_370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371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372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373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374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375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376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377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378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379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38__FDSAUDITLINK__" hidden="1">{"fdsup://directions/FAT Viewer?action=UPDATE&amp;creator=factset&amp;DYN_ARGS=TRUE&amp;DOC_NAME=FAT:FQL_AUDITING_CLIENT_TEMPLATE.FAT&amp;display_string=Audit&amp;VAR:KEY=TUNQPEHWVM&amp;VAR:QUERY=Q1NGX0xJQUJTX09USF9YREZEX1JFVihRVFIsMzkwODIsMzkwODIsRlEp&amp;WINDOW=FIRST_POPUP&amp;HEIGHT=45","0&amp;WIDTH=450&amp;START_MAXIMIZED=FALSE&amp;VAR:CALENDAR=US&amp;VAR:SYMBOL=011827&amp;VAR:INDEX=0"}</definedName>
    <definedName name="_380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381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382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383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384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385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386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387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388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389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39__FDSAUDITLINK__" hidden="1">{"fdsup://directions/FAT Viewer?action=UPDATE&amp;creator=factset&amp;DYN_ARGS=TRUE&amp;DOC_NAME=FAT:FQL_AUDITING_CLIENT_TEMPLATE.FAT&amp;display_string=Audit&amp;VAR:KEY=LKTUDKREHQ&amp;VAR:QUERY=Q1NGX0xJQUJTX09USF9YREZEX1JFVihRVFIsMzg5OTAsMzg5OTAsRlEp&amp;WINDOW=FIRST_POPUP&amp;HEIGHT=45","0&amp;WIDTH=450&amp;START_MAXIMIZED=FALSE&amp;VAR:CALENDAR=US&amp;VAR:SYMBOL=011827&amp;VAR:INDEX=0"}</definedName>
    <definedName name="_390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391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392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393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394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395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396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397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398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399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3c00">Model!$N$6:$N$288</definedName>
    <definedName name="_3c01">Model!$T$6:$T$280</definedName>
    <definedName name="_3c02">Model!$I$6:$I$278</definedName>
    <definedName name="_3c03">Model!$O$6:$O$278</definedName>
    <definedName name="_3c04">Model!$U$6:$U$278</definedName>
    <definedName name="_3c05">Model!$AA$6:$AA$278</definedName>
    <definedName name="_3c06">Model!$AG$6:$AG$278</definedName>
    <definedName name="_3c07">Model!$AM$6:$AM$278</definedName>
    <definedName name="_3c08">Model!$AS$5:$AS$50003</definedName>
    <definedName name="_3c09">Model!$AY$5:$AY$50003</definedName>
    <definedName name="_3c10">Model!$BE$5:$BE$50003</definedName>
    <definedName name="_3c11">Model!$BK$6:$BK$2675</definedName>
    <definedName name="_3c12">Model!$BQ$6:$BQ$2675</definedName>
    <definedName name="_3c13">Model!$BW$6:$BW$2675</definedName>
    <definedName name="_3c14">Model!$CC$6:$CC$2675</definedName>
    <definedName name="_3c15">Model!$CI$6:$CI$2675</definedName>
    <definedName name="_3c99">Model!$H$6:$H$288</definedName>
    <definedName name="_4__123Graph_Bｸﾞﾗﾌ_1" hidden="1">[1]ｾｸﾞﾒﾝﾄ!$E$165:$I$165</definedName>
    <definedName name="_4__FDSAUDITLINK__" localSheetId="6" hidden="1">{"fdsup://directions/FAT Viewer?action=UPDATE&amp;creator=factset&amp;DYN_ARGS=TRUE&amp;DOC_NAME=FAT:FQL_AUDITING_CLIENT_TEMPLATE.FAT&amp;display_string=Audit&amp;VAR:KEY=RCBGBOVKNW&amp;VAR:QUERY=RkZfRUJJVChBTk4sMzcxNjQsLFVTRCk=&amp;WINDOW=FIRST_POPUP&amp;HEIGHT=450&amp;WIDTH=450&amp;START_MAXIMI","ZED=FALSE&amp;VAR:CALENDAR=US&amp;VAR:SYMBOL=CHKP&amp;VAR:INDEX=0"}</definedName>
    <definedName name="_40__FDSAUDITLINK__" hidden="1">{"fdsup://directions/FAT Viewer?action=UPDATE&amp;creator=factset&amp;DYN_ARGS=TRUE&amp;DOC_NAME=FAT:FQL_AUDITING_CLIENT_TEMPLATE.FAT&amp;display_string=Audit&amp;VAR:KEY=TOFKRCPEXA&amp;VAR:QUERY=Q1NGX0xJQUJTX09USF9YREZEX1JFVihRVFIsMzg4OTgsMzg4OTgsRlEp&amp;WINDOW=FIRST_POPUP&amp;HEIGHT=45","0&amp;WIDTH=450&amp;START_MAXIMIZED=FALSE&amp;VAR:CALENDAR=US&amp;VAR:SYMBOL=011827&amp;VAR:INDEX=0"}</definedName>
    <definedName name="_400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401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402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403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404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405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406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407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408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409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41__FDSAUDITLINK__" hidden="1">{"fdsup://directions/FAT Viewer?action=UPDATE&amp;creator=factset&amp;DYN_ARGS=TRUE&amp;DOC_NAME=FAT:FQL_AUDITING_CLIENT_TEMPLATE.FAT&amp;display_string=Audit&amp;VAR:KEY=DUHKNINSPU&amp;VAR:QUERY=Q1NGX0xJQUJTX09USF9YREZEX1JFVihRVFIsMzg4MDcsMzg4MDcsRlEp&amp;WINDOW=FIRST_POPUP&amp;HEIGHT=45","0&amp;WIDTH=450&amp;START_MAXIMIZED=FALSE&amp;VAR:CALENDAR=US&amp;VAR:SYMBOL=011827&amp;VAR:INDEX=0"}</definedName>
    <definedName name="_410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411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412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413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414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415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416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417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418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419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42__FDSAUDITLINK__" hidden="1">{"fdsup://directions/FAT Viewer?action=UPDATE&amp;creator=factset&amp;DYN_ARGS=TRUE&amp;DOC_NAME=FAT:FQL_AUDITING_CLIENT_TEMPLATE.FAT&amp;display_string=Audit&amp;VAR:KEY=XGBUNMBMDM&amp;VAR:QUERY=Q1NGX0xJQUJTX09USF9YREZEX1JFVihRVFIsMzg3MTcsMzg3MTcsRlEp&amp;WINDOW=FIRST_POPUP&amp;HEIGHT=45","0&amp;WIDTH=450&amp;START_MAXIMIZED=FALSE&amp;VAR:CALENDAR=US&amp;VAR:SYMBOL=011827&amp;VAR:INDEX=0"}</definedName>
    <definedName name="_420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421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422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423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424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425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426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427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428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429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43__FDSAUDITLINK__" hidden="1">{"fdsup://directions/FAT Viewer?action=UPDATE&amp;creator=factset&amp;DYN_ARGS=TRUE&amp;DOC_NAME=FAT:FQL_AUDITING_CLIENT_TEMPLATE.FAT&amp;display_string=Audit&amp;VAR:KEY=XGBUNMBMDM&amp;VAR:QUERY=Q1NGX0xJQUJTX09USF9YREZEX1JFVihRVFIsMzg3MTcsMzg3MTcsRlEp&amp;WINDOW=FIRST_POPUP&amp;HEIGHT=45","0&amp;WIDTH=450&amp;START_MAXIMIZED=FALSE&amp;VAR:CALENDAR=US&amp;VAR:SYMBOL=011827&amp;VAR:INDEX=0"}</definedName>
    <definedName name="_430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431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432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433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434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435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436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437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438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439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44__FDSAUDITLINK__" hidden="1">{"fdsup://directions/FAT Viewer?action=UPDATE&amp;creator=factset&amp;DYN_ARGS=TRUE&amp;DOC_NAME=FAT:FQL_AUDITING_CLIENT_TEMPLATE.FAT&amp;display_string=Audit&amp;VAR:KEY=DYVYXQBEFO&amp;VAR:QUERY=Q1NGX0xJQUJTX09USF9YREZEX1JFVihRVFIsMzg2MjUsMzg2MjUsRlEp&amp;WINDOW=FIRST_POPUP&amp;HEIGHT=45","0&amp;WIDTH=450&amp;START_MAXIMIZED=FALSE&amp;VAR:CALENDAR=US&amp;VAR:SYMBOL=011827&amp;VAR:INDEX=0"}</definedName>
    <definedName name="_440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441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442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443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444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445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446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447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448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449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45__FDSAUDITLINK__" hidden="1">{"fdsup://directions/FAT Viewer?action=UPDATE&amp;creator=factset&amp;DYN_ARGS=TRUE&amp;DOC_NAME=FAT:FQL_AUDITING_CLIENT_TEMPLATE.FAT&amp;display_string=Audit&amp;VAR:KEY=ZIRSNIFYNM&amp;VAR:QUERY=Q1NGX0xJQUJTX09USF9YREZEX1JFVihRVFIsMzg1MzMsMzg1MzMsRlEp&amp;WINDOW=FIRST_POPUP&amp;HEIGHT=45","0&amp;WIDTH=450&amp;START_MAXIMIZED=FALSE&amp;VAR:CALENDAR=US&amp;VAR:SYMBOL=011827&amp;VAR:INDEX=0"}</definedName>
    <definedName name="_450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451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452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453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454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455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456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457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458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459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46__FDSAUDITLINK__" hidden="1">{"fdsup://directions/FAT Viewer?action=UPDATE&amp;creator=factset&amp;DYN_ARGS=TRUE&amp;DOC_NAME=FAT:FQL_AUDITING_CLIENT_TEMPLATE.FAT&amp;display_string=Audit&amp;VAR:KEY=BINCVIFCHA&amp;VAR:QUERY=RkZfTElBQlNfT1RIKFFUUiwzODUzMywzODUzMyxGUSk=&amp;WINDOW=FIRST_POPUP&amp;HEIGHT=450&amp;WIDTH=450&amp;","START_MAXIMIZED=FALSE&amp;VAR:CALENDAR=US&amp;VAR:SYMBOL=011827&amp;VAR:INDEX=0"}</definedName>
    <definedName name="_460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461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462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463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464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465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466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467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468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469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47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470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471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472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473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474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475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476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477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478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479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48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480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481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482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483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484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485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486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487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488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489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49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490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491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492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493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494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495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496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497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498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499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4c00">Model!$O$6:$O$288</definedName>
    <definedName name="_4c01">Model!$U$6:$U$280</definedName>
    <definedName name="_4c02">Model!$J$6:$J$278</definedName>
    <definedName name="_4c03">Model!$P$6:$P$278</definedName>
    <definedName name="_4c04">Model!$V$6:$V$278</definedName>
    <definedName name="_4c05">Model!$AB$6:$AB$278</definedName>
    <definedName name="_4c06">Model!$AH$6:$AH$278</definedName>
    <definedName name="_4c07">Model!$AN$6:$AN$278</definedName>
    <definedName name="_4c08">Model!$AT$5:$AT$50003</definedName>
    <definedName name="_4c09">Model!$AZ$5:$AZ$50003</definedName>
    <definedName name="_4c10">Model!$BF$5:$BF$1862</definedName>
    <definedName name="_4c11">Model!$BL$5:$BL$50003</definedName>
    <definedName name="_4c12">Model!$BR$5:$BR$50003</definedName>
    <definedName name="_4c13">Model!$BX$5:$BX$50003</definedName>
    <definedName name="_4c14">Model!$CD$5:$CD$50003</definedName>
    <definedName name="_4c15">Model!$CJ$5:$CJ$50003</definedName>
    <definedName name="_4c99">Model!$I$6:$I$288</definedName>
    <definedName name="_5__123Graph_Dｸﾞﾗﾌ_1" hidden="1">[1]ｾｸﾞﾒﾝﾄ!$E$167:$I$167</definedName>
    <definedName name="_5__FDSAUDITLINK__" hidden="1">{"fdsup://directions/FAT Viewer?action=UPDATE&amp;creator=factset&amp;DYN_ARGS=TRUE&amp;DOC_NAME=FAT:FQL_AUDITING_CLIENT_TEMPLATE.FAT&amp;display_string=Audit&amp;VAR:KEY=DUPSRWTQHC&amp;VAR:QUERY=Q1NGX0xJQUJTX09USF9YREZEX1JFVihRVFIsNDE0NTUsNDE0NTUsRlEp&amp;WINDOW=FIRST_POPUP&amp;HEIGHT=45","0&amp;WIDTH=450&amp;START_MAXIMIZED=FALSE&amp;VAR:CALENDAR=US&amp;VAR:SYMBOL=011827&amp;VAR:INDEX=0"}</definedName>
    <definedName name="_50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500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501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502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503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504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505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506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507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508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509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51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510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511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512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513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514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515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516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517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518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519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52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520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521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522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523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524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525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526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527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528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529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53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530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531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532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533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534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535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536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537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538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539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54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540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541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542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543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544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545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546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547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548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549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55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550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551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552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553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554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555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556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557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558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559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56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560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561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562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563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564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565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566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567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568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569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57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570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571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572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573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574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575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576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577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578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579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58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580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581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582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583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584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585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586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587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588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589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59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590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591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592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593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594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595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596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597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598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599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6__FDSAUDITLINK__" hidden="1">{"fdsup://directions/FAT Viewer?action=UPDATE&amp;creator=factset&amp;DYN_ARGS=TRUE&amp;DOC_NAME=FAT:FQL_AUDITING_CLIENT_TEMPLATE.FAT&amp;display_string=Audit&amp;VAR:KEY=DCJSBOXUBE&amp;VAR:QUERY=Q1NGX0xJQUJTX09USF9YREZEX1JFVihRVFIsNDEzNjQsNDEzNjQsRlEp&amp;WINDOW=FIRST_POPUP&amp;HEIGHT=45","0&amp;WIDTH=450&amp;START_MAXIMIZED=FALSE&amp;VAR:CALENDAR=US&amp;VAR:SYMBOL=011827&amp;VAR:INDEX=0"}</definedName>
    <definedName name="_60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600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601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602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603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604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605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606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607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608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609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61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610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611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612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613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614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615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616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617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618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619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62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620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621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622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623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624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625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626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627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628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629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63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630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631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632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633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634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635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636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637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638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639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64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640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641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642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643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644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645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646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647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648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649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65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650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651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652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653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654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655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656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657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658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659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66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660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661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662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663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664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665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666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667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668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669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67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670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671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672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673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674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675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676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677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678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679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68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680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681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682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683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684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685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686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687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688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689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69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690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691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692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693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694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695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696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697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698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699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7__FDSAUDITLINK__" hidden="1">{"fdsup://directions/FAT Viewer?action=UPDATE&amp;creator=factset&amp;DYN_ARGS=TRUE&amp;DOC_NAME=FAT:FQL_AUDITING_CLIENT_TEMPLATE.FAT&amp;display_string=Audit&amp;VAR:KEY=LIHKPQJANO&amp;VAR:QUERY=Q1NGX0xJQUJTX09USF9YREZEX1JFVihRVFIsNDEyNzQsNDEyNzQsRlEp&amp;WINDOW=FIRST_POPUP&amp;HEIGHT=45","0&amp;WIDTH=450&amp;START_MAXIMIZED=FALSE&amp;VAR:CALENDAR=US&amp;VAR:SYMBOL=011827&amp;VAR:INDEX=0"}</definedName>
    <definedName name="_70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700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701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702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703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704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705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706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707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708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709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71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710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711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712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713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714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715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716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717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718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719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72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720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721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722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723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724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725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726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727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728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729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73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730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731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732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733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734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735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736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737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738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739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74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740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741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742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743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744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745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746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747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748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749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75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750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751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752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753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754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755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756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757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758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759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76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760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761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762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763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764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765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766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767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768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769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77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770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771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772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773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774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775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776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777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778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779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78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780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781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782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783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784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785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786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787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788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789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79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790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791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792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793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794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795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796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797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798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799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8__FDSAUDITLINK__" hidden="1">{"fdsup://directions/FAT Viewer?action=UPDATE&amp;creator=factset&amp;DYN_ARGS=TRUE&amp;DOC_NAME=FAT:FQL_AUDITING_CLIENT_TEMPLATE.FAT&amp;display_string=Audit&amp;VAR:KEY=LIHKPQJANO&amp;VAR:QUERY=Q1NGX0xJQUJTX09USF9YREZEX1JFVihRVFIsNDEyNzQsNDEyNzQsRlEp&amp;WINDOW=FIRST_POPUP&amp;HEIGHT=45","0&amp;WIDTH=450&amp;START_MAXIMIZED=FALSE&amp;VAR:CALENDAR=US&amp;VAR:SYMBOL=011827&amp;VAR:INDEX=0"}</definedName>
    <definedName name="_80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800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801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802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803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804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805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806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807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808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809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81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810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811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812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813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814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815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816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817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818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819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82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820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821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822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823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824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825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826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827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828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829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83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830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831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832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833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834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835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836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837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838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839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84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840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841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842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843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844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845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846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847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848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849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85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850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851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852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853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854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855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856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857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858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859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86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860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861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862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863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864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865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866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867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868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869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87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870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871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872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873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874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875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876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877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878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879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88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880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881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882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883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884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885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886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887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888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889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89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890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891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892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893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894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895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896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897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898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899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9__FDSAUDITLINK__" hidden="1">{"fdsup://directions/FAT Viewer?action=UPDATE&amp;creator=factset&amp;DYN_ARGS=TRUE&amp;DOC_NAME=FAT:FQL_AUDITING_CLIENT_TEMPLATE.FAT&amp;display_string=Audit&amp;VAR:KEY=ZWPMVSRYPE&amp;VAR:QUERY=Q1NGX0xJQUJTX09USF9YREZEX1JFVihRVFIsNDExODIsNDExODIsRlEp&amp;WINDOW=FIRST_POPUP&amp;HEIGHT=45","0&amp;WIDTH=450&amp;START_MAXIMIZED=FALSE&amp;VAR:CALENDAR=US&amp;VAR:SYMBOL=011827&amp;VAR:INDEX=0"}</definedName>
    <definedName name="_90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900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901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902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903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904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905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906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907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908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909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91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910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911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912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913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914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915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916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917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918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919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92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920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921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922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923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924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925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926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927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928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929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93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930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931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932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933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934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935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936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937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938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939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94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940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941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942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943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944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945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946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947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948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949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95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950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951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952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953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954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955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956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957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958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959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96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960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961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962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963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964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965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966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967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968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969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97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970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971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972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973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974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975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976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977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978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979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98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980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981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982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983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984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985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986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987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988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989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99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990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991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992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993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994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995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996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997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998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999__FDSAUDITLINK__" hidden="1">{"fdsup://directions/FAT Viewer?action=UPDATE&amp;creator=factset&amp;DYN_ARGS=TRUE&amp;DOC_NAME=FAT:FQL_AUDITING_CLIENT_TEMPLATE.FAT&amp;display_string=Audit&amp;VAR:KEY=HODSZGTOXY&amp;VAR:QUERY=RkZfRU5UUlBSX1ZBTChRVFIsNDA2NzIsLCwsVVNEKQ==&amp;WINDOW=FIRST_POPUP&amp;HEIGHT=450&amp;WIDTH=450&amp;","START_MAXIMIZED=FALSE&amp;VAR:CALENDAR=US&amp;VAR:SYMBOL=CRM&amp;VAR:INDEX=0"}</definedName>
    <definedName name="_bdm.024C72FB96494779B3EA8138640710DC.edm" localSheetId="2" hidden="1">Model!$A$4:$BG$134</definedName>
    <definedName name="_bdm.058E29374F5F4DEA95FC414312547BD8.edm" localSheetId="3" hidden="1">BS!$A$4:$BM$59</definedName>
    <definedName name="_bdm.12A6757B1C164E84A2E4FF1D2507B6FA.edm" hidden="1">CF!$1:$1048576</definedName>
    <definedName name="_bdm.1804205C227D4725A4C1A880CDA0B637.edm" localSheetId="5" hidden="1">'MS Revenue Analysis'!$A$3:$BP$179</definedName>
    <definedName name="_bdm.20CE875A30BC4532AC5C6F65EB48B41D.edm" localSheetId="5" hidden="1">'MS Revenue Analysis'!$DQ$124:$EF$157</definedName>
    <definedName name="_bdm.222C2312B1224BE1986EDF38989B4077.edm" localSheetId="2" hidden="1">Model!$A$4:$AU$111</definedName>
    <definedName name="_bdm.23B5B26DADBC4AEFB80A4729CD6481D6.edm" localSheetId="2" hidden="1">Model!$A$178:$BG$229</definedName>
    <definedName name="_bdm.2AE404E4FB324C69B41179080E73F0BA.edm" localSheetId="3" hidden="1">BS!$A$4:$BG$59</definedName>
    <definedName name="_bdm.2CAE825D178F4880B1314B9E77E43DF1.edm" localSheetId="5" hidden="1">'MS Revenue Analysis'!$A$2:$BO$179</definedName>
    <definedName name="_bdm.31C4DA82B5F1414CB0BF5E4F873929D4.edm" localSheetId="4" hidden="1">CF!$A$76:$BB$140</definedName>
    <definedName name="_bdm.360AC5F7C17D49219EBF876DEF8CAA1F.edm" localSheetId="3" hidden="1">BS!$A$4:$BG$60</definedName>
    <definedName name="_bdm.36DE7CFF714F44489DA01400A31AB4C0.edm" localSheetId="2" hidden="1">Model!$A$4:$AU$108</definedName>
    <definedName name="_bdm.3E4CD41251884FBA95D825EC29363155.edm" localSheetId="2" hidden="1">Model!$A$4:$BS$111</definedName>
    <definedName name="_bdm.40F0AE85DE224ECAB0BFC7FE51FE3FB4.edm" localSheetId="2" hidden="1">Model!$A$4:$BH$175</definedName>
    <definedName name="_bdm.443DA63A59994DF08CA528CBFD6FFBFF.edm" localSheetId="4" hidden="1">CF!$A$4:$BN$71</definedName>
    <definedName name="_bdm.4994FDEEA5114D4D85282C3DEA656DA0.edm" localSheetId="3" hidden="1">BS!$A$4:$BS$59</definedName>
    <definedName name="_bdm.49C2840A6374445ABA252204EC285B2B.edm" localSheetId="4" hidden="1">CF!$A$73:$AI$137</definedName>
    <definedName name="_bdm.49D23067293349BEAE101400AA4AF53C.edm" localSheetId="4" hidden="1">CF!$A$75:$BG$140</definedName>
    <definedName name="_bdm.4D338DA904874022A793500447F14ADA.edm" localSheetId="3" hidden="1">BS!$A$4:$BH$59</definedName>
    <definedName name="_bdm.4D9C318931C8418CA9FD8B1B016DECE7.edm" localSheetId="4" hidden="1">CF!$A$76:$BG$140</definedName>
    <definedName name="_bdm.50A41DD6D25547B3B3D0106BB8321AA8.edm" hidden="1">[2]Model!$A$1:$IV$65536</definedName>
    <definedName name="_bdm.5C1CF4E219DA4E4E81C99BCB62007273.edm" localSheetId="2" hidden="1">Model!$A$4:$AU$126</definedName>
    <definedName name="_bdm.5CDFFBA1D93C47A593D321BC335B82DD.edm" hidden="1">'MS Revenue Analysis'!$1:$1048576</definedName>
    <definedName name="_bdm.63BA7D1086AF4CF2BF32B37FE7446D73.edm" localSheetId="2" hidden="1">Model!$A$4:$BH$134</definedName>
    <definedName name="_bdm.66A1CA2A60CB438A85FE59E95A73FB1B.edm" localSheetId="2" hidden="1">Model!$A$178:$BG$229</definedName>
    <definedName name="_bdm.761EFB2FEEA7413CB25F718628839C05.edm" hidden="1">BS!$1:$1048576</definedName>
    <definedName name="_bdm.77CD5968FA264895908AD69A9972638E.edm" hidden="1">'[2]Revenue Drivers'!$A$1:$IV$65536</definedName>
    <definedName name="_bdm.790AD1EDF4144963BD89F9EFDAB80686.edm" localSheetId="2" hidden="1">Model!$A$176:$AI$228</definedName>
    <definedName name="_bdm.7E0A417A59D942208B7F986F901010B4.edm" hidden="1">'[2]Intrinsic Value'!$A$1:$IV$65536</definedName>
    <definedName name="_bdm.80EABAC30021448695C156D3A18F2B1D.edm" localSheetId="3" hidden="1">BS!$A$6:$BG$59</definedName>
    <definedName name="_bdm.8258C10822C748AA889027E2AF211C4A.edm" hidden="1">'[2]Cash Flow'!$A$1:$IV$65536</definedName>
    <definedName name="_bdm.8A417A2EC15D4693884B6A202F848675.edm" localSheetId="5" hidden="1">'MS Revenue Analysis'!$A$3:$BO$179</definedName>
    <definedName name="_bdm.8BCAD9311C4E49F0B393CD886CF84409.edm" localSheetId="5" hidden="1">'MS Revenue Analysis'!$A$4:$BO$182</definedName>
    <definedName name="_bdm.91D122348129436B842B1835BD8E2300.edm" localSheetId="5" hidden="1">'MS Revenue Analysis'!$A$3:$BO$181</definedName>
    <definedName name="_bdm.968F9A10692B45CE9EC5E0E9535EC357.edm" localSheetId="2" hidden="1">Model!$A$4:$BS$111</definedName>
    <definedName name="_bdm.986779E53E3E463C9ED0C1AA4A7F713E.edm" localSheetId="4" hidden="1">CF!$A$76:$BS$140</definedName>
    <definedName name="_bdm.99C40644DCC045E8A947B1A24CE83CCB.edm" hidden="1">[2]Charts!$A$1:$IV$65536</definedName>
    <definedName name="_bdm.9ACA3796D6D34308BCDA0AA34AB82F9C.edm" localSheetId="4" hidden="1">CF!$A$76:$BN$147</definedName>
    <definedName name="_bdm.9C65EE446DBD41598AD8B8CF1B3FF4AA.edm" localSheetId="4" hidden="1">CF!$A$76:$BS$140</definedName>
    <definedName name="_bdm.9C77D8C2539E402E83258F5B22F92A63.edm" localSheetId="3" hidden="1">BS!$A$1:$AI$60</definedName>
    <definedName name="_bdm.9D9469896C5F4A56A4E22CC39DD6053E.edm" localSheetId="4" hidden="1">CF!$A$76:$BG$145</definedName>
    <definedName name="_bdm.9D94DF63BE424D29BEAC79146ED055ED.edm" localSheetId="3" hidden="1">BS!$A$4:$BM$59</definedName>
    <definedName name="_bdm.A29BF0C3C6134D7FBC39777E01EDA8C8.edm" localSheetId="2" hidden="1">Model!$A$4:$DP$111</definedName>
    <definedName name="_bdm.A50012A79D224E6CA0A9C5199BA33496.edm" localSheetId="4" hidden="1">CF!$A$76:$AU$137</definedName>
    <definedName name="_bdm.A60D05E0315D427C978D83DD2AC250D2.edm" localSheetId="5" hidden="1">'MS Revenue Analysis'!$A$3:$BP$181</definedName>
    <definedName name="_bdm.ABEBB348B78D45E19DAA4422077491B2.edm" localSheetId="3" hidden="1">BS!$A$4:$BS$59</definedName>
    <definedName name="_bdm.AFA082A0819349389F5735B43580C4A3.edm" localSheetId="5" hidden="1">'MS Revenue Analysis'!$A$3:$BC$74</definedName>
    <definedName name="_bdm.B021D2FA40A94120A0EF3D55A8E1DE18.edm" hidden="1">'[2]Changes to the Model'!$A$1:$IV$65536</definedName>
    <definedName name="_bdm.B23BD9832D9146F5BA8096B52321BEA4.edm" localSheetId="4" hidden="1">CF!$A$76:$BY$137</definedName>
    <definedName name="_bdm.B34D1DE5087C4408B7F7DD18766C9843.edm" localSheetId="2" hidden="1">Model!$A$4:$BM$134</definedName>
    <definedName name="_bdm.B3B800872DCB4129BE63A3387A1C3570.edm" hidden="1">[2]Acq!$A$1:$IV$65536</definedName>
    <definedName name="_bdm.B3DA3D6DD94F4B189B11B4F30DBD99D1.edm" localSheetId="5" hidden="1">'MS Revenue Analysis'!$A$3:$BC$75</definedName>
    <definedName name="_bdm.BC0E4B9CA9234CF895B8632D1B323397.edm" localSheetId="3" hidden="1">BS!$A$4:$AU$59</definedName>
    <definedName name="_bdm.BE74741443DD45E6B690538983843802.edm" localSheetId="2" hidden="1">Model!$A$1:$AU$126</definedName>
    <definedName name="_bdm.C05F43E48EF044079EB474B5398F8C1A.edm" localSheetId="2" hidden="1">Model!$A$1:$AI$126</definedName>
    <definedName name="_bdm.CC50E250F3BA4D7088FFF25E08EFC6AE.edm" localSheetId="2" hidden="1">Model!$A$4:$BG$133</definedName>
    <definedName name="_bdm.D038EC2E3BDA4EDAAACA0B498B399B8F.edm" localSheetId="5" hidden="1">'MS Revenue Analysis'!$DQ$124:$EG$157</definedName>
    <definedName name="_bdm.DC4403FAD696401A83DD22AB8C3D2AE7.edm" localSheetId="5" hidden="1">'MS Revenue Analysis'!$A$1:$AQ$141</definedName>
    <definedName name="_bdm.E0466B6F42914B8CB0438E3BE9650F60.edm" localSheetId="3" hidden="1">BS!$A$4:$BH$60</definedName>
    <definedName name="_bdm.E3AB3C6C78DE408FBA91110BFF9496B9.edm" localSheetId="3" hidden="1">BS!$A$4:$DQ$59</definedName>
    <definedName name="_bdm.E62283B04EAE482C8249980A2D8701F5.edm" localSheetId="2" hidden="1">Model!$A$178:$AU$228</definedName>
    <definedName name="_bdm.EF7065095ECF4FD8B72E7D0C498FF346.edm" localSheetId="2" hidden="1">Model!$A$6:$BS$111</definedName>
    <definedName name="_bdm.F10C57F4628043A38E5DBFF533598966.edm" hidden="1">Model!$1:$1048576</definedName>
    <definedName name="_bdm.F554532A0A764F91BE53855DEDE4D278.edm" hidden="1">'[2]Balance Sheet'!$A$1:$IV$65536</definedName>
    <definedName name="_bdm.F8729134970E48F4A3EE757AD6E27B47.edm" localSheetId="3" hidden="1">BS!$A$4:$BM$57</definedName>
    <definedName name="_bdm.FFA76A6298F44CA08E58C31AE591BC6C.edm" localSheetId="2" hidden="1">Model!$A$4:$BH$133</definedName>
    <definedName name="_BS">BS!$A$4:$AI$59</definedName>
    <definedName name="_CF">CF!$A$76:$AI$137</definedName>
    <definedName name="_DCF_FV">221.427464922712</definedName>
    <definedName name="_fy00">Model!$C$6:$C$278</definedName>
    <definedName name="_fy01">Model!$D$6:$D$278</definedName>
    <definedName name="_fy02">Model!$E$6:$E$278</definedName>
    <definedName name="_fy03">Model!$K$6:$K$278</definedName>
    <definedName name="_fy04">Model!$Q$6:$Q$278</definedName>
    <definedName name="_fy05">Model!$W$6:$W$278</definedName>
    <definedName name="_fy06">Model!$AC$6:$AC$278</definedName>
    <definedName name="_fy07">Model!$AI$6:$AI$278</definedName>
    <definedName name="_fy08">Model!$AO$6:$AO$278</definedName>
    <definedName name="_fy09">Model!$AU$5:$AU$50003</definedName>
    <definedName name="_fy10">Model!$BA$5:$BA$50003</definedName>
    <definedName name="_fy11">Model!$BG$5:$BG$50003</definedName>
    <definedName name="_fy12">Model!$BM$5:$BM$50003</definedName>
    <definedName name="_fy13">Model!$BS$5:$BS$50003</definedName>
    <definedName name="_fy14">Model!$BY$5:$BY$50003</definedName>
    <definedName name="_fy15">Model!$CE$5:$CE$50003</definedName>
    <definedName name="_fy16">Model!$CK$5:$CK$50003</definedName>
    <definedName name="_fy97">Model!$C$6:$C$288</definedName>
    <definedName name="_fy98">Model!$D$6:$D$288</definedName>
    <definedName name="_IS">Model!$A$4:$AI$111</definedName>
    <definedName name="_ISA">Model!$A$178:$AI$228</definedName>
    <definedName name="_LTOPMGN">0.2009957836408</definedName>
    <definedName name="_Order1" hidden="1">255</definedName>
    <definedName name="_RI_FV">8.52189360198981</definedName>
    <definedName name="_SUBS1">'MS Revenue Analysis'!$A$3:$AQ$38</definedName>
    <definedName name="_SUBS2">'MS Revenue Analysis'!$A$50:$AQ$52</definedName>
    <definedName name="_WACC">0.0973883737228129</definedName>
    <definedName name="a"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AdditionalInstructions">IndexInformation!$B$42</definedName>
    <definedName name="Address" localSheetId="1">ImportantDisclosures!$A$2:$A$2</definedName>
    <definedName name="ANA" localSheetId="8">ModPubIndex!$A$7</definedName>
    <definedName name="apac">Model!$C$11:$IY$11</definedName>
    <definedName name="AssetsCurrentAccountsReceivableAllowance">0</definedName>
    <definedName name="AssetsCurrentAccountsReceivableGross">0</definedName>
    <definedName name="AssetsCurrentDeferredIncomeTaxes">0</definedName>
    <definedName name="AssetsCurrentOther">0</definedName>
    <definedName name="AssetsCurrentPrepaidExpenses">0</definedName>
    <definedName name="AssetsCurrentShortTermInvestments">0</definedName>
    <definedName name="AssetsIntangiblesAccumulatedAmortization">0</definedName>
    <definedName name="AssetsIntangiblesGross">0</definedName>
    <definedName name="AssetsOtherAccumulatedAmortization">0</definedName>
    <definedName name="AssetsOtherGross">0</definedName>
    <definedName name="AssetsOtherNet">0</definedName>
    <definedName name="Authors" localSheetId="1">ImportantDisclosures!$A$7</definedName>
    <definedName name="Authors" localSheetId="7">IndexInformation!$B$18</definedName>
    <definedName name="b"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BRO" localSheetId="8">ModPubIndex!$A$1</definedName>
    <definedName name="capex">Model!$C$255:$IY$255</definedName>
    <definedName name="cash">Model!$C$251:$IY$251</definedName>
    <definedName name="CashFlowCapitalExpenditureCellular">0</definedName>
    <definedName name="CashFlowCapitalExpenditureOther">0</definedName>
    <definedName name="CashFlowCapitalExpenditurePaging">0</definedName>
    <definedName name="CashFlowCapitalExpenditureTelephone">0</definedName>
    <definedName name="CashFlowCapitalExpenditureWireless">0</definedName>
    <definedName name="CashFlowDividendPaidPreferredStock">0</definedName>
    <definedName name="ccrevgr">Model!$C$233:$IY$233</definedName>
    <definedName name="CopyrightStamp">ImportantDisclosures!$A$27</definedName>
    <definedName name="COU" localSheetId="8">ModPubIndex!$A$5</definedName>
    <definedName name="CQEnd" localSheetId="7">IndexInformation!$B$31</definedName>
    <definedName name="curbooks">Model!$C$249:$IY$249</definedName>
    <definedName name="Currency" localSheetId="7">IndexInformation!$B$24</definedName>
    <definedName name="CurrentStockPrice" localSheetId="7">IndexInformation!$B$23</definedName>
    <definedName name="CurrQtrEPS" localSheetId="7">IndexInformation!$B$29</definedName>
    <definedName name="CurrYearEPS" localSheetId="7">IndexInformation!$B$11</definedName>
    <definedName name="CurrYearTotalRevenue" localSheetId="7">IndexInformation!$B$10</definedName>
    <definedName name="CurrYearTotalRevenueActual" localSheetId="7">IndexInformation!$B$32</definedName>
    <definedName name="CUSIP" localSheetId="7">IndexInformation!$B$20</definedName>
    <definedName name="CYEnd" localSheetId="7">IndexInformation!$B$30</definedName>
    <definedName name="Date" localSheetId="1">ImportantDisclosures!$A$8</definedName>
    <definedName name="dcfdna">Model!$C$257:$IY$257</definedName>
    <definedName name="debt">Model!$C$252:$IY$252</definedName>
    <definedName name="defrev">Model!$C$248:$IY$248</definedName>
    <definedName name="Deleted" localSheetId="7">IndexInformation!$B$27</definedName>
    <definedName name="Description" localSheetId="7">IndexInformation!$B$7</definedName>
    <definedName name="Discipline" localSheetId="7">IndexInformation!$B$3</definedName>
    <definedName name="DISCIPLINE" localSheetId="8">ModPubIndex!$A$12</definedName>
    <definedName name="DisclosuresText">ImportantDisclosures!$A$22</definedName>
    <definedName name="Distribution" localSheetId="7">IndexInformation!$B$26</definedName>
    <definedName name="DistTable" localSheetId="1">ImportantDisclosures!#REF!</definedName>
    <definedName name="DistTablePreamble" localSheetId="1">ImportantDisclosures!#REF!</definedName>
    <definedName name="div">Model!$C$265:$IY$265</definedName>
    <definedName name="DME_Dirty" hidden="1">"False"</definedName>
    <definedName name="DME_LocalFile" hidden="1">"True"</definedName>
    <definedName name="DOCDAT" localSheetId="8">ModPubIndex!$A$2</definedName>
    <definedName name="DOCTIME" localSheetId="8">ModPubIndex!$A$3</definedName>
    <definedName name="DocType" localSheetId="7">IndexInformation!$B$5</definedName>
    <definedName name="dom">Model!$C$9:$IY$9</definedName>
    <definedName name="dso">Model!$C$258:$IY$258</definedName>
    <definedName name="EMAIL_ALERT" localSheetId="8">ModPubIndex!$A$10</definedName>
    <definedName name="EmailAlert" localSheetId="7">IndexInformation!$B$28</definedName>
    <definedName name="emea">Model!$C$10:$IY$10</definedName>
    <definedName name="eps">Model!$C$86:$IY$86</definedName>
    <definedName name="EquityAdjustments">0</definedName>
    <definedName name="EquityEmployeeStockOwnershipPlan">0</definedName>
    <definedName name="EquityPaidInCapital">0</definedName>
    <definedName name="EquityTreasuryStock">0</definedName>
    <definedName name="Estimated_Average_Useful_Life">"Useful Life"</definedName>
    <definedName name="fcf">Model!$C$263:$IY$263</definedName>
    <definedName name="FiveYearGrowthRate" localSheetId="7">IndexInformation!$B$16</definedName>
    <definedName name="FollowingYearEPS" localSheetId="7">IndexInformation!$B$15</definedName>
    <definedName name="FollowingYearTotalRevenue" localSheetId="7">IndexInformation!$B$14</definedName>
    <definedName name="FollowingYearTotalRevenueActual" localSheetId="7">IndexInformation!$B$34</definedName>
    <definedName name="GEPS">Model!$B$108:$IY$108</definedName>
    <definedName name="gna">Model!$C$45:$IY$45</definedName>
    <definedName name="grinc">Model!$C$33:$IY$33</definedName>
    <definedName name="grmgn">Model!$C$34:$IY$34</definedName>
    <definedName name="grp">Model!$28:$28</definedName>
    <definedName name="hc">Model!$C$260:$IY$260</definedName>
    <definedName name="HL" localSheetId="8">ModPubIndex!$A$8</definedName>
    <definedName name="IncomeEPSFullyDiluted">0</definedName>
    <definedName name="IncomeEPSPrimary">0</definedName>
    <definedName name="IncomeEPSRegular">0</definedName>
    <definedName name="IND" localSheetId="8">ModPubIndex!$A$9</definedName>
    <definedName name="Industry" localSheetId="1">ImportantDisclosures!$A$12</definedName>
    <definedName name="IndustryId">IndexInformation!$B$40</definedName>
    <definedName name="IndustryRating" localSheetId="1">ImportantDisclosures!$A$13</definedName>
    <definedName name="intl">Model!$C$231:$IY$231</definedName>
    <definedName name="IQ_ACCOUNT_CHANGE" hidden="1">"c1449"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T_RECV_10YR_ANN_GROWTH" hidden="1">"c1924"</definedName>
    <definedName name="IQ_ACCT_RECV_1YR_ANN_GROWTH" hidden="1">"c1919"</definedName>
    <definedName name="IQ_ACCT_RECV_2YR_ANN_GROWTH" hidden="1">"c1920"</definedName>
    <definedName name="IQ_ACCT_RECV_3YR_ANN_GROWTH" hidden="1">"c1921"</definedName>
    <definedName name="IQ_ACCT_RECV_5YR_ANN_GROWTH" hidden="1">"c1922"</definedName>
    <definedName name="IQ_ACCT_RECV_7YR_ANN_GROWTH" hidden="1">"c1923"</definedName>
    <definedName name="IQ_ACCUM_DEP" hidden="1">"c1340"</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SITION_RE_ASSETS" hidden="1">"c1628"</definedName>
    <definedName name="IQ_AD" hidden="1">"c7"</definedName>
    <definedName name="IQ_ADD_PAID_IN" hidden="1">"c1344"</definedName>
    <definedName name="IQ_ADDIN" hidden="1">"AUTO"</definedName>
    <definedName name="IQ_ADJ_AVG_BANK_ASSETS" hidden="1">"c2671"</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IT" hidden="1">"c13"</definedName>
    <definedName name="IQ_AE_UTI" hidden="1">"c14"</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ANCE_10YR_ANN_GROWTH" hidden="1">"c18"</definedName>
    <definedName name="IQ_ALLOWANCE_1YR_ANN_GROWTH" hidden="1">"c19"</definedName>
    <definedName name="IQ_ALLOWANCE_2YR_ANN_GROWTH" hidden="1">"c20"</definedName>
    <definedName name="IQ_ALLOWANCE_3YR_ANN_GROWTH" hidden="1">"c21"</definedName>
    <definedName name="IQ_ALLOWANCE_5YR_ANN_GROWTH" hidden="1">"c22"</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ORTIZATION" hidden="1">"c1591"</definedName>
    <definedName name="IQ_AMT_OUT" hidden="1">"c2145"</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IT" hidden="1">"c43"</definedName>
    <definedName name="IQ_AR_TURNS" hidden="1">"c44"</definedName>
    <definedName name="IQ_AR_UTI" hidden="1">"c45"</definedName>
    <definedName name="IQ_ARPU" hidden="1">"c2126"</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OPER_LEASE_DEPR" hidden="1">"c2070"</definedName>
    <definedName name="IQ_ASSETS_OPER_LEASE_GROSS" hidden="1">"c2071"</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G_BANK_ASSETS" hidden="1">"c2072"</definedName>
    <definedName name="IQ_AVG_BANK_LOANS" hidden="1">"c2073"</definedName>
    <definedName name="IQ_AVG_BROKER_REC" hidden="1">"c63"</definedName>
    <definedName name="IQ_AVG_BROKER_REC_NO" hidden="1">"c64"</definedName>
    <definedName name="IQ_AVG_BROKER_REC_NO_REUT" hidden="1">"c5315"</definedName>
    <definedName name="IQ_AVG_BROKER_REC_REUT" hidden="1">"c3630"</definedName>
    <definedName name="IQ_AVG_DAILY_VOL" hidden="1">"c65"</definedName>
    <definedName name="IQ_AVG_INDUSTRY_REC" hidden="1">"c4455"</definedName>
    <definedName name="IQ_AVG_INT_BEAR_LIAB" hidden="1">"c66"</definedName>
    <definedName name="IQ_AVG_INT_BEAR_LIAB_10YR_ANN_GROWTH" hidden="1">"c67"</definedName>
    <definedName name="IQ_AVG_INT_BEAR_LIAB_1YR_ANN_GROWTH" hidden="1">"c68"</definedName>
    <definedName name="IQ_AVG_INT_BEAR_LIAB_2YR_ANN_GROWTH" hidden="1">"c69"</definedName>
    <definedName name="IQ_AVG_INT_BEAR_LIAB_3YR_ANN_GROWTH" hidden="1">"c70"</definedName>
    <definedName name="IQ_AVG_INT_BEAR_LIAB_5YR_ANN_GROWTH" hidden="1">"c71"</definedName>
    <definedName name="IQ_AVG_INT_BEAR_LIAB_7YR_ANN_GROWTH" hidden="1">"c72"</definedName>
    <definedName name="IQ_AVG_INT_EARN_ASSETS" hidden="1">"c73"</definedName>
    <definedName name="IQ_AVG_INT_EARN_ASSETS_10YR_ANN_GROWTH" hidden="1">"c74"</definedName>
    <definedName name="IQ_AVG_INT_EARN_ASSETS_1YR_ANN_GROWTH" hidden="1">"c75"</definedName>
    <definedName name="IQ_AVG_INT_EARN_ASSETS_2YR_ANN_GROWTH" hidden="1">"c76"</definedName>
    <definedName name="IQ_AVG_INT_EARN_ASSETS_3YR_ANN_GROWTH" hidden="1">"c77"</definedName>
    <definedName name="IQ_AVG_INT_EARN_ASSETS_5YR_ANN_GROWTH" hidden="1">"c78"</definedName>
    <definedName name="IQ_AVG_INT_EARN_ASSETS_7YR_ANN_GROWTH" hidden="1">"c79"</definedName>
    <definedName name="IQ_AVG_MKTCAP" hidden="1">"c80"</definedName>
    <definedName name="IQ_AVG_PRICE" hidden="1">"c81"</definedName>
    <definedName name="IQ_AVG_SHAREOUTSTANDING" hidden="1">"c83"</definedName>
    <definedName name="IQ_AVG_TEV" hidden="1">"c84"</definedName>
    <definedName name="IQ_AVG_VOLUME" hidden="1">"c1346"</definedName>
    <definedName name="IQ_BANK_DEBT" hidden="1">"c2544"</definedName>
    <definedName name="IQ_BANK_DEBT_PCT" hidden="1">"c2545"</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ROK_COMISSION" hidden="1">"c98"</definedName>
    <definedName name="IQ_BROK_COMMISSION" hidden="1">"c3514"</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REV" hidden="1">"c4068"</definedName>
    <definedName name="IQ_BUS_SEG_REV_ABS" hidden="1">"c4090"</definedName>
    <definedName name="IQ_BUS_SEG_REV_TOTAL" hidden="1">"c4106"</definedName>
    <definedName name="IQ_BUSINESS_DESCRIPTION" hidden="1">"c322"</definedName>
    <definedName name="IQ_BV_OVER_SHARES" hidden="1">"c1349"</definedName>
    <definedName name="IQ_BV_SHARE" hidden="1">"c100"</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Y" hidden="1">"c102"</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EX" hidden="1">"c103"</definedName>
    <definedName name="IQ_CAPEX_10YR_ANN_GROWTH" hidden="1">"c104"</definedName>
    <definedName name="IQ_CAPEX_1YR_ANN_GROWTH" hidden="1">"c105"</definedName>
    <definedName name="IQ_CAPEX_2YR_ANN_GROWTH" hidden="1">"c106"</definedName>
    <definedName name="IQ_CAPEX_3YR_ANN_GROWTH" hidden="1">"c107"</definedName>
    <definedName name="IQ_CAPEX_5YR_ANN_GROWTH" hidden="1">"c108"</definedName>
    <definedName name="IQ_CAPEX_7YR_ANN_GROWTH" hidden="1">"c109"</definedName>
    <definedName name="IQ_CAPEX_BNK" hidden="1">"c110"</definedName>
    <definedName name="IQ_CAPEX_BR" hidden="1">"c111"</definedName>
    <definedName name="IQ_CAPEX_FIN" hidden="1">"c112"</definedName>
    <definedName name="IQ_CAPEX_INS" hidden="1">"c113"</definedName>
    <definedName name="IQ_CAPEX_UTI" hidden="1">"c114"</definedName>
    <definedName name="IQ_CAPITAL_LEASE" hidden="1">"c1350"</definedName>
    <definedName name="IQ_CAPITAL_LEASES" hidden="1">"c115"</definedName>
    <definedName name="IQ_CAPITAL_LEASES_TOTAL" hidden="1">"c3031"</definedName>
    <definedName name="IQ_CAPITAL_LEASES_TOTAL_PCT" hidden="1">"c2506"</definedName>
    <definedName name="IQ_CAPITALIZED_INTEREST" hidden="1">"c3460"</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"c1458"</definedName>
    <definedName name="IQ_CASH_ACQUIRE_CF" hidden="1">"c116"</definedName>
    <definedName name="IQ_CASH_CONVERSION" hidden="1">"c117"</definedName>
    <definedName name="IQ_CASH_DUE_BANKS" hidden="1">"c1351"</definedName>
    <definedName name="IQ_CASH_EQUIV" hidden="1">"c118"</definedName>
    <definedName name="IQ_CASH_FINAN" hidden="1">"c119"</definedName>
    <definedName name="IQ_CASH_FLOW_ACT_OR_EST" hidden="1">"c4154"</definedName>
    <definedName name="IQ_CASH_INTEREST" hidden="1">"c120"</definedName>
    <definedName name="IQ_CASH_INVEST" hidden="1">"c121"</definedName>
    <definedName name="IQ_CASH_OPER" hidden="1">"c122"</definedName>
    <definedName name="IQ_CASH_OPER_ACT_OR_EST" hidden="1">"c4164"</definedName>
    <definedName name="IQ_CASH_SEGREG" hidden="1">"c123"</definedName>
    <definedName name="IQ_CASH_SHARE" hidden="1">"c1911"</definedName>
    <definedName name="IQ_CASH_ST" hidden="1">"c1355"</definedName>
    <definedName name="IQ_CASH_ST_INVEST" hidden="1">"c124"</definedName>
    <definedName name="IQ_CASH_TAXES" hidden="1">"c125"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GROWTH" hidden="1">"c126"</definedName>
    <definedName name="IQ_CFO_1YR_ANN_GROWTH" hidden="1">"c127"</definedName>
    <definedName name="IQ_CFO_2YR_ANN_GROWTH" hidden="1">"c128"</definedName>
    <definedName name="IQ_CFO_3YR_ANN_GROWTH" hidden="1">"c129"</definedName>
    <definedName name="IQ_CFO_5YR_ANN_GROWTH" hidden="1">"c130"</definedName>
    <definedName name="IQ_CFO_7YR_ANN_GROWTH" hidden="1">"c131"</definedName>
    <definedName name="IQ_CFO_CURRENT_LIAB" hidden="1">"c132"</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"c1357"</definedName>
    <definedName name="IQ_CHARGE_OFFS_GROSS" hidden="1">"c162"</definedName>
    <definedName name="IQ_CHARGE_OFFS_NET" hidden="1">"c163"</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ED" hidden="1">"c2681"</definedName>
    <definedName name="IQ_CLASSA_OPTIONS_GRANTED" hidden="1">"c2680"</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OGS" hidden="1">"c175"</definedName>
    <definedName name="IQ_COMBINED_RATIO" hidden="1">"c176"</definedName>
    <definedName name="IQ_COMMERCIAL_DOM" hidden="1">"c177"</definedName>
    <definedName name="IQ_COMMERCIAL_FIRE_WRITTEN" hidden="1">"c178"</definedName>
    <definedName name="IQ_COMMERCIAL_MORT" hidden="1">"c179"</definedName>
    <definedName name="IQ_COMMISS_FEES" hidden="1">"c180"</definedName>
    <definedName name="IQ_COMMISSION_DEF" hidden="1">"c181"</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GROWTH" hidden="1">"c191"</definedName>
    <definedName name="IQ_COMMON_EQUITY_1YR_ANN_GROWTH" hidden="1">"c192"</definedName>
    <definedName name="IQ_COMMON_EQUITY_2YR_ANN_GROWTH" hidden="1">"c193"</definedName>
    <definedName name="IQ_COMMON_EQUITY_3YR_ANN_GROWTH" hidden="1">"c194"</definedName>
    <definedName name="IQ_COMMON_EQUITY_5YR_ANN_GROWTH" hidden="1">"c195"</definedName>
    <definedName name="IQ_COMMON_EQUITY_7YR_ANN_GROWTH" hidden="1">"c196"</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IT" hidden="1">"c211"</definedName>
    <definedName name="IQ_COMMON_REP_UTI" hidden="1">"c212"</definedName>
    <definedName name="IQ_COMMON_STOCK" hidden="1">"c1358"</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LOANS" hidden="1">"c222"</definedName>
    <definedName name="IQ_CONSUMER_LOANS" hidden="1">"c223"</definedName>
    <definedName name="IQ_CONV_DATE" hidden="1">"c2191"</definedName>
    <definedName name="IQ_CONV_EXP_DATE" hidden="1">"c3043"</definedName>
    <definedName name="IQ_CONV_PREMIUM" hidden="1">"c2195"</definedName>
    <definedName name="IQ_CONV_PRICE" hidden="1">"c2193"</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ST_BORROWING" hidden="1">"c2936"</definedName>
    <definedName name="IQ_COST_BORROWINGS" hidden="1">"c225"</definedName>
    <definedName name="IQ_COST_REV" hidden="1">"c226"</definedName>
    <definedName name="IQ_COST_REVENUE" hidden="1">"c1359"</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 hidden="1">5000</definedName>
    <definedName name="IQ_CREDIT_CARD_FEE_BNK" hidden="1">"c231"</definedName>
    <definedName name="IQ_CREDIT_CARD_FEE_FIN" hidden="1">"c1583"</definedName>
    <definedName name="IQ_CREDIT_LOSS_CF" hidden="1">"c232"</definedName>
    <definedName name="IQ_CUMULATIVE_SPLIT_FACTOR" hidden="1">"c2094"</definedName>
    <definedName name="IQ_CURR_DOMESTIC_TAXES" hidden="1">"c2074"</definedName>
    <definedName name="IQ_CURR_FOREIGN_TAXES" hidden="1">"c2075"</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IT" hidden="1">"c239"</definedName>
    <definedName name="IQ_CURRENCY_GAIN_UTI" hidden="1">"c240"</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IT" hidden="1">"c1570"</definedName>
    <definedName name="IQ_CURRENT_PORT_DEBT_UTI" hidden="1">"c1571"</definedName>
    <definedName name="IQ_CURRENT_PORT_LEASES" hidden="1">"c245"</definedName>
    <definedName name="IQ_CURRENT_PORT_PCT" hidden="1">"c2541"</definedName>
    <definedName name="IQ_CURRENT_RATIO" hidden="1">"c246"</definedName>
    <definedName name="IQ_CUSIP" hidden="1">"c2245"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IT" hidden="1">"c266"</definedName>
    <definedName name="IQ_DA_SUPPL_CF_UTI" hidden="1">"c267"</definedName>
    <definedName name="IQ_DA_SUPPL_FIN" hidden="1">"c268"</definedName>
    <definedName name="IQ_DA_SUPPL_INS" hidden="1">"c269"</definedName>
    <definedName name="IQ_DA_SUPPL_REIT" hidden="1">"c270"</definedName>
    <definedName name="IQ_DA_SUPPL_UTI" hidden="1">"c271"</definedName>
    <definedName name="IQ_DA_UTI" hidden="1">"c272"</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IT" hidden="1">"c297"</definedName>
    <definedName name="IQ_DEF_CHARGES_LT_UTI" hidden="1">"c298"</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"c1447"</definedName>
    <definedName name="IQ_DEFERRED_TAXES" hidden="1">"c1356"</definedName>
    <definedName name="IQ_DEMAND_DEP" hidden="1">"c320"</definedName>
    <definedName name="IQ_DEPOSITS_FIN" hidden="1">"c321"</definedName>
    <definedName name="IQ_DEPOSITS_INTEREST_SECURITIES" hidden="1">"c5509"</definedName>
    <definedName name="IQ_DEPRE_AMORT" hidden="1">"c1360"</definedName>
    <definedName name="IQ_DEPRE_AMORT_SUPPL" hidden="1">"c1593"</definedName>
    <definedName name="IQ_DEPRE_DEPLE" hidden="1">"c1361"</definedName>
    <definedName name="IQ_DEPRE_SUPP" hidden="1">"c1443"</definedName>
    <definedName name="IQ_DESCRIPTION_LONG" hidden="1">"c1520"</definedName>
    <definedName name="IQ_DEVELOP_LAND" hidden="1">"c323"</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"c1367"</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ACT_OR_EST" hidden="1">"c4278"</definedName>
    <definedName name="IQ_DISTRIBUTABLE_CASH_PAYOUT" hidden="1">"c3005"</definedName>
    <definedName name="IQ_DISTRIBUTABLE_CASH_SHARE" hidden="1">"c3003"</definedName>
    <definedName name="IQ_DISTRIBUTABLE_CASH_SHARE_ACT_OR_EST" hidden="1">"c4286"</definedName>
    <definedName name="IQ_DIV_AMOUNT" hidden="1">"c3041"</definedName>
    <definedName name="IQ_DIV_PAYMENT_DATE" hidden="1">"c2205"</definedName>
    <definedName name="IQ_DIV_RECORD_DATE" hidden="1">"c2204"</definedName>
    <definedName name="IQ_DIV_SHARE" hidden="1">"c330"</definedName>
    <definedName name="IQ_DIVEST_CF" hidden="1">"c331"</definedName>
    <definedName name="IQ_DIVID_SHARE" hidden="1">"c1366"</definedName>
    <definedName name="IQ_DIVIDEND_YIELD" hidden="1">"c332"</definedName>
    <definedName name="IQ_DO" hidden="1">"c333"</definedName>
    <definedName name="IQ_DO_ASSETS_CURRENT" hidden="1">"c334"</definedName>
    <definedName name="IQ_DO_ASSETS_LT" hidden="1">"c335"</definedName>
    <definedName name="IQ_DO_CF" hidden="1">"c336"</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GROWTH" hidden="1">"c337"</definedName>
    <definedName name="IQ_DPS_1YR_ANN_GROWTH" hidden="1">"c338"</definedName>
    <definedName name="IQ_DPS_2YR_ANN_GROWTH" hidden="1">"c339"</definedName>
    <definedName name="IQ_DPS_3YR_ANN_GROWTH" hidden="1">"c340"</definedName>
    <definedName name="IQ_DPS_5YR_ANN_GROWTH" hidden="1">"c341"</definedName>
    <definedName name="IQ_DPS_7YR_ANN_GROWTH" hidden="1">"c342"</definedName>
    <definedName name="IQ_DURATION" hidden="1">"c2181"</definedName>
    <definedName name="IQ_EARNING_ASSET_YIELD" hidden="1">"c343"</definedName>
    <definedName name="IQ_EARNING_CO" hidden="1">"c344"</definedName>
    <definedName name="IQ_EARNING_CO_10YR_ANN_GROWTH" hidden="1">"c345"</definedName>
    <definedName name="IQ_EARNING_CO_1YR_ANN_GROWTH" hidden="1">"c346"</definedName>
    <definedName name="IQ_EARNING_CO_2YR_ANN_GROWTH" hidden="1">"c347"</definedName>
    <definedName name="IQ_EARNING_CO_3YR_ANN_GROWTH" hidden="1">"c348"</definedName>
    <definedName name="IQ_EARNING_CO_5YR_ANN_GROWTH" hidden="1">"c349"</definedName>
    <definedName name="IQ_EARNING_CO_7YR_ANN_GROWTH" hidden="1">"c350"</definedName>
    <definedName name="IQ_EARNING_CO_MARGIN" hidden="1">"c351"</definedName>
    <definedName name="IQ_EARNINGS_ANNOUNCE_DATE" hidden="1">"c1649"</definedName>
    <definedName name="IQ_EARNINGS_ANNOUNCE_DATE_REUT" hidden="1">"c5314"</definedName>
    <definedName name="IQ_EBIT" hidden="1">"c352"</definedName>
    <definedName name="IQ_EBIT_10YR_ANN_GROWTH" hidden="1">"c353"</definedName>
    <definedName name="IQ_EBIT_1YR_ANN_GROWTH" hidden="1">"c354"</definedName>
    <definedName name="IQ_EBIT_2YR_ANN_GROWTH" hidden="1">"c355"</definedName>
    <definedName name="IQ_EBIT_3YR_ANN_GROWTH" hidden="1">"c356"</definedName>
    <definedName name="IQ_EBIT_5YR_ANN_GROWTH" hidden="1">"c357"</definedName>
    <definedName name="IQ_EBIT_7YR_ANN_GROWTH" hidden="1">"c358"</definedName>
    <definedName name="IQ_EBIT_EQ_INC" hidden="1">"c3498"</definedName>
    <definedName name="IQ_EBIT_EQ_INC_EXCL_SBC" hidden="1">"c3502"</definedName>
    <definedName name="IQ_EBIT_EXCL_SBC" hidden="1">"c3082"</definedName>
    <definedName name="IQ_EBIT_GW_ACT_OR_EST" hidden="1">"c4306"</definedName>
    <definedName name="IQ_EBIT_INT" hidden="1">"c360"</definedName>
    <definedName name="IQ_EBIT_MARGIN" hidden="1">"c359"</definedName>
    <definedName name="IQ_EBIT_OVER_IE" hidden="1">"c1369"</definedName>
    <definedName name="IQ_EBIT_SBC_ACT_OR_EST" hidden="1">"c4316"</definedName>
    <definedName name="IQ_EBIT_SBC_GW_ACT_OR_EST" hidden="1">"c4320"</definedName>
    <definedName name="IQ_EBITA" hidden="1">"c1910"</definedName>
    <definedName name="IQ_EBITA_10YR_ANN_GROWTH" hidden="1">"c1954"</definedName>
    <definedName name="IQ_EBITA_1YR_ANN_GROWTH" hidden="1">"c1949"</definedName>
    <definedName name="IQ_EBITA_2YR_ANN_GROWTH" hidden="1">"c1950"</definedName>
    <definedName name="IQ_EBITA_3YR_ANN_GROWTH" hidden="1">"c1951"</definedName>
    <definedName name="IQ_EBITA_5YR_ANN_GROWTH" hidden="1">"c1952"</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YR_ANN_GROWTH" hidden="1">"c362"</definedName>
    <definedName name="IQ_EBITDA_1YR_ANN_GROWTH" hidden="1">"c363"</definedName>
    <definedName name="IQ_EBITDA_2YR_ANN_GROWTH" hidden="1">"c364"</definedName>
    <definedName name="IQ_EBITDA_3YR_ANN_GROWTH" hidden="1">"c365"</definedName>
    <definedName name="IQ_EBITDA_5YR_ANN_GROWTH" hidden="1">"c366"</definedName>
    <definedName name="IQ_EBITDA_7YR_ANN_GROWTH" hidden="1">"c367"</definedName>
    <definedName name="IQ_EBITDA_ACT_OR_EST" hidden="1">"c2215"</definedName>
    <definedName name="IQ_EBITDA_CAPEX_INT" hidden="1">"c368"</definedName>
    <definedName name="IQ_EBITDA_CAPEX_OVER_TOTAL_IE" hidden="1">"c1370"</definedName>
    <definedName name="IQ_EBITDA_EQ_INC" hidden="1">"c3496"</definedName>
    <definedName name="IQ_EBITDA_EQ_INC_EXCL_SBC" hidden="1">"c3500"</definedName>
    <definedName name="IQ_EBITDA_EST" hidden="1">"c369"</definedName>
    <definedName name="IQ_EBITDA_EST_REUT" hidden="1">"c3640"</definedName>
    <definedName name="IQ_EBITDA_EXCL_SBC" hidden="1">"c3081"</definedName>
    <definedName name="IQ_EBITDA_HIGH_EST" hidden="1">"c370"</definedName>
    <definedName name="IQ_EBITDA_HIGH_EST_REUT" hidden="1">"c3642"</definedName>
    <definedName name="IQ_EBITDA_INT" hidden="1">"c373"</definedName>
    <definedName name="IQ_EBITDA_LOW_EST" hidden="1">"c371"</definedName>
    <definedName name="IQ_EBITDA_LOW_EST_REUT" hidden="1">"c3643"</definedName>
    <definedName name="IQ_EBITDA_MARGIN" hidden="1">"c372"</definedName>
    <definedName name="IQ_EBITDA_MEDIAN_EST" hidden="1">"c1663"</definedName>
    <definedName name="IQ_EBITDA_MEDIAN_EST_REUT" hidden="1">"c3641"</definedName>
    <definedName name="IQ_EBITDA_NUM_EST" hidden="1">"c374"</definedName>
    <definedName name="IQ_EBITDA_NUM_EST_REUT" hidden="1">"c3644"</definedName>
    <definedName name="IQ_EBITDA_OVER_TOTAL_IE" hidden="1">"c1371"</definedName>
    <definedName name="IQ_EBITDA_SBC_ACT_OR_EST" hidden="1">"c4337"</definedName>
    <definedName name="IQ_EBITDA_STDDEV_EST" hidden="1">"c375"</definedName>
    <definedName name="IQ_EBITDA_STDDEV_EST_REUT" hidden="1">"c3645"</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IT" hidden="1">"c389"</definedName>
    <definedName name="IQ_EBT_SBC_ACT_OR_EST" hidden="1">"c4350"</definedName>
    <definedName name="IQ_EBT_SBC_GW_ACT_OR_EST" hidden="1">"c4354"</definedName>
    <definedName name="IQ_EBT_UTI" hidden="1">"c390"</definedName>
    <definedName name="IQ_EFFECT_SPECIAL_CHARGE" hidden="1">"c1595"</definedName>
    <definedName name="IQ_EFFECT_TAX_RATE" hidden="1">"c1899"</definedName>
    <definedName name="IQ_EFFICIENCY_RATIO" hidden="1">"c391"</definedName>
    <definedName name="IQ_EMPLOYEES" hidden="1">"c392"</definedName>
    <definedName name="IQ_ENTERPRISE_VALUE" hidden="1">"c1348"</definedName>
    <definedName name="IQ_EPS_10YR_ANN_GROWTH" hidden="1">"c393"</definedName>
    <definedName name="IQ_EPS_1YR_ANN_GROWTH" hidden="1">"c394"</definedName>
    <definedName name="IQ_EPS_2YR_ANN_GROWTH" hidden="1">"c395"</definedName>
    <definedName name="IQ_EPS_3YR_ANN_GROWTH" hidden="1">"c396"</definedName>
    <definedName name="IQ_EPS_5YR_ANN_GROWTH" hidden="1">"c397"</definedName>
    <definedName name="IQ_EPS_7YR_ANN_GROWTH" hidden="1">"c398"</definedName>
    <definedName name="IQ_EPS_EST" hidden="1">"c399"</definedName>
    <definedName name="IQ_EPS_EST_REUT" hidden="1">"c5453"</definedName>
    <definedName name="IQ_EPS_HIGH_EST" hidden="1">"c400"</definedName>
    <definedName name="IQ_EPS_HIGH_EST_REUT" hidden="1">"c5454"</definedName>
    <definedName name="IQ_EPS_LOW_EST" hidden="1">"c401"</definedName>
    <definedName name="IQ_EPS_LOW_EST_REUT" hidden="1">"c5455"</definedName>
    <definedName name="IQ_EPS_MEDIAN_EST" hidden="1">"c1661"</definedName>
    <definedName name="IQ_EPS_MEDIAN_EST_REUT" hidden="1">"c5456"</definedName>
    <definedName name="IQ_EPS_NORM" hidden="1">"c1902"</definedName>
    <definedName name="IQ_EPS_NUM_EST" hidden="1">"c402"</definedName>
    <definedName name="IQ_EPS_NUM_EST_REUT" hidden="1">"c5451"</definedName>
    <definedName name="IQ_EPS_SBC_ACT_OR_EST" hidden="1">"c4376"</definedName>
    <definedName name="IQ_EPS_SBC_GW_ACT_OR_EST" hidden="1">"c4380"</definedName>
    <definedName name="IQ_EPS_STDDEV_EST" hidden="1">"c403"</definedName>
    <definedName name="IQ_EPS_STDDEV_EST_REUT" hidden="1">"c5452"</definedName>
    <definedName name="IQ_EQUITY_AFFIL" hidden="1">"c1451"</definedName>
    <definedName name="IQ_EQUITY_METHOD" hidden="1">"c404"</definedName>
    <definedName name="IQ_EQV_OVER_BV" hidden="1">"c1596"</definedName>
    <definedName name="IQ_EQV_OVER_LTM_PRETAX_INC" hidden="1">"c1390"</definedName>
    <definedName name="IQ_ESOP_DEBT" hidden="1">"c1597"</definedName>
    <definedName name="IQ_EST_CURRENCY" hidden="1">"c2140"</definedName>
    <definedName name="IQ_EST_CURRENCY_REUT" hidden="1">"c5437"</definedName>
    <definedName name="IQ_EST_DATE" hidden="1">"c1634"</definedName>
    <definedName name="IQ_EST_DATE_REUT" hidden="1">"c5438"</definedName>
    <definedName name="IQ_EST_EPS_GROWTH_1YR" hidden="1">"c1636"</definedName>
    <definedName name="IQ_EST_EPS_GROWTH_1YR_REUT" hidden="1">"c3646"</definedName>
    <definedName name="IQ_EST_EPS_GROWTH_5YR" hidden="1">"c1655"</definedName>
    <definedName name="IQ_EST_EPS_GROWTH_5YR_REUT" hidden="1">"c3633"</definedName>
    <definedName name="IQ_EST_EPS_GROWTH_Q_1YR" hidden="1">"c1641"</definedName>
    <definedName name="IQ_EST_EPS_GROWTH_Q_1YR_REUT" hidden="1">"c5410"</definedName>
    <definedName name="IQ_EST_VENDOR" hidden="1">"c5564"</definedName>
    <definedName name="IQ_EV_OVER_EMPLOYEE" hidden="1">"c1428"</definedName>
    <definedName name="IQ_EV_OVER_LTM_EBIT" hidden="1">"c1426"</definedName>
    <definedName name="IQ_EV_OVER_LTM_EBITDA" hidden="1">"c1427"</definedName>
    <definedName name="IQ_EV_OVER_LTM_REVENUE" hidden="1">"c1429"</definedName>
    <definedName name="IQ_EVAL_DATE" hidden="1">"c2180"</definedName>
    <definedName name="IQ_EXCHANGE" hidden="1">"c405"</definedName>
    <definedName name="IQ_EXCISE_TAXES_EXCL_SALES" hidden="1">"c5515"</definedName>
    <definedName name="IQ_EXCISE_TAXES_INCL_SALES" hidden="1">"c5514"</definedName>
    <definedName name="IQ_EXERCISE_PRICE" hidden="1">"c1897"</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IT" hidden="1">"c415"</definedName>
    <definedName name="IQ_EXTRA_ACC_ITEMS_UTI" hidden="1">"c416"</definedName>
    <definedName name="IQ_EXTRA_ITEMS" hidden="1">"c1459"</definedName>
    <definedName name="IQ_FDIC" hidden="1">"c417"</definedName>
    <definedName name="IQ_FEDFUNDS_SOLD" hidden="1">"c2256"</definedName>
    <definedName name="IQ_FFO" hidden="1">"c1574"</definedName>
    <definedName name="IQ_FFO_ADJ_ACT_OR_EST" hidden="1">"c4435"</definedName>
    <definedName name="IQ_FFO_PAYOUT_RATIO" hidden="1">"c3492"</definedName>
    <definedName name="IQ_FFO_SHARE_ACT_OR_EST" hidden="1">"c4446"</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IV_ASSETS_CURRENT" hidden="1">"c427"</definedName>
    <definedName name="IQ_FIN_DIV_ASSETS_LT" hidden="1">"c428"</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NOTES_PAY_TOTAL" hidden="1">"c5522"</definedName>
    <definedName name="IQ_FIN_DIV_REV" hidden="1">"c437"</definedName>
    <definedName name="IQ_FIN_DIV_ST_DEBT_TOTAL" hidden="1">"c5527"</definedName>
    <definedName name="IQ_FINANCING_CASH" hidden="1">"c1405"</definedName>
    <definedName name="IQ_FINANCING_CASH_SUPPL" hidden="1">"c1406"</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Y" hidden="1">"c441"</definedName>
    <definedName name="IQ_FIVE_PERCENT_OWNER" hidden="1">"c442"</definedName>
    <definedName name="IQ_FIVEPERCENT_PERCENT" hidden="1">"c443"</definedName>
    <definedName name="IQ_FIVEPERCENT_SHARES" hidden="1">"c444"</definedName>
    <definedName name="IQ_FIXED_ASSET_TURNS" hidden="1">"c445"</definedName>
    <definedName name="IQ_FLOAT_PERCENT" hidden="1">"c1575"</definedName>
    <definedName name="IQ_FOREIGN_DEP_IB" hidden="1">"c446"</definedName>
    <definedName name="IQ_FOREIGN_DEP_NON_IB" hidden="1">"c447"</definedName>
    <definedName name="IQ_FOREIGN_EXCHANGE" hidden="1">"c1376"</definedName>
    <definedName name="IQ_FOREIGN_LOANS" hidden="1">"c448"</definedName>
    <definedName name="IQ_FQ" hidden="1">500</definedName>
    <definedName name="IQ_FUEL" hidden="1">"c449"</definedName>
    <definedName name="IQ_FULL_TIME" hidden="1">"c450"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X" hidden="1">"c451"</definedName>
    <definedName name="IQ_FY" hidden="1">1000</definedName>
    <definedName name="IQ_GA_EXP" hidden="1">"c2241"</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"c1377"</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OODWILL_NET" hidden="1">"c1380"</definedName>
    <definedName name="IQ_GP" hidden="1">"c511"</definedName>
    <definedName name="IQ_GP_10YR_ANN_GROWTH" hidden="1">"c512"</definedName>
    <definedName name="IQ_GP_1YR_ANN_GROWTH" hidden="1">"c513"</definedName>
    <definedName name="IQ_GP_2YR_ANN_GROWTH" hidden="1">"c514"</definedName>
    <definedName name="IQ_GP_3YR_ANN_GROWTH" hidden="1">"c515"</definedName>
    <definedName name="IQ_GP_5YR_ANN_GROWTH" hidden="1">"c516"</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"c1446"</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GROWTH" hidden="1">"c522"</definedName>
    <definedName name="IQ_GROSS_LOANS_1YR_ANN_GROWTH" hidden="1">"c523"</definedName>
    <definedName name="IQ_GROSS_LOANS_2YR_ANN_GROWTH" hidden="1">"c524"</definedName>
    <definedName name="IQ_GROSS_LOANS_3YR_ANN_GROWTH" hidden="1">"c525"</definedName>
    <definedName name="IQ_GROSS_LOANS_5YR_ANN_GROWTH" hidden="1">"c526"</definedName>
    <definedName name="IQ_GROSS_LOANS_7YR_ANN_GROWTH" hidden="1">"c527"</definedName>
    <definedName name="IQ_GROSS_LOANS_TOTAL_DEPOSITS" hidden="1">"c528"</definedName>
    <definedName name="IQ_GROSS_MARGIN" hidden="1">"c529"</definedName>
    <definedName name="IQ_GROSS_PC_EARNED" hidden="1">"c2747"</definedName>
    <definedName name="IQ_GROSS_PROFIT" hidden="1">"c1378"</definedName>
    <definedName name="IQ_GROSS_SPRD" hidden="1">"c2155"</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IT" hidden="1">"c1480"</definedName>
    <definedName name="IQ_GW_INTAN_AMORT_UTI" hidden="1">"c1481"</definedName>
    <definedName name="IQ_HIGH_TARGET_PRICE" hidden="1">"c1651"</definedName>
    <definedName name="IQ_HIGH_TARGET_PRICE_REUT" hidden="1">"c5317"</definedName>
    <definedName name="IQ_HIGHPRICE" hidden="1">"c545"</definedName>
    <definedName name="IQ_HOMEOWNERS_WRITTEN" hidden="1">"c546"</definedName>
    <definedName name="IQ_IMPAIR_OIL" hidden="1">"c547"</definedName>
    <definedName name="IQ_IMPAIRMENT_GW" hidden="1">"c548"</definedName>
    <definedName name="IQ_IMPUT_OPER_LEASE_DEPR" hidden="1">"c2987"</definedName>
    <definedName name="IQ_IMPUT_OPER_LEASE_INT_EXP" hidden="1">"c2986"</definedName>
    <definedName name="IQ_INC_AFTER_TAX" hidden="1">"c1598"</definedName>
    <definedName name="IQ_INC_AVAIL_EXCL" hidden="1">"c1395"</definedName>
    <definedName name="IQ_INC_AVAIL_INCL" hidden="1">"c1396"</definedName>
    <definedName name="IQ_INC_BEFORE_TAX" hidden="1">"c1375"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DUSTRY" hidden="1">"c3601"</definedName>
    <definedName name="IQ_INDUSTRY_GROUP" hidden="1">"c3602"</definedName>
    <definedName name="IQ_INDUSTRY_SECTOR" hidden="1">"c3603"</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UR_RECEIV" hidden="1">"c1600"</definedName>
    <definedName name="IQ_INT_BORROW" hidden="1">"c583"</definedName>
    <definedName name="IQ_INT_DEPOSITS" hidden="1">"c584"</definedName>
    <definedName name="IQ_INT_DIV_INC" hidden="1">"c585"</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IT" hidden="1">"c590"</definedName>
    <definedName name="IQ_INT_EXP_TOTAL" hidden="1">"c591"</definedName>
    <definedName name="IQ_INT_EXP_UTI" hidden="1">"c592"</definedName>
    <definedName name="IQ_INT_INC_BR" hidden="1">"c593"</definedName>
    <definedName name="IQ_INT_INC_FIN" hidden="1">"c594"</definedName>
    <definedName name="IQ_INT_INC_INVEST" hidden="1">"c595"</definedName>
    <definedName name="IQ_INT_INC_LOANS" hidden="1">"c596"</definedName>
    <definedName name="IQ_INT_INC_REIT" hidden="1">"c597"</definedName>
    <definedName name="IQ_INT_INC_TOTAL" hidden="1">"c598"</definedName>
    <definedName name="IQ_INT_INC_UTI" hidden="1">"c599"</definedName>
    <definedName name="IQ_INT_INV_INC" hidden="1">"c600"</definedName>
    <definedName name="IQ_INT_INV_INC_REIT" hidden="1">"c601"</definedName>
    <definedName name="IQ_INT_INV_INC_UTI" hidden="1">"c602"</definedName>
    <definedName name="IQ_INT_ON_BORROWING_COVERAGE" hidden="1">"c603"</definedName>
    <definedName name="IQ_INT_RATE_SPREAD" hidden="1">"c604"</definedName>
    <definedName name="IQ_INTANGIBLES_NET" hidden="1">"c1407"</definedName>
    <definedName name="IQ_INTEREST_CASH_DEPOSITS" hidden="1">"c2255"</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NON" hidden="1">"c1384"</definedName>
    <definedName name="IQ_INTEREST_INVEST_INC" hidden="1">"c619"</definedName>
    <definedName name="IQ_INV_10YR_ANN_GROWTH" hidden="1">"c1930"</definedName>
    <definedName name="IQ_INV_1YR_ANN_GROWTH" hidden="1">"c1925"</definedName>
    <definedName name="IQ_INV_2YR_ANN_GROWTH" hidden="1">"c1926"</definedName>
    <definedName name="IQ_INV_3YR_ANN_GROWTH" hidden="1">"c1927"</definedName>
    <definedName name="IQ_INV_5YR_ANN_GROWTH" hidden="1">"c1928"</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IT" hidden="1">"c642"</definedName>
    <definedName name="IQ_INVEST_SECURITY_CF_UTI" hidden="1">"c643"</definedName>
    <definedName name="IQ_INVEST_SECURITY_SUPPL" hidden="1">"c5511"</definedName>
    <definedName name="IQ_IPRD" hidden="1">"c644"</definedName>
    <definedName name="IQ_ISS_DEBT_NET" hidden="1">"c1391"</definedName>
    <definedName name="IQ_ISS_STOCK_NET" hidden="1">"c1601"</definedName>
    <definedName name="IQ_ISSUE_CURRENCY" hidden="1">"c2156"</definedName>
    <definedName name="IQ_ISSUE_NAME" hidden="1">"c2142"</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K" hidden="1">1000</definedName>
    <definedName name="IQ_LATESTQ" hidden="1">500</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IT" hidden="1">"c652"</definedName>
    <definedName name="IQ_LEGAL_SETTLE_UTI" hidden="1">"c653"</definedName>
    <definedName name="IQ_LEVERAGE_RATIO" hidden="1">"c654"</definedName>
    <definedName name="IQ_LEVERED_FCF" hidden="1">"c1907"</definedName>
    <definedName name="IQ_LFCF_10YR_ANN_GROWTH" hidden="1">"c1942"</definedName>
    <definedName name="IQ_LFCF_1YR_ANN_GROWTH" hidden="1">"c1937"</definedName>
    <definedName name="IQ_LFCF_2YR_ANN_GROWTH" hidden="1">"c1938"</definedName>
    <definedName name="IQ_LFCF_3YR_ANN_GROWTH" hidden="1">"c1939"</definedName>
    <definedName name="IQ_LFCF_5YR_ANN_GROWTH" hidden="1">"c1940"</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OR" hidden="1">"c655"</definedName>
    <definedName name="IQ_LL" hidden="1">"c656"</definedName>
    <definedName name="IQ_LOAN_LEASE_RECEIV" hidden="1">"c657"</definedName>
    <definedName name="IQ_LOAN_LOSS" hidden="1">"c1386"</definedName>
    <definedName name="IQ_LOAN_SERVICE_REV" hidden="1">"c658"</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IT" hidden="1">"c664"</definedName>
    <definedName name="IQ_LOANS_CF_UTI" hidden="1">"c665"</definedName>
    <definedName name="IQ_LOANS_FOR_SALE" hidden="1">"c666"</definedName>
    <definedName name="IQ_LOANS_PAST_DUE" hidden="1">"c667"</definedName>
    <definedName name="IQ_LOANS_RECEIV_CURRENT" hidden="1">"c668"</definedName>
    <definedName name="IQ_LOANS_RECEIV_LT" hidden="1">"c669"</definedName>
    <definedName name="IQ_LOANS_RECEIV_LT_UTI" hidden="1">"c670"</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LOSS_EXP" hidden="1">"c672"</definedName>
    <definedName name="IQ_LOSS_TO_NET_EARNED" hidden="1">"c2751"</definedName>
    <definedName name="IQ_LOW_TARGET_PRICE" hidden="1">"c1652"</definedName>
    <definedName name="IQ_LOW_TARGET_PRICE_REUT" hidden="1">"c5318"</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IT" hidden="1">"c686"</definedName>
    <definedName name="IQ_LT_DEBT_ISSUED_UTI" hidden="1">"c687"</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REVENUE_OVER_EMPLOYEES" hidden="1">"c1437"</definedName>
    <definedName name="IQ_MACHINERY" hidden="1">"c711"</definedName>
    <definedName name="IQ_MAINT_CAPEX" hidden="1">"c2947"</definedName>
    <definedName name="IQ_MAINT_CAPEX_ACT_OR_EST" hidden="1">"c4458"</definedName>
    <definedName name="IQ_MAINT_REPAIR" hidden="1">"c2087"</definedName>
    <definedName name="IQ_MAKE_WHOLE_END_DATE" hidden="1">"c2493"</definedName>
    <definedName name="IQ_MAKE_WHOLE_SPREAD" hidden="1">"c2494"</definedName>
    <definedName name="IQ_MAKE_WHOLE_START_DATE" hidden="1">"c2492"</definedName>
    <definedName name="IQ_MARKET_CAP_LFCF" hidden="1">"c2209"</definedName>
    <definedName name="IQ_MARKETCAP" hidden="1">"c712"</definedName>
    <definedName name="IQ_MARKETING" hidden="1">"c2239"</definedName>
    <definedName name="IQ_MATURITY_DATE" hidden="1">"c2146"</definedName>
    <definedName name="IQ_MC_RATIO" hidden="1">"c2783"</definedName>
    <definedName name="IQ_MC_STATUTORY_SURPLUS" hidden="1">"c2772"</definedName>
    <definedName name="IQ_MEDIAN_TARGET_PRICE" hidden="1">"c1650"</definedName>
    <definedName name="IQ_MEDIAN_TARGET_PRICE_REUT" hidden="1">"c5316"</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REUT" hidden="1">"c4048"</definedName>
    <definedName name="IQ_MM_ACCOUNT" hidden="1">"c743"</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SERV_RIGHTS" hidden="1">"c2242"</definedName>
    <definedName name="IQ_NET_CHANGE" hidden="1">"c749"</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EBITDA" hidden="1">"c750"</definedName>
    <definedName name="IQ_NET_DEBT_EBITDA_CAPEX" hidden="1">"c2949"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IT" hidden="1">"c756"</definedName>
    <definedName name="IQ_NET_DEBT_ISSUED_UTI" hidden="1">"c757"</definedName>
    <definedName name="IQ_NET_EARNED" hidden="1">"c2734"</definedName>
    <definedName name="IQ_NET_INC" hidden="1">"c1394"</definedName>
    <definedName name="IQ_NET_INC_BEFORE" hidden="1">"c1368"</definedName>
    <definedName name="IQ_NET_INC_CF" hidden="1">"c1397"</definedName>
    <definedName name="IQ_NET_INC_MARGIN" hidden="1">"c1398"</definedName>
    <definedName name="IQ_NET_INT_INC_10YR_ANN_GROWTH" hidden="1">"c758"</definedName>
    <definedName name="IQ_NET_INT_INC_1YR_ANN_GROWTH" hidden="1">"c759"</definedName>
    <definedName name="IQ_NET_INT_INC_2YR_ANN_GROWTH" hidden="1">"c760"</definedName>
    <definedName name="IQ_NET_INT_INC_3YR_ANN_GROWTH" hidden="1">"c761"</definedName>
    <definedName name="IQ_NET_INT_INC_5YR_ANN_GROWTH" hidden="1">"c762"</definedName>
    <definedName name="IQ_NET_INT_INC_7YR_ANN_GROWTH" hidden="1">"c763"</definedName>
    <definedName name="IQ_NET_INT_INC_BNK" hidden="1">"c764"</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LIFE_INS_IN_FORCE" hidden="1">"c2769"</definedName>
    <definedName name="IQ_NET_LOANS" hidden="1">"c772"</definedName>
    <definedName name="IQ_NET_LOANS_10YR_ANN_GROWTH" hidden="1">"c773"</definedName>
    <definedName name="IQ_NET_LOANS_1YR_ANN_GROWTH" hidden="1">"c774"</definedName>
    <definedName name="IQ_NET_LOANS_2YR_ANN_GROWTH" hidden="1">"c775"</definedName>
    <definedName name="IQ_NET_LOANS_3YR_ANN_GROWTH" hidden="1">"c776"</definedName>
    <definedName name="IQ_NET_LOANS_5YR_ANN_GROWTH" hidden="1">"c777"</definedName>
    <definedName name="IQ_NET_LOANS_7YR_ANN_GROWTH" hidden="1">"c778"</definedName>
    <definedName name="IQ_NET_LOANS_TOTAL_DEPOSITS" hidden="1">"c779"</definedName>
    <definedName name="IQ_NET_RENTAL_EXP_FN" hidden="1">"c780"</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I" hidden="1">"c781"</definedName>
    <definedName name="IQ_NI_10YR_ANN_GROWTH" hidden="1">"c782"</definedName>
    <definedName name="IQ_NI_1YR_ANN_GROWTH" hidden="1">"c783"</definedName>
    <definedName name="IQ_NI_2YR_ANN_GROWTH" hidden="1">"c784"</definedName>
    <definedName name="IQ_NI_3YR_ANN_GROWTH" hidden="1">"c785"</definedName>
    <definedName name="IQ_NI_5YR_ANN_GROWTH" hidden="1">"c786"</definedName>
    <definedName name="IQ_NI_7YR_ANN_GROWTH" hidden="1">"c787"</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MARGIN" hidden="1">"c794"</definedName>
    <definedName name="IQ_NI_NORM" hidden="1">"c1901"</definedName>
    <definedName name="IQ_NI_NORM_10YR_ANN_GROWTH" hidden="1">"c1960"</definedName>
    <definedName name="IQ_NI_NORM_1YR_ANN_GROWTH" hidden="1">"c1955"</definedName>
    <definedName name="IQ_NI_NORM_2YR_ANN_GROWTH" hidden="1">"c1956"</definedName>
    <definedName name="IQ_NI_NORM_3YR_ANN_GROWTH" hidden="1">"c1957"</definedName>
    <definedName name="IQ_NI_NORM_5YR_ANN_GROWTH" hidden="1">"c1958"</definedName>
    <definedName name="IQ_NI_NORM_7YR_ANN_GROWTH" hidden="1">"c1959"</definedName>
    <definedName name="IQ_NI_NORM_MARGIN" hidden="1">"c1964"</definedName>
    <definedName name="IQ_NI_SBC_ACT_OR_EST" hidden="1">"c4474"</definedName>
    <definedName name="IQ_NI_SBC_GW_ACT_OR_EST" hidden="1">"c4478"</definedName>
    <definedName name="IQ_NI_SFAS" hidden="1">"c795"</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"c1399"</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INC" hidden="1">"c802"</definedName>
    <definedName name="IQ_NON_INT_INC_10YR_ANN_GROWTH" hidden="1">"c803"</definedName>
    <definedName name="IQ_NON_INT_INC_1YR_ANN_GROWTH" hidden="1">"c804"</definedName>
    <definedName name="IQ_NON_INT_INC_2YR_ANN_GROWTH" hidden="1">"c805"</definedName>
    <definedName name="IQ_NON_INT_INC_3YR_ANN_GROWTH" hidden="1">"c806"</definedName>
    <definedName name="IQ_NON_INT_INC_5YR_ANN_GROWTH" hidden="1">"c807"</definedName>
    <definedName name="IQ_NON_INT_INC_7YR_ANN_GROWTH" hidden="1">"c808"</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GROWTH" hidden="1">"c811"</definedName>
    <definedName name="IQ_NON_PERF_ASSETS_1YR_ANN_GROWTH" hidden="1">"c812"</definedName>
    <definedName name="IQ_NON_PERF_ASSETS_2YR_ANN_GROWTH" hidden="1">"c813"</definedName>
    <definedName name="IQ_NON_PERF_ASSETS_3YR_ANN_GROWTH" hidden="1">"c814"</definedName>
    <definedName name="IQ_NON_PERF_ASSETS_5YR_ANN_GROWTH" hidden="1">"c815"</definedName>
    <definedName name="IQ_NON_PERF_ASSETS_7YR_ANN_GROWTH" hidden="1">"c816"</definedName>
    <definedName name="IQ_NON_PERF_ASSETS_TOTAL_ASSETS" hidden="1">"c817"</definedName>
    <definedName name="IQ_NON_PERF_LOANS_10YR_ANN_GROWTH" hidden="1">"c818"</definedName>
    <definedName name="IQ_NON_PERF_LOANS_1YR_ANN_GROWTH" hidden="1">"c819"</definedName>
    <definedName name="IQ_NON_PERF_LOANS_2YR_ANN_GROWTH" hidden="1">"c820"</definedName>
    <definedName name="IQ_NON_PERF_LOANS_3YR_ANN_GROWTH" hidden="1">"c821"</definedName>
    <definedName name="IQ_NON_PERF_LOANS_5YR_ANN_GROWTH" hidden="1">"c822"</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CASH_PENSION_EXP" hidden="1">"c3000"</definedName>
    <definedName name="IQ_NONRECOURSE_DEBT" hidden="1">"c2550"</definedName>
    <definedName name="IQ_NONRECOURSE_DEBT_PCT" hidden="1">"c2551"</definedName>
    <definedName name="IQ_NONUTIL_REV" hidden="1">"c2089"</definedName>
    <definedName name="IQ_NORMAL_INC_AFTER" hidden="1">"c1605"</definedName>
    <definedName name="IQ_NORMAL_INC_AVAIL" hidden="1">"c1606"</definedName>
    <definedName name="IQ_NORMAL_INC_BEFORE" hidden="1">"c1607"</definedName>
    <definedName name="IQ_NOTES_PAY" hidden="1">"c1423"</definedName>
    <definedName name="IQ_NOW_ACCOUNT" hidden="1">"c828"</definedName>
    <definedName name="IQ_NPPE" hidden="1">"c829"</definedName>
    <definedName name="IQ_NPPE_10YR_ANN_GROWTH" hidden="1">"c830"</definedName>
    <definedName name="IQ_NPPE_1YR_ANN_GROWTH" hidden="1">"c831"</definedName>
    <definedName name="IQ_NPPE_2YR_ANN_GROWTH" hidden="1">"c832"</definedName>
    <definedName name="IQ_NPPE_3YR_ANN_GROWTH" hidden="1">"c833"</definedName>
    <definedName name="IQ_NPPE_5YR_ANN_GROWTH" hidden="1">"c834"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SHAREHOLDERS" hidden="1">"c1967"</definedName>
    <definedName name="IQ_NUMBER_SHAREHOLDERS_CLASSA" hidden="1">"c1968"</definedName>
    <definedName name="IQ_NUMBER_SHAREHOLDERS_OTHER" hidden="1">"c1969"</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UNRECOG_PRIOR" hidden="1">"c3320"</definedName>
    <definedName name="IQ_OPEB_UNRECOG_PRIOR_DOM" hidden="1">"c3318"</definedName>
    <definedName name="IQ_OPEB_UNRECOG_PRIOR_FOREIGN" hidden="1">"c3319"</definedName>
    <definedName name="IQ_OPENPRICE" hidden="1">"c848"</definedName>
    <definedName name="IQ_OPER_INC" hidden="1">"c849"</definedName>
    <definedName name="IQ_OPER_INC_BR" hidden="1">"c850"</definedName>
    <definedName name="IQ_OPER_INC_FIN" hidden="1">"c851"</definedName>
    <definedName name="IQ_OPER_INC_INS" hidden="1">"c852"</definedName>
    <definedName name="IQ_OPER_INC_MARGIN" hidden="1">"c1448"</definedName>
    <definedName name="IQ_OPER_INC_REIT" hidden="1">"c853"</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ED" hidden="1">"c2116"</definedName>
    <definedName name="IQ_OPTIONS_GRANTED" hidden="1">"c2673"</definedName>
    <definedName name="IQ_OPTIONS_ISSUED" hidden="1">"c857"</definedName>
    <definedName name="IQ_OPTIONS_STRIKE_PRICE_GRANTED" hidden="1">"c2678"</definedName>
    <definedName name="IQ_OPTIONS_STRIKE_PRICE_OS" hidden="1">"c2677"</definedName>
    <definedName name="IQ_ORDER_BACKLOG" hidden="1">"c2090"</definedName>
    <definedName name="IQ_OTHER_ADJUST_GROSS_LOANS" hidden="1">"c859"</definedName>
    <definedName name="IQ_OTHER_AMORT" hidden="1">"c5563"</definedName>
    <definedName name="IQ_OTHER_ASSETS" hidden="1">"c860"</definedName>
    <definedName name="IQ_OTHER_ASSETS_BNK" hidden="1">"c861"</definedName>
    <definedName name="IQ_OTHER_ASSETS_BR" hidden="1">"c862"</definedName>
    <definedName name="IQ_OTHER_ASSETS_FIN" hidden="1">"c863"</definedName>
    <definedName name="IQ_OTHER_ASSETS_INS" hidden="1">"c864"</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REIT" hidden="1">"c882"</definedName>
    <definedName name="IQ_OTHER_CL_SUPPL_UTI" hidden="1">"c883"</definedName>
    <definedName name="IQ_OTHER_CL_UTI" hidden="1">"c884"</definedName>
    <definedName name="IQ_OTHER_CURRENT_ASSETS" hidden="1">"c1403"</definedName>
    <definedName name="IQ_OTHER_CURRENT_LIAB" hidden="1">"c1404"</definedName>
    <definedName name="IQ_OTHER_DEBT" hidden="1">"c2507"</definedName>
    <definedName name="IQ_OTHER_DEBT_PCT" hidden="1">"c2508"</definedName>
    <definedName name="IQ_OTHER_DEP" hidden="1">"c885"</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IT" hidden="1">"c904"</definedName>
    <definedName name="IQ_OTHER_FINANCE_ACT_SUPPL_UTI" hidden="1">"c905"</definedName>
    <definedName name="IQ_OTHER_FINANCE_ACT_UTI" hidden="1">"c906"</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IT" hidden="1">"c912"</definedName>
    <definedName name="IQ_OTHER_INTAN_UTI" hidden="1">"c913"</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IT" hidden="1">"c940"</definedName>
    <definedName name="IQ_OTHER_LIAB_LT_UTI" hidden="1">"c941"</definedName>
    <definedName name="IQ_OTHER_LIAB_REIT" hidden="1">"c942"</definedName>
    <definedName name="IQ_OTHER_LIAB_UTI" hidden="1">"c943"</definedName>
    <definedName name="IQ_OTHER_LIAB_WRITTEN" hidden="1">"c944"</definedName>
    <definedName name="IQ_OTHER_LOANS" hidden="1">"c945"</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IT" hidden="1">"c951"</definedName>
    <definedName name="IQ_OTHER_LT_ASSETS_UTI" hidden="1">"c952"</definedName>
    <definedName name="IQ_OTHER_NET" hidden="1">"c1453"</definedName>
    <definedName name="IQ_OTHER_NON_INT_EXP" hidden="1">"c953"</definedName>
    <definedName name="IQ_OTHER_NON_INT_EXP_TOTAL" hidden="1">"c954"</definedName>
    <definedName name="IQ_OTHER_NON_INT_INC" hidden="1">"c955"</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IT" hidden="1">"c965"</definedName>
    <definedName name="IQ_OTHER_NON_OPER_EXP_SUPPL_UTI" hidden="1">"c966"</definedName>
    <definedName name="IQ_OTHER_NON_OPER_EXP_UTI" hidden="1">"c967"</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ED" hidden="1">"c2688"</definedName>
    <definedName name="IQ_OTHER_OPTIONS_GRANTED" hidden="1">"c2687"</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IT" hidden="1">"c1019"</definedName>
    <definedName name="IQ_OTHER_REV_SUPPL_UTI" hidden="1">"c1020"</definedName>
    <definedName name="IQ_OTHER_REV_UTI" hidden="1">"c1021"</definedName>
    <definedName name="IQ_OTHER_REVENUE" hidden="1">"c1410"</definedName>
    <definedName name="IQ_OTHER_STRIKE_PRICE_GRANTED" hidden="1">"c2692"</definedName>
    <definedName name="IQ_OTHER_UNDRAWN" hidden="1">"c2522"</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"c2128"</definedName>
    <definedName name="IQ_OUTSTANDING_FILING_DATE" hidden="1">"c1023"</definedName>
    <definedName name="IQ_OWNERSHIP" hidden="1">"c2160"</definedName>
    <definedName name="IQ_PART_TIME" hidden="1">"c1024"</definedName>
    <definedName name="IQ_PAY_ACCRUED" hidden="1">"c1457"</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REUT" hidden="1">"c4049"</definedName>
    <definedName name="IQ_PE_NORMALIZED" hidden="1">"c2207"</definedName>
    <definedName name="IQ_PE_RATIO" hidden="1">"c1610"</definedName>
    <definedName name="IQ_PEG_FWD" hidden="1">"c1863"</definedName>
    <definedName name="IQ_PEG_FWD_REUT" hidden="1">"c4052"</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IODDATE" hidden="1">"c1414"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L" hidden="1">"c2114"</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RE_OPEN_COST" hidden="1">"c1040"</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IT" hidden="1">"c1058"</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IT" hidden="1">"c1065"</definedName>
    <definedName name="IQ_PREF_REP_UTI" hidden="1">"c1066"</definedName>
    <definedName name="IQ_PREF_STOCK" hidden="1">"c1416"</definedName>
    <definedName name="IQ_PREF_TOT" hidden="1">"c1415"</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ICE_OVER_BVPS" hidden="1">"c1412"</definedName>
    <definedName name="IQ_PRICE_OVER_LTM_EPS" hidden="1">"c1413"</definedName>
    <definedName name="IQ_PRICE_TARGET" hidden="1">"c82"</definedName>
    <definedName name="IQ_PRICE_TARGET_REUT" hidden="1">"c3631"</definedName>
    <definedName name="IQ_PRICEDATE" hidden="1">"c1069"</definedName>
    <definedName name="IQ_PRICING_DATE" hidden="1">"c1613"</definedName>
    <definedName name="IQ_PRIMARY_INDUSTRY" hidden="1">"c1070"</definedName>
    <definedName name="IQ_PRINCIPAL_AMT" hidden="1">"c2157"</definedName>
    <definedName name="IQ_PRO_FORMA_BASIC_EPS" hidden="1">"c1614"</definedName>
    <definedName name="IQ_PRO_FORMA_DILUT_EPS" hidden="1">"c1615"</definedName>
    <definedName name="IQ_PRO_FORMA_NET_INC" hidden="1">"c1452"</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"c1379"</definedName>
    <definedName name="IQ_PROPERTY_MGMT_FEE" hidden="1">"c1074"</definedName>
    <definedName name="IQ_PROPERTY_NET" hidden="1">"c1402"</definedName>
    <definedName name="IQ_PROV_BAD_DEBTS" hidden="1">"c1075"</definedName>
    <definedName name="IQ_PROV_BAD_DEBTS_CF" hidden="1">"c1076"</definedName>
    <definedName name="IQ_PROVISION_10YR_ANN_GROWTH" hidden="1">"c1077"</definedName>
    <definedName name="IQ_PROVISION_1YR_ANN_GROWTH" hidden="1">"c1078"</definedName>
    <definedName name="IQ_PROVISION_2YR_ANN_GROWTH" hidden="1">"c1079"</definedName>
    <definedName name="IQ_PROVISION_3YR_ANN_GROWTH" hidden="1">"c1080"</definedName>
    <definedName name="IQ_PROVISION_5YR_ANN_GROWTH" hidden="1">"c1081"</definedName>
    <definedName name="IQ_PROVISION_7YR_ANN_GROWTH" hidden="1">"c1082"</definedName>
    <definedName name="IQ_PROVISION_CHARGE_OFFS" hidden="1">"c1083"</definedName>
    <definedName name="IQ_PTBV" hidden="1">"c1084"</definedName>
    <definedName name="IQ_PTBV_AVG" hidden="1">"c1085"</definedName>
    <definedName name="IQ_PUT_DATE_SCHEDULE" hidden="1">"c2483"</definedName>
    <definedName name="IQ_PUT_NOTIFICATION" hidden="1">"c2485"</definedName>
    <definedName name="IQ_PUT_PRICE_SCHEDULE" hidden="1">"c2484"</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AL_ESTATE" hidden="1">"c1093"</definedName>
    <definedName name="IQ_REAL_ESTATE_ASSETS" hidden="1">"c1094"</definedName>
    <definedName name="IQ_RECURRING_PROFIT_ACT_OR_EST" hidden="1">"c4507"</definedName>
    <definedName name="IQ_RECURRING_PROFIT_SHARE_ACT_OR_EST" hidden="1">"c4508"</definedName>
    <definedName name="IQ_REDEEM_PREF_STOCK" hidden="1">"c1417"</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NTAL_REV" hidden="1">"c1101"</definedName>
    <definedName name="IQ_RESEARCH_DEV" hidden="1">"c1419"</definedName>
    <definedName name="IQ_RESIDENTIAL_LOANS" hidden="1">"c1102"</definedName>
    <definedName name="IQ_RESTATEMENT_BS" hidden="1">"c1643"</definedName>
    <definedName name="IQ_RESTATEMENT_CF" hidden="1">"c1644"</definedName>
    <definedName name="IQ_RESTATEMENT_IS" hidden="1">"c1642"</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IT" hidden="1">"c1110"</definedName>
    <definedName name="IQ_RESTRUCTURE_UTI" hidden="1">"c1111"</definedName>
    <definedName name="IQ_RESTRUCTURED_LOANS" hidden="1">"c1112"</definedName>
    <definedName name="IQ_RETAIL_ACQUIRED_FRANCHISE_STORES" hidden="1">"c2895"</definedName>
    <definedName name="IQ_RETAIL_ACQUIRED_OWNED_STORES" hidden="1">"c2903"</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"c1420"</definedName>
    <definedName name="IQ_RETURN_ASSETS" hidden="1">"c1113"</definedName>
    <definedName name="IQ_RETURN_ASSETS_BANK" hidden="1">"c1114"</definedName>
    <definedName name="IQ_RETURN_ASSETS_BROK" hidden="1">"c1115"</definedName>
    <definedName name="IQ_RETURN_ASSETS_FS" hidden="1">"c1116"</definedName>
    <definedName name="IQ_RETURN_CAPITAL" hidden="1">"c1117"</definedName>
    <definedName name="IQ_RETURN_EQUITY" hidden="1">"c1118"</definedName>
    <definedName name="IQ_RETURN_EQUITY_BANK" hidden="1">"c1119"</definedName>
    <definedName name="IQ_RETURN_EQUITY_BROK" hidden="1">"c1120"</definedName>
    <definedName name="IQ_RETURN_EQUITY_FS" hidden="1">"c1121"</definedName>
    <definedName name="IQ_RETURN_INVESTMENT" hidden="1">"c1421"</definedName>
    <definedName name="IQ_REV" hidden="1">"c1122"</definedName>
    <definedName name="IQ_REV_BEFORE_LL" hidden="1">"c1123"</definedName>
    <definedName name="IQ_REV_STDDEV_EST" hidden="1">"c1124"</definedName>
    <definedName name="IQ_REV_STDDEV_EST_REUT" hidden="1">"c3639"</definedName>
    <definedName name="IQ_REV_UTI" hidden="1">"c1125"</definedName>
    <definedName name="IQ_REVENUE" hidden="1">"c1422"</definedName>
    <definedName name="IQ_REVENUE_ACT_OR_EST" hidden="1">"c2214"</definedName>
    <definedName name="IQ_REVENUE_EST" hidden="1">"c1126"</definedName>
    <definedName name="IQ_REVENUE_EST_REUT" hidden="1">"c3634"</definedName>
    <definedName name="IQ_REVENUE_HIGH_EST" hidden="1">"c1127"</definedName>
    <definedName name="IQ_REVENUE_HIGH_EST_REUT" hidden="1">"c3636"</definedName>
    <definedName name="IQ_REVENUE_LOW_EST" hidden="1">"c1128"</definedName>
    <definedName name="IQ_REVENUE_LOW_EST_REUT" hidden="1">"c3637"</definedName>
    <definedName name="IQ_REVENUE_MEDIAN_EST" hidden="1">"c1662"</definedName>
    <definedName name="IQ_REVENUE_MEDIAN_EST_REUT" hidden="1">"c3635"</definedName>
    <definedName name="IQ_REVENUE_NUM_EST" hidden="1">"c1129"</definedName>
    <definedName name="IQ_REVENUE_NUM_EST_REUT" hidden="1">"c3638"</definedName>
    <definedName name="IQ_REVISION_DATE_" localSheetId="6" hidden="1">39358.4284837963</definedName>
    <definedName name="IQ_RISK_ADJ_BANK_ASSETS" hidden="1">"c2670"</definedName>
    <definedName name="IQ_SALARY" hidden="1">"c1130"</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_PURCHASED_RESELL" hidden="1">"c5513"</definedName>
    <definedName name="IQ_SECUR_RECEIV" hidden="1">"c1151"</definedName>
    <definedName name="IQ_SECURED_DEBT" hidden="1">"c2546"</definedName>
    <definedName name="IQ_SECURED_DEBT_PCT" hidden="1">"c2547"</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GA" hidden="1">"c1158"</definedName>
    <definedName name="IQ_SGA_BNK" hidden="1">"c1159"</definedName>
    <definedName name="IQ_SGA_INS" hidden="1">"c1160"</definedName>
    <definedName name="IQ_SGA_MARGIN" hidden="1">"c1898"</definedName>
    <definedName name="IQ_SGA_REIT" hidden="1">"c1161"</definedName>
    <definedName name="IQ_SGA_SUPPL" hidden="1">"c1162"</definedName>
    <definedName name="IQ_SGA_UTI" hidden="1">"c1163"</definedName>
    <definedName name="IQ_SHAREOUTSTANDING" hidden="1">"c1347"</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"c1425"</definedName>
    <definedName name="IQ_SMALL_INT_BEAR_CD" hidden="1">"c1166"</definedName>
    <definedName name="IQ_SOFTWARE" hidden="1">"c1167"</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IT" hidden="1">"c1186"</definedName>
    <definedName name="IQ_ST_DEBT_ISSUED_UTI" hidden="1">"c1187"</definedName>
    <definedName name="IQ_ST_DEBT_PCT" hidden="1">"c2539"</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IT" hidden="1">"c1194"</definedName>
    <definedName name="IQ_ST_DEBT_REPAID_UTI" hidden="1">"c1195"</definedName>
    <definedName name="IQ_ST_DEBT_UTI" hidden="1">"c1196"</definedName>
    <definedName name="IQ_ST_INVEST" hidden="1">"c1197"</definedName>
    <definedName name="IQ_ST_INVEST_UTI" hidden="1">"c1198"</definedName>
    <definedName name="IQ_ST_NOTE_RECEIV" hidden="1">"c1199"</definedName>
    <definedName name="IQ_STATE" hidden="1">"c1200"</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IKE_PRICE_ISSUED" hidden="1">"c1645"</definedName>
    <definedName name="IQ_STRIKE_PRICE_OS" hidden="1">"c1646"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VA" hidden="1">"c1214"</definedName>
    <definedName name="IQ_TARGET_PRICE_NUM" hidden="1">"c1653"</definedName>
    <definedName name="IQ_TARGET_PRICE_NUM_REUT" hidden="1">"c5319"</definedName>
    <definedName name="IQ_TARGET_PRICE_STDDEV" hidden="1">"c1654"</definedName>
    <definedName name="IQ_TARGET_PRICE_STDDEV_REUT" hidden="1">"c5320"</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BV" hidden="1">"c1906"</definedName>
    <definedName name="IQ_TBV_10YR_ANN_GROWTH" hidden="1">"c1936"</definedName>
    <definedName name="IQ_TBV_1YR_ANN_GROWTH" hidden="1">"c1931"</definedName>
    <definedName name="IQ_TBV_2YR_ANN_GROWTH" hidden="1">"c1932"</definedName>
    <definedName name="IQ_TBV_3YR_ANN_GROWTH" hidden="1">"c1933"</definedName>
    <definedName name="IQ_TBV_5YR_ANN_GROWTH" hidden="1">"c1934"</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DA" hidden="1">"c1222"</definedName>
    <definedName name="IQ_TEV_EBITDA_AVG" hidden="1">"c1223"</definedName>
    <definedName name="IQ_TEV_EBITDA_FWD" hidden="1">"c1224"</definedName>
    <definedName name="IQ_TEV_EBITDA_FWD_REUT" hidden="1">"c4050"</definedName>
    <definedName name="IQ_TEV_EMPLOYEE_AVG" hidden="1">"c1225"</definedName>
    <definedName name="IQ_TEV_TOTAL_REV" hidden="1">"c1226"</definedName>
    <definedName name="IQ_TEV_TOTAL_REV_AVG" hidden="1">"c1227"</definedName>
    <definedName name="IQ_TEV_TOTAL_REV_FWD" hidden="1">"c1228"</definedName>
    <definedName name="IQ_TEV_TOTAL_REV_FWD_REUT" hidden="1">"c4051"</definedName>
    <definedName name="IQ_TEV_UFCF" hidden="1">"c2208"</definedName>
    <definedName name="IQ_TIER_ONE_CAPITAL" hidden="1">"c2667"</definedName>
    <definedName name="IQ_TIER_ONE_RATIO" hidden="1">"c1229"</definedName>
    <definedName name="IQ_TIER_TWO_CAPITAL" hidden="1">"c2669"</definedName>
    <definedName name="IQ_TIME_DEP" hidden="1">"c1230"</definedName>
    <definedName name="IQ_TODAY" hidden="1">0</definedName>
    <definedName name="IQ_TOT_ADJ_INC" hidden="1">"c1616"</definedName>
    <definedName name="IQ_TOTAL_AR_BR" hidden="1">"c1231"</definedName>
    <definedName name="IQ_TOTAL_AR_REIT" hidden="1">"c1232"</definedName>
    <definedName name="IQ_TOTAL_AR_UTI" hidden="1">"c1233"</definedName>
    <definedName name="IQ_TOTAL_ASSETS" hidden="1">"c1234"</definedName>
    <definedName name="IQ_TOTAL_ASSETS_10YR_ANN_GROWTH" hidden="1">"c1235"</definedName>
    <definedName name="IQ_TOTAL_ASSETS_1YR_ANN_GROWTH" hidden="1">"c1236"</definedName>
    <definedName name="IQ_TOTAL_ASSETS_2YR_ANN_GROWTH" hidden="1">"c1237"</definedName>
    <definedName name="IQ_TOTAL_ASSETS_3YR_ANN_GROWTH" hidden="1">"c1238"</definedName>
    <definedName name="IQ_TOTAL_ASSETS_5YR_ANN_GROWTH" hidden="1">"c1239"</definedName>
    <definedName name="IQ_TOTAL_ASSETS_7YR_ANN_GROWTH" hidden="1">"c1240"</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"c1455"</definedName>
    <definedName name="IQ_TOTAL_CASH_FINAN" hidden="1">"c1352"</definedName>
    <definedName name="IQ_TOTAL_CASH_INVEST" hidden="1">"c1353"</definedName>
    <definedName name="IQ_TOTAL_CASH_OPER" hidden="1">"c1354"</definedName>
    <definedName name="IQ_TOTAL_CHURN" hidden="1">"c2122"</definedName>
    <definedName name="IQ_TOTAL_CL" hidden="1">"c1245"</definedName>
    <definedName name="IQ_TOTAL_COMMON" hidden="1">"c1411"</definedName>
    <definedName name="IQ_TOTAL_COMMON_EQUITY" hidden="1">"c1246"</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IT" hidden="1">"c1255"</definedName>
    <definedName name="IQ_TOTAL_DEBT_ISSUED_UTI" hidden="1">"c1256"</definedName>
    <definedName name="IQ_TOTAL_DEBT_ISSUES_INS" hidden="1">"c1257"</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IT" hidden="1">"c1263"</definedName>
    <definedName name="IQ_TOTAL_DEBT_REPAID_UTI" hidden="1">"c1264"</definedName>
    <definedName name="IQ_TOTAL_DEPOSITS" hidden="1">"c1265"</definedName>
    <definedName name="IQ_TOTAL_DIV_PAID_CF" hidden="1">"c1266"</definedName>
    <definedName name="IQ_TOTAL_EMPLOYEE" hidden="1">"c2141"</definedName>
    <definedName name="IQ_TOTAL_EMPLOYEES" hidden="1">"c1522"</definedName>
    <definedName name="IQ_TOTAL_EQUITY" hidden="1">"c1267"</definedName>
    <definedName name="IQ_TOTAL_EQUITY_10YR_ANN_GROWTH" hidden="1">"c1268"</definedName>
    <definedName name="IQ_TOTAL_EQUITY_1YR_ANN_GROWTH" hidden="1">"c1269"</definedName>
    <definedName name="IQ_TOTAL_EQUITY_2YR_ANN_GROWTH" hidden="1">"c1270"</definedName>
    <definedName name="IQ_TOTAL_EQUITY_3YR_ANN_GROWTH" hidden="1">"c1271"</definedName>
    <definedName name="IQ_TOTAL_EQUITY_5YR_ANN_GROWTH" hidden="1">"c1272"</definedName>
    <definedName name="IQ_TOTAL_EQUITY_7YR_ANN_GROWTH" hidden="1">"c1273"</definedName>
    <definedName name="IQ_TOTAL_EQUITY_ALLOWANCE_TOTAL_LOANS" hidden="1">"c1274"</definedName>
    <definedName name="IQ_TOTAL_INTEREST_EXP" hidden="1">"c1382"</definedName>
    <definedName name="IQ_TOTAL_INVENTORY" hidden="1">"c1385"</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FIN" hidden="1">"c1280"</definedName>
    <definedName name="IQ_TOTAL_LIAB_INS" hidden="1">"c1281"</definedName>
    <definedName name="IQ_TOTAL_LIAB_REIT" hidden="1">"c1282"</definedName>
    <definedName name="IQ_TOTAL_LIAB_SHAREHOLD" hidden="1">"c1435"</definedName>
    <definedName name="IQ_TOTAL_LIAB_TOTAL_ASSETS" hidden="1">"c1283"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V" hidden="1">"c1294"</definedName>
    <definedName name="IQ_TOTAL_REV_10YR_ANN_GROWTH" hidden="1">"c1295"</definedName>
    <definedName name="IQ_TOTAL_REV_1YR_ANN_GROWTH" hidden="1">"c1296"</definedName>
    <definedName name="IQ_TOTAL_REV_2YR_ANN_GROWTH" hidden="1">"c1297"</definedName>
    <definedName name="IQ_TOTAL_REV_3YR_ANN_GROWTH" hidden="1">"c1298"</definedName>
    <definedName name="IQ_TOTAL_REV_5YR_ANN_GROWTH" hidden="1">"c1299"</definedName>
    <definedName name="IQ_TOTAL_REV_7YR_ANN_GROWTH" hidden="1">"c1300"</definedName>
    <definedName name="IQ_TOTAL_REV_AS_REPORTED" hidden="1">"c1301"</definedName>
    <definedName name="IQ_TOTAL_REV_BNK" hidden="1">"c1302"</definedName>
    <definedName name="IQ_TOTAL_REV_BR" hidden="1">"c1303"</definedName>
    <definedName name="IQ_TOTAL_REV_EMPLOYEE" hidden="1">"c1304"</definedName>
    <definedName name="IQ_TOTAL_REV_FIN" hidden="1">"c1305"</definedName>
    <definedName name="IQ_TOTAL_REV_INS" hidden="1">"c1306"</definedName>
    <definedName name="IQ_TOTAL_REV_REIT" hidden="1">"c1307"</definedName>
    <definedName name="IQ_TOTAL_REV_SHARE" hidden="1">"c1912"</definedName>
    <definedName name="IQ_TOTAL_REV_UTI" hidden="1">"c1308"</definedName>
    <definedName name="IQ_TOTAL_REVENUE" hidden="1">"c1436"</definedName>
    <definedName name="IQ_TOTAL_SPECIAL" hidden="1">"c1618"</definedName>
    <definedName name="IQ_TOTAL_ST_BORROW" hidden="1">"c1424"</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IT" hidden="1">"c5520"</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"c1345"</definedName>
    <definedName name="IQ_TRADE_PRINCIPAL" hidden="1">"c1309"</definedName>
    <definedName name="IQ_TRADING_ASSETS" hidden="1">"c1310"</definedName>
    <definedName name="IQ_TRADING_CURRENCY" hidden="1">"c2212"</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IT" hidden="1">"c1317"</definedName>
    <definedName name="IQ_TREASURY_OTHER_EQUITY_UTI" hidden="1">"c1318"</definedName>
    <definedName name="IQ_TREASURY_STOCK" hidden="1">"c1438"</definedName>
    <definedName name="IQ_TRUST_INC" hidden="1">"c1319"</definedName>
    <definedName name="IQ_TRUST_PREF" hidden="1">"c1320"</definedName>
    <definedName name="IQ_TRUST_PREFERRED" hidden="1">"c3029"</definedName>
    <definedName name="IQ_TRUST_PREFERRED_PCT" hidden="1">"c3030"</definedName>
    <definedName name="IQ_UFCF_10YR_ANN_GROWTH" hidden="1">"c1948"</definedName>
    <definedName name="IQ_UFCF_1YR_ANN_GROWTH" hidden="1">"c1943"</definedName>
    <definedName name="IQ_UFCF_2YR_ANN_GROWTH" hidden="1">"c1944"</definedName>
    <definedName name="IQ_UFCF_3YR_ANN_GROWTH" hidden="1">"c1945"</definedName>
    <definedName name="IQ_UFCF_5YR_ANN_GROWTH" hidden="1">"c1946"</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IT" hidden="1">"c1327"</definedName>
    <definedName name="IQ_UNEARN_REV_CURRENT_UTI" hidden="1">"c1328"</definedName>
    <definedName name="IQ_UNEARN_REV_LT" hidden="1">"c1329"</definedName>
    <definedName name="IQ_UNLEVERED_FCF" hidden="1">"c1908"</definedName>
    <definedName name="IQ_UNPAID_CLAIMS" hidden="1">"c1330"</definedName>
    <definedName name="IQ_UNREALIZED_GAIN" hidden="1">"c1619"</definedName>
    <definedName name="IQ_UNSECURED_DEBT" hidden="1">"c2548"</definedName>
    <definedName name="IQ_UNSECURED_DEBT_PCT" hidden="1">"c2549"</definedName>
    <definedName name="IQ_UNUSUAL_EXP" hidden="1">"c1456"</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TIL_PPE_NET" hidden="1">"c1620"</definedName>
    <definedName name="IQ_UTIL_REV" hidden="1">"c2091"</definedName>
    <definedName name="IQ_UV_PENSION_LIAB" hidden="1">"c1332"</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IGHTED_AVG_PRICE" hidden="1">"c1334"</definedName>
    <definedName name="IQ_WIP_INV" hidden="1">"c1335"</definedName>
    <definedName name="IQ_WORKING_CAP" hidden="1">"c3494"</definedName>
    <definedName name="IQ_WORKMEN_WRITTEN" hidden="1">"c1336"</definedName>
    <definedName name="IQ_XDIV_DATE" hidden="1">"c2203"</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W" hidden="1">"c2163"</definedName>
    <definedName name="IQ_YTW_DATE" hidden="1">"c2164"</definedName>
    <definedName name="IQ_YTW_DATE_TYPE" hidden="1">"c2165"</definedName>
    <definedName name="IQ_Z_SCORE" hidden="1">"c1339"</definedName>
    <definedName name="KeepVersions" localSheetId="7">IndexInformation!$B$8</definedName>
    <definedName name="LanguageCode">IndexInformation!$B$38</definedName>
    <definedName name="LastCell" localSheetId="1">ImportantDisclosures!$A$22</definedName>
    <definedName name="LiabilitiesCurrentAccruedLiabilities">0</definedName>
    <definedName name="LiabilitiesCurrentNotesPayable">0</definedName>
    <definedName name="LiabilitiesDeferredIncomeTaxes">0</definedName>
    <definedName name="LiabilitiesOther">0</definedName>
    <definedName name="LiabilitiesUnamortizedInvestmentTaxCredits">0</definedName>
    <definedName name="Linking_1">'5-Year View'!$A$2:$Q$72</definedName>
    <definedName name="Linking_17">BS!$A$4:$DI$59</definedName>
    <definedName name="Linking_26">BS!$A$4:$DC$62</definedName>
    <definedName name="Linking_27">CF!$A$76:$DC$149</definedName>
    <definedName name="Linking_28">CF!$A$76:$DI$149</definedName>
    <definedName name="Linking_3">Model!$A$4:$DC$111</definedName>
    <definedName name="Linking_30">Model!$A$6:$DI$109</definedName>
    <definedName name="Linking_31">'5-Year View'!$A$2:$S$72</definedName>
    <definedName name="Linking_34">'5-Year View'!$A$2:$T$72</definedName>
    <definedName name="Linking_35">Model!$A$6:$DO$109</definedName>
    <definedName name="Linking_36">BS!$A$4:$DO$59</definedName>
    <definedName name="Linking_37">CF!$A$76:$DO$149</definedName>
    <definedName name="Linking_6">CF!$A$76:$DC$140</definedName>
    <definedName name="Linking_7">Model!$A$4:$DI$109</definedName>
    <definedName name="Linking_8">Model!$A$4:$DC$87</definedName>
    <definedName name="Linking_9">'5-Year View'!$A$2:$P$72</definedName>
    <definedName name="Linking_Range_10">CF!$A$76:$BY$140</definedName>
    <definedName name="Linking_range_111">Model!$A$4:$DC$109</definedName>
    <definedName name="Linking_Range_12">CF!$A$76:$CE$140</definedName>
    <definedName name="Linking_Range_17" localSheetId="6">'5-Year View'!$A$2:$L$72</definedName>
    <definedName name="Linking_Range_2">BS!$A$4:$BY$59</definedName>
    <definedName name="Linking_Range_20" localSheetId="6">'5-Year View'!$A$2:$L$73</definedName>
    <definedName name="Linking_Range_21" localSheetId="6">'5-Year View'!$A$2:$L$73</definedName>
    <definedName name="Linking_Range_22">[3]Acq!$AL$8:$AR$30</definedName>
    <definedName name="Linking_Range_25" localSheetId="6">'5-Year View'!$A$2:$L$28</definedName>
    <definedName name="Linking_Range_26">[3]Acq!$F$45:$S$48</definedName>
    <definedName name="Linking_Range_27">CF!$A$76:$CE$149</definedName>
    <definedName name="Linking_Range_31">BS!$A$4:$CE$59</definedName>
    <definedName name="Linking_Range_32">BS!$A$4:$CK$62</definedName>
    <definedName name="Linking_Range_39">Model!$A$4:$CK$87</definedName>
    <definedName name="Linking_Range_43">Model!$A$4:$CK$111</definedName>
    <definedName name="Linking_Range_44">BS!$A$4:$CK$59</definedName>
    <definedName name="Linking_Range_45">CF!$A$76:$CK$149</definedName>
    <definedName name="Linking_Range_47">CF!$A$76:$CK$140</definedName>
    <definedName name="Linking_Range_48">Model!$A$4:$CQ$87</definedName>
    <definedName name="Linking_Range_49">CF!$A$76:$CK$137</definedName>
    <definedName name="Linking_Range_5">BS!$A$4:$BY$58</definedName>
    <definedName name="Linking_range_500">'MS Revenue Analysis'!$DP$99:$EE$123</definedName>
    <definedName name="Linking_Range_55">BS!$A$4:$CQ$59</definedName>
    <definedName name="Linking_Range_56">CF!$A$76:$CQ$140</definedName>
    <definedName name="Linking_Range_6">CF!$A$4:$BY$67</definedName>
    <definedName name="ltmeps">Model!$C$242:$IY$242</definedName>
    <definedName name="ltmfcf">Model!$264:$264</definedName>
    <definedName name="ltmop">Model!$C$239:$IY$239</definedName>
    <definedName name="ltmopcash">Model!$C$243:$IY$243</definedName>
    <definedName name="ltmopmgn">Model!$C$240:$IY$240</definedName>
    <definedName name="ltmrev">Model!$C$237:$IY$237</definedName>
    <definedName name="ltmrnd">Model!$C$241:$IY$241</definedName>
    <definedName name="ltmsubrev">Model!$C$236:$IY$236</definedName>
    <definedName name="MacroVersion" localSheetId="7">IndexInformation!$B$1</definedName>
    <definedName name="MmExcelLinker_D90532E0_E978_4D69_8E86_F28B58D54B70" localSheetId="6">model [4]Notes!$B$57:$I$67</definedName>
    <definedName name="ModelPrice" localSheetId="1">ImportantDisclosures!$A$14</definedName>
    <definedName name="Multiplier" localSheetId="7">IndexInformation!$B$35</definedName>
    <definedName name="netcash">Model!$C$253:$IY$253</definedName>
    <definedName name="NextYearEPS" localSheetId="7">IndexInformation!$B$13</definedName>
    <definedName name="NextYearTotalRevenue" localSheetId="7">IndexInformation!$B$12</definedName>
    <definedName name="NextYearTotalRevenueActual" localSheetId="7">IndexInformation!$B$33</definedName>
    <definedName name="ni">Model!$C$84:$IY$84</definedName>
    <definedName name="nopat">Model!$C$245:$IY$245</definedName>
    <definedName name="Normalized_Income_Statement">"IS_Annual"</definedName>
    <definedName name="ObjectType">IndexInformation!$B$37</definedName>
    <definedName name="ocf">Model!$C$262:$IY$262</definedName>
    <definedName name="op">Model!$64:$64</definedName>
    <definedName name="opcash">Model!$C$256:$IY$256</definedName>
    <definedName name="OpExAmortization">0</definedName>
    <definedName name="OpExBeforeDepreciationAmortizationExtraordinariesOther">0</definedName>
    <definedName name="OpExBeforeDepreciationAmortizationExtraordinariesTotal">0</definedName>
    <definedName name="OpExCostOfEquipment">0</definedName>
    <definedName name="OpExDepreciation">0</definedName>
    <definedName name="OpExGeneralAdministrative">0</definedName>
    <definedName name="OpExSellingMarketing">0</definedName>
    <definedName name="OpExTotal">0</definedName>
    <definedName name="opmgn">Model!$C$65:$IY$65</definedName>
    <definedName name="OtherExEquityIncome">0</definedName>
    <definedName name="OtherExGainOnSale">0</definedName>
    <definedName name="OtherExInterestIncome">0</definedName>
    <definedName name="OtherExMinorityInterest">0</definedName>
    <definedName name="OtherExTotal">0</definedName>
    <definedName name="othinc">Model!$C$71:$IY$71</definedName>
    <definedName name="PANA" localSheetId="8">ModPubIndex!$A$11</definedName>
    <definedName name="PathName" localSheetId="7">IndexInformation!$B$25</definedName>
    <definedName name="pbt">Model!$C$77:$IY$77</definedName>
    <definedName name="prev">Model!$B$13:$IY$13</definedName>
    <definedName name="_xlnm.Print_Area" localSheetId="3">BS!$A$1:$CK$62</definedName>
    <definedName name="_xlnm.Print_Area" localSheetId="4">CF!$A$73:$CK$149</definedName>
    <definedName name="_xlnm.Print_Area" localSheetId="2">Model!$A$1:$BY$134,Model!$A$176:$BV$229,Model!$A$279:$BU$375</definedName>
    <definedName name="_xlnm.Print_Area" localSheetId="5">'MS Revenue Analysis'!$A$1:$CG$258</definedName>
    <definedName name="_xlnm.Print_Area">#REF!</definedName>
    <definedName name="_xlnm.Print_Titles">#REF!</definedName>
    <definedName name="PRODUCT" localSheetId="8">ModPubIndex!$A$6</definedName>
    <definedName name="PSYM" localSheetId="8">ModPubIndex!$A$4</definedName>
    <definedName name="PublishDate" localSheetId="7">IndexInformation!$B$2</definedName>
    <definedName name="Rating" localSheetId="7">IndexInformation!$B$9</definedName>
    <definedName name="RatingsDefined" localSheetId="1">ImportantDisclosures!$A$21</definedName>
    <definedName name="RatingsDefs" localSheetId="1">ImportantDisclosures!#REF!</definedName>
    <definedName name="RegACDisclosure" localSheetId="1">ImportantDisclosures!#REF!</definedName>
    <definedName name="RepairedName0435" hidden="1">"iQShowAnnual"</definedName>
    <definedName name="ReportGroup" hidden="1">0</definedName>
    <definedName name="ResearchTopic" localSheetId="7">IndexInformation!$B$4</definedName>
    <definedName name="rev">Model!$C$19:$IY$19</definedName>
    <definedName name="RevenuesCellularEquipment">0</definedName>
    <definedName name="RevenuesCellularOther">0</definedName>
    <definedName name="RevenuesCellularService">0</definedName>
    <definedName name="RevenuesCellularTotal">0</definedName>
    <definedName name="RevenuesPagingEquipment">0</definedName>
    <definedName name="RevenuesPagingOther">0</definedName>
    <definedName name="RevenuesPagingService">0</definedName>
    <definedName name="RevenuesPagingTotal">0</definedName>
    <definedName name="RevenuesWirelessEquipment">0</definedName>
    <definedName name="RevenuesWirelessOther">0</definedName>
    <definedName name="RevenuesWirelessService">0</definedName>
    <definedName name="RIC" localSheetId="7">IndexInformation!$B$21</definedName>
    <definedName name="rnd">Model!$C$41:$IY$41</definedName>
    <definedName name="s"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SECSettlement" localSheetId="1">ImportantDisclosures!#REF!</definedName>
    <definedName name="SEDOL" localSheetId="7">IndexInformation!$B$22</definedName>
    <definedName name="servicecost">Model!$C$25:$IY$25</definedName>
    <definedName name="SharesConvertibleSecurities">0</definedName>
    <definedName name="SharesFullyDiluted">0</definedName>
    <definedName name="SharesOptions">0</definedName>
    <definedName name="SharesOutstandingLatestDate">0</definedName>
    <definedName name="SharesOutstandingOther">0</definedName>
    <definedName name="SharesOutstandingSenior">0</definedName>
    <definedName name="SharesOutstandingSubordinate">0</definedName>
    <definedName name="SharesPrimary">0</definedName>
    <definedName name="SharesWarrants">0</definedName>
    <definedName name="shs">Model!$C$111:$IY$111</definedName>
    <definedName name="slscost">Model!$C$26:$IY$26</definedName>
    <definedName name="snm">Model!$C$37:$IY$37</definedName>
    <definedName name="SourceDefined" localSheetId="1">ImportantDisclosures!$A$19</definedName>
    <definedName name="srev">Model!$C$16:$IY$16</definedName>
    <definedName name="StatsAccessLinesDomesticInternationalTotalAverage">0</definedName>
    <definedName name="StatsAccessLinesTotalAverage">0</definedName>
    <definedName name="StatsAverageMonthlyRevenue">0</definedName>
    <definedName name="StatsEmployeesConsolidatedInternational">0</definedName>
    <definedName name="StatsEmployeesTelephoneInternational">0</definedName>
    <definedName name="StatsPagingAverageMonthlyRevenue">0</definedName>
    <definedName name="StatsPagingSubscribers">0</definedName>
    <definedName name="StatsPenetration">0</definedName>
    <definedName name="StatsProportionatePenetration">0</definedName>
    <definedName name="StatsProportionatePOPS">0</definedName>
    <definedName name="StatsProportionateSubscribersAverage">0</definedName>
    <definedName name="StatsProportionateSubscribersBeginning">0</definedName>
    <definedName name="StatsProportionateSubscribersEnding">0</definedName>
    <definedName name="StatsProportionateSubscribersNetAdds">0</definedName>
    <definedName name="StatsSubscribersAverage">0</definedName>
    <definedName name="StatsSubscribersBeginning">0</definedName>
    <definedName name="StatsSubscribersEnding">0</definedName>
    <definedName name="StatsSubscribersNetAdds">0</definedName>
    <definedName name="StockRating" localSheetId="1">ImportantDisclosures!$A$11</definedName>
    <definedName name="subcost">Model!$C$24:$IY$24</definedName>
    <definedName name="SubjectCode" localSheetId="7">IndexInformation!$B$6</definedName>
    <definedName name="SubmitterUserId">IndexInformation!$B$39</definedName>
    <definedName name="SUPPRESSED" localSheetId="8">ModPubIndex!$A$13</definedName>
    <definedName name="TargetPrice" localSheetId="1">ImportantDisclosures!$A$15</definedName>
    <definedName name="taxes">Model!$C$79:$IY$79</definedName>
    <definedName name="taxrate">Model!$C$80:$DT$80</definedName>
    <definedName name="TemplateRegion">IndexInformation!$B$36</definedName>
    <definedName name="Ticker" localSheetId="1">ImportantDisclosures!$A$10</definedName>
    <definedName name="TickerRegion">IndexInformation!$B$41</definedName>
    <definedName name="Tickers" localSheetId="7">IndexInformation!$B$19</definedName>
    <definedName name="totcust">Model!$C$266:$IY$266</definedName>
    <definedName name="toteq">Model!$C$254:$IY$254</definedName>
    <definedName name="totexp">Model!$C$58:$IY$58</definedName>
    <definedName name="totrec">Model!$C$250:$IY$250</definedName>
    <definedName name="totsubs">Model!$C$267:$IY$267</definedName>
    <definedName name="UpdateReason" localSheetId="7">IndexInformation!$B$17</definedName>
    <definedName name="USRegDisclosures" localSheetId="1">ImportantDisclosures!#REF!</definedName>
    <definedName name="ValuationAdjustmentsOther">0</definedName>
    <definedName name="ValuationAdjustmentsValue">0</definedName>
    <definedName name="ValuationCellularValue">0</definedName>
    <definedName name="ValuationDebtAdjustment">0</definedName>
    <definedName name="ValuationDebtNet">0</definedName>
    <definedName name="ValuationDebtTotal">0</definedName>
    <definedName name="ValuationFirmValue">0</definedName>
    <definedName name="ValuationInvestments">0</definedName>
    <definedName name="ValuationMarketCapitalization">0</definedName>
    <definedName name="ValuationOtherValue">0</definedName>
    <definedName name="ValuationPagingValue">0</definedName>
    <definedName name="ValuationTelephoneValue">0</definedName>
    <definedName name="ValuationWirelessValue">0</definedName>
    <definedName name="wrn.Earnings._.Model."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Z_5A095E4E_6841_4715_B354_198715F5FF0A_.wvu.Rows" localSheetId="4" hidden="1">CF!$5:$5,CF!$77:$77</definedName>
    <definedName name="Z_7ADDAC9C_E12E_468B_A7D0_D44A9895D58E_.wvu.Cols" localSheetId="4" hidden="1">CF!$B:$F</definedName>
    <definedName name="Z_7ADDAC9C_E12E_468B_A7D0_D44A9895D58E_.wvu.Cols" localSheetId="2" hidden="1">Model!$B:$F</definedName>
    <definedName name="Z_7ADDAC9C_E12E_468B_A7D0_D44A9895D58E_.wvu.Rows" localSheetId="4" hidden="1">CF!$5:$5,CF!$77:$77</definedName>
  </definedNames>
  <calcPr calcId="145621"/>
  <customWorkbookViews>
    <customWorkbookView name="Qtr" guid="{7ADDAC9C-E12E-468B-A7D0-D44A9895D58E}" includePrintSettings="0" maximized="1" windowWidth="1020" windowHeight="543" tabRatio="722" activeSheetId="1"/>
    <customWorkbookView name="Annual" guid="{5A095E4E-6841-4715-B354-198715F5FF0A}" includePrintSettings="0" maximized="1" windowWidth="1020" windowHeight="543" tabRatio="722" activeSheetId="1"/>
  </customWorkbookViews>
</workbook>
</file>

<file path=xl/calcChain.xml><?xml version="1.0" encoding="utf-8"?>
<calcChain xmlns="http://schemas.openxmlformats.org/spreadsheetml/2006/main">
  <c r="DN68" i="42" l="1"/>
  <c r="DM68" i="42"/>
  <c r="DL68" i="42"/>
  <c r="DK68" i="42"/>
  <c r="DH68" i="42"/>
  <c r="DG68" i="42"/>
  <c r="DF68" i="42"/>
  <c r="DE68" i="42"/>
  <c r="DB68" i="42"/>
  <c r="DA68" i="42"/>
  <c r="CZ68" i="42"/>
  <c r="CY68" i="42"/>
  <c r="DO108" i="41"/>
  <c r="DO151" i="41"/>
  <c r="DU151" i="41" s="1"/>
  <c r="DP151" i="41"/>
  <c r="DV151" i="41" s="1"/>
  <c r="DN151" i="41"/>
  <c r="DT151" i="41" s="1"/>
  <c r="DM151" i="41"/>
  <c r="DS151" i="41" s="1"/>
  <c r="DH38" i="1"/>
  <c r="DN38" i="1" s="1"/>
  <c r="DB150" i="1"/>
  <c r="DA150" i="1"/>
  <c r="CZ150" i="1"/>
  <c r="CY150" i="1"/>
  <c r="L131" i="442" l="1"/>
  <c r="L132" i="442"/>
  <c r="L137" i="442"/>
  <c r="L138" i="442"/>
  <c r="L142" i="442"/>
  <c r="L145" i="442" s="1"/>
  <c r="L143" i="442"/>
  <c r="L153" i="442"/>
  <c r="L151" i="442" s="1"/>
  <c r="L152" i="442" s="1"/>
  <c r="L156" i="442"/>
  <c r="L87" i="442"/>
  <c r="L103" i="442" s="1"/>
  <c r="L88" i="442"/>
  <c r="L93" i="442"/>
  <c r="L94" i="442"/>
  <c r="L98" i="442"/>
  <c r="L109" i="442" s="1"/>
  <c r="L107" i="442" s="1"/>
  <c r="L108" i="442" s="1"/>
  <c r="L99" i="442"/>
  <c r="L112" i="442"/>
  <c r="DH42" i="1"/>
  <c r="DN42" i="1" s="1"/>
  <c r="DG42" i="1"/>
  <c r="DM42" i="1" s="1"/>
  <c r="DF42" i="1"/>
  <c r="DL42" i="1" s="1"/>
  <c r="DE42" i="1"/>
  <c r="DK42" i="1" s="1"/>
  <c r="DG46" i="1"/>
  <c r="DM46" i="1" s="1"/>
  <c r="DE46" i="1"/>
  <c r="DK46" i="1" s="1"/>
  <c r="DF46" i="1"/>
  <c r="DL46" i="1" s="1"/>
  <c r="DH46" i="1"/>
  <c r="DN46" i="1" s="1"/>
  <c r="DF38" i="1"/>
  <c r="DL38" i="1" s="1"/>
  <c r="DG38" i="1"/>
  <c r="DM38" i="1" s="1"/>
  <c r="DE38" i="1"/>
  <c r="DK38" i="1" s="1"/>
  <c r="DN104" i="1"/>
  <c r="DM104" i="1"/>
  <c r="DL104" i="1"/>
  <c r="DK104" i="1"/>
  <c r="DF104" i="1"/>
  <c r="DG104" i="1"/>
  <c r="DH104" i="1"/>
  <c r="DC144" i="42"/>
  <c r="DD188" i="41"/>
  <c r="DD194" i="41" s="1"/>
  <c r="DD183" i="41"/>
  <c r="DD179" i="41"/>
  <c r="DD177" i="41"/>
  <c r="DD178" i="41" s="1"/>
  <c r="DD167" i="41"/>
  <c r="DD168" i="41" s="1"/>
  <c r="DD165" i="41"/>
  <c r="DD159" i="41"/>
  <c r="DD153" i="41"/>
  <c r="DD152" i="41"/>
  <c r="DD151" i="41"/>
  <c r="DD150" i="41"/>
  <c r="DD146" i="41"/>
  <c r="DD139" i="41"/>
  <c r="DD105" i="41"/>
  <c r="DD106" i="41" s="1"/>
  <c r="DD33" i="41"/>
  <c r="DD32" i="41"/>
  <c r="DD22" i="41"/>
  <c r="DD23" i="41" s="1"/>
  <c r="DD12" i="41"/>
  <c r="DE95" i="41"/>
  <c r="DE101" i="41" s="1"/>
  <c r="DE94" i="41"/>
  <c r="DE100" i="41" s="1"/>
  <c r="DE93" i="41"/>
  <c r="DE99" i="41" s="1"/>
  <c r="DE92" i="41"/>
  <c r="DE98" i="41" s="1"/>
  <c r="DD89" i="41"/>
  <c r="DD95" i="41" s="1"/>
  <c r="DD101" i="41" s="1"/>
  <c r="DD88" i="41"/>
  <c r="DD87" i="41"/>
  <c r="DD85" i="41"/>
  <c r="DD84" i="41"/>
  <c r="DD82" i="41"/>
  <c r="DD81" i="41"/>
  <c r="DD79" i="41"/>
  <c r="DD78" i="41"/>
  <c r="DD202" i="41"/>
  <c r="DD201" i="41"/>
  <c r="DD200" i="41"/>
  <c r="DD199" i="41"/>
  <c r="CV50" i="3"/>
  <c r="CV37" i="3"/>
  <c r="CV26" i="3"/>
  <c r="CV120" i="42"/>
  <c r="CV107" i="42"/>
  <c r="CV100" i="42"/>
  <c r="CV97" i="42"/>
  <c r="CV94" i="42"/>
  <c r="CV93" i="42"/>
  <c r="CV92" i="42"/>
  <c r="CV89" i="42"/>
  <c r="CV88" i="42"/>
  <c r="DB88" i="42" s="1"/>
  <c r="DH88" i="42" s="1"/>
  <c r="DN88" i="42" s="1"/>
  <c r="CV84" i="42"/>
  <c r="CV83" i="42"/>
  <c r="CV79" i="42"/>
  <c r="CV76" i="42"/>
  <c r="CV67" i="42"/>
  <c r="CV66" i="42"/>
  <c r="CV54" i="42"/>
  <c r="CV32" i="42"/>
  <c r="CV90" i="42" s="1"/>
  <c r="DB90" i="42" s="1"/>
  <c r="DH90" i="42" s="1"/>
  <c r="DN90" i="42" s="1"/>
  <c r="CV26" i="42"/>
  <c r="CV79" i="1"/>
  <c r="CV75" i="1"/>
  <c r="CV45" i="1"/>
  <c r="CV41" i="1"/>
  <c r="CV37" i="1"/>
  <c r="CV25" i="1"/>
  <c r="CV24" i="1"/>
  <c r="CV73" i="1"/>
  <c r="CY73" i="1" s="1"/>
  <c r="CV58" i="1"/>
  <c r="CV59" i="1" s="1"/>
  <c r="CV43" i="1"/>
  <c r="CV118" i="1"/>
  <c r="CV117" i="1"/>
  <c r="CV115" i="1"/>
  <c r="CV53" i="1"/>
  <c r="CV42" i="1"/>
  <c r="CV44" i="1"/>
  <c r="CV39" i="1"/>
  <c r="CV40" i="1"/>
  <c r="CV29" i="1"/>
  <c r="CV26" i="1"/>
  <c r="CV31" i="1"/>
  <c r="CV32" i="1" s="1"/>
  <c r="CV21" i="1"/>
  <c r="CV19" i="1"/>
  <c r="CV18" i="1"/>
  <c r="CV17" i="1"/>
  <c r="CV15" i="1"/>
  <c r="CV14" i="1"/>
  <c r="DD184" i="41" l="1"/>
  <c r="CV71" i="1"/>
  <c r="CV101" i="1" s="1"/>
  <c r="L147" i="442"/>
  <c r="L104" i="442"/>
  <c r="L101" i="442"/>
  <c r="L113" i="442"/>
  <c r="DD191" i="41"/>
  <c r="DD189" i="41"/>
  <c r="DD163" i="41"/>
  <c r="DD140" i="41"/>
  <c r="DD107" i="41"/>
  <c r="DD108" i="41"/>
  <c r="DD24" i="41"/>
  <c r="DD93" i="41"/>
  <c r="DD99" i="41" s="1"/>
  <c r="DD94" i="41"/>
  <c r="DD100" i="41" s="1"/>
  <c r="DD92" i="41"/>
  <c r="DD98" i="41" s="1"/>
  <c r="CV48" i="1"/>
  <c r="CV47" i="1"/>
  <c r="CV61" i="1"/>
  <c r="CV62" i="1" s="1"/>
  <c r="CV38" i="1"/>
  <c r="CV33" i="1"/>
  <c r="CV20" i="1"/>
  <c r="CV46" i="1"/>
  <c r="CV34" i="1"/>
  <c r="CV64" i="1"/>
  <c r="CV30" i="1"/>
  <c r="L148" i="442" l="1"/>
  <c r="L157" i="442"/>
  <c r="DD192" i="41"/>
  <c r="CV65" i="1"/>
  <c r="CV77" i="1"/>
  <c r="CV84" i="1" l="1"/>
  <c r="CV80" i="1"/>
  <c r="CV89" i="1" l="1"/>
  <c r="CV86" i="1"/>
  <c r="CC11" i="42" l="1"/>
  <c r="CU32" i="42" l="1"/>
  <c r="CP32" i="42"/>
  <c r="CU56" i="42"/>
  <c r="CU57" i="42" s="1"/>
  <c r="CU37" i="42"/>
  <c r="CT37" i="42"/>
  <c r="CC10" i="42"/>
  <c r="DS280" i="41" l="1"/>
  <c r="DT280" i="41" s="1"/>
  <c r="DU244" i="41"/>
  <c r="DV244" i="41" s="1"/>
  <c r="DT244" i="41"/>
  <c r="DW244" i="41" s="1"/>
  <c r="DW243" i="41"/>
  <c r="DV237" i="41"/>
  <c r="DU237" i="41"/>
  <c r="DT237" i="41"/>
  <c r="DS237" i="41"/>
  <c r="DW231" i="41"/>
  <c r="DW230" i="41"/>
  <c r="DW229" i="41"/>
  <c r="DW228" i="41"/>
  <c r="DW227" i="41"/>
  <c r="DW226" i="41"/>
  <c r="DW225" i="41"/>
  <c r="DW134" i="41"/>
  <c r="DU93" i="41"/>
  <c r="DT93" i="41"/>
  <c r="DS93" i="41"/>
  <c r="DU92" i="41"/>
  <c r="DT92" i="41"/>
  <c r="DS92" i="41"/>
  <c r="DN131" i="3"/>
  <c r="DM131" i="3"/>
  <c r="DL131" i="3"/>
  <c r="DK131" i="3"/>
  <c r="DK126" i="3"/>
  <c r="DN109" i="3"/>
  <c r="DM109" i="3"/>
  <c r="DL109" i="3"/>
  <c r="DK109" i="3"/>
  <c r="DN108" i="3"/>
  <c r="DM108" i="3"/>
  <c r="DL108" i="3"/>
  <c r="DK108" i="3"/>
  <c r="DN93" i="3"/>
  <c r="DM93" i="3"/>
  <c r="DL93" i="3"/>
  <c r="DK93" i="3"/>
  <c r="DO93" i="3" s="1"/>
  <c r="DK89" i="3"/>
  <c r="DO58" i="3"/>
  <c r="DK55" i="3"/>
  <c r="DL53" i="3"/>
  <c r="DM53" i="3" s="1"/>
  <c r="DK48" i="3"/>
  <c r="DO36" i="3"/>
  <c r="DK22" i="3"/>
  <c r="DL22" i="3" s="1"/>
  <c r="DO21" i="3"/>
  <c r="DL17" i="3"/>
  <c r="DM17" i="3" s="1"/>
  <c r="DO187" i="42"/>
  <c r="DO186" i="42"/>
  <c r="DO169" i="42"/>
  <c r="DK168" i="42"/>
  <c r="DN161" i="42"/>
  <c r="DM161" i="42"/>
  <c r="DL161" i="42"/>
  <c r="DK161" i="42"/>
  <c r="DK160" i="42"/>
  <c r="DN157" i="42"/>
  <c r="DM157" i="42"/>
  <c r="DL157" i="42"/>
  <c r="DK157" i="42"/>
  <c r="DO157" i="42" s="1"/>
  <c r="DO156" i="42"/>
  <c r="DO155" i="42"/>
  <c r="DO149" i="42"/>
  <c r="DL145" i="42"/>
  <c r="DM145" i="42" s="1"/>
  <c r="DN145" i="42" s="1"/>
  <c r="DK144" i="42"/>
  <c r="DO131" i="42"/>
  <c r="DL123" i="42"/>
  <c r="DM123" i="42" s="1"/>
  <c r="DN123" i="42" s="1"/>
  <c r="DL110" i="42"/>
  <c r="DM110" i="42" s="1"/>
  <c r="DO81" i="42"/>
  <c r="DO80" i="42"/>
  <c r="DN69" i="42"/>
  <c r="DM69" i="42"/>
  <c r="DL69" i="42"/>
  <c r="DK69" i="42"/>
  <c r="DL48" i="42"/>
  <c r="DM48" i="42" s="1"/>
  <c r="DN48" i="42" s="1"/>
  <c r="DO48" i="42" s="1"/>
  <c r="DO35" i="42"/>
  <c r="DO34" i="42"/>
  <c r="DO13" i="42"/>
  <c r="DO265" i="1"/>
  <c r="DO258" i="1"/>
  <c r="DN258" i="1"/>
  <c r="DM258" i="1"/>
  <c r="DL258" i="1"/>
  <c r="DK258" i="1"/>
  <c r="DO254" i="1"/>
  <c r="DN254" i="1"/>
  <c r="DM254" i="1"/>
  <c r="DL254" i="1"/>
  <c r="DK254" i="1"/>
  <c r="DO252" i="1"/>
  <c r="DN252" i="1"/>
  <c r="DM252" i="1"/>
  <c r="DL252" i="1"/>
  <c r="DK252" i="1"/>
  <c r="DO251" i="1"/>
  <c r="DO253" i="1" s="1"/>
  <c r="DN251" i="1"/>
  <c r="DN253" i="1" s="1"/>
  <c r="DM251" i="1"/>
  <c r="DL251" i="1"/>
  <c r="DK251" i="1"/>
  <c r="DO250" i="1"/>
  <c r="DN250" i="1"/>
  <c r="DM250" i="1"/>
  <c r="DL250" i="1"/>
  <c r="DK250" i="1"/>
  <c r="DO248" i="1"/>
  <c r="DN248" i="1"/>
  <c r="DM248" i="1"/>
  <c r="DL248" i="1"/>
  <c r="DK248" i="1"/>
  <c r="DO179" i="1"/>
  <c r="DN179" i="1"/>
  <c r="DM179" i="1"/>
  <c r="DL179" i="1"/>
  <c r="DK179" i="1"/>
  <c r="DK178" i="1"/>
  <c r="DO119" i="1"/>
  <c r="DN117" i="1"/>
  <c r="DM117" i="1"/>
  <c r="DL117" i="1"/>
  <c r="DK117" i="1"/>
  <c r="DO75" i="1"/>
  <c r="DN74" i="1"/>
  <c r="DM74" i="1"/>
  <c r="DL74" i="1"/>
  <c r="DK74" i="1"/>
  <c r="DO54" i="1"/>
  <c r="DK253" i="1" l="1"/>
  <c r="DO74" i="1"/>
  <c r="DM253" i="1"/>
  <c r="DO108" i="3"/>
  <c r="DW237" i="41"/>
  <c r="DO131" i="3"/>
  <c r="DL253" i="1"/>
  <c r="DL168" i="42"/>
  <c r="DM168" i="42" s="1"/>
  <c r="DN168" i="42" s="1"/>
  <c r="DK171" i="42"/>
  <c r="DO109" i="3"/>
  <c r="DU280" i="41"/>
  <c r="DN17" i="3"/>
  <c r="DN89" i="3" s="1"/>
  <c r="DO89" i="3" s="1"/>
  <c r="DM48" i="3"/>
  <c r="DM22" i="3"/>
  <c r="DM89" i="3"/>
  <c r="DL48" i="3"/>
  <c r="DL89" i="3"/>
  <c r="DL94" i="3"/>
  <c r="DK94" i="3"/>
  <c r="DL121" i="3"/>
  <c r="DK121" i="3"/>
  <c r="DK128" i="3"/>
  <c r="DM126" i="3"/>
  <c r="DL126" i="3"/>
  <c r="DN53" i="3"/>
  <c r="DO53" i="3" s="1"/>
  <c r="DL55" i="3"/>
  <c r="DN110" i="42"/>
  <c r="DL144" i="42"/>
  <c r="DK146" i="42"/>
  <c r="DK47" i="3" s="1"/>
  <c r="DK120" i="3" s="1"/>
  <c r="DK162" i="42"/>
  <c r="DK46" i="3" s="1"/>
  <c r="DL160" i="42"/>
  <c r="DK119" i="3" l="1"/>
  <c r="DV280" i="41"/>
  <c r="DM55" i="3"/>
  <c r="DL128" i="3"/>
  <c r="DN22" i="3"/>
  <c r="DO22" i="3" s="1"/>
  <c r="DN126" i="3"/>
  <c r="DO126" i="3" s="1"/>
  <c r="DM121" i="3"/>
  <c r="DM94" i="3"/>
  <c r="DN48" i="3"/>
  <c r="DO48" i="3" s="1"/>
  <c r="DO17" i="3"/>
  <c r="DL171" i="42"/>
  <c r="DL162" i="42"/>
  <c r="DL46" i="3" s="1"/>
  <c r="DM160" i="42"/>
  <c r="DL146" i="42"/>
  <c r="DL47" i="3" s="1"/>
  <c r="DM144" i="42"/>
  <c r="DL119" i="3" l="1"/>
  <c r="DL120" i="3"/>
  <c r="DN55" i="3"/>
  <c r="DO55" i="3" s="1"/>
  <c r="DN121" i="3"/>
  <c r="DO121" i="3" s="1"/>
  <c r="DN94" i="3"/>
  <c r="DO94" i="3" s="1"/>
  <c r="DM128" i="3"/>
  <c r="DM162" i="42"/>
  <c r="DM46" i="3" s="1"/>
  <c r="DN160" i="42"/>
  <c r="DM171" i="42"/>
  <c r="DN144" i="42"/>
  <c r="DN146" i="42" s="1"/>
  <c r="DM146" i="42"/>
  <c r="DN128" i="3" l="1"/>
  <c r="DO128" i="3" s="1"/>
  <c r="DM119" i="3"/>
  <c r="DO145" i="42"/>
  <c r="DO146" i="42"/>
  <c r="DM47" i="3"/>
  <c r="DN171" i="42"/>
  <c r="DN162" i="42"/>
  <c r="DO162" i="42" s="1"/>
  <c r="DO161" i="42"/>
  <c r="DN46" i="3" l="1"/>
  <c r="DM120" i="3"/>
  <c r="DN47" i="3"/>
  <c r="DO47" i="3" s="1"/>
  <c r="DN120" i="3" l="1"/>
  <c r="DO120" i="3" s="1"/>
  <c r="DO46" i="3"/>
  <c r="DN119" i="3"/>
  <c r="DO119" i="3" s="1"/>
  <c r="L178" i="442"/>
  <c r="O188" i="442" l="1"/>
  <c r="I6" i="442"/>
  <c r="I9" i="442" s="1"/>
  <c r="T188" i="442"/>
  <c r="DO7" i="3"/>
  <c r="DO79" i="3" s="1"/>
  <c r="DN7" i="3"/>
  <c r="DN79" i="3" s="1"/>
  <c r="DM7" i="3"/>
  <c r="DM79" i="3" s="1"/>
  <c r="DL7" i="3"/>
  <c r="DL79" i="3" s="1"/>
  <c r="DK7" i="3"/>
  <c r="DK79" i="3" s="1"/>
  <c r="DK6" i="3"/>
  <c r="DK78" i="3" s="1"/>
  <c r="DO7" i="42"/>
  <c r="DN7" i="42"/>
  <c r="DM7" i="42"/>
  <c r="DL7" i="42"/>
  <c r="DK7" i="42"/>
  <c r="DK6" i="42"/>
  <c r="DW4" i="41"/>
  <c r="DV4" i="41"/>
  <c r="DU4" i="41"/>
  <c r="DT4" i="41"/>
  <c r="DS4" i="41"/>
  <c r="DS3" i="41"/>
  <c r="K6" i="442" l="1"/>
  <c r="CU50" i="3" l="1"/>
  <c r="CU37" i="3"/>
  <c r="CU26" i="3"/>
  <c r="CU55" i="1"/>
  <c r="CU42" i="3"/>
  <c r="CU24" i="3"/>
  <c r="CU177" i="42"/>
  <c r="CU174" i="42"/>
  <c r="CU161" i="42"/>
  <c r="CU160" i="42"/>
  <c r="CU157" i="42"/>
  <c r="CU144" i="42"/>
  <c r="CU139" i="42"/>
  <c r="CU120" i="42"/>
  <c r="CU107" i="42"/>
  <c r="CU100" i="42"/>
  <c r="CU97" i="42"/>
  <c r="CU84" i="42"/>
  <c r="CU83" i="42"/>
  <c r="CU79" i="42"/>
  <c r="CU76" i="42"/>
  <c r="CU45" i="42"/>
  <c r="CU46" i="42" s="1"/>
  <c r="CU59" i="42" s="1"/>
  <c r="CU26" i="42"/>
  <c r="CU17" i="42"/>
  <c r="DC202" i="41"/>
  <c r="DC201" i="41"/>
  <c r="DC200" i="41"/>
  <c r="DC199" i="41"/>
  <c r="CW199" i="41"/>
  <c r="CW200" i="41"/>
  <c r="CW201" i="41"/>
  <c r="CW202" i="41"/>
  <c r="DC172" i="41"/>
  <c r="DC171" i="41"/>
  <c r="DC105" i="41"/>
  <c r="CU73" i="1"/>
  <c r="CU79" i="1"/>
  <c r="CU75" i="1"/>
  <c r="CU133" i="42" l="1"/>
  <c r="CU162" i="42"/>
  <c r="CU27" i="42"/>
  <c r="CU60" i="42" s="1"/>
  <c r="CU45" i="1"/>
  <c r="CU41" i="1"/>
  <c r="CU44" i="1" s="1"/>
  <c r="CU37" i="1"/>
  <c r="CU39" i="1" s="1"/>
  <c r="CU24" i="1"/>
  <c r="CU26" i="1"/>
  <c r="CU25" i="1"/>
  <c r="CU31" i="1"/>
  <c r="CU32" i="1" s="1"/>
  <c r="CU14" i="1"/>
  <c r="CU15" i="1"/>
  <c r="CU17" i="1"/>
  <c r="CU18" i="1"/>
  <c r="CU19" i="1"/>
  <c r="CU48" i="1"/>
  <c r="CU47" i="1"/>
  <c r="CU49" i="1"/>
  <c r="CU56" i="1" s="1"/>
  <c r="CU92" i="1" s="1"/>
  <c r="CU53" i="1"/>
  <c r="CU71" i="1"/>
  <c r="CU101" i="1" s="1"/>
  <c r="CU115" i="1"/>
  <c r="CU117" i="1"/>
  <c r="CU118" i="1"/>
  <c r="CU46" i="1" l="1"/>
  <c r="CU66" i="42"/>
  <c r="CU67" i="42"/>
  <c r="DA67" i="42" s="1"/>
  <c r="DG67" i="42" s="1"/>
  <c r="DM67" i="42" s="1"/>
  <c r="CU50" i="1"/>
  <c r="CU43" i="1"/>
  <c r="CU58" i="1"/>
  <c r="DC211" i="41" s="1"/>
  <c r="CU42" i="1"/>
  <c r="CU38" i="1"/>
  <c r="CU40" i="1"/>
  <c r="CU61" i="1"/>
  <c r="CU29" i="1"/>
  <c r="CU30" i="1" s="1"/>
  <c r="CU33" i="1" l="1"/>
  <c r="CU34" i="1"/>
  <c r="CU64" i="1"/>
  <c r="CU93" i="1" l="1"/>
  <c r="CU65" i="1"/>
  <c r="CU77" i="1"/>
  <c r="CU99" i="1"/>
  <c r="CU84" i="1" l="1"/>
  <c r="CU80" i="1"/>
  <c r="CU102" i="1"/>
  <c r="CU100" i="1"/>
  <c r="CU95" i="1"/>
  <c r="CU96" i="1" s="1"/>
  <c r="CU94" i="1"/>
  <c r="CU104" i="1" l="1"/>
  <c r="CU106" i="1"/>
  <c r="CU89" i="1"/>
  <c r="CU86" i="1"/>
  <c r="CU107" i="1" l="1"/>
  <c r="CU108" i="1"/>
  <c r="DA30" i="1" l="1"/>
  <c r="CT24" i="1"/>
  <c r="CT25" i="1"/>
  <c r="CT31" i="1"/>
  <c r="CT32" i="1" s="1"/>
  <c r="CZ32" i="1" s="1"/>
  <c r="DB83" i="41"/>
  <c r="CV159" i="41"/>
  <c r="CT276" i="42"/>
  <c r="CT177" i="42"/>
  <c r="CT174" i="42"/>
  <c r="CT168" i="42"/>
  <c r="CU168" i="42" s="1"/>
  <c r="CU171" i="42" s="1"/>
  <c r="CU175" i="42" s="1"/>
  <c r="CT161" i="42"/>
  <c r="CT160" i="42"/>
  <c r="CT157" i="42"/>
  <c r="CT144" i="42"/>
  <c r="CT139" i="42"/>
  <c r="CT120" i="42"/>
  <c r="CT107" i="42"/>
  <c r="CT100" i="42"/>
  <c r="CT97" i="42"/>
  <c r="CT84" i="42"/>
  <c r="CT83" i="42"/>
  <c r="CT79" i="42"/>
  <c r="CT76" i="42"/>
  <c r="CT50" i="3"/>
  <c r="CT37" i="3"/>
  <c r="CT26" i="3"/>
  <c r="CT45" i="42"/>
  <c r="CT26" i="42"/>
  <c r="DB236" i="41"/>
  <c r="DB125" i="41"/>
  <c r="CT56" i="42"/>
  <c r="CT57" i="42" s="1"/>
  <c r="CT46" i="42"/>
  <c r="CT32" i="42"/>
  <c r="CT17" i="42"/>
  <c r="DB202" i="41"/>
  <c r="DB201" i="41"/>
  <c r="DB200" i="41"/>
  <c r="DB199" i="41"/>
  <c r="DB188" i="41"/>
  <c r="DB183" i="41"/>
  <c r="DB105" i="41"/>
  <c r="DC107" i="41" s="1"/>
  <c r="DB89" i="41"/>
  <c r="DB94" i="41" s="1"/>
  <c r="DB88" i="41"/>
  <c r="DB87" i="41"/>
  <c r="DB85" i="41"/>
  <c r="DB84" i="41"/>
  <c r="DB82" i="41"/>
  <c r="DB81" i="41"/>
  <c r="DB79" i="41"/>
  <c r="DB78" i="41"/>
  <c r="DB22" i="41"/>
  <c r="DB150" i="41" s="1"/>
  <c r="DB12" i="41"/>
  <c r="CT79" i="1"/>
  <c r="CT75" i="1"/>
  <c r="CT73" i="1"/>
  <c r="CT45" i="1"/>
  <c r="CT41" i="1"/>
  <c r="CT37" i="1"/>
  <c r="CT118" i="1"/>
  <c r="CT117" i="1"/>
  <c r="CT115" i="1"/>
  <c r="CT53" i="1"/>
  <c r="CT48" i="1"/>
  <c r="CT44" i="1"/>
  <c r="CT40" i="1"/>
  <c r="CT29" i="1"/>
  <c r="CT30" i="1" s="1"/>
  <c r="CZ30" i="1" s="1"/>
  <c r="CT19" i="1"/>
  <c r="CT18" i="1"/>
  <c r="CT17" i="1"/>
  <c r="CT15" i="1"/>
  <c r="CT14" i="1"/>
  <c r="CT71" i="1" l="1"/>
  <c r="CT101" i="1" s="1"/>
  <c r="CU21" i="1"/>
  <c r="CT66" i="42"/>
  <c r="CT67" i="42"/>
  <c r="CZ67" i="42" s="1"/>
  <c r="DF67" i="42" s="1"/>
  <c r="DL67" i="42" s="1"/>
  <c r="CT171" i="42"/>
  <c r="CT175" i="42" s="1"/>
  <c r="CT133" i="42"/>
  <c r="CT162" i="42"/>
  <c r="DB92" i="41"/>
  <c r="DB95" i="41"/>
  <c r="DB93" i="41"/>
  <c r="CT59" i="42"/>
  <c r="CT27" i="42"/>
  <c r="DB194" i="41"/>
  <c r="DB191" i="41"/>
  <c r="DB151" i="41"/>
  <c r="CT26" i="1"/>
  <c r="CT38" i="1"/>
  <c r="CT42" i="1"/>
  <c r="CT46" i="1"/>
  <c r="CT58" i="1"/>
  <c r="CT33" i="1"/>
  <c r="CT39" i="1"/>
  <c r="CT43" i="1"/>
  <c r="CT47" i="1"/>
  <c r="CT60" i="42" l="1"/>
  <c r="DB211" i="41"/>
  <c r="CT34" i="1"/>
  <c r="CT64" i="1"/>
  <c r="CT61" i="1"/>
  <c r="CT65" i="1" l="1"/>
  <c r="CT77" i="1"/>
  <c r="CT84" i="1" l="1"/>
  <c r="CT80" i="1"/>
  <c r="CT89" i="1" l="1"/>
  <c r="CT86" i="1"/>
  <c r="CT49" i="1" l="1"/>
  <c r="CT56" i="1" l="1"/>
  <c r="CT50" i="1"/>
  <c r="CT92" i="1" l="1"/>
  <c r="CT99" i="1"/>
  <c r="CT93" i="1"/>
  <c r="CT95" i="1" l="1"/>
  <c r="CT96" i="1" s="1"/>
  <c r="CT94" i="1"/>
  <c r="CT102" i="1"/>
  <c r="CT100" i="1"/>
  <c r="CT104" i="1" l="1"/>
  <c r="CT106" i="1"/>
  <c r="CT108" i="1" l="1"/>
  <c r="CT107" i="1"/>
  <c r="K197" i="442" l="1"/>
  <c r="M197" i="442" s="1"/>
  <c r="O197" i="442" s="1"/>
  <c r="K194" i="442"/>
  <c r="L194" i="442" s="1"/>
  <c r="M194" i="442" s="1"/>
  <c r="H194" i="442"/>
  <c r="S188" i="442"/>
  <c r="R188" i="442"/>
  <c r="Q188" i="442"/>
  <c r="P188" i="442"/>
  <c r="N188" i="442"/>
  <c r="M188" i="442"/>
  <c r="L188" i="442"/>
  <c r="K188" i="442"/>
  <c r="J188" i="442"/>
  <c r="I188" i="442"/>
  <c r="H188" i="442"/>
  <c r="G188" i="442"/>
  <c r="G178" i="442"/>
  <c r="I159" i="442"/>
  <c r="H159" i="442"/>
  <c r="G159" i="442"/>
  <c r="F159" i="442"/>
  <c r="M154" i="442"/>
  <c r="I117" i="442"/>
  <c r="I161" i="442" s="1"/>
  <c r="H117" i="442"/>
  <c r="H161" i="442" s="1"/>
  <c r="G117" i="442"/>
  <c r="F117" i="442"/>
  <c r="F161" i="442" s="1"/>
  <c r="E117" i="442"/>
  <c r="E161" i="442" s="1"/>
  <c r="D117" i="442"/>
  <c r="D161" i="442" s="1"/>
  <c r="C117" i="442"/>
  <c r="C161" i="442" s="1"/>
  <c r="B117" i="442"/>
  <c r="B161" i="442" s="1"/>
  <c r="I115" i="442"/>
  <c r="H115" i="442"/>
  <c r="G115" i="442"/>
  <c r="F115" i="442"/>
  <c r="E115" i="442"/>
  <c r="D115" i="442"/>
  <c r="C115" i="442"/>
  <c r="B115" i="442"/>
  <c r="I112" i="442"/>
  <c r="I156" i="442" s="1"/>
  <c r="H112" i="442"/>
  <c r="G112" i="442"/>
  <c r="F112" i="442"/>
  <c r="E112" i="442"/>
  <c r="D112" i="442"/>
  <c r="C112" i="442"/>
  <c r="B112" i="442"/>
  <c r="M110" i="442"/>
  <c r="I98" i="442"/>
  <c r="I109" i="442" s="1"/>
  <c r="H98" i="442"/>
  <c r="H142" i="442" s="1"/>
  <c r="G98" i="442"/>
  <c r="F98" i="442"/>
  <c r="E98" i="442"/>
  <c r="E109" i="442" s="1"/>
  <c r="D98" i="442"/>
  <c r="D142" i="442" s="1"/>
  <c r="C98" i="442"/>
  <c r="B98" i="442"/>
  <c r="I90" i="442"/>
  <c r="I134" i="442" s="1"/>
  <c r="H90" i="442"/>
  <c r="H134" i="442" s="1"/>
  <c r="G90" i="442"/>
  <c r="F90" i="442"/>
  <c r="F134" i="442" s="1"/>
  <c r="E90" i="442"/>
  <c r="E134" i="442" s="1"/>
  <c r="D90" i="442"/>
  <c r="D134" i="442" s="1"/>
  <c r="C90" i="442"/>
  <c r="B90" i="442"/>
  <c r="B134" i="442" s="1"/>
  <c r="I87" i="442"/>
  <c r="I131" i="442" s="1"/>
  <c r="H87" i="442"/>
  <c r="H131" i="442" s="1"/>
  <c r="G87" i="442"/>
  <c r="G131" i="442" s="1"/>
  <c r="F87" i="442"/>
  <c r="F95" i="442" s="1"/>
  <c r="E87" i="442"/>
  <c r="E131" i="442" s="1"/>
  <c r="D87" i="442"/>
  <c r="C87" i="442"/>
  <c r="C131" i="442" s="1"/>
  <c r="B87" i="442"/>
  <c r="H76" i="442"/>
  <c r="G76" i="442"/>
  <c r="I61" i="442"/>
  <c r="H61" i="442"/>
  <c r="G61" i="442"/>
  <c r="I33" i="442"/>
  <c r="H33" i="442"/>
  <c r="H31" i="442" s="1"/>
  <c r="H32" i="442" s="1"/>
  <c r="G33" i="442"/>
  <c r="G31" i="442" s="1"/>
  <c r="G32" i="442" s="1"/>
  <c r="F33" i="442"/>
  <c r="F31" i="442" s="1"/>
  <c r="F32" i="442" s="1"/>
  <c r="E33" i="442"/>
  <c r="D33" i="442"/>
  <c r="D31" i="442" s="1"/>
  <c r="D32" i="442" s="1"/>
  <c r="C33" i="442"/>
  <c r="C31" i="442" s="1"/>
  <c r="C32" i="442" s="1"/>
  <c r="B33" i="442"/>
  <c r="N34" i="442"/>
  <c r="I31" i="442"/>
  <c r="I32" i="442" s="1"/>
  <c r="E31" i="442"/>
  <c r="E32" i="442" s="1"/>
  <c r="I27" i="442"/>
  <c r="I185" i="442" s="1"/>
  <c r="H27" i="442"/>
  <c r="H185" i="442" s="1"/>
  <c r="G27" i="442"/>
  <c r="F27" i="442"/>
  <c r="E27" i="442"/>
  <c r="E62" i="442" s="1"/>
  <c r="D27" i="442"/>
  <c r="C27" i="442"/>
  <c r="B27" i="442"/>
  <c r="B25" i="442" s="1"/>
  <c r="I25" i="442"/>
  <c r="I200" i="442" s="1"/>
  <c r="H25" i="442"/>
  <c r="I23" i="442"/>
  <c r="H23" i="442"/>
  <c r="G23" i="442"/>
  <c r="F23" i="442"/>
  <c r="E23" i="442"/>
  <c r="D23" i="442"/>
  <c r="C23" i="442"/>
  <c r="I19" i="442"/>
  <c r="H19" i="442"/>
  <c r="G19" i="442"/>
  <c r="F19" i="442"/>
  <c r="E19" i="442"/>
  <c r="D19" i="442"/>
  <c r="C19" i="442"/>
  <c r="C20" i="442" s="1"/>
  <c r="I17" i="442"/>
  <c r="H17" i="442"/>
  <c r="G17" i="442"/>
  <c r="F17" i="442"/>
  <c r="E17" i="442"/>
  <c r="D17" i="442"/>
  <c r="C17" i="442"/>
  <c r="C18" i="442" s="1"/>
  <c r="I15" i="442"/>
  <c r="H15" i="442"/>
  <c r="G15" i="442"/>
  <c r="F15" i="442"/>
  <c r="E15" i="442"/>
  <c r="D15" i="442"/>
  <c r="C15" i="442"/>
  <c r="I12" i="442"/>
  <c r="H12" i="442"/>
  <c r="G12" i="442"/>
  <c r="F12" i="442"/>
  <c r="E12" i="442"/>
  <c r="D12" i="442"/>
  <c r="C12" i="442"/>
  <c r="BK355" i="41"/>
  <c r="BK354" i="41"/>
  <c r="BK338" i="41"/>
  <c r="BE338" i="41"/>
  <c r="AY338" i="41"/>
  <c r="R328" i="41"/>
  <c r="AZ312" i="41"/>
  <c r="AY312" i="41"/>
  <c r="AV312" i="41"/>
  <c r="AU312" i="41"/>
  <c r="AT312" i="41"/>
  <c r="AS312" i="41"/>
  <c r="AP312" i="41"/>
  <c r="AO312" i="41"/>
  <c r="AN312" i="41"/>
  <c r="AM312" i="41"/>
  <c r="AJ312" i="41"/>
  <c r="AI312" i="41"/>
  <c r="AH312" i="41"/>
  <c r="AG312" i="41"/>
  <c r="AD312" i="41"/>
  <c r="AC312" i="41"/>
  <c r="AB312" i="41"/>
  <c r="AA312" i="41"/>
  <c r="X312" i="41"/>
  <c r="W312" i="41"/>
  <c r="V312" i="41"/>
  <c r="U312" i="41"/>
  <c r="R312" i="41"/>
  <c r="Q312" i="41"/>
  <c r="P312" i="41"/>
  <c r="O312" i="41"/>
  <c r="L312" i="41"/>
  <c r="K312" i="41"/>
  <c r="J312" i="41"/>
  <c r="I312" i="41"/>
  <c r="F312" i="41"/>
  <c r="L315" i="41" s="1"/>
  <c r="R315" i="41" s="1"/>
  <c r="X315" i="41" s="1"/>
  <c r="AD315" i="41" s="1"/>
  <c r="AJ315" i="41" s="1"/>
  <c r="E312" i="41"/>
  <c r="K315" i="41" s="1"/>
  <c r="Q315" i="41" s="1"/>
  <c r="W315" i="41" s="1"/>
  <c r="AC315" i="41" s="1"/>
  <c r="AI315" i="41" s="1"/>
  <c r="AO315" i="41" s="1"/>
  <c r="AU315" i="41" s="1"/>
  <c r="BA315" i="41" s="1"/>
  <c r="D312" i="41"/>
  <c r="J315" i="41" s="1"/>
  <c r="P315" i="41" s="1"/>
  <c r="V315" i="41" s="1"/>
  <c r="AB315" i="41" s="1"/>
  <c r="AH315" i="41" s="1"/>
  <c r="C312" i="41"/>
  <c r="I315" i="41" s="1"/>
  <c r="O315" i="41" s="1"/>
  <c r="DA307" i="41"/>
  <c r="CX307" i="41"/>
  <c r="CW307" i="41"/>
  <c r="CV307" i="41"/>
  <c r="CU307" i="41"/>
  <c r="CU323" i="41" s="1"/>
  <c r="CR307" i="41"/>
  <c r="CQ307" i="41"/>
  <c r="CP307" i="41"/>
  <c r="CO307" i="41"/>
  <c r="CL307" i="41"/>
  <c r="CK307" i="41"/>
  <c r="CJ307" i="41"/>
  <c r="CI307" i="41"/>
  <c r="CF307" i="41"/>
  <c r="CE307" i="41"/>
  <c r="CD307" i="41"/>
  <c r="CC307" i="41"/>
  <c r="BZ307" i="41"/>
  <c r="BY307" i="41"/>
  <c r="BX307" i="41"/>
  <c r="BW307" i="41"/>
  <c r="BT307" i="41"/>
  <c r="BS307" i="41"/>
  <c r="BR307" i="41"/>
  <c r="BQ307" i="41"/>
  <c r="BN307" i="41"/>
  <c r="BM307" i="41"/>
  <c r="BL307" i="41"/>
  <c r="BK307" i="41"/>
  <c r="BH307" i="41"/>
  <c r="BG307" i="41"/>
  <c r="BF307" i="41"/>
  <c r="BE307" i="41"/>
  <c r="BB307" i="41"/>
  <c r="BA307" i="41"/>
  <c r="AZ307" i="41"/>
  <c r="AY307" i="41"/>
  <c r="AV307" i="41"/>
  <c r="AU307" i="41"/>
  <c r="AT307" i="41"/>
  <c r="AS307" i="41"/>
  <c r="AP307" i="41"/>
  <c r="AO307" i="41"/>
  <c r="AN307" i="41"/>
  <c r="AM307" i="41"/>
  <c r="AJ307" i="41"/>
  <c r="AI307" i="41"/>
  <c r="AH307" i="41"/>
  <c r="AG307" i="41"/>
  <c r="AD307" i="41"/>
  <c r="AC307" i="41"/>
  <c r="AB307" i="41"/>
  <c r="AA307" i="41"/>
  <c r="X307" i="41"/>
  <c r="W307" i="41"/>
  <c r="V307" i="41"/>
  <c r="U307" i="41"/>
  <c r="R307" i="41"/>
  <c r="Q307" i="41"/>
  <c r="P307" i="41"/>
  <c r="O307" i="41"/>
  <c r="AU292" i="41"/>
  <c r="AS292" i="41"/>
  <c r="AG291" i="41"/>
  <c r="BS280" i="41"/>
  <c r="BT280" i="41" s="1"/>
  <c r="BQ280" i="41"/>
  <c r="A256" i="41"/>
  <c r="BY246" i="41"/>
  <c r="BX246" i="41"/>
  <c r="BW246" i="41"/>
  <c r="BO246" i="41"/>
  <c r="CM244" i="41"/>
  <c r="CM243" i="41"/>
  <c r="CG244" i="41"/>
  <c r="CG243" i="41"/>
  <c r="CA244" i="41"/>
  <c r="CA243" i="41"/>
  <c r="BU244" i="41"/>
  <c r="BU243" i="41"/>
  <c r="DN244" i="41"/>
  <c r="DO244" i="41" s="1"/>
  <c r="DI244" i="41"/>
  <c r="DH244" i="41"/>
  <c r="DE244" i="41"/>
  <c r="CY244" i="41"/>
  <c r="CY243" i="41"/>
  <c r="CS244" i="41"/>
  <c r="CS243" i="41"/>
  <c r="BN244" i="41"/>
  <c r="BO244" i="41" s="1"/>
  <c r="DQ243" i="41"/>
  <c r="DK243" i="41"/>
  <c r="DE243" i="41"/>
  <c r="BO243" i="41"/>
  <c r="DP237" i="41"/>
  <c r="DO237" i="41"/>
  <c r="DN237" i="41"/>
  <c r="DM237" i="41"/>
  <c r="DJ237" i="41"/>
  <c r="DI237" i="41"/>
  <c r="DH237" i="41"/>
  <c r="DG237" i="41"/>
  <c r="DD237" i="41"/>
  <c r="DC237" i="41"/>
  <c r="CU237" i="41"/>
  <c r="CR237" i="41"/>
  <c r="CQ237" i="41"/>
  <c r="CP237" i="41"/>
  <c r="CO237" i="41"/>
  <c r="CL237" i="41"/>
  <c r="CK237" i="41"/>
  <c r="CJ237" i="41"/>
  <c r="CI237" i="41"/>
  <c r="CF237" i="41"/>
  <c r="CE237" i="41"/>
  <c r="CD237" i="41"/>
  <c r="CC237" i="41"/>
  <c r="BZ237" i="41"/>
  <c r="BY237" i="41"/>
  <c r="BX237" i="41"/>
  <c r="BW237" i="41"/>
  <c r="BT237" i="41"/>
  <c r="BS237" i="41"/>
  <c r="BR237" i="41"/>
  <c r="BQ237" i="41"/>
  <c r="BN237" i="41"/>
  <c r="BM237" i="41"/>
  <c r="BL237" i="41"/>
  <c r="BK237" i="41"/>
  <c r="DA236" i="41"/>
  <c r="CX236" i="41"/>
  <c r="CX237" i="41" s="1"/>
  <c r="CW236" i="41"/>
  <c r="CW237" i="41" s="1"/>
  <c r="CV236" i="41"/>
  <c r="CV237" i="41" s="1"/>
  <c r="CM235" i="41"/>
  <c r="CM237" i="41" s="1"/>
  <c r="CG235" i="41"/>
  <c r="CG234" i="41"/>
  <c r="CG233" i="41"/>
  <c r="CA234" i="41"/>
  <c r="CA233" i="41"/>
  <c r="CA232" i="41"/>
  <c r="CA231" i="41"/>
  <c r="CA230" i="41"/>
  <c r="CA229" i="41"/>
  <c r="DQ231" i="41"/>
  <c r="DQ230" i="41"/>
  <c r="DQ229" i="41"/>
  <c r="DQ228" i="41"/>
  <c r="DQ227" i="41"/>
  <c r="DQ226" i="41"/>
  <c r="DQ225" i="41"/>
  <c r="DK231" i="41"/>
  <c r="DK230" i="41"/>
  <c r="DK229" i="41"/>
  <c r="DK228" i="41"/>
  <c r="DK227" i="41"/>
  <c r="DK226" i="41"/>
  <c r="DK225" i="41"/>
  <c r="DE231" i="41"/>
  <c r="DE230" i="41"/>
  <c r="DE229" i="41"/>
  <c r="DE228" i="41"/>
  <c r="DE227" i="41"/>
  <c r="DE226" i="41"/>
  <c r="DE225" i="41"/>
  <c r="CY231" i="41"/>
  <c r="CY230" i="41"/>
  <c r="CY229" i="41"/>
  <c r="CY228" i="41"/>
  <c r="CY227" i="41"/>
  <c r="CY226" i="41"/>
  <c r="CY225" i="41"/>
  <c r="CS231" i="41"/>
  <c r="CS230" i="41"/>
  <c r="CS229" i="41"/>
  <c r="CS228" i="41"/>
  <c r="CS227" i="41"/>
  <c r="CS226" i="41"/>
  <c r="CS225" i="41"/>
  <c r="BU231" i="41"/>
  <c r="BU230" i="41"/>
  <c r="BU229" i="41"/>
  <c r="BU228" i="41"/>
  <c r="BU227" i="41"/>
  <c r="BU226" i="41"/>
  <c r="BU225" i="41"/>
  <c r="BO231" i="41"/>
  <c r="BO230" i="41"/>
  <c r="BO229" i="41"/>
  <c r="BO228" i="41"/>
  <c r="BO227" i="41"/>
  <c r="BO226" i="41"/>
  <c r="BO225" i="41"/>
  <c r="BS204" i="41"/>
  <c r="DA202" i="41"/>
  <c r="DA201" i="41"/>
  <c r="BW202" i="41"/>
  <c r="BZ201" i="41"/>
  <c r="BW201" i="41"/>
  <c r="F201" i="41"/>
  <c r="F199" i="41"/>
  <c r="DA200" i="41"/>
  <c r="DA199" i="41"/>
  <c r="BW200" i="41"/>
  <c r="BW199" i="41"/>
  <c r="CX202" i="41"/>
  <c r="CV202" i="41"/>
  <c r="CU202" i="41"/>
  <c r="CX201" i="41"/>
  <c r="CV201" i="41"/>
  <c r="CU201" i="41"/>
  <c r="CX200" i="41"/>
  <c r="CV200" i="41"/>
  <c r="CU200" i="41"/>
  <c r="CX199" i="41"/>
  <c r="CV199" i="41"/>
  <c r="CU199" i="41"/>
  <c r="CR202" i="41"/>
  <c r="CQ202" i="41"/>
  <c r="CP202" i="41"/>
  <c r="CO202" i="41"/>
  <c r="CR201" i="41"/>
  <c r="CQ201" i="41"/>
  <c r="CP201" i="41"/>
  <c r="CO201" i="41"/>
  <c r="CR200" i="41"/>
  <c r="CQ200" i="41"/>
  <c r="CP200" i="41"/>
  <c r="CO200" i="41"/>
  <c r="CR199" i="41"/>
  <c r="CQ199" i="41"/>
  <c r="CP199" i="41"/>
  <c r="CO199" i="41"/>
  <c r="CL202" i="41"/>
  <c r="CK202" i="41"/>
  <c r="CJ202" i="41"/>
  <c r="CI202" i="41"/>
  <c r="CL201" i="41"/>
  <c r="CK201" i="41"/>
  <c r="CJ201" i="41"/>
  <c r="CI201" i="41"/>
  <c r="CL200" i="41"/>
  <c r="CK200" i="41"/>
  <c r="CJ200" i="41"/>
  <c r="CI200" i="41"/>
  <c r="CL199" i="41"/>
  <c r="CK199" i="41"/>
  <c r="CJ199" i="41"/>
  <c r="CI199" i="41"/>
  <c r="CF202" i="41"/>
  <c r="CE202" i="41"/>
  <c r="CD202" i="41"/>
  <c r="CC202" i="41"/>
  <c r="CF201" i="41"/>
  <c r="CC201" i="41"/>
  <c r="CF200" i="41"/>
  <c r="CE200" i="41"/>
  <c r="CD200" i="41"/>
  <c r="CC200" i="41"/>
  <c r="CF199" i="41"/>
  <c r="CC199" i="41"/>
  <c r="BY200" i="41"/>
  <c r="BZ199" i="41"/>
  <c r="BX198" i="41"/>
  <c r="BX199" i="41" s="1"/>
  <c r="BT202" i="41"/>
  <c r="BS202" i="41"/>
  <c r="BR202" i="41"/>
  <c r="BQ202" i="41"/>
  <c r="BT201" i="41"/>
  <c r="BS201" i="41"/>
  <c r="BR201" i="41"/>
  <c r="BQ201" i="41"/>
  <c r="BT200" i="41"/>
  <c r="BS200" i="41"/>
  <c r="BR200" i="41"/>
  <c r="BQ200" i="41"/>
  <c r="BT199" i="41"/>
  <c r="BS199" i="41"/>
  <c r="BR199" i="41"/>
  <c r="BQ199" i="41"/>
  <c r="BN202" i="41"/>
  <c r="BM202" i="41"/>
  <c r="BL202" i="41"/>
  <c r="BK202" i="41"/>
  <c r="BN201" i="41"/>
  <c r="BM201" i="41"/>
  <c r="BL201" i="41"/>
  <c r="BK201" i="41"/>
  <c r="BN200" i="41"/>
  <c r="BM200" i="41"/>
  <c r="BL200" i="41"/>
  <c r="BK200" i="41"/>
  <c r="BN199" i="41"/>
  <c r="BM199" i="41"/>
  <c r="BL199" i="41"/>
  <c r="BK199" i="41"/>
  <c r="BH202" i="41"/>
  <c r="BG202" i="41"/>
  <c r="BF202" i="41"/>
  <c r="BE202" i="41"/>
  <c r="BH201" i="41"/>
  <c r="BG201" i="41"/>
  <c r="BF201" i="41"/>
  <c r="BE201" i="41"/>
  <c r="BH200" i="41"/>
  <c r="BG200" i="41"/>
  <c r="BF200" i="41"/>
  <c r="BE200" i="41"/>
  <c r="BH199" i="41"/>
  <c r="BG199" i="41"/>
  <c r="BF199" i="41"/>
  <c r="BE199" i="41"/>
  <c r="BB202" i="41"/>
  <c r="BA202" i="41"/>
  <c r="AZ202" i="41"/>
  <c r="AY202" i="41"/>
  <c r="BB201" i="41"/>
  <c r="BA201" i="41"/>
  <c r="AZ201" i="41"/>
  <c r="AY201" i="41"/>
  <c r="BB200" i="41"/>
  <c r="BA200" i="41"/>
  <c r="AZ200" i="41"/>
  <c r="AY200" i="41"/>
  <c r="BB199" i="41"/>
  <c r="BA199" i="41"/>
  <c r="AZ199" i="41"/>
  <c r="AY199" i="41"/>
  <c r="AV202" i="41"/>
  <c r="AU202" i="41"/>
  <c r="AT202" i="41"/>
  <c r="AS202" i="41"/>
  <c r="AV201" i="41"/>
  <c r="AU201" i="41"/>
  <c r="AT201" i="41"/>
  <c r="AS201" i="41"/>
  <c r="AV200" i="41"/>
  <c r="AU200" i="41"/>
  <c r="AT200" i="41"/>
  <c r="AS200" i="41"/>
  <c r="AV199" i="41"/>
  <c r="AU199" i="41"/>
  <c r="AT199" i="41"/>
  <c r="AS199" i="41"/>
  <c r="AP202" i="41"/>
  <c r="AO202" i="41"/>
  <c r="AN202" i="41"/>
  <c r="AM202" i="41"/>
  <c r="AP201" i="41"/>
  <c r="AO201" i="41"/>
  <c r="AN201" i="41"/>
  <c r="AM201" i="41"/>
  <c r="AP200" i="41"/>
  <c r="AO200" i="41"/>
  <c r="AN200" i="41"/>
  <c r="AM200" i="41"/>
  <c r="AP199" i="41"/>
  <c r="AO199" i="41"/>
  <c r="AN199" i="41"/>
  <c r="AM199" i="41"/>
  <c r="AJ202" i="41"/>
  <c r="AI202" i="41"/>
  <c r="AH202" i="41"/>
  <c r="AG202" i="41"/>
  <c r="AJ201" i="41"/>
  <c r="AI201" i="41"/>
  <c r="AH201" i="41"/>
  <c r="AG201" i="41"/>
  <c r="AJ200" i="41"/>
  <c r="AI200" i="41"/>
  <c r="AH200" i="41"/>
  <c r="AG200" i="41"/>
  <c r="AJ199" i="41"/>
  <c r="AI199" i="41"/>
  <c r="AH199" i="41"/>
  <c r="AG199" i="41"/>
  <c r="AD202" i="41"/>
  <c r="AC202" i="41"/>
  <c r="AB202" i="41"/>
  <c r="AA202" i="41"/>
  <c r="AD201" i="41"/>
  <c r="AC201" i="41"/>
  <c r="AB201" i="41"/>
  <c r="AA201" i="41"/>
  <c r="AD200" i="41"/>
  <c r="AC200" i="41"/>
  <c r="AB200" i="41"/>
  <c r="AA200" i="41"/>
  <c r="AD199" i="41"/>
  <c r="AC199" i="41"/>
  <c r="AB199" i="41"/>
  <c r="AA199" i="41"/>
  <c r="X202" i="41"/>
  <c r="W202" i="41"/>
  <c r="V202" i="41"/>
  <c r="U202" i="41"/>
  <c r="X201" i="41"/>
  <c r="W201" i="41"/>
  <c r="V201" i="41"/>
  <c r="U201" i="41"/>
  <c r="X200" i="41"/>
  <c r="W200" i="41"/>
  <c r="V200" i="41"/>
  <c r="U200" i="41"/>
  <c r="X199" i="41"/>
  <c r="W199" i="41"/>
  <c r="V199" i="41"/>
  <c r="U199" i="41"/>
  <c r="R202" i="41"/>
  <c r="Q202" i="41"/>
  <c r="P202" i="41"/>
  <c r="O202" i="41"/>
  <c r="R201" i="41"/>
  <c r="R200" i="41"/>
  <c r="Q200" i="41"/>
  <c r="P200" i="41"/>
  <c r="O200" i="41"/>
  <c r="R199" i="41"/>
  <c r="L201" i="41"/>
  <c r="L199" i="41"/>
  <c r="BY198" i="41"/>
  <c r="I198" i="41"/>
  <c r="J198" i="41" s="1"/>
  <c r="C198" i="41"/>
  <c r="D198" i="41" s="1"/>
  <c r="DA188" i="41"/>
  <c r="DA183" i="41"/>
  <c r="CX188" i="41"/>
  <c r="DD190" i="41" s="1"/>
  <c r="CW188" i="41"/>
  <c r="CV188" i="41"/>
  <c r="DB190" i="41" s="1"/>
  <c r="CU188" i="41"/>
  <c r="CR188" i="41"/>
  <c r="CQ188" i="41"/>
  <c r="CP188" i="41"/>
  <c r="CO188" i="41"/>
  <c r="CL188" i="41"/>
  <c r="CK188" i="41"/>
  <c r="CJ188" i="41"/>
  <c r="CI188" i="41"/>
  <c r="CF188" i="41"/>
  <c r="CE188" i="41"/>
  <c r="CD188" i="41"/>
  <c r="CC188" i="41"/>
  <c r="BZ188" i="41"/>
  <c r="BY188" i="41"/>
  <c r="CE190" i="41" s="1"/>
  <c r="BX188" i="41"/>
  <c r="BW188" i="41"/>
  <c r="BT188" i="41"/>
  <c r="BS188" i="41"/>
  <c r="BR188" i="41"/>
  <c r="BQ188" i="41"/>
  <c r="CX183" i="41"/>
  <c r="DD185" i="41" s="1"/>
  <c r="CW183" i="41"/>
  <c r="CV183" i="41"/>
  <c r="DB185" i="41" s="1"/>
  <c r="CU183" i="41"/>
  <c r="CU194" i="41" s="1"/>
  <c r="CR183" i="41"/>
  <c r="CQ183" i="41"/>
  <c r="CP183" i="41"/>
  <c r="CP194" i="41" s="1"/>
  <c r="CO183" i="41"/>
  <c r="CL183" i="41"/>
  <c r="CK183" i="41"/>
  <c r="CK194" i="41" s="1"/>
  <c r="CJ183" i="41"/>
  <c r="CI183" i="41"/>
  <c r="CI194" i="41" s="1"/>
  <c r="CF183" i="41"/>
  <c r="CE183" i="41"/>
  <c r="CE194" i="41" s="1"/>
  <c r="CD183" i="41"/>
  <c r="CD194" i="41" s="1"/>
  <c r="CC183" i="41"/>
  <c r="BZ183" i="41"/>
  <c r="BY183" i="41"/>
  <c r="BX183" i="41"/>
  <c r="BW183" i="41"/>
  <c r="BT183" i="41"/>
  <c r="BS183" i="41"/>
  <c r="BR183" i="41"/>
  <c r="BR194" i="41" s="1"/>
  <c r="BQ183" i="41"/>
  <c r="BN183" i="41"/>
  <c r="BM183" i="41"/>
  <c r="BL183" i="41"/>
  <c r="BK183" i="41"/>
  <c r="BH183" i="41"/>
  <c r="BG183" i="41"/>
  <c r="BF183" i="41"/>
  <c r="BE183" i="41"/>
  <c r="BB183" i="41"/>
  <c r="BA183" i="41"/>
  <c r="X183" i="41"/>
  <c r="W183" i="41"/>
  <c r="V183" i="41"/>
  <c r="U183" i="41"/>
  <c r="R183" i="41"/>
  <c r="Q183" i="41"/>
  <c r="P183" i="41"/>
  <c r="O183" i="41"/>
  <c r="M183" i="41"/>
  <c r="G183" i="41"/>
  <c r="J181" i="41"/>
  <c r="I181" i="41"/>
  <c r="L173" i="41"/>
  <c r="K173" i="41"/>
  <c r="J173" i="41"/>
  <c r="R172" i="41"/>
  <c r="Q172" i="41"/>
  <c r="P172" i="41"/>
  <c r="X172" i="41"/>
  <c r="W172" i="41"/>
  <c r="V172" i="41"/>
  <c r="U172" i="41"/>
  <c r="X171" i="41"/>
  <c r="W171" i="41"/>
  <c r="V171" i="41"/>
  <c r="U171" i="41"/>
  <c r="DA172" i="41"/>
  <c r="DA171" i="41"/>
  <c r="CX172" i="41"/>
  <c r="CW172" i="41"/>
  <c r="CV172" i="41"/>
  <c r="CU172" i="41"/>
  <c r="CX171" i="41"/>
  <c r="CW171" i="41"/>
  <c r="CV171" i="41"/>
  <c r="CU171" i="41"/>
  <c r="CR172" i="41"/>
  <c r="CQ172" i="41"/>
  <c r="CP172" i="41"/>
  <c r="CO172" i="41"/>
  <c r="CR171" i="41"/>
  <c r="CQ171" i="41"/>
  <c r="CP171" i="41"/>
  <c r="CO171" i="41"/>
  <c r="CL172" i="41"/>
  <c r="CK172" i="41"/>
  <c r="CJ172" i="41"/>
  <c r="CI172" i="41"/>
  <c r="CL171" i="41"/>
  <c r="CK171" i="41"/>
  <c r="CJ171" i="41"/>
  <c r="CI171" i="41"/>
  <c r="CF172" i="41"/>
  <c r="CE172" i="41"/>
  <c r="CD172" i="41"/>
  <c r="CC172" i="41"/>
  <c r="CF171" i="41"/>
  <c r="CE171" i="41"/>
  <c r="CD171" i="41"/>
  <c r="CC171" i="41"/>
  <c r="BZ172" i="41"/>
  <c r="BY172" i="41"/>
  <c r="BX172" i="41"/>
  <c r="BH159" i="41"/>
  <c r="BH169" i="41" s="1"/>
  <c r="AS169" i="41"/>
  <c r="R165" i="41"/>
  <c r="Q165" i="41"/>
  <c r="P165" i="41"/>
  <c r="O165" i="41"/>
  <c r="CD159" i="41"/>
  <c r="CC159" i="41"/>
  <c r="DA159" i="41"/>
  <c r="CX159" i="41"/>
  <c r="DD161" i="41" s="1"/>
  <c r="CW159" i="41"/>
  <c r="CU159" i="41"/>
  <c r="CR159" i="41"/>
  <c r="CQ159" i="41"/>
  <c r="CP159" i="41"/>
  <c r="CO159" i="41"/>
  <c r="CL159" i="41"/>
  <c r="CK159" i="41"/>
  <c r="CJ159" i="41"/>
  <c r="CI159" i="41"/>
  <c r="CF159" i="41"/>
  <c r="CE159" i="41"/>
  <c r="BZ159" i="41"/>
  <c r="BY159" i="41"/>
  <c r="BX159" i="41"/>
  <c r="BW159" i="41"/>
  <c r="BT159" i="41"/>
  <c r="BS159" i="41"/>
  <c r="BR159" i="41"/>
  <c r="BQ159" i="41"/>
  <c r="BN159" i="41"/>
  <c r="BM159" i="41"/>
  <c r="BL159" i="41"/>
  <c r="BK159" i="41"/>
  <c r="BG159" i="41"/>
  <c r="BF159" i="41"/>
  <c r="BE159" i="41"/>
  <c r="BE169" i="41" s="1"/>
  <c r="BB159" i="41"/>
  <c r="BC159" i="41" s="1"/>
  <c r="BA159" i="41"/>
  <c r="BA169" i="41" s="1"/>
  <c r="AZ159" i="41"/>
  <c r="AZ169" i="41" s="1"/>
  <c r="AY159" i="41"/>
  <c r="AY169" i="41" s="1"/>
  <c r="AV159" i="41"/>
  <c r="AV169" i="41" s="1"/>
  <c r="AU159" i="41"/>
  <c r="AT159" i="41"/>
  <c r="AS159" i="41"/>
  <c r="AP159" i="41"/>
  <c r="AO159" i="41"/>
  <c r="AO169" i="41" s="1"/>
  <c r="AN159" i="41"/>
  <c r="AN169" i="41" s="1"/>
  <c r="AM159" i="41"/>
  <c r="AJ159" i="41"/>
  <c r="AJ169" i="41" s="1"/>
  <c r="AI159" i="41"/>
  <c r="AI169" i="41" s="1"/>
  <c r="AH159" i="41"/>
  <c r="AG159" i="41"/>
  <c r="AG169" i="41" s="1"/>
  <c r="AD159" i="41"/>
  <c r="AC159" i="41"/>
  <c r="AC169" i="41" s="1"/>
  <c r="AB159" i="41"/>
  <c r="AA159" i="41"/>
  <c r="X159" i="41"/>
  <c r="W159" i="41"/>
  <c r="V159" i="41"/>
  <c r="U159" i="41"/>
  <c r="R159" i="41"/>
  <c r="Q159" i="41"/>
  <c r="P159" i="41"/>
  <c r="O159" i="41"/>
  <c r="M159" i="41"/>
  <c r="G159" i="41"/>
  <c r="AJ144" i="41"/>
  <c r="AI144" i="41"/>
  <c r="AH144" i="41"/>
  <c r="AG144" i="41"/>
  <c r="AD144" i="41"/>
  <c r="AC144" i="41"/>
  <c r="AB144" i="41"/>
  <c r="AA144" i="41"/>
  <c r="BT136" i="41"/>
  <c r="BT246" i="41" s="1"/>
  <c r="BU135" i="41"/>
  <c r="BU134" i="41"/>
  <c r="CF136" i="41"/>
  <c r="CF246" i="41" s="1"/>
  <c r="CE136" i="41"/>
  <c r="CE246" i="41" s="1"/>
  <c r="CD136" i="41"/>
  <c r="CD246" i="41" s="1"/>
  <c r="CC136" i="41"/>
  <c r="CC246" i="41" s="1"/>
  <c r="BZ136" i="41"/>
  <c r="BZ246" i="41" s="1"/>
  <c r="BU130" i="41"/>
  <c r="DG125" i="41"/>
  <c r="DH125" i="41" s="1"/>
  <c r="DI125" i="41" s="1"/>
  <c r="DJ125" i="41" s="1"/>
  <c r="DM125" i="41" s="1"/>
  <c r="DN125" i="41" s="1"/>
  <c r="DO125" i="41" s="1"/>
  <c r="DP125" i="41" s="1"/>
  <c r="DS125" i="41" s="1"/>
  <c r="DT125" i="41" s="1"/>
  <c r="DU125" i="41" s="1"/>
  <c r="DV125" i="41" s="1"/>
  <c r="CX125" i="41"/>
  <c r="CR125" i="41"/>
  <c r="CU125" i="41" s="1"/>
  <c r="CV125" i="41" s="1"/>
  <c r="CD125" i="41"/>
  <c r="CC125" i="41"/>
  <c r="AJ125" i="41"/>
  <c r="AI125" i="41"/>
  <c r="AH125" i="41"/>
  <c r="AG125" i="41"/>
  <c r="DA105" i="41"/>
  <c r="DB107" i="41" s="1"/>
  <c r="CX105" i="41"/>
  <c r="CW105" i="41"/>
  <c r="DC106" i="41" s="1"/>
  <c r="CV105" i="41"/>
  <c r="DB106" i="41" s="1"/>
  <c r="CU105" i="41"/>
  <c r="CR105" i="41"/>
  <c r="CQ105" i="41"/>
  <c r="CP105" i="41"/>
  <c r="CO105" i="41"/>
  <c r="CL105" i="41"/>
  <c r="CK105" i="41"/>
  <c r="CJ105" i="41"/>
  <c r="CI105" i="41"/>
  <c r="CF105" i="41"/>
  <c r="CE105" i="41"/>
  <c r="CD105" i="41"/>
  <c r="CC105" i="41"/>
  <c r="BZ105" i="41"/>
  <c r="BY105" i="41"/>
  <c r="BX105" i="41"/>
  <c r="CD106" i="41" s="1"/>
  <c r="BW105" i="41"/>
  <c r="BT105" i="41"/>
  <c r="BS105" i="41"/>
  <c r="BR105" i="41"/>
  <c r="BQ105" i="41"/>
  <c r="BN105" i="41"/>
  <c r="BM105" i="41"/>
  <c r="BL105" i="41"/>
  <c r="BK105" i="41"/>
  <c r="BH105" i="41"/>
  <c r="BG105" i="41"/>
  <c r="BF105" i="41"/>
  <c r="BE105" i="41"/>
  <c r="BB105" i="41"/>
  <c r="BA105" i="41"/>
  <c r="AZ105" i="41"/>
  <c r="AY105" i="41"/>
  <c r="AV105" i="41"/>
  <c r="AU105" i="41"/>
  <c r="AT105" i="41"/>
  <c r="AS105" i="41"/>
  <c r="AP105" i="41"/>
  <c r="AO105" i="41"/>
  <c r="AN105" i="41"/>
  <c r="AM105" i="41"/>
  <c r="AJ105" i="41"/>
  <c r="AI105" i="41"/>
  <c r="AH105" i="41"/>
  <c r="AG105" i="41"/>
  <c r="AD105" i="41"/>
  <c r="AC105" i="41"/>
  <c r="AB105" i="41"/>
  <c r="AA105" i="41"/>
  <c r="X105" i="41"/>
  <c r="W105" i="41"/>
  <c r="V105" i="41"/>
  <c r="U105" i="41"/>
  <c r="R105" i="41"/>
  <c r="Q105" i="41"/>
  <c r="P105" i="41"/>
  <c r="O105" i="41"/>
  <c r="CL89" i="41"/>
  <c r="CL93" i="41" s="1"/>
  <c r="CK89" i="41"/>
  <c r="CK94" i="41" s="1"/>
  <c r="CJ89" i="41"/>
  <c r="CJ95" i="41" s="1"/>
  <c r="CI89" i="41"/>
  <c r="CI94" i="41" s="1"/>
  <c r="DA89" i="41"/>
  <c r="DA92" i="41" s="1"/>
  <c r="DA88" i="41"/>
  <c r="CX89" i="41"/>
  <c r="CX93" i="41" s="1"/>
  <c r="CW89" i="41"/>
  <c r="CW94" i="41" s="1"/>
  <c r="CV89" i="41"/>
  <c r="CV95" i="41" s="1"/>
  <c r="DB101" i="41" s="1"/>
  <c r="CU89" i="41"/>
  <c r="CU92" i="41" s="1"/>
  <c r="CX88" i="41"/>
  <c r="CW88" i="41"/>
  <c r="CV88" i="41"/>
  <c r="CU88" i="41"/>
  <c r="CR89" i="41"/>
  <c r="CR93" i="41" s="1"/>
  <c r="CQ89" i="41"/>
  <c r="CP89" i="41"/>
  <c r="CO89" i="41"/>
  <c r="CO92" i="41" s="1"/>
  <c r="CR88" i="41"/>
  <c r="CQ88" i="41"/>
  <c r="CP88" i="41"/>
  <c r="CO88" i="41"/>
  <c r="DA87" i="41"/>
  <c r="CX87" i="41"/>
  <c r="CW87" i="41"/>
  <c r="CV87" i="41"/>
  <c r="CU87" i="41"/>
  <c r="CR87" i="41"/>
  <c r="CQ87" i="41"/>
  <c r="CP87" i="41"/>
  <c r="CO87" i="41"/>
  <c r="CL87" i="41"/>
  <c r="CK87" i="41"/>
  <c r="CJ87" i="41"/>
  <c r="CY86" i="41"/>
  <c r="CS86" i="41"/>
  <c r="CM86" i="41"/>
  <c r="DA85" i="41"/>
  <c r="DA84" i="41"/>
  <c r="CX85" i="41"/>
  <c r="CW85" i="41"/>
  <c r="CV85" i="41"/>
  <c r="CU85" i="41"/>
  <c r="CX84" i="41"/>
  <c r="CW84" i="41"/>
  <c r="CV84" i="41"/>
  <c r="CU84" i="41"/>
  <c r="CR85" i="41"/>
  <c r="CQ85" i="41"/>
  <c r="CP85" i="41"/>
  <c r="CO85" i="41"/>
  <c r="CR84" i="41"/>
  <c r="CQ84" i="41"/>
  <c r="CP84" i="41"/>
  <c r="CO84" i="41"/>
  <c r="CL84" i="41"/>
  <c r="CK84" i="41"/>
  <c r="CJ84" i="41"/>
  <c r="CY83" i="41"/>
  <c r="CS83" i="41"/>
  <c r="CM83" i="41"/>
  <c r="DA82" i="41"/>
  <c r="DA81" i="41"/>
  <c r="CX82" i="41"/>
  <c r="CW82" i="41"/>
  <c r="CV82" i="41"/>
  <c r="CU82" i="41"/>
  <c r="CX81" i="41"/>
  <c r="CW81" i="41"/>
  <c r="CV81" i="41"/>
  <c r="CU81" i="41"/>
  <c r="CR82" i="41"/>
  <c r="CQ82" i="41"/>
  <c r="CP82" i="41"/>
  <c r="CO82" i="41"/>
  <c r="CR81" i="41"/>
  <c r="CQ81" i="41"/>
  <c r="CP81" i="41"/>
  <c r="CO81" i="41"/>
  <c r="CL81" i="41"/>
  <c r="CK81" i="41"/>
  <c r="CJ81" i="41"/>
  <c r="CY80" i="41"/>
  <c r="CY77" i="41"/>
  <c r="CS80" i="41"/>
  <c r="CM80" i="41"/>
  <c r="DA79" i="41"/>
  <c r="DA78" i="41"/>
  <c r="CX79" i="41"/>
  <c r="CW79" i="41"/>
  <c r="CV79" i="41"/>
  <c r="CU79" i="41"/>
  <c r="CX78" i="41"/>
  <c r="CW78" i="41"/>
  <c r="CV78" i="41"/>
  <c r="CU78" i="41"/>
  <c r="CR79" i="41"/>
  <c r="CQ79" i="41"/>
  <c r="CP79" i="41"/>
  <c r="CO79" i="41"/>
  <c r="CR78" i="41"/>
  <c r="CQ78" i="41"/>
  <c r="CP78" i="41"/>
  <c r="CO78" i="41"/>
  <c r="CL78" i="41"/>
  <c r="CK78" i="41"/>
  <c r="CJ78" i="41"/>
  <c r="CS77" i="41"/>
  <c r="CM77" i="41"/>
  <c r="AV73" i="41"/>
  <c r="AU73" i="41"/>
  <c r="AT73" i="41"/>
  <c r="AS73" i="41"/>
  <c r="AP73" i="41"/>
  <c r="AO73" i="41"/>
  <c r="AN73" i="41"/>
  <c r="AM73" i="41"/>
  <c r="AQ73" i="41" s="1"/>
  <c r="AJ73" i="41"/>
  <c r="AI73" i="41"/>
  <c r="AH73" i="41"/>
  <c r="AG73" i="41"/>
  <c r="AD73" i="41"/>
  <c r="AC73" i="41"/>
  <c r="AB73" i="41"/>
  <c r="AA73" i="41"/>
  <c r="AE73" i="41" s="1"/>
  <c r="X73" i="41"/>
  <c r="W73" i="41"/>
  <c r="V73" i="41"/>
  <c r="U73" i="41"/>
  <c r="R73" i="41"/>
  <c r="Q73" i="41"/>
  <c r="P73" i="41"/>
  <c r="O73" i="41"/>
  <c r="S73" i="41" s="1"/>
  <c r="L73" i="41"/>
  <c r="K73" i="41"/>
  <c r="L66" i="41" s="1"/>
  <c r="L69" i="41" s="1"/>
  <c r="J73" i="41"/>
  <c r="I73" i="41"/>
  <c r="M73" i="41" s="1"/>
  <c r="F73" i="41"/>
  <c r="E73" i="41"/>
  <c r="D73" i="41"/>
  <c r="C73" i="41"/>
  <c r="G73" i="41" s="1"/>
  <c r="I66" i="41"/>
  <c r="I69" i="41" s="1"/>
  <c r="AE62" i="41"/>
  <c r="AD62" i="41"/>
  <c r="AC62" i="41"/>
  <c r="AB62" i="41"/>
  <c r="AA62" i="41"/>
  <c r="Y62" i="41"/>
  <c r="X62" i="41"/>
  <c r="W62" i="41"/>
  <c r="V62" i="41"/>
  <c r="V63" i="41" s="1"/>
  <c r="U62" i="41"/>
  <c r="S62" i="41"/>
  <c r="Y63" i="41" s="1"/>
  <c r="R62" i="41"/>
  <c r="Q62" i="41"/>
  <c r="P62" i="41"/>
  <c r="O62" i="41"/>
  <c r="L62" i="41"/>
  <c r="K62" i="41"/>
  <c r="J62" i="41"/>
  <c r="I62" i="41"/>
  <c r="F62" i="41"/>
  <c r="E62" i="41"/>
  <c r="D62" i="41"/>
  <c r="AD60" i="41"/>
  <c r="AC60" i="41"/>
  <c r="AB60" i="41"/>
  <c r="AA60" i="41"/>
  <c r="X60" i="41"/>
  <c r="W60" i="41"/>
  <c r="V60" i="41"/>
  <c r="U60" i="41"/>
  <c r="R60" i="41"/>
  <c r="Q60" i="41"/>
  <c r="P60" i="41"/>
  <c r="AE59" i="41"/>
  <c r="AD59" i="41"/>
  <c r="AC59" i="41"/>
  <c r="AB59" i="41"/>
  <c r="AA59" i="41"/>
  <c r="Y59" i="41"/>
  <c r="X59" i="41"/>
  <c r="W59" i="41"/>
  <c r="V59" i="41"/>
  <c r="U59" i="41"/>
  <c r="AD56" i="41"/>
  <c r="AC56" i="41"/>
  <c r="AB56" i="41"/>
  <c r="AA56" i="41"/>
  <c r="X56" i="41"/>
  <c r="W56" i="41"/>
  <c r="V56" i="41"/>
  <c r="U56" i="41"/>
  <c r="R56" i="41"/>
  <c r="Q56" i="41"/>
  <c r="P56" i="41"/>
  <c r="O56" i="41"/>
  <c r="L56" i="41"/>
  <c r="K56" i="41"/>
  <c r="J56" i="41"/>
  <c r="I56" i="41"/>
  <c r="F56" i="41"/>
  <c r="E56" i="41"/>
  <c r="D56" i="41"/>
  <c r="AE55" i="41"/>
  <c r="AD55" i="41"/>
  <c r="AC55" i="41"/>
  <c r="AB55" i="41"/>
  <c r="AA55" i="41"/>
  <c r="Y55" i="41"/>
  <c r="X55" i="41"/>
  <c r="W55" i="41"/>
  <c r="V55" i="41"/>
  <c r="U55" i="41"/>
  <c r="S55" i="41"/>
  <c r="R55" i="41"/>
  <c r="Q55" i="41"/>
  <c r="P55" i="41"/>
  <c r="O55" i="41"/>
  <c r="M55" i="41"/>
  <c r="L55" i="41"/>
  <c r="K55" i="41"/>
  <c r="J55" i="41"/>
  <c r="I55" i="41"/>
  <c r="AO54" i="41"/>
  <c r="AN54" i="41"/>
  <c r="AM54" i="41"/>
  <c r="AJ54" i="41"/>
  <c r="AI54" i="41"/>
  <c r="AH54" i="41"/>
  <c r="AG54" i="41"/>
  <c r="AE53" i="41"/>
  <c r="Y53" i="41"/>
  <c r="AZ52" i="41"/>
  <c r="AY52" i="41"/>
  <c r="AV52" i="41"/>
  <c r="AU52" i="41"/>
  <c r="AT52" i="41"/>
  <c r="AS52" i="41"/>
  <c r="AP52" i="41"/>
  <c r="AO52" i="41"/>
  <c r="AN52" i="41"/>
  <c r="AM52" i="41"/>
  <c r="AJ52" i="41"/>
  <c r="AI52" i="41"/>
  <c r="AH52" i="41"/>
  <c r="AG52" i="41"/>
  <c r="AD52" i="41"/>
  <c r="AC52" i="41"/>
  <c r="AB52" i="41"/>
  <c r="AA52" i="41"/>
  <c r="X52" i="41"/>
  <c r="W52" i="41"/>
  <c r="V52" i="41"/>
  <c r="U52" i="41"/>
  <c r="R52" i="41"/>
  <c r="Q52" i="41"/>
  <c r="P52" i="41"/>
  <c r="O52" i="41"/>
  <c r="L52" i="41"/>
  <c r="K52" i="41"/>
  <c r="J52" i="41"/>
  <c r="I52" i="41"/>
  <c r="F52" i="41"/>
  <c r="E52" i="41"/>
  <c r="D52" i="41"/>
  <c r="AZ51" i="41"/>
  <c r="AY51" i="41"/>
  <c r="AV51" i="41"/>
  <c r="AU51" i="41"/>
  <c r="AT51" i="41"/>
  <c r="AS51" i="41"/>
  <c r="AP51" i="41"/>
  <c r="AO51" i="41"/>
  <c r="AN51" i="41"/>
  <c r="AM51" i="41"/>
  <c r="AJ51" i="41"/>
  <c r="AI51" i="41"/>
  <c r="AH51" i="41"/>
  <c r="AG51" i="41"/>
  <c r="AE51" i="41"/>
  <c r="AD51" i="41"/>
  <c r="AC51" i="41"/>
  <c r="AB51" i="41"/>
  <c r="AA51" i="41"/>
  <c r="Y51" i="41"/>
  <c r="X51" i="41"/>
  <c r="W51" i="41"/>
  <c r="V51" i="41"/>
  <c r="U51" i="41"/>
  <c r="S51" i="41"/>
  <c r="R51" i="41"/>
  <c r="Q51" i="41"/>
  <c r="P51" i="41"/>
  <c r="O51" i="41"/>
  <c r="M51" i="41"/>
  <c r="L51" i="41"/>
  <c r="K51" i="41"/>
  <c r="J51" i="41"/>
  <c r="I51" i="41"/>
  <c r="AW50" i="41"/>
  <c r="AQ50" i="41"/>
  <c r="AK50" i="41"/>
  <c r="AK53" i="41" s="1"/>
  <c r="AZ48" i="41"/>
  <c r="BA48" i="41" s="1"/>
  <c r="BB48" i="41" s="1"/>
  <c r="BE48" i="41" s="1"/>
  <c r="BF48" i="41" s="1"/>
  <c r="BG48" i="41" s="1"/>
  <c r="BH48" i="41" s="1"/>
  <c r="BK48" i="41" s="1"/>
  <c r="BL48" i="41" s="1"/>
  <c r="BM48" i="41" s="1"/>
  <c r="BN48" i="41" s="1"/>
  <c r="BQ48" i="41" s="1"/>
  <c r="BR48" i="41" s="1"/>
  <c r="BS48" i="41" s="1"/>
  <c r="BT48" i="41" s="1"/>
  <c r="BW48" i="41" s="1"/>
  <c r="BX48" i="41" s="1"/>
  <c r="BY48" i="41" s="1"/>
  <c r="BZ48" i="41" s="1"/>
  <c r="CC48" i="41" s="1"/>
  <c r="CD48" i="41" s="1"/>
  <c r="CE48" i="41" s="1"/>
  <c r="CF48" i="41" s="1"/>
  <c r="CI48" i="41" s="1"/>
  <c r="CJ48" i="41" s="1"/>
  <c r="CK48" i="41" s="1"/>
  <c r="CL48" i="41" s="1"/>
  <c r="CO48" i="41" s="1"/>
  <c r="CP48" i="41" s="1"/>
  <c r="CQ48" i="41" s="1"/>
  <c r="CR48" i="41" s="1"/>
  <c r="CU48" i="41" s="1"/>
  <c r="CV48" i="41" s="1"/>
  <c r="CW48" i="41" s="1"/>
  <c r="CX48" i="41" s="1"/>
  <c r="DA48" i="41" s="1"/>
  <c r="AT48" i="41"/>
  <c r="AU48" i="41" s="1"/>
  <c r="AV48" i="41" s="1"/>
  <c r="AN48" i="41"/>
  <c r="AO48" i="41" s="1"/>
  <c r="AH48" i="41"/>
  <c r="AB48" i="41"/>
  <c r="AC48" i="41" s="1"/>
  <c r="V48" i="41"/>
  <c r="W48" i="41" s="1"/>
  <c r="P48" i="41"/>
  <c r="Q48" i="41" s="1"/>
  <c r="J48" i="41"/>
  <c r="K48" i="41" s="1"/>
  <c r="D48" i="41"/>
  <c r="AG44" i="41"/>
  <c r="AA44" i="41"/>
  <c r="AA40" i="41" s="1"/>
  <c r="U44" i="41"/>
  <c r="O44" i="41"/>
  <c r="O40" i="41" s="1"/>
  <c r="J44" i="41"/>
  <c r="J40" i="41" s="1"/>
  <c r="I44" i="41"/>
  <c r="C44" i="41"/>
  <c r="C40" i="41" s="1"/>
  <c r="I40" i="41"/>
  <c r="AO38" i="41"/>
  <c r="AN38" i="41"/>
  <c r="AM38" i="41"/>
  <c r="AJ38" i="41"/>
  <c r="AI38" i="41"/>
  <c r="AH38" i="41"/>
  <c r="AG38" i="41"/>
  <c r="AD38" i="41"/>
  <c r="AC38" i="41"/>
  <c r="AB38" i="41"/>
  <c r="AA38" i="41"/>
  <c r="X38" i="41"/>
  <c r="W38" i="41"/>
  <c r="V38" i="41"/>
  <c r="U38" i="41"/>
  <c r="R38" i="41"/>
  <c r="Q38" i="41"/>
  <c r="P38" i="41"/>
  <c r="O38" i="41"/>
  <c r="L38" i="41"/>
  <c r="K38" i="41"/>
  <c r="J38" i="41"/>
  <c r="I38" i="41"/>
  <c r="F38" i="41"/>
  <c r="E38" i="41"/>
  <c r="D38" i="41"/>
  <c r="AO37" i="41"/>
  <c r="AN37" i="41"/>
  <c r="AM37" i="41"/>
  <c r="AK37" i="41"/>
  <c r="AJ37" i="41"/>
  <c r="AI37" i="41"/>
  <c r="AH37" i="41"/>
  <c r="AG37" i="41"/>
  <c r="AE37" i="41"/>
  <c r="AD37" i="41"/>
  <c r="AC37" i="41"/>
  <c r="AB37" i="41"/>
  <c r="AA37" i="41"/>
  <c r="Y37" i="41"/>
  <c r="X37" i="41"/>
  <c r="W37" i="41"/>
  <c r="V37" i="41"/>
  <c r="U37" i="41"/>
  <c r="S37" i="41"/>
  <c r="R37" i="41"/>
  <c r="Q37" i="41"/>
  <c r="P37" i="41"/>
  <c r="O37" i="41"/>
  <c r="M37" i="41"/>
  <c r="L37" i="41"/>
  <c r="K37" i="41"/>
  <c r="J37" i="41"/>
  <c r="I37" i="41"/>
  <c r="BC36" i="41"/>
  <c r="AP36" i="41"/>
  <c r="BB32" i="41"/>
  <c r="AD34" i="41"/>
  <c r="AC34" i="41"/>
  <c r="AB34" i="41"/>
  <c r="AA34" i="41"/>
  <c r="X34" i="41"/>
  <c r="W34" i="41"/>
  <c r="V34" i="41"/>
  <c r="U34" i="41"/>
  <c r="R34" i="41"/>
  <c r="Q34" i="41"/>
  <c r="P34" i="41"/>
  <c r="O34" i="41"/>
  <c r="L34" i="41"/>
  <c r="K34" i="41"/>
  <c r="J34" i="41"/>
  <c r="I34" i="41"/>
  <c r="F34" i="41"/>
  <c r="E34" i="41"/>
  <c r="D34" i="41"/>
  <c r="BC32" i="41"/>
  <c r="AE33" i="41"/>
  <c r="AD33" i="41"/>
  <c r="AC33" i="41"/>
  <c r="AB33" i="41"/>
  <c r="AA33" i="41"/>
  <c r="Y33" i="41"/>
  <c r="X33" i="41"/>
  <c r="W33" i="41"/>
  <c r="V33" i="41"/>
  <c r="U33" i="41"/>
  <c r="S33" i="41"/>
  <c r="R33" i="41"/>
  <c r="Q33" i="41"/>
  <c r="P33" i="41"/>
  <c r="O33" i="41"/>
  <c r="M33" i="41"/>
  <c r="L33" i="41"/>
  <c r="K33" i="41"/>
  <c r="J33" i="41"/>
  <c r="I33" i="41"/>
  <c r="BE32" i="41"/>
  <c r="AO32" i="41"/>
  <c r="AN32" i="41"/>
  <c r="AM32" i="41"/>
  <c r="AJ32" i="41"/>
  <c r="AI32" i="41"/>
  <c r="AH32" i="41"/>
  <c r="AG32" i="41"/>
  <c r="AG33" i="41" s="1"/>
  <c r="M22" i="41"/>
  <c r="DA22" i="41"/>
  <c r="CX22" i="41"/>
  <c r="CW22" i="41"/>
  <c r="CV22" i="41"/>
  <c r="CU22" i="41"/>
  <c r="CR22" i="41"/>
  <c r="CQ22" i="41"/>
  <c r="CP22" i="41"/>
  <c r="CO22" i="41"/>
  <c r="CL22" i="41"/>
  <c r="CK22" i="41"/>
  <c r="CJ22" i="41"/>
  <c r="CI22" i="41"/>
  <c r="CF22" i="41"/>
  <c r="CE22" i="41"/>
  <c r="CD22" i="41"/>
  <c r="CC22" i="41"/>
  <c r="BZ22" i="41"/>
  <c r="BY22" i="41"/>
  <c r="BX22" i="41"/>
  <c r="BW22" i="41"/>
  <c r="BT22" i="41"/>
  <c r="BS22" i="41"/>
  <c r="BR22" i="41"/>
  <c r="BQ22" i="41"/>
  <c r="BN22" i="41"/>
  <c r="BM22" i="41"/>
  <c r="BL22" i="41"/>
  <c r="BK22" i="41"/>
  <c r="BH22" i="41"/>
  <c r="BG22" i="41"/>
  <c r="BF22" i="41"/>
  <c r="BE22" i="41"/>
  <c r="BB22" i="41"/>
  <c r="BA22" i="41"/>
  <c r="AZ22" i="41"/>
  <c r="AY22" i="41"/>
  <c r="AV22" i="41"/>
  <c r="AU22" i="41"/>
  <c r="AT22" i="41"/>
  <c r="AS22" i="41"/>
  <c r="AP22" i="41"/>
  <c r="AO22" i="41"/>
  <c r="AU23" i="41" s="1"/>
  <c r="AU165" i="41" s="1"/>
  <c r="AN22" i="41"/>
  <c r="AM22" i="41"/>
  <c r="AJ22" i="41"/>
  <c r="AI22" i="41"/>
  <c r="AH22" i="41"/>
  <c r="AG22" i="41"/>
  <c r="AD22" i="41"/>
  <c r="AC22" i="41"/>
  <c r="AB22" i="41"/>
  <c r="AA22" i="41"/>
  <c r="X22" i="41"/>
  <c r="W22" i="41"/>
  <c r="V22" i="41"/>
  <c r="U22" i="41"/>
  <c r="R22" i="41"/>
  <c r="Q22" i="41"/>
  <c r="P22" i="41"/>
  <c r="O22" i="41"/>
  <c r="O74" i="41" s="1"/>
  <c r="G22" i="41"/>
  <c r="BN17" i="41"/>
  <c r="BN18" i="41" s="1"/>
  <c r="BM17" i="41"/>
  <c r="BM18" i="41" s="1"/>
  <c r="BL17" i="41"/>
  <c r="BL18" i="41" s="1"/>
  <c r="BE17" i="41"/>
  <c r="BE18" i="41" s="1"/>
  <c r="BB17" i="41"/>
  <c r="BB18" i="41" s="1"/>
  <c r="BA17" i="41"/>
  <c r="BA18" i="41" s="1"/>
  <c r="AZ17" i="41"/>
  <c r="AZ18" i="41" s="1"/>
  <c r="AY17" i="41"/>
  <c r="AY18" i="41" s="1"/>
  <c r="AV17" i="41"/>
  <c r="AV18" i="41" s="1"/>
  <c r="AU17" i="41"/>
  <c r="AU18" i="41" s="1"/>
  <c r="AT17" i="41"/>
  <c r="AT18" i="41" s="1"/>
  <c r="AS17" i="41"/>
  <c r="AS18" i="41" s="1"/>
  <c r="AP17" i="41"/>
  <c r="AP18" i="41" s="1"/>
  <c r="AO17" i="41"/>
  <c r="AO18" i="41" s="1"/>
  <c r="AN17" i="41"/>
  <c r="AN18" i="41" s="1"/>
  <c r="AM17" i="41"/>
  <c r="AM18" i="41" s="1"/>
  <c r="AJ17" i="41"/>
  <c r="AJ18" i="41" s="1"/>
  <c r="AI17" i="41"/>
  <c r="AI18" i="41" s="1"/>
  <c r="AH17" i="41"/>
  <c r="AH18" i="41" s="1"/>
  <c r="AG17" i="41"/>
  <c r="AG18" i="41" s="1"/>
  <c r="AD17" i="41"/>
  <c r="AD18" i="41" s="1"/>
  <c r="AC17" i="41"/>
  <c r="AC18" i="41" s="1"/>
  <c r="AB17" i="41"/>
  <c r="AB18" i="41" s="1"/>
  <c r="AA17" i="41"/>
  <c r="AA18" i="41" s="1"/>
  <c r="X17" i="41"/>
  <c r="X18" i="41" s="1"/>
  <c r="W17" i="41"/>
  <c r="W18" i="41" s="1"/>
  <c r="V17" i="41"/>
  <c r="V18" i="41" s="1"/>
  <c r="U17" i="41"/>
  <c r="U18" i="41" s="1"/>
  <c r="R17" i="41"/>
  <c r="R18" i="41" s="1"/>
  <c r="Q17" i="41"/>
  <c r="Q18" i="41" s="1"/>
  <c r="P17" i="41"/>
  <c r="P18" i="41" s="1"/>
  <c r="O17" i="41"/>
  <c r="O18" i="41" s="1"/>
  <c r="BH15" i="41"/>
  <c r="BC14" i="41"/>
  <c r="BK14" i="41" s="1"/>
  <c r="DA12" i="41"/>
  <c r="CX12" i="41"/>
  <c r="CW12" i="41"/>
  <c r="CV12" i="41"/>
  <c r="CU12" i="41"/>
  <c r="CR12" i="41"/>
  <c r="CQ12" i="41"/>
  <c r="CP12" i="41"/>
  <c r="CO12" i="41"/>
  <c r="CL12" i="41"/>
  <c r="CI12" i="41"/>
  <c r="CF12" i="41"/>
  <c r="CC12" i="41"/>
  <c r="BZ12" i="41"/>
  <c r="BY12" i="41"/>
  <c r="BX12" i="41"/>
  <c r="BW12" i="41"/>
  <c r="BQ12" i="41"/>
  <c r="BK12" i="41"/>
  <c r="CY11" i="41"/>
  <c r="CS11" i="41"/>
  <c r="CM11" i="41"/>
  <c r="CA11" i="41"/>
  <c r="BU11" i="41"/>
  <c r="BN11" i="41"/>
  <c r="BM11" i="41"/>
  <c r="BL11" i="41"/>
  <c r="BR12" i="41" s="1"/>
  <c r="BI11" i="41"/>
  <c r="BK15" i="41" s="1"/>
  <c r="BB11" i="41"/>
  <c r="BA11" i="41"/>
  <c r="BG12" i="41" s="1"/>
  <c r="AZ11" i="41"/>
  <c r="BF12" i="41" s="1"/>
  <c r="AY11" i="41"/>
  <c r="AV11" i="41"/>
  <c r="AU11" i="41"/>
  <c r="AT11" i="41"/>
  <c r="AS11" i="41"/>
  <c r="AW11" i="41" s="1"/>
  <c r="AP11" i="41"/>
  <c r="AO11" i="41"/>
  <c r="AN11" i="41"/>
  <c r="AM11" i="41"/>
  <c r="AQ11" i="41" s="1"/>
  <c r="AJ11" i="41"/>
  <c r="AI11" i="41"/>
  <c r="AH11" i="41"/>
  <c r="AG11" i="41"/>
  <c r="AD11" i="41"/>
  <c r="AC11" i="41"/>
  <c r="AI12" i="41" s="1"/>
  <c r="AB11" i="41"/>
  <c r="AA11" i="41"/>
  <c r="X11" i="41"/>
  <c r="W11" i="41"/>
  <c r="V11" i="41"/>
  <c r="U11" i="41"/>
  <c r="R11" i="41"/>
  <c r="Q11" i="41"/>
  <c r="Q12" i="41" s="1"/>
  <c r="P11" i="41"/>
  <c r="O11" i="41"/>
  <c r="S11" i="41" s="1"/>
  <c r="L11" i="41"/>
  <c r="K11" i="41"/>
  <c r="J11" i="41"/>
  <c r="P12" i="41" s="1"/>
  <c r="I11" i="41"/>
  <c r="M11" i="41" s="1"/>
  <c r="BN10" i="41"/>
  <c r="BM10" i="41"/>
  <c r="BL10" i="41"/>
  <c r="BB10" i="41"/>
  <c r="BA10" i="41"/>
  <c r="AZ10" i="41"/>
  <c r="AV10" i="41"/>
  <c r="AU10" i="41"/>
  <c r="AT10" i="41"/>
  <c r="AS10" i="41"/>
  <c r="AP10" i="41"/>
  <c r="AO10" i="41"/>
  <c r="AN10" i="41"/>
  <c r="AM10" i="41"/>
  <c r="AJ10" i="41"/>
  <c r="AI10" i="41"/>
  <c r="AH10" i="41"/>
  <c r="AG10" i="41"/>
  <c r="AD10" i="41"/>
  <c r="AC10" i="41"/>
  <c r="AB10" i="41"/>
  <c r="AA10" i="41"/>
  <c r="X10" i="41"/>
  <c r="W10" i="41"/>
  <c r="V10" i="41"/>
  <c r="U10" i="41"/>
  <c r="R10" i="41"/>
  <c r="Q10" i="41"/>
  <c r="P10" i="41"/>
  <c r="O10" i="41"/>
  <c r="L10" i="41"/>
  <c r="K10" i="41"/>
  <c r="J10" i="41"/>
  <c r="I10" i="41"/>
  <c r="F10" i="41"/>
  <c r="E10" i="41"/>
  <c r="D10" i="41"/>
  <c r="BK9" i="41"/>
  <c r="BE9" i="41"/>
  <c r="BB9" i="41"/>
  <c r="BA9" i="41"/>
  <c r="AZ9" i="41"/>
  <c r="AY9" i="41"/>
  <c r="AV9" i="41"/>
  <c r="AU9" i="41"/>
  <c r="AT9" i="41"/>
  <c r="AS9" i="41"/>
  <c r="AP9" i="41"/>
  <c r="AO9" i="41"/>
  <c r="AN9" i="41"/>
  <c r="AM9" i="41"/>
  <c r="AK9" i="41"/>
  <c r="AJ9" i="41"/>
  <c r="AI9" i="41"/>
  <c r="AH9" i="41"/>
  <c r="AG9" i="41"/>
  <c r="AE9" i="41"/>
  <c r="AD9" i="41"/>
  <c r="AC9" i="41"/>
  <c r="AB9" i="41"/>
  <c r="AA9" i="41"/>
  <c r="Y9" i="41"/>
  <c r="X9" i="41"/>
  <c r="W9" i="41"/>
  <c r="V9" i="41"/>
  <c r="U9" i="41"/>
  <c r="S9" i="41"/>
  <c r="R9" i="41"/>
  <c r="Q9" i="41"/>
  <c r="P9" i="41"/>
  <c r="O9" i="41"/>
  <c r="M9" i="41"/>
  <c r="L9" i="41"/>
  <c r="K9" i="41"/>
  <c r="J9" i="41"/>
  <c r="I9" i="41"/>
  <c r="BQ8" i="41"/>
  <c r="BO8" i="41"/>
  <c r="BF8" i="41"/>
  <c r="BC8" i="41"/>
  <c r="AW8" i="41"/>
  <c r="AQ8" i="41"/>
  <c r="AQ9" i="41" s="1"/>
  <c r="DQ4" i="41"/>
  <c r="DP4" i="41"/>
  <c r="DO4" i="41"/>
  <c r="DN4" i="41"/>
  <c r="DM4" i="41"/>
  <c r="DK4" i="41"/>
  <c r="DJ4" i="41"/>
  <c r="DI4" i="41"/>
  <c r="DH4" i="41"/>
  <c r="DG4" i="41"/>
  <c r="DE4" i="41"/>
  <c r="DD4" i="41"/>
  <c r="DC4" i="41"/>
  <c r="DB4" i="41"/>
  <c r="DA4" i="41"/>
  <c r="CY4" i="41"/>
  <c r="CX4" i="41"/>
  <c r="CW4" i="41"/>
  <c r="CV4" i="41"/>
  <c r="CU4" i="41"/>
  <c r="CS4" i="41"/>
  <c r="CR4" i="41"/>
  <c r="CQ4" i="41"/>
  <c r="CP4" i="41"/>
  <c r="CO4" i="41"/>
  <c r="CM4" i="41"/>
  <c r="CL4" i="41"/>
  <c r="CK4" i="41"/>
  <c r="CJ4" i="41"/>
  <c r="CI4" i="41"/>
  <c r="CG4" i="41"/>
  <c r="CF4" i="41"/>
  <c r="CE4" i="41"/>
  <c r="CD4" i="41"/>
  <c r="CC4" i="41"/>
  <c r="CA4" i="41"/>
  <c r="BZ4" i="41"/>
  <c r="BY4" i="41"/>
  <c r="BX4" i="41"/>
  <c r="BW4" i="41"/>
  <c r="BU4" i="41"/>
  <c r="BT4" i="41"/>
  <c r="BS4" i="41"/>
  <c r="BR4" i="41"/>
  <c r="BQ4" i="41"/>
  <c r="BO4" i="41"/>
  <c r="BN4" i="41"/>
  <c r="BM4" i="41"/>
  <c r="BL4" i="41"/>
  <c r="BK4" i="41"/>
  <c r="BI4" i="41"/>
  <c r="BH4" i="41"/>
  <c r="BG4" i="41"/>
  <c r="BF4" i="41"/>
  <c r="BE4" i="41"/>
  <c r="BC4" i="41"/>
  <c r="BB4" i="41"/>
  <c r="BA4" i="41"/>
  <c r="AZ4" i="41"/>
  <c r="AY4" i="41"/>
  <c r="AW4" i="41"/>
  <c r="AV4" i="41"/>
  <c r="AU4" i="41"/>
  <c r="AT4" i="41"/>
  <c r="AS4" i="41"/>
  <c r="AQ4" i="41"/>
  <c r="AP4" i="41"/>
  <c r="AO4" i="41"/>
  <c r="AN4" i="41"/>
  <c r="AM4" i="41"/>
  <c r="DM3" i="41"/>
  <c r="DG3" i="41"/>
  <c r="DA3" i="41"/>
  <c r="CU3" i="41"/>
  <c r="CO3" i="41"/>
  <c r="CI3" i="41"/>
  <c r="CC3" i="41"/>
  <c r="BW3" i="41"/>
  <c r="BQ3" i="41"/>
  <c r="BK3" i="41"/>
  <c r="BE3" i="41"/>
  <c r="AY3" i="41"/>
  <c r="AS3" i="41"/>
  <c r="AM3" i="41"/>
  <c r="AW153" i="3"/>
  <c r="AQ153" i="3"/>
  <c r="AT153" i="3" s="1"/>
  <c r="AU153" i="3" s="1"/>
  <c r="CS149" i="3"/>
  <c r="CP149" i="3"/>
  <c r="CO149" i="3"/>
  <c r="CN149" i="3"/>
  <c r="CM149" i="3"/>
  <c r="CJ149" i="3"/>
  <c r="CI149" i="3"/>
  <c r="CH149" i="3"/>
  <c r="CG149" i="3"/>
  <c r="BR149" i="3"/>
  <c r="BQ149" i="3"/>
  <c r="BP149" i="3"/>
  <c r="BL149" i="3"/>
  <c r="BK149" i="3"/>
  <c r="BJ149" i="3"/>
  <c r="BI149" i="3"/>
  <c r="CD149" i="3"/>
  <c r="CC149" i="3"/>
  <c r="CB149" i="3"/>
  <c r="CA149" i="3"/>
  <c r="BX149" i="3"/>
  <c r="BW149" i="3"/>
  <c r="BV149" i="3"/>
  <c r="BU149" i="3"/>
  <c r="DH131" i="3"/>
  <c r="DG131" i="3"/>
  <c r="DF131" i="3"/>
  <c r="DE131" i="3"/>
  <c r="DB131" i="3"/>
  <c r="DA131" i="3"/>
  <c r="CZ131" i="3"/>
  <c r="CY131" i="3"/>
  <c r="CS131" i="3"/>
  <c r="CP131" i="3"/>
  <c r="CO131" i="3"/>
  <c r="CN131" i="3"/>
  <c r="CM131" i="3"/>
  <c r="CJ131" i="3"/>
  <c r="CI131" i="3"/>
  <c r="CH131" i="3"/>
  <c r="CG131" i="3"/>
  <c r="CD131" i="3"/>
  <c r="CC131" i="3"/>
  <c r="CB131" i="3"/>
  <c r="CA131" i="3"/>
  <c r="BX131" i="3"/>
  <c r="BW131" i="3"/>
  <c r="BV131" i="3"/>
  <c r="BU131" i="3"/>
  <c r="BR131" i="3"/>
  <c r="BQ131" i="3"/>
  <c r="BP131" i="3"/>
  <c r="BO131" i="3"/>
  <c r="BL131" i="3"/>
  <c r="BK131" i="3"/>
  <c r="BJ131" i="3"/>
  <c r="BI131" i="3"/>
  <c r="BF131" i="3"/>
  <c r="BE131" i="3"/>
  <c r="BD131" i="3"/>
  <c r="BC131" i="3"/>
  <c r="AZ131" i="3"/>
  <c r="AY131" i="3"/>
  <c r="AX131" i="3"/>
  <c r="AW131" i="3"/>
  <c r="AT131" i="3"/>
  <c r="AS131" i="3"/>
  <c r="AR131" i="3"/>
  <c r="AQ131" i="3"/>
  <c r="AN131" i="3"/>
  <c r="AM131" i="3"/>
  <c r="AL131" i="3"/>
  <c r="AK131" i="3"/>
  <c r="AG131" i="3"/>
  <c r="AF131" i="3"/>
  <c r="AE131" i="3"/>
  <c r="AB131" i="3"/>
  <c r="AA131" i="3"/>
  <c r="Z131" i="3"/>
  <c r="Y131" i="3"/>
  <c r="V131" i="3"/>
  <c r="U131" i="3"/>
  <c r="Q131" i="3"/>
  <c r="K131" i="3"/>
  <c r="P129" i="3"/>
  <c r="O129" i="3"/>
  <c r="N129" i="3"/>
  <c r="M129" i="3"/>
  <c r="J129" i="3"/>
  <c r="I129" i="3"/>
  <c r="H129" i="3"/>
  <c r="G129" i="3"/>
  <c r="D129" i="3"/>
  <c r="C129" i="3"/>
  <c r="Q128" i="3"/>
  <c r="Q127" i="3"/>
  <c r="Q126" i="3"/>
  <c r="Q125" i="3"/>
  <c r="Q124" i="3"/>
  <c r="Q123" i="3"/>
  <c r="Q122" i="3"/>
  <c r="K128" i="3"/>
  <c r="K126" i="3"/>
  <c r="K125" i="3"/>
  <c r="K124" i="3"/>
  <c r="K123" i="3"/>
  <c r="K122" i="3"/>
  <c r="I127" i="3"/>
  <c r="K127" i="3" s="1"/>
  <c r="E127" i="3"/>
  <c r="E129" i="3" s="1"/>
  <c r="D127" i="3"/>
  <c r="BC127" i="3"/>
  <c r="BF126" i="3"/>
  <c r="BE126" i="3"/>
  <c r="BD126" i="3"/>
  <c r="BC126" i="3"/>
  <c r="BC125" i="3"/>
  <c r="BC124" i="3"/>
  <c r="S121" i="3"/>
  <c r="S129" i="3" s="1"/>
  <c r="BO128" i="3"/>
  <c r="BR127" i="3"/>
  <c r="BQ127" i="3"/>
  <c r="BP127" i="3"/>
  <c r="BO127" i="3"/>
  <c r="BR126" i="3"/>
  <c r="BQ126" i="3"/>
  <c r="BP126" i="3"/>
  <c r="BO126" i="3"/>
  <c r="BR125" i="3"/>
  <c r="BQ125" i="3"/>
  <c r="BP125" i="3"/>
  <c r="BO125" i="3"/>
  <c r="BO124" i="3"/>
  <c r="BR123" i="3"/>
  <c r="BO123" i="3"/>
  <c r="BR122" i="3"/>
  <c r="BQ122" i="3"/>
  <c r="BP122" i="3"/>
  <c r="BO122" i="3"/>
  <c r="BR121" i="3"/>
  <c r="BO121" i="3"/>
  <c r="BR120" i="3"/>
  <c r="BO120" i="3"/>
  <c r="Q120" i="3"/>
  <c r="Q119" i="3"/>
  <c r="Q118" i="3"/>
  <c r="K120" i="3"/>
  <c r="K119" i="3"/>
  <c r="K118" i="3"/>
  <c r="DE126" i="3"/>
  <c r="CY126" i="3"/>
  <c r="CY123" i="3"/>
  <c r="CS127" i="3"/>
  <c r="CS126" i="3"/>
  <c r="CS125" i="3"/>
  <c r="CS122" i="3"/>
  <c r="CS121" i="3"/>
  <c r="CS120" i="3"/>
  <c r="CP127" i="3"/>
  <c r="CO127" i="3"/>
  <c r="CN127" i="3"/>
  <c r="CM127" i="3"/>
  <c r="CP126" i="3"/>
  <c r="CO126" i="3"/>
  <c r="CN126" i="3"/>
  <c r="CM126" i="3"/>
  <c r="CP125" i="3"/>
  <c r="CO125" i="3"/>
  <c r="CN125" i="3"/>
  <c r="CM125" i="3"/>
  <c r="CO124" i="3"/>
  <c r="CN124" i="3"/>
  <c r="CM124" i="3"/>
  <c r="CP123" i="3"/>
  <c r="CO123" i="3"/>
  <c r="CN123" i="3"/>
  <c r="CM123" i="3"/>
  <c r="CO122" i="3"/>
  <c r="CN122" i="3"/>
  <c r="CM122" i="3"/>
  <c r="CP121" i="3"/>
  <c r="CO121" i="3"/>
  <c r="CN121" i="3"/>
  <c r="CM121" i="3"/>
  <c r="CP120" i="3"/>
  <c r="CO120" i="3"/>
  <c r="CN120" i="3"/>
  <c r="CM120" i="3"/>
  <c r="CJ127" i="3"/>
  <c r="CI127" i="3"/>
  <c r="CH127" i="3"/>
  <c r="CG127" i="3"/>
  <c r="CJ126" i="3"/>
  <c r="CI126" i="3"/>
  <c r="CH126" i="3"/>
  <c r="CG126" i="3"/>
  <c r="CK126" i="3" s="1"/>
  <c r="CJ125" i="3"/>
  <c r="CI125" i="3"/>
  <c r="CH125" i="3"/>
  <c r="CG125" i="3"/>
  <c r="CK125" i="3" s="1"/>
  <c r="CJ123" i="3"/>
  <c r="CI123" i="3"/>
  <c r="CH123" i="3"/>
  <c r="CG123" i="3"/>
  <c r="CK123" i="3" s="1"/>
  <c r="CJ122" i="3"/>
  <c r="CI122" i="3"/>
  <c r="CH122" i="3"/>
  <c r="CG122" i="3"/>
  <c r="CK122" i="3" s="1"/>
  <c r="CJ121" i="3"/>
  <c r="CI121" i="3"/>
  <c r="CH121" i="3"/>
  <c r="CG121" i="3"/>
  <c r="CK121" i="3" s="1"/>
  <c r="CJ120" i="3"/>
  <c r="CI120" i="3"/>
  <c r="CH120" i="3"/>
  <c r="CG120" i="3"/>
  <c r="CD127" i="3"/>
  <c r="CC127" i="3"/>
  <c r="CB127" i="3"/>
  <c r="CA127" i="3"/>
  <c r="CE127" i="3" s="1"/>
  <c r="CD126" i="3"/>
  <c r="CC126" i="3"/>
  <c r="CB126" i="3"/>
  <c r="CA126" i="3"/>
  <c r="CB125" i="3"/>
  <c r="CA125" i="3"/>
  <c r="CD123" i="3"/>
  <c r="CC123" i="3"/>
  <c r="CB123" i="3"/>
  <c r="CA123" i="3"/>
  <c r="CD122" i="3"/>
  <c r="CC122" i="3"/>
  <c r="CB122" i="3"/>
  <c r="CA122" i="3"/>
  <c r="CD121" i="3"/>
  <c r="CC121" i="3"/>
  <c r="CB121" i="3"/>
  <c r="CA121" i="3"/>
  <c r="CD120" i="3"/>
  <c r="CC120" i="3"/>
  <c r="CB120" i="3"/>
  <c r="CA120" i="3"/>
  <c r="BU125" i="3"/>
  <c r="BV123" i="3"/>
  <c r="BU123" i="3"/>
  <c r="BX122" i="3"/>
  <c r="BW122" i="3"/>
  <c r="BV122" i="3"/>
  <c r="BU122" i="3"/>
  <c r="BW121" i="3"/>
  <c r="BV121" i="3"/>
  <c r="BU121" i="3"/>
  <c r="BW120" i="3"/>
  <c r="BV120" i="3"/>
  <c r="BU120" i="3"/>
  <c r="BI128" i="3"/>
  <c r="BL127" i="3"/>
  <c r="BK127" i="3"/>
  <c r="BJ127" i="3"/>
  <c r="BI127" i="3"/>
  <c r="BI124" i="3"/>
  <c r="BL123" i="3"/>
  <c r="BK123" i="3"/>
  <c r="BJ123" i="3"/>
  <c r="BI123" i="3"/>
  <c r="BL122" i="3"/>
  <c r="BK122" i="3"/>
  <c r="BJ122" i="3"/>
  <c r="BI122" i="3"/>
  <c r="BL121" i="3"/>
  <c r="BK121" i="3"/>
  <c r="BJ121" i="3"/>
  <c r="BI121" i="3"/>
  <c r="BL120" i="3"/>
  <c r="BK120" i="3"/>
  <c r="BJ120" i="3"/>
  <c r="BI120" i="3"/>
  <c r="BI119" i="3"/>
  <c r="BI118" i="3"/>
  <c r="BF123" i="3"/>
  <c r="BF122" i="3"/>
  <c r="BF121" i="3"/>
  <c r="BF120" i="3"/>
  <c r="BF119" i="3"/>
  <c r="BF118" i="3"/>
  <c r="BE123" i="3"/>
  <c r="BD123" i="3"/>
  <c r="BC123" i="3"/>
  <c r="BG123" i="3" s="1"/>
  <c r="BC122" i="3"/>
  <c r="BE121" i="3"/>
  <c r="BD121" i="3"/>
  <c r="BC121" i="3"/>
  <c r="BG121" i="3" s="1"/>
  <c r="BE120" i="3"/>
  <c r="BD120" i="3"/>
  <c r="BC120" i="3"/>
  <c r="BE119" i="3"/>
  <c r="BD119" i="3"/>
  <c r="BC119" i="3"/>
  <c r="BE118" i="3"/>
  <c r="BD118" i="3"/>
  <c r="BC118" i="3"/>
  <c r="AZ123" i="3"/>
  <c r="AY123" i="3"/>
  <c r="AX123" i="3"/>
  <c r="AW123" i="3"/>
  <c r="AY122" i="3"/>
  <c r="AZ121" i="3"/>
  <c r="AY121" i="3"/>
  <c r="AX121" i="3"/>
  <c r="AW121" i="3"/>
  <c r="AZ120" i="3"/>
  <c r="AY120" i="3"/>
  <c r="AX120" i="3"/>
  <c r="AW120" i="3"/>
  <c r="AT128" i="3"/>
  <c r="AS128" i="3"/>
  <c r="AR128" i="3"/>
  <c r="AQ128" i="3"/>
  <c r="AT127" i="3"/>
  <c r="AS127" i="3"/>
  <c r="AR127" i="3"/>
  <c r="AQ127" i="3"/>
  <c r="AT126" i="3"/>
  <c r="AS126" i="3"/>
  <c r="AR126" i="3"/>
  <c r="AQ126" i="3"/>
  <c r="AT125" i="3"/>
  <c r="AS125" i="3"/>
  <c r="AR125" i="3"/>
  <c r="AQ125" i="3"/>
  <c r="AT124" i="3"/>
  <c r="AS124" i="3"/>
  <c r="AR124" i="3"/>
  <c r="AQ124" i="3"/>
  <c r="AT123" i="3"/>
  <c r="AS123" i="3"/>
  <c r="AR123" i="3"/>
  <c r="AQ123" i="3"/>
  <c r="AT122" i="3"/>
  <c r="AS122" i="3"/>
  <c r="AR122" i="3"/>
  <c r="AQ122" i="3"/>
  <c r="AT121" i="3"/>
  <c r="AS121" i="3"/>
  <c r="AR121" i="3"/>
  <c r="AQ121" i="3"/>
  <c r="AT120" i="3"/>
  <c r="AS120" i="3"/>
  <c r="AR120" i="3"/>
  <c r="AQ120" i="3"/>
  <c r="AT119" i="3"/>
  <c r="AS119" i="3"/>
  <c r="AR119" i="3"/>
  <c r="AQ119" i="3"/>
  <c r="AT118" i="3"/>
  <c r="AS118" i="3"/>
  <c r="AR118" i="3"/>
  <c r="AR129" i="3" s="1"/>
  <c r="AQ118" i="3"/>
  <c r="AQ129" i="3" s="1"/>
  <c r="AM128" i="3"/>
  <c r="AL128" i="3"/>
  <c r="AK128" i="3"/>
  <c r="AM127" i="3"/>
  <c r="AL127" i="3"/>
  <c r="AK127" i="3"/>
  <c r="AM126" i="3"/>
  <c r="AL126" i="3"/>
  <c r="AK126" i="3"/>
  <c r="AM125" i="3"/>
  <c r="AL125" i="3"/>
  <c r="AK125" i="3"/>
  <c r="AM124" i="3"/>
  <c r="AL124" i="3"/>
  <c r="AK124" i="3"/>
  <c r="AN123" i="3"/>
  <c r="AM123" i="3"/>
  <c r="AL123" i="3"/>
  <c r="AK123" i="3"/>
  <c r="AN122" i="3"/>
  <c r="AM122" i="3"/>
  <c r="AN121" i="3"/>
  <c r="AM121" i="3"/>
  <c r="AL121" i="3"/>
  <c r="AK121" i="3"/>
  <c r="AN120" i="3"/>
  <c r="AM120" i="3"/>
  <c r="AL120" i="3"/>
  <c r="AK120" i="3"/>
  <c r="AN119" i="3"/>
  <c r="AM119" i="3"/>
  <c r="AN118" i="3"/>
  <c r="AM118" i="3"/>
  <c r="AL118" i="3"/>
  <c r="AK118" i="3"/>
  <c r="AG128" i="3"/>
  <c r="AF128" i="3"/>
  <c r="AE128" i="3"/>
  <c r="AG127" i="3"/>
  <c r="AF127" i="3"/>
  <c r="AE127" i="3"/>
  <c r="AG126" i="3"/>
  <c r="AF126" i="3"/>
  <c r="AE126" i="3"/>
  <c r="AG125" i="3"/>
  <c r="AF125" i="3"/>
  <c r="AE125" i="3"/>
  <c r="AG124" i="3"/>
  <c r="AF124" i="3"/>
  <c r="AE124" i="3"/>
  <c r="AG123" i="3"/>
  <c r="AF123" i="3"/>
  <c r="AE123" i="3"/>
  <c r="AG122" i="3"/>
  <c r="AF122" i="3"/>
  <c r="AE122" i="3"/>
  <c r="AG121" i="3"/>
  <c r="AF121" i="3"/>
  <c r="AE121" i="3"/>
  <c r="AG120" i="3"/>
  <c r="AF120" i="3"/>
  <c r="AE120" i="3"/>
  <c r="AG119" i="3"/>
  <c r="AF119" i="3"/>
  <c r="AE119" i="3"/>
  <c r="AG118" i="3"/>
  <c r="AF118" i="3"/>
  <c r="AE118" i="3"/>
  <c r="AB128" i="3"/>
  <c r="Y128" i="3"/>
  <c r="AB126" i="3"/>
  <c r="Y126" i="3"/>
  <c r="AB125" i="3"/>
  <c r="Y125" i="3"/>
  <c r="AB124" i="3"/>
  <c r="Y124" i="3"/>
  <c r="AB123" i="3"/>
  <c r="AA123" i="3"/>
  <c r="Z123" i="3"/>
  <c r="Y123" i="3"/>
  <c r="AB122" i="3"/>
  <c r="AA122" i="3"/>
  <c r="Z122" i="3"/>
  <c r="Y122" i="3"/>
  <c r="AB121" i="3"/>
  <c r="AA121" i="3"/>
  <c r="Z121" i="3"/>
  <c r="Y121" i="3"/>
  <c r="AB120" i="3"/>
  <c r="AA120" i="3"/>
  <c r="Z120" i="3"/>
  <c r="Y120" i="3"/>
  <c r="AB119" i="3"/>
  <c r="AA119" i="3"/>
  <c r="Z119" i="3"/>
  <c r="Y119" i="3"/>
  <c r="AB118" i="3"/>
  <c r="AA118" i="3"/>
  <c r="Z118" i="3"/>
  <c r="Y118" i="3"/>
  <c r="U128" i="3"/>
  <c r="U127" i="3"/>
  <c r="U126" i="3"/>
  <c r="U125" i="3"/>
  <c r="U124" i="3"/>
  <c r="V123" i="3"/>
  <c r="U123" i="3"/>
  <c r="U122" i="3"/>
  <c r="V121" i="3"/>
  <c r="U121" i="3"/>
  <c r="T121" i="3"/>
  <c r="V120" i="3"/>
  <c r="U120" i="3"/>
  <c r="V118" i="3"/>
  <c r="U118" i="3"/>
  <c r="S115" i="3"/>
  <c r="P115" i="3"/>
  <c r="N115" i="3"/>
  <c r="M115" i="3"/>
  <c r="H115" i="3"/>
  <c r="G115" i="3"/>
  <c r="E115" i="3"/>
  <c r="D115" i="3"/>
  <c r="C115" i="3"/>
  <c r="Q114" i="3"/>
  <c r="Q113" i="3"/>
  <c r="Q110" i="3"/>
  <c r="K114" i="3"/>
  <c r="K113" i="3"/>
  <c r="K110" i="3"/>
  <c r="O112" i="3"/>
  <c r="Q112" i="3" s="1"/>
  <c r="O111" i="3"/>
  <c r="Q111" i="3" s="1"/>
  <c r="I112" i="3"/>
  <c r="I111" i="3"/>
  <c r="J111" i="3" s="1"/>
  <c r="K111" i="3" s="1"/>
  <c r="V114" i="3"/>
  <c r="U114" i="3"/>
  <c r="V112" i="3"/>
  <c r="U112" i="3"/>
  <c r="AH114" i="3"/>
  <c r="AG114" i="3"/>
  <c r="AF114" i="3"/>
  <c r="AE114" i="3"/>
  <c r="AI114" i="3" s="1"/>
  <c r="AG113" i="3"/>
  <c r="AF113" i="3"/>
  <c r="AE113" i="3"/>
  <c r="AG112" i="3"/>
  <c r="AF112" i="3"/>
  <c r="AE112" i="3"/>
  <c r="AH111" i="3"/>
  <c r="AG111" i="3"/>
  <c r="AF111" i="3"/>
  <c r="AE111" i="3"/>
  <c r="AG110" i="3"/>
  <c r="AF110" i="3"/>
  <c r="AE110" i="3"/>
  <c r="AG109" i="3"/>
  <c r="AF109" i="3"/>
  <c r="AE109" i="3"/>
  <c r="DH109" i="3"/>
  <c r="DG109" i="3"/>
  <c r="DF109" i="3"/>
  <c r="DE109" i="3"/>
  <c r="DH108" i="3"/>
  <c r="DG108" i="3"/>
  <c r="DF108" i="3"/>
  <c r="DE108" i="3"/>
  <c r="CY113" i="3"/>
  <c r="DB109" i="3"/>
  <c r="DA109" i="3"/>
  <c r="CZ109" i="3"/>
  <c r="CY109" i="3"/>
  <c r="DB108" i="3"/>
  <c r="DA108" i="3"/>
  <c r="CZ108" i="3"/>
  <c r="CY108" i="3"/>
  <c r="CS114" i="3"/>
  <c r="CS112" i="3"/>
  <c r="CS111" i="3"/>
  <c r="CV109" i="3"/>
  <c r="CU109" i="3"/>
  <c r="CT109" i="3"/>
  <c r="CS109" i="3"/>
  <c r="CV108" i="3"/>
  <c r="CU108" i="3"/>
  <c r="CT108" i="3"/>
  <c r="CS108" i="3"/>
  <c r="CP114" i="3"/>
  <c r="CO114" i="3"/>
  <c r="CN114" i="3"/>
  <c r="CM114" i="3"/>
  <c r="CQ114" i="3" s="1"/>
  <c r="CP113" i="3"/>
  <c r="CO113" i="3"/>
  <c r="CN113" i="3"/>
  <c r="CM113" i="3"/>
  <c r="CQ113" i="3" s="1"/>
  <c r="CP112" i="3"/>
  <c r="CO112" i="3"/>
  <c r="CN112" i="3"/>
  <c r="CM112" i="3"/>
  <c r="CQ112" i="3" s="1"/>
  <c r="CP111" i="3"/>
  <c r="CO111" i="3"/>
  <c r="CN111" i="3"/>
  <c r="CM111" i="3"/>
  <c r="CQ111" i="3" s="1"/>
  <c r="CP109" i="3"/>
  <c r="CO109" i="3"/>
  <c r="CN109" i="3"/>
  <c r="CM109" i="3"/>
  <c r="CQ109" i="3" s="1"/>
  <c r="CP108" i="3"/>
  <c r="CO108" i="3"/>
  <c r="CN108" i="3"/>
  <c r="CM108" i="3"/>
  <c r="CQ108" i="3" s="1"/>
  <c r="CP107" i="3"/>
  <c r="CO107" i="3"/>
  <c r="CN107" i="3"/>
  <c r="CM107" i="3"/>
  <c r="CJ114" i="3"/>
  <c r="CI114" i="3"/>
  <c r="CH114" i="3"/>
  <c r="CG114" i="3"/>
  <c r="CK114" i="3" s="1"/>
  <c r="CJ113" i="3"/>
  <c r="CI113" i="3"/>
  <c r="CH113" i="3"/>
  <c r="CG113" i="3"/>
  <c r="CK113" i="3" s="1"/>
  <c r="CJ111" i="3"/>
  <c r="CI111" i="3"/>
  <c r="CH111" i="3"/>
  <c r="CG111" i="3"/>
  <c r="CK111" i="3" s="1"/>
  <c r="CJ109" i="3"/>
  <c r="CI109" i="3"/>
  <c r="CH109" i="3"/>
  <c r="CG109" i="3"/>
  <c r="CK109" i="3" s="1"/>
  <c r="CJ107" i="3"/>
  <c r="CI107" i="3"/>
  <c r="CH107" i="3"/>
  <c r="CG107" i="3"/>
  <c r="CD114" i="3"/>
  <c r="CC114" i="3"/>
  <c r="CB114" i="3"/>
  <c r="CA114" i="3"/>
  <c r="CE114" i="3" s="1"/>
  <c r="CD113" i="3"/>
  <c r="CC113" i="3"/>
  <c r="CB113" i="3"/>
  <c r="CA113" i="3"/>
  <c r="CE113" i="3" s="1"/>
  <c r="CA111" i="3"/>
  <c r="CD109" i="3"/>
  <c r="CC109" i="3"/>
  <c r="CB109" i="3"/>
  <c r="CA109" i="3"/>
  <c r="CB108" i="3"/>
  <c r="CA108" i="3"/>
  <c r="CD107" i="3"/>
  <c r="CC107" i="3"/>
  <c r="CB107" i="3"/>
  <c r="CA107" i="3"/>
  <c r="BX114" i="3"/>
  <c r="BW114" i="3"/>
  <c r="BV114" i="3"/>
  <c r="BU114" i="3"/>
  <c r="BX113" i="3"/>
  <c r="BW113" i="3"/>
  <c r="BV113" i="3"/>
  <c r="BU113" i="3"/>
  <c r="BU111" i="3"/>
  <c r="BX109" i="3"/>
  <c r="BW109" i="3"/>
  <c r="BV109" i="3"/>
  <c r="BU109" i="3"/>
  <c r="BY109" i="3" s="1"/>
  <c r="BX108" i="3"/>
  <c r="BW108" i="3"/>
  <c r="BV108" i="3"/>
  <c r="BU108" i="3"/>
  <c r="BY108" i="3" s="1"/>
  <c r="BX107" i="3"/>
  <c r="BW107" i="3"/>
  <c r="BV107" i="3"/>
  <c r="BU107" i="3"/>
  <c r="BR114" i="3"/>
  <c r="BQ114" i="3"/>
  <c r="BQ113" i="3"/>
  <c r="BP113" i="3"/>
  <c r="BO113" i="3"/>
  <c r="BR111" i="3"/>
  <c r="BQ111" i="3"/>
  <c r="BP111" i="3"/>
  <c r="BO111" i="3"/>
  <c r="BO110" i="3"/>
  <c r="BR109" i="3"/>
  <c r="BQ109" i="3"/>
  <c r="BP109" i="3"/>
  <c r="BO109" i="3"/>
  <c r="BR108" i="3"/>
  <c r="BQ108" i="3"/>
  <c r="BP108" i="3"/>
  <c r="BO108" i="3"/>
  <c r="BR107" i="3"/>
  <c r="BQ107" i="3"/>
  <c r="BQ115" i="42" s="1"/>
  <c r="BP107" i="3"/>
  <c r="BO107" i="3"/>
  <c r="BL114" i="3"/>
  <c r="BK114" i="3"/>
  <c r="BJ114" i="3"/>
  <c r="BI114" i="3"/>
  <c r="BL113" i="3"/>
  <c r="BK113" i="3"/>
  <c r="BJ113" i="3"/>
  <c r="BI113" i="3"/>
  <c r="BI112" i="3"/>
  <c r="BL111" i="3"/>
  <c r="BK111" i="3"/>
  <c r="BJ111" i="3"/>
  <c r="BI111" i="3"/>
  <c r="BL109" i="3"/>
  <c r="BK109" i="3"/>
  <c r="BJ109" i="3"/>
  <c r="BI109" i="3"/>
  <c r="BL108" i="3"/>
  <c r="BK108" i="3"/>
  <c r="BJ108" i="3"/>
  <c r="BI108" i="3"/>
  <c r="BL107" i="3"/>
  <c r="BK107" i="3"/>
  <c r="BJ107" i="3"/>
  <c r="BI107" i="3"/>
  <c r="BE114" i="3"/>
  <c r="BD114" i="3"/>
  <c r="BC114" i="3"/>
  <c r="BE113" i="3"/>
  <c r="BC113" i="3"/>
  <c r="BE112" i="3"/>
  <c r="BD112" i="3"/>
  <c r="BC112" i="3"/>
  <c r="BF111" i="3"/>
  <c r="BE111" i="3"/>
  <c r="BD111" i="3"/>
  <c r="BC111" i="3"/>
  <c r="BE110" i="3"/>
  <c r="BD110" i="3"/>
  <c r="BC110" i="3"/>
  <c r="BF109" i="3"/>
  <c r="BE109" i="3"/>
  <c r="BD109" i="3"/>
  <c r="BC109" i="3"/>
  <c r="BF108" i="3"/>
  <c r="BE108" i="3"/>
  <c r="BD108" i="3"/>
  <c r="BC108" i="3"/>
  <c r="BD107" i="3"/>
  <c r="BC107" i="3"/>
  <c r="BC115" i="3" s="1"/>
  <c r="AZ114" i="3"/>
  <c r="AY114" i="3"/>
  <c r="AX114" i="3"/>
  <c r="AW114" i="3"/>
  <c r="BA114" i="3" s="1"/>
  <c r="AX113" i="3"/>
  <c r="AW113" i="3"/>
  <c r="AX112" i="3"/>
  <c r="AW112" i="3"/>
  <c r="AZ111" i="3"/>
  <c r="AY111" i="3"/>
  <c r="AX111" i="3"/>
  <c r="AW111" i="3"/>
  <c r="BA111" i="3" s="1"/>
  <c r="AX110" i="3"/>
  <c r="AW110" i="3"/>
  <c r="AZ109" i="3"/>
  <c r="AY109" i="3"/>
  <c r="AX109" i="3"/>
  <c r="AW109" i="3"/>
  <c r="AZ108" i="3"/>
  <c r="AY108" i="3"/>
  <c r="AX108" i="3"/>
  <c r="AW108" i="3"/>
  <c r="AZ107" i="3"/>
  <c r="AY107" i="3"/>
  <c r="AX107" i="3"/>
  <c r="AX115" i="3" s="1"/>
  <c r="AW107" i="3"/>
  <c r="AT114" i="3"/>
  <c r="AS114" i="3"/>
  <c r="AR114" i="3"/>
  <c r="AQ114" i="3"/>
  <c r="AT113" i="3"/>
  <c r="AS113" i="3"/>
  <c r="AR113" i="3"/>
  <c r="AQ113" i="3"/>
  <c r="AT112" i="3"/>
  <c r="AS112" i="3"/>
  <c r="AR112" i="3"/>
  <c r="AQ112" i="3"/>
  <c r="AT111" i="3"/>
  <c r="AS111" i="3"/>
  <c r="AR111" i="3"/>
  <c r="AQ111" i="3"/>
  <c r="AT110" i="3"/>
  <c r="AS110" i="3"/>
  <c r="AR110" i="3"/>
  <c r="AQ110" i="3"/>
  <c r="AT109" i="3"/>
  <c r="AS109" i="3"/>
  <c r="AR109" i="3"/>
  <c r="AQ109" i="3"/>
  <c r="AT108" i="3"/>
  <c r="AS108" i="3"/>
  <c r="AR108" i="3"/>
  <c r="AQ108" i="3"/>
  <c r="AT107" i="3"/>
  <c r="AT115" i="3" s="1"/>
  <c r="AS107" i="3"/>
  <c r="AS115" i="3" s="1"/>
  <c r="AR107" i="3"/>
  <c r="AR115" i="3" s="1"/>
  <c r="AQ107" i="3"/>
  <c r="AQ115" i="3" s="1"/>
  <c r="AN114" i="3"/>
  <c r="AM114" i="3"/>
  <c r="AL114" i="3"/>
  <c r="AK114" i="3"/>
  <c r="AM113" i="3"/>
  <c r="AN112" i="3"/>
  <c r="AM112" i="3"/>
  <c r="AN111" i="3"/>
  <c r="AM111" i="3"/>
  <c r="AL111" i="3"/>
  <c r="AK111" i="3"/>
  <c r="AN110" i="3"/>
  <c r="AM110" i="3"/>
  <c r="AL110" i="3"/>
  <c r="AK110" i="3"/>
  <c r="AN109" i="3"/>
  <c r="AM109" i="3"/>
  <c r="AL109" i="3"/>
  <c r="AK109" i="3"/>
  <c r="AN108" i="3"/>
  <c r="AM108" i="3"/>
  <c r="AL108" i="3"/>
  <c r="AK108" i="3"/>
  <c r="AN107" i="3"/>
  <c r="AM107" i="3"/>
  <c r="AL107" i="3"/>
  <c r="AK107" i="3"/>
  <c r="AH108" i="3"/>
  <c r="AF108" i="3"/>
  <c r="AE108" i="3"/>
  <c r="AI108" i="3" s="1"/>
  <c r="AF107" i="3"/>
  <c r="AE107" i="3"/>
  <c r="AB114" i="3"/>
  <c r="AA114" i="3"/>
  <c r="Z114" i="3"/>
  <c r="Y114" i="3"/>
  <c r="Y113" i="3"/>
  <c r="Y112" i="3"/>
  <c r="AB109" i="3"/>
  <c r="AA109" i="3"/>
  <c r="Z109" i="3"/>
  <c r="Y109" i="3"/>
  <c r="AB108" i="3"/>
  <c r="AA108" i="3"/>
  <c r="Z108" i="3"/>
  <c r="Y108" i="3"/>
  <c r="AB107" i="3"/>
  <c r="AA107" i="3"/>
  <c r="Z107" i="3"/>
  <c r="Y107" i="3"/>
  <c r="V108" i="3"/>
  <c r="U108" i="3"/>
  <c r="T108" i="3"/>
  <c r="V107" i="3"/>
  <c r="V115" i="42" s="1"/>
  <c r="U107" i="3"/>
  <c r="Q107" i="3"/>
  <c r="K107" i="3"/>
  <c r="S102" i="3"/>
  <c r="P102" i="3"/>
  <c r="P103" i="3" s="1"/>
  <c r="O102" i="3"/>
  <c r="N102" i="3"/>
  <c r="N103" i="3" s="1"/>
  <c r="I102" i="3"/>
  <c r="H102" i="3"/>
  <c r="D102" i="3"/>
  <c r="D133" i="3" s="1"/>
  <c r="D137" i="3" s="1"/>
  <c r="C102" i="3"/>
  <c r="S99" i="3"/>
  <c r="S98" i="3"/>
  <c r="K99" i="3"/>
  <c r="K98" i="3"/>
  <c r="K96" i="3" s="1"/>
  <c r="E99" i="3"/>
  <c r="E98" i="3"/>
  <c r="Q99" i="3"/>
  <c r="M99" i="3"/>
  <c r="Q98" i="3"/>
  <c r="M98" i="3"/>
  <c r="CS101" i="3"/>
  <c r="CS97" i="3"/>
  <c r="CP101" i="3"/>
  <c r="CO101" i="3"/>
  <c r="CN101" i="3"/>
  <c r="CM101" i="3"/>
  <c r="CP100" i="3"/>
  <c r="CO100" i="3"/>
  <c r="CN100" i="3"/>
  <c r="CM100" i="3"/>
  <c r="CP99" i="3"/>
  <c r="CO99" i="3"/>
  <c r="CN99" i="3"/>
  <c r="CM99" i="3"/>
  <c r="CP97" i="3"/>
  <c r="CO97" i="3"/>
  <c r="CN97" i="3"/>
  <c r="CM97" i="3"/>
  <c r="CJ101" i="3"/>
  <c r="CI101" i="3"/>
  <c r="CH101" i="3"/>
  <c r="CG101" i="3"/>
  <c r="CJ100" i="3"/>
  <c r="CI100" i="3"/>
  <c r="CH100" i="3"/>
  <c r="CG100" i="3"/>
  <c r="CJ99" i="3"/>
  <c r="CI99" i="3"/>
  <c r="CH99" i="3"/>
  <c r="CG99" i="3"/>
  <c r="CJ97" i="3"/>
  <c r="CI97" i="3"/>
  <c r="CH97" i="3"/>
  <c r="CG97" i="3"/>
  <c r="CD101" i="3"/>
  <c r="CC101" i="3"/>
  <c r="CB101" i="3"/>
  <c r="CA101" i="3"/>
  <c r="CD100" i="3"/>
  <c r="CC100" i="3"/>
  <c r="CB100" i="3"/>
  <c r="CA100" i="3"/>
  <c r="CD99" i="3"/>
  <c r="CC99" i="3"/>
  <c r="CB99" i="3"/>
  <c r="CA99" i="3"/>
  <c r="CD97" i="3"/>
  <c r="CC97" i="3"/>
  <c r="CB97" i="3"/>
  <c r="CA97" i="3"/>
  <c r="BX101" i="3"/>
  <c r="BW101" i="3"/>
  <c r="BX100" i="3"/>
  <c r="BW100" i="3"/>
  <c r="BV100" i="3"/>
  <c r="BU100" i="3"/>
  <c r="BX99" i="3"/>
  <c r="BW99" i="3"/>
  <c r="BV99" i="3"/>
  <c r="BU99" i="3"/>
  <c r="BX97" i="3"/>
  <c r="BW97" i="3"/>
  <c r="BV97" i="3"/>
  <c r="BU97" i="3"/>
  <c r="BR101" i="3"/>
  <c r="BQ101" i="3"/>
  <c r="BP101" i="3"/>
  <c r="BO101" i="3"/>
  <c r="BP100" i="3"/>
  <c r="BO100" i="3"/>
  <c r="BR97" i="3"/>
  <c r="BQ97" i="3"/>
  <c r="BP97" i="3"/>
  <c r="BO97" i="3"/>
  <c r="BL101" i="3"/>
  <c r="BI101" i="3"/>
  <c r="BL100" i="3"/>
  <c r="BK100" i="3"/>
  <c r="BJ100" i="3"/>
  <c r="BI100" i="3"/>
  <c r="BI98" i="3"/>
  <c r="BL97" i="3"/>
  <c r="BK97" i="3"/>
  <c r="BJ97" i="3"/>
  <c r="BI97" i="3"/>
  <c r="BE101" i="3"/>
  <c r="BD101" i="3"/>
  <c r="BC101" i="3"/>
  <c r="BF100" i="3"/>
  <c r="BE100" i="3"/>
  <c r="BD100" i="3"/>
  <c r="BC100" i="3"/>
  <c r="BF97" i="3"/>
  <c r="BE97" i="3"/>
  <c r="BD97" i="3"/>
  <c r="BC97" i="3"/>
  <c r="AZ101" i="3"/>
  <c r="AY101" i="3"/>
  <c r="AZ100" i="3"/>
  <c r="AY100" i="3"/>
  <c r="AZ97" i="3"/>
  <c r="AY97" i="3"/>
  <c r="AW96" i="3"/>
  <c r="AT100" i="3"/>
  <c r="AT97" i="3"/>
  <c r="AT96" i="3"/>
  <c r="AS96" i="3"/>
  <c r="AR96" i="3"/>
  <c r="AQ96" i="3"/>
  <c r="AN96" i="3"/>
  <c r="AM96" i="3"/>
  <c r="AL96" i="3"/>
  <c r="AK96" i="3"/>
  <c r="AG96" i="3"/>
  <c r="AF96" i="3"/>
  <c r="AE96" i="3"/>
  <c r="Z96" i="3"/>
  <c r="Y96" i="3"/>
  <c r="V96" i="3"/>
  <c r="U96" i="3"/>
  <c r="S96" i="3"/>
  <c r="S24" i="3" s="1"/>
  <c r="T96" i="3" s="1"/>
  <c r="M96" i="3"/>
  <c r="M102" i="3" s="1"/>
  <c r="J96" i="3"/>
  <c r="J102" i="3" s="1"/>
  <c r="E96" i="3"/>
  <c r="E24" i="3" s="1"/>
  <c r="Q94" i="3"/>
  <c r="Q93" i="3"/>
  <c r="Q92" i="3"/>
  <c r="Q91" i="3"/>
  <c r="Q90" i="3"/>
  <c r="Q89" i="3"/>
  <c r="K94" i="3"/>
  <c r="K93" i="3"/>
  <c r="K92" i="3"/>
  <c r="K90" i="3"/>
  <c r="K89" i="3"/>
  <c r="E94" i="3"/>
  <c r="E102" i="3" s="1"/>
  <c r="G91" i="3"/>
  <c r="G102" i="3" s="1"/>
  <c r="V94" i="3"/>
  <c r="U94" i="3"/>
  <c r="V93" i="3"/>
  <c r="U93" i="3"/>
  <c r="V92" i="3"/>
  <c r="U92" i="3"/>
  <c r="V91" i="3"/>
  <c r="U91" i="3"/>
  <c r="V90" i="3"/>
  <c r="U90" i="3"/>
  <c r="V89" i="3"/>
  <c r="U89" i="3"/>
  <c r="Q87" i="3"/>
  <c r="Q86" i="3"/>
  <c r="Q85" i="3"/>
  <c r="K87" i="3"/>
  <c r="K86" i="3"/>
  <c r="K85" i="3"/>
  <c r="DH93" i="3"/>
  <c r="DG93" i="3"/>
  <c r="DF93" i="3"/>
  <c r="DE93" i="3"/>
  <c r="DE89" i="3"/>
  <c r="DB93" i="3"/>
  <c r="DA93" i="3"/>
  <c r="CZ93" i="3"/>
  <c r="CY93" i="3"/>
  <c r="CY89" i="3"/>
  <c r="CS94" i="3"/>
  <c r="CV93" i="3"/>
  <c r="CU93" i="3"/>
  <c r="CT93" i="3"/>
  <c r="CS93" i="3"/>
  <c r="CS92" i="3"/>
  <c r="CS91" i="3"/>
  <c r="CS90" i="3"/>
  <c r="CS89" i="3"/>
  <c r="CS88" i="3"/>
  <c r="CS87" i="3"/>
  <c r="CS86" i="3"/>
  <c r="CS85" i="3"/>
  <c r="CP94" i="3"/>
  <c r="CO94" i="3"/>
  <c r="CP93" i="3"/>
  <c r="CO93" i="3"/>
  <c r="CN93" i="3"/>
  <c r="CM93" i="3"/>
  <c r="CP92" i="3"/>
  <c r="CO92" i="3"/>
  <c r="CN92" i="3"/>
  <c r="CM92" i="3"/>
  <c r="CP91" i="3"/>
  <c r="CO91" i="3"/>
  <c r="CN91" i="3"/>
  <c r="CM91" i="3"/>
  <c r="CP90" i="3"/>
  <c r="CO90" i="3"/>
  <c r="CN90" i="3"/>
  <c r="CM90" i="3"/>
  <c r="CP89" i="3"/>
  <c r="CP151" i="42" s="1"/>
  <c r="CO89" i="3"/>
  <c r="CN89" i="3"/>
  <c r="CM89" i="3"/>
  <c r="CP88" i="3"/>
  <c r="CO88" i="3"/>
  <c r="CN88" i="3"/>
  <c r="CM88" i="3"/>
  <c r="CP87" i="3"/>
  <c r="CO87" i="3"/>
  <c r="CN87" i="3"/>
  <c r="CM87" i="3"/>
  <c r="CP86" i="3"/>
  <c r="CO86" i="3"/>
  <c r="CN86" i="3"/>
  <c r="CM86" i="3"/>
  <c r="CP85" i="3"/>
  <c r="CO85" i="3"/>
  <c r="CN85" i="3"/>
  <c r="CM85" i="3"/>
  <c r="CH94" i="3"/>
  <c r="CG94" i="3"/>
  <c r="CJ93" i="3"/>
  <c r="CI93" i="3"/>
  <c r="CH93" i="3"/>
  <c r="CG93" i="3"/>
  <c r="CJ92" i="3"/>
  <c r="CI92" i="3"/>
  <c r="CH92" i="3"/>
  <c r="CG92" i="3"/>
  <c r="CJ91" i="3"/>
  <c r="CI91" i="3"/>
  <c r="CH91" i="3"/>
  <c r="CG91" i="3"/>
  <c r="CJ90" i="3"/>
  <c r="CI90" i="3"/>
  <c r="CH90" i="3"/>
  <c r="CG90" i="3"/>
  <c r="CJ89" i="3"/>
  <c r="CJ151" i="42" s="1"/>
  <c r="CI89" i="3"/>
  <c r="CH89" i="3"/>
  <c r="CG89" i="3"/>
  <c r="CJ88" i="3"/>
  <c r="CG88" i="3"/>
  <c r="CJ87" i="3"/>
  <c r="CI87" i="3"/>
  <c r="CH87" i="3"/>
  <c r="CG87" i="3"/>
  <c r="CJ86" i="3"/>
  <c r="CI86" i="3"/>
  <c r="CH86" i="3"/>
  <c r="CG86" i="3"/>
  <c r="CJ85" i="3"/>
  <c r="CI85" i="3"/>
  <c r="CH85" i="3"/>
  <c r="CG85" i="3"/>
  <c r="CB94" i="3"/>
  <c r="CA94" i="3"/>
  <c r="CD93" i="3"/>
  <c r="CC93" i="3"/>
  <c r="CB93" i="3"/>
  <c r="CA93" i="3"/>
  <c r="CB92" i="3"/>
  <c r="CA92" i="3"/>
  <c r="CB91" i="3"/>
  <c r="CA91" i="3"/>
  <c r="CD90" i="3"/>
  <c r="CC90" i="3"/>
  <c r="CB90" i="3"/>
  <c r="CA90" i="3"/>
  <c r="CD89" i="3"/>
  <c r="CD151" i="42" s="1"/>
  <c r="CC89" i="3"/>
  <c r="CB89" i="3"/>
  <c r="CA89" i="3"/>
  <c r="CD88" i="3"/>
  <c r="CD87" i="3"/>
  <c r="CC87" i="3"/>
  <c r="CB87" i="3"/>
  <c r="CA87" i="3"/>
  <c r="CD86" i="3"/>
  <c r="CC86" i="3"/>
  <c r="CB86" i="3"/>
  <c r="CA86" i="3"/>
  <c r="CD85" i="3"/>
  <c r="CC85" i="3"/>
  <c r="CB85" i="3"/>
  <c r="CA85" i="3"/>
  <c r="CA109" i="42" s="1"/>
  <c r="BX94" i="3"/>
  <c r="BW94" i="3"/>
  <c r="BV94" i="3"/>
  <c r="BU94" i="3"/>
  <c r="BY94" i="3" s="1"/>
  <c r="BX93" i="3"/>
  <c r="BW93" i="3"/>
  <c r="BV93" i="3"/>
  <c r="BU93" i="3"/>
  <c r="BY93" i="3" s="1"/>
  <c r="BX92" i="3"/>
  <c r="BW92" i="3"/>
  <c r="BV92" i="3"/>
  <c r="BU92" i="3"/>
  <c r="BY92" i="3" s="1"/>
  <c r="BX91" i="3"/>
  <c r="BW91" i="3"/>
  <c r="BV91" i="3"/>
  <c r="BU91" i="3"/>
  <c r="BY91" i="3" s="1"/>
  <c r="BX90" i="3"/>
  <c r="BW90" i="3"/>
  <c r="BV90" i="3"/>
  <c r="BU90" i="3"/>
  <c r="BY90" i="3" s="1"/>
  <c r="BX89" i="3"/>
  <c r="BW89" i="3"/>
  <c r="BV89" i="3"/>
  <c r="BU89" i="3"/>
  <c r="BX88" i="3"/>
  <c r="BW88" i="3"/>
  <c r="BV88" i="3"/>
  <c r="BU88" i="3"/>
  <c r="BX87" i="3"/>
  <c r="BW87" i="3"/>
  <c r="BV87" i="3"/>
  <c r="BU87" i="3"/>
  <c r="BY87" i="3" s="1"/>
  <c r="BX86" i="3"/>
  <c r="BW86" i="3"/>
  <c r="BV86" i="3"/>
  <c r="BU86" i="3"/>
  <c r="BY86" i="3" s="1"/>
  <c r="BX85" i="3"/>
  <c r="BW85" i="3"/>
  <c r="BV85" i="3"/>
  <c r="BU85" i="3"/>
  <c r="BU109" i="42" s="1"/>
  <c r="BU110" i="42" s="1"/>
  <c r="BR94" i="3"/>
  <c r="BQ94" i="3"/>
  <c r="BP94" i="3"/>
  <c r="BO94" i="3"/>
  <c r="BR93" i="3"/>
  <c r="BQ93" i="3"/>
  <c r="BP93" i="3"/>
  <c r="BO93" i="3"/>
  <c r="BR92" i="3"/>
  <c r="BQ92" i="3"/>
  <c r="BP92" i="3"/>
  <c r="BO92" i="3"/>
  <c r="BR91" i="3"/>
  <c r="BQ91" i="3"/>
  <c r="BP91" i="3"/>
  <c r="BO91" i="3"/>
  <c r="BR90" i="3"/>
  <c r="BQ90" i="3"/>
  <c r="BP90" i="3"/>
  <c r="BO90" i="3"/>
  <c r="BR89" i="3"/>
  <c r="BQ89" i="3"/>
  <c r="BP89" i="3"/>
  <c r="BO89" i="3"/>
  <c r="BR88" i="3"/>
  <c r="BQ88" i="3"/>
  <c r="BP88" i="3"/>
  <c r="BO88" i="3"/>
  <c r="BR87" i="3"/>
  <c r="BQ87" i="3"/>
  <c r="BP87" i="3"/>
  <c r="BO87" i="3"/>
  <c r="BR86" i="3"/>
  <c r="BQ86" i="3"/>
  <c r="BP86" i="3"/>
  <c r="BO86" i="3"/>
  <c r="BR85" i="3"/>
  <c r="BQ85" i="3"/>
  <c r="BP85" i="3"/>
  <c r="BO85" i="3"/>
  <c r="BO109" i="42" s="1"/>
  <c r="BL94" i="3"/>
  <c r="BK94" i="3"/>
  <c r="BJ94" i="3"/>
  <c r="BI94" i="3"/>
  <c r="BL93" i="3"/>
  <c r="BK93" i="3"/>
  <c r="BJ93" i="3"/>
  <c r="BI93" i="3"/>
  <c r="BL92" i="3"/>
  <c r="BK92" i="3"/>
  <c r="BJ92" i="3"/>
  <c r="BI92" i="3"/>
  <c r="BL91" i="3"/>
  <c r="BK91" i="3"/>
  <c r="BJ91" i="3"/>
  <c r="BI91" i="3"/>
  <c r="BL90" i="3"/>
  <c r="BK90" i="3"/>
  <c r="BJ90" i="3"/>
  <c r="BI90" i="3"/>
  <c r="BL89" i="3"/>
  <c r="BK89" i="3"/>
  <c r="BJ89" i="3"/>
  <c r="BI89" i="3"/>
  <c r="BL88" i="3"/>
  <c r="BK88" i="3"/>
  <c r="BJ88" i="3"/>
  <c r="BI88" i="3"/>
  <c r="BL87" i="3"/>
  <c r="BK87" i="3"/>
  <c r="BJ87" i="3"/>
  <c r="BI87" i="3"/>
  <c r="BL86" i="3"/>
  <c r="BK86" i="3"/>
  <c r="BJ86" i="3"/>
  <c r="BI86" i="3"/>
  <c r="BL85" i="3"/>
  <c r="BK85" i="3"/>
  <c r="BJ85" i="3"/>
  <c r="BI85" i="3"/>
  <c r="BI109" i="42" s="1"/>
  <c r="BI110" i="42" s="1"/>
  <c r="BD94" i="3"/>
  <c r="BC94" i="3"/>
  <c r="BF93" i="3"/>
  <c r="BE93" i="3"/>
  <c r="BD93" i="3"/>
  <c r="BC93" i="3"/>
  <c r="BC92" i="3"/>
  <c r="BC91" i="3"/>
  <c r="BC90" i="3"/>
  <c r="BF89" i="3"/>
  <c r="BF151" i="42" s="1"/>
  <c r="BE89" i="3"/>
  <c r="BD89" i="3"/>
  <c r="BC89" i="3"/>
  <c r="BF88" i="3"/>
  <c r="BE88" i="3"/>
  <c r="BD88" i="3"/>
  <c r="BC88" i="3"/>
  <c r="BF87" i="3"/>
  <c r="BF73" i="42" s="1"/>
  <c r="BE87" i="3"/>
  <c r="BD87" i="3"/>
  <c r="BC87" i="3"/>
  <c r="BF86" i="3"/>
  <c r="BE86" i="3"/>
  <c r="BD86" i="3"/>
  <c r="BC86" i="3"/>
  <c r="BF85" i="3"/>
  <c r="BE85" i="3"/>
  <c r="BD85" i="3"/>
  <c r="BC85" i="3"/>
  <c r="AX94" i="3"/>
  <c r="AW94" i="3"/>
  <c r="AX93" i="3"/>
  <c r="AW93" i="3"/>
  <c r="AX92" i="3"/>
  <c r="AW92" i="3"/>
  <c r="AX91" i="3"/>
  <c r="AW91" i="3"/>
  <c r="AX90" i="3"/>
  <c r="AW90" i="3"/>
  <c r="AZ89" i="3"/>
  <c r="AY89" i="3"/>
  <c r="AX89" i="3"/>
  <c r="AW89" i="3"/>
  <c r="AZ88" i="3"/>
  <c r="AY88" i="3"/>
  <c r="AX88" i="3"/>
  <c r="AW88" i="3"/>
  <c r="AZ87" i="3"/>
  <c r="AY87" i="3"/>
  <c r="AX87" i="3"/>
  <c r="AW87" i="3"/>
  <c r="AZ86" i="3"/>
  <c r="AY86" i="3"/>
  <c r="AX86" i="3"/>
  <c r="AX151" i="42" s="1"/>
  <c r="AW86" i="3"/>
  <c r="AZ85" i="3"/>
  <c r="AY85" i="3"/>
  <c r="AX85" i="3"/>
  <c r="AW85" i="3"/>
  <c r="AT94" i="3"/>
  <c r="AS94" i="3"/>
  <c r="AR94" i="3"/>
  <c r="AQ94" i="3"/>
  <c r="AT93" i="3"/>
  <c r="AS93" i="3"/>
  <c r="AR93" i="3"/>
  <c r="AQ93" i="3"/>
  <c r="AR92" i="3"/>
  <c r="AQ92" i="3"/>
  <c r="AR91" i="3"/>
  <c r="AQ91" i="3"/>
  <c r="AR90" i="3"/>
  <c r="AQ90" i="3"/>
  <c r="AT89" i="3"/>
  <c r="AS89" i="3"/>
  <c r="AR89" i="3"/>
  <c r="AQ89" i="3"/>
  <c r="AT88" i="3"/>
  <c r="AS88" i="3"/>
  <c r="AR88" i="3"/>
  <c r="AQ88" i="3"/>
  <c r="AT87" i="3"/>
  <c r="AS87" i="3"/>
  <c r="AR87" i="3"/>
  <c r="AQ87" i="3"/>
  <c r="AT86" i="3"/>
  <c r="AS86" i="3"/>
  <c r="AR86" i="3"/>
  <c r="AR151" i="42" s="1"/>
  <c r="AQ86" i="3"/>
  <c r="AT85" i="3"/>
  <c r="AS85" i="3"/>
  <c r="AR85" i="3"/>
  <c r="AQ85" i="3"/>
  <c r="AN94" i="3"/>
  <c r="AM94" i="3"/>
  <c r="AL94" i="3"/>
  <c r="AK94" i="3"/>
  <c r="AN93" i="3"/>
  <c r="AM93" i="3"/>
  <c r="AL93" i="3"/>
  <c r="AK93" i="3"/>
  <c r="AN92" i="3"/>
  <c r="AM92" i="3"/>
  <c r="AM91" i="3"/>
  <c r="AM90" i="3"/>
  <c r="AN89" i="3"/>
  <c r="AM89" i="3"/>
  <c r="AL89" i="3"/>
  <c r="AK89" i="3"/>
  <c r="AN88" i="3"/>
  <c r="AM88" i="3"/>
  <c r="AL88" i="3"/>
  <c r="AK88" i="3"/>
  <c r="AN87" i="3"/>
  <c r="AM87" i="3"/>
  <c r="AL87" i="3"/>
  <c r="AK87" i="3"/>
  <c r="AN86" i="3"/>
  <c r="AM86" i="3"/>
  <c r="AL86" i="3"/>
  <c r="AL151" i="42" s="1"/>
  <c r="AK86" i="3"/>
  <c r="AN85" i="3"/>
  <c r="AM85" i="3"/>
  <c r="AL85" i="3"/>
  <c r="AK85" i="3"/>
  <c r="AG94" i="3"/>
  <c r="AF94" i="3"/>
  <c r="AE94" i="3"/>
  <c r="AG93" i="3"/>
  <c r="AF93" i="3"/>
  <c r="AE93" i="3"/>
  <c r="AG92" i="3"/>
  <c r="AF92" i="3"/>
  <c r="AE92" i="3"/>
  <c r="AG91" i="3"/>
  <c r="AF91" i="3"/>
  <c r="AE91" i="3"/>
  <c r="AG90" i="3"/>
  <c r="AF90" i="3"/>
  <c r="AE90" i="3"/>
  <c r="AG89" i="3"/>
  <c r="AF89" i="3"/>
  <c r="AE89" i="3"/>
  <c r="AH88" i="3"/>
  <c r="AG88" i="3"/>
  <c r="AF88" i="3"/>
  <c r="AE88" i="3"/>
  <c r="AG87" i="3"/>
  <c r="AF87" i="3"/>
  <c r="AE87" i="3"/>
  <c r="AG86" i="3"/>
  <c r="AF86" i="3"/>
  <c r="AE86" i="3"/>
  <c r="AG85" i="3"/>
  <c r="AF85" i="3"/>
  <c r="AE85" i="3"/>
  <c r="AA94" i="3"/>
  <c r="Z94" i="3"/>
  <c r="Y94" i="3"/>
  <c r="AB93" i="3"/>
  <c r="AA93" i="3"/>
  <c r="Z93" i="3"/>
  <c r="Y93" i="3"/>
  <c r="AB92" i="3"/>
  <c r="AA92" i="3"/>
  <c r="Z92" i="3"/>
  <c r="Y92" i="3"/>
  <c r="AB91" i="3"/>
  <c r="AA91" i="3"/>
  <c r="Z91" i="3"/>
  <c r="Y91" i="3"/>
  <c r="AB90" i="3"/>
  <c r="AA90" i="3"/>
  <c r="Z90" i="3"/>
  <c r="Y90" i="3"/>
  <c r="AB89" i="3"/>
  <c r="AA89" i="3"/>
  <c r="Z89" i="3"/>
  <c r="Y89" i="3"/>
  <c r="AB88" i="3"/>
  <c r="AA88" i="3"/>
  <c r="Z88" i="3"/>
  <c r="Y88" i="3"/>
  <c r="AB87" i="3"/>
  <c r="AA87" i="3"/>
  <c r="Z87" i="3"/>
  <c r="Y87" i="3"/>
  <c r="AB86" i="3"/>
  <c r="AA86" i="3"/>
  <c r="Z86" i="3"/>
  <c r="Y86" i="3"/>
  <c r="AB85" i="3"/>
  <c r="AB109" i="42" s="1"/>
  <c r="AB110" i="42" s="1"/>
  <c r="AA85" i="3"/>
  <c r="Z85" i="3"/>
  <c r="Y85" i="3"/>
  <c r="V87" i="3"/>
  <c r="U87" i="3"/>
  <c r="V86" i="3"/>
  <c r="U86" i="3"/>
  <c r="V85" i="3"/>
  <c r="V109" i="42" s="1"/>
  <c r="U85" i="3"/>
  <c r="CP82" i="3"/>
  <c r="CO82" i="3"/>
  <c r="CN82" i="3"/>
  <c r="CM82" i="3"/>
  <c r="CJ82" i="3"/>
  <c r="CI82" i="3"/>
  <c r="CH82" i="3"/>
  <c r="CG82" i="3"/>
  <c r="CD82" i="3"/>
  <c r="CC82" i="3"/>
  <c r="CB82" i="3"/>
  <c r="CA82" i="3"/>
  <c r="BX82" i="3"/>
  <c r="BW82" i="3"/>
  <c r="BV82" i="3"/>
  <c r="BU82" i="3"/>
  <c r="BR82" i="3"/>
  <c r="BQ82" i="3"/>
  <c r="BP82" i="3"/>
  <c r="BO82" i="3"/>
  <c r="BL82" i="3"/>
  <c r="BK82" i="3"/>
  <c r="BJ82" i="3"/>
  <c r="BI82" i="3"/>
  <c r="BF82" i="3"/>
  <c r="BE82" i="3"/>
  <c r="BD82" i="3"/>
  <c r="BC82" i="3"/>
  <c r="AT82" i="3"/>
  <c r="AS82" i="3"/>
  <c r="AR82" i="3"/>
  <c r="AQ82" i="3"/>
  <c r="AN82" i="3"/>
  <c r="AM82" i="3"/>
  <c r="AG82" i="3"/>
  <c r="AF82" i="3"/>
  <c r="AE82" i="3"/>
  <c r="AB82" i="3"/>
  <c r="AA82" i="3"/>
  <c r="Z82" i="3"/>
  <c r="Y82" i="3"/>
  <c r="V82" i="3"/>
  <c r="U82" i="3"/>
  <c r="Q82" i="3"/>
  <c r="K82" i="3"/>
  <c r="E62" i="3"/>
  <c r="D62" i="3"/>
  <c r="C62" i="3"/>
  <c r="DI58" i="3"/>
  <c r="DC58" i="3"/>
  <c r="CQ58" i="3"/>
  <c r="CK58" i="3"/>
  <c r="CE58" i="3"/>
  <c r="BY58" i="3"/>
  <c r="BS58" i="3"/>
  <c r="BM58" i="3"/>
  <c r="BG58" i="3"/>
  <c r="BA58" i="3"/>
  <c r="AU58" i="3"/>
  <c r="AO58" i="3"/>
  <c r="AH58" i="3"/>
  <c r="AC58" i="3"/>
  <c r="W58" i="3"/>
  <c r="S58" i="3"/>
  <c r="T131" i="3" s="1"/>
  <c r="M58" i="3"/>
  <c r="N58" i="3" s="1"/>
  <c r="O58" i="3" s="1"/>
  <c r="P58" i="3" s="1"/>
  <c r="Q58" i="3" s="1"/>
  <c r="G58" i="3"/>
  <c r="H58" i="3" s="1"/>
  <c r="I58" i="3" s="1"/>
  <c r="J58" i="3" s="1"/>
  <c r="K58" i="3" s="1"/>
  <c r="E58" i="3"/>
  <c r="D58" i="3"/>
  <c r="C58" i="3"/>
  <c r="AX56" i="3"/>
  <c r="AT56" i="3"/>
  <c r="AU56" i="3" s="1"/>
  <c r="AS56" i="3"/>
  <c r="AR56" i="3"/>
  <c r="AQ56" i="3"/>
  <c r="AM56" i="3"/>
  <c r="AL56" i="3"/>
  <c r="AG56" i="3"/>
  <c r="AF56" i="3"/>
  <c r="AE56" i="3"/>
  <c r="AB56" i="3"/>
  <c r="AC56" i="3" s="1"/>
  <c r="AA56" i="3"/>
  <c r="Y56" i="3"/>
  <c r="CS55" i="3"/>
  <c r="CT55" i="3" s="1"/>
  <c r="CU55" i="3" s="1"/>
  <c r="CM55" i="3"/>
  <c r="CG55" i="3"/>
  <c r="CH55" i="3" s="1"/>
  <c r="CI55" i="3" s="1"/>
  <c r="CA55" i="3"/>
  <c r="CB55" i="3" s="1"/>
  <c r="BU55" i="3"/>
  <c r="BV55" i="3" s="1"/>
  <c r="BW55" i="3" s="1"/>
  <c r="BP55" i="3"/>
  <c r="BQ55" i="3" s="1"/>
  <c r="BR55" i="3" s="1"/>
  <c r="BS55" i="3" s="1"/>
  <c r="BJ55" i="3"/>
  <c r="BK55" i="3" s="1"/>
  <c r="BL55" i="3" s="1"/>
  <c r="BM55" i="3" s="1"/>
  <c r="BC55" i="3"/>
  <c r="BD55" i="3" s="1"/>
  <c r="AY55" i="3"/>
  <c r="AW55" i="3"/>
  <c r="AW54" i="3"/>
  <c r="AW53" i="3"/>
  <c r="AW52" i="3"/>
  <c r="AW51" i="3"/>
  <c r="AU55" i="3"/>
  <c r="AU54" i="3"/>
  <c r="AU53" i="3"/>
  <c r="AU52" i="3"/>
  <c r="AU51" i="3"/>
  <c r="AU50" i="3"/>
  <c r="AU49" i="3"/>
  <c r="AU48" i="3"/>
  <c r="AU47" i="3"/>
  <c r="AU46" i="3"/>
  <c r="AU45" i="3"/>
  <c r="AC55" i="3"/>
  <c r="AC54" i="3"/>
  <c r="AC53" i="3"/>
  <c r="AC52" i="3"/>
  <c r="AC51" i="3"/>
  <c r="AC50" i="3"/>
  <c r="AC49" i="3"/>
  <c r="AC48" i="3"/>
  <c r="AC47" i="3"/>
  <c r="AC46" i="3"/>
  <c r="AC45" i="3"/>
  <c r="Z55" i="3"/>
  <c r="Z54" i="3"/>
  <c r="AA127" i="3" s="1"/>
  <c r="Z53" i="3"/>
  <c r="Z52" i="3"/>
  <c r="Z51" i="3"/>
  <c r="S55" i="3"/>
  <c r="T128" i="3" s="1"/>
  <c r="S54" i="3"/>
  <c r="T127" i="3" s="1"/>
  <c r="S53" i="3"/>
  <c r="T126" i="3" s="1"/>
  <c r="S52" i="3"/>
  <c r="T125" i="3" s="1"/>
  <c r="S51" i="3"/>
  <c r="T124" i="3" s="1"/>
  <c r="S50" i="3"/>
  <c r="T123" i="3" s="1"/>
  <c r="W123" i="3" s="1"/>
  <c r="S49" i="3"/>
  <c r="T122" i="3" s="1"/>
  <c r="DE55" i="3"/>
  <c r="CY55" i="3"/>
  <c r="CQ54" i="3"/>
  <c r="CQ53" i="3"/>
  <c r="CQ52" i="3"/>
  <c r="CQ50" i="3"/>
  <c r="CQ48" i="3"/>
  <c r="CQ47" i="3"/>
  <c r="CK54" i="3"/>
  <c r="CK53" i="3"/>
  <c r="CK52" i="3"/>
  <c r="CK50" i="3"/>
  <c r="CK49" i="3"/>
  <c r="CK48" i="3"/>
  <c r="CK47" i="3"/>
  <c r="CE54" i="3"/>
  <c r="CE53" i="3"/>
  <c r="CE52" i="3"/>
  <c r="CE50" i="3"/>
  <c r="CE49" i="3"/>
  <c r="CE48" i="3"/>
  <c r="CE47" i="3"/>
  <c r="BY54" i="3"/>
  <c r="BY51" i="3"/>
  <c r="BY50" i="3"/>
  <c r="BY49" i="3"/>
  <c r="BY48" i="3"/>
  <c r="BU54" i="3"/>
  <c r="BS54" i="3"/>
  <c r="BS53" i="3"/>
  <c r="BS52" i="3"/>
  <c r="BS50" i="3"/>
  <c r="BS49" i="3"/>
  <c r="BS48" i="3"/>
  <c r="BS47" i="3"/>
  <c r="BM54" i="3"/>
  <c r="BM50" i="3"/>
  <c r="BM49" i="3"/>
  <c r="BM48" i="3"/>
  <c r="BM47" i="3"/>
  <c r="BD54" i="3"/>
  <c r="BA54" i="3"/>
  <c r="BA50" i="3"/>
  <c r="BA48" i="3"/>
  <c r="BA47" i="3"/>
  <c r="BA46" i="3"/>
  <c r="BA45" i="3"/>
  <c r="AY54" i="3"/>
  <c r="AY53" i="3"/>
  <c r="AY52" i="3"/>
  <c r="AY51" i="3"/>
  <c r="AB54" i="3"/>
  <c r="AB127" i="3" s="1"/>
  <c r="Y54" i="3"/>
  <c r="BX53" i="3"/>
  <c r="BY53" i="3" s="1"/>
  <c r="BW53" i="3"/>
  <c r="BX126" i="3" s="1"/>
  <c r="BV53" i="3"/>
  <c r="BU53" i="3"/>
  <c r="BL53" i="3"/>
  <c r="BL126" i="3" s="1"/>
  <c r="BL52" i="3"/>
  <c r="BL125" i="3" s="1"/>
  <c r="BL51" i="3"/>
  <c r="BG53" i="3"/>
  <c r="BG51" i="3"/>
  <c r="BG50" i="3"/>
  <c r="BG49" i="3"/>
  <c r="BG48" i="3"/>
  <c r="BG47" i="3"/>
  <c r="BG46" i="3"/>
  <c r="BG45" i="3"/>
  <c r="AZ53" i="3"/>
  <c r="BA53" i="3" s="1"/>
  <c r="AZ52" i="3"/>
  <c r="BA52" i="3" s="1"/>
  <c r="DE48" i="3"/>
  <c r="BX52" i="3"/>
  <c r="BY52" i="3" s="1"/>
  <c r="BW52" i="3"/>
  <c r="BV52" i="3"/>
  <c r="BI53" i="3"/>
  <c r="BD52" i="3"/>
  <c r="BE52" i="3" s="1"/>
  <c r="CS50" i="3"/>
  <c r="CP51" i="3"/>
  <c r="CP124" i="3" s="1"/>
  <c r="CD52" i="3"/>
  <c r="CC52" i="3"/>
  <c r="CA51" i="3"/>
  <c r="BP51" i="3"/>
  <c r="BJ51" i="3"/>
  <c r="BE51" i="3"/>
  <c r="BF124" i="3" s="1"/>
  <c r="BD51" i="3"/>
  <c r="BD124" i="3" s="1"/>
  <c r="AN55" i="3"/>
  <c r="AN128" i="3" s="1"/>
  <c r="AN54" i="3"/>
  <c r="AN127" i="3" s="1"/>
  <c r="AN53" i="3"/>
  <c r="AN52" i="3"/>
  <c r="AN125" i="3" s="1"/>
  <c r="AO125" i="3" s="1"/>
  <c r="AN51" i="3"/>
  <c r="AN124" i="3" s="1"/>
  <c r="V55" i="3"/>
  <c r="V128" i="3" s="1"/>
  <c r="W54" i="3"/>
  <c r="V54" i="3"/>
  <c r="V127" i="3" s="1"/>
  <c r="V53" i="3"/>
  <c r="V126" i="3" s="1"/>
  <c r="V52" i="3"/>
  <c r="V125" i="3" s="1"/>
  <c r="V51" i="3"/>
  <c r="V124" i="3" s="1"/>
  <c r="BW50" i="3"/>
  <c r="BP50" i="3"/>
  <c r="AO50" i="3"/>
  <c r="AO49" i="3"/>
  <c r="AO48" i="3"/>
  <c r="AO47" i="3"/>
  <c r="AO46" i="3"/>
  <c r="AO45" i="3"/>
  <c r="W50" i="3"/>
  <c r="W48" i="3"/>
  <c r="W47" i="3"/>
  <c r="W46" i="3"/>
  <c r="W45" i="3"/>
  <c r="CY48" i="3"/>
  <c r="CP49" i="3"/>
  <c r="BD49" i="3"/>
  <c r="AZ49" i="3"/>
  <c r="AZ122" i="3" s="1"/>
  <c r="AW49" i="3"/>
  <c r="V49" i="3"/>
  <c r="M55" i="3"/>
  <c r="N55" i="3" s="1"/>
  <c r="O55" i="3" s="1"/>
  <c r="P55" i="3" s="1"/>
  <c r="Q55" i="3" s="1"/>
  <c r="M54" i="3"/>
  <c r="N54" i="3" s="1"/>
  <c r="O54" i="3" s="1"/>
  <c r="P54" i="3" s="1"/>
  <c r="Q54" i="3" s="1"/>
  <c r="M53" i="3"/>
  <c r="N53" i="3" s="1"/>
  <c r="O53" i="3" s="1"/>
  <c r="P53" i="3" s="1"/>
  <c r="Q53" i="3" s="1"/>
  <c r="M52" i="3"/>
  <c r="N52" i="3" s="1"/>
  <c r="O52" i="3" s="1"/>
  <c r="P52" i="3" s="1"/>
  <c r="Q52" i="3" s="1"/>
  <c r="M51" i="3"/>
  <c r="N51" i="3" s="1"/>
  <c r="O51" i="3" s="1"/>
  <c r="P51" i="3" s="1"/>
  <c r="Q51" i="3" s="1"/>
  <c r="M50" i="3"/>
  <c r="N50" i="3" s="1"/>
  <c r="O50" i="3" s="1"/>
  <c r="P50" i="3" s="1"/>
  <c r="Q50" i="3" s="1"/>
  <c r="M49" i="3"/>
  <c r="N49" i="3" s="1"/>
  <c r="O49" i="3" s="1"/>
  <c r="P49" i="3" s="1"/>
  <c r="Q49" i="3" s="1"/>
  <c r="G55" i="3"/>
  <c r="H55" i="3" s="1"/>
  <c r="I55" i="3" s="1"/>
  <c r="J55" i="3" s="1"/>
  <c r="K55" i="3" s="1"/>
  <c r="G54" i="3"/>
  <c r="H54" i="3" s="1"/>
  <c r="I54" i="3" s="1"/>
  <c r="J54" i="3" s="1"/>
  <c r="K54" i="3" s="1"/>
  <c r="G53" i="3"/>
  <c r="H53" i="3" s="1"/>
  <c r="I53" i="3" s="1"/>
  <c r="J53" i="3" s="1"/>
  <c r="K53" i="3" s="1"/>
  <c r="G52" i="3"/>
  <c r="H52" i="3" s="1"/>
  <c r="I52" i="3" s="1"/>
  <c r="J52" i="3" s="1"/>
  <c r="K52" i="3" s="1"/>
  <c r="G51" i="3"/>
  <c r="H51" i="3" s="1"/>
  <c r="I51" i="3" s="1"/>
  <c r="J51" i="3" s="1"/>
  <c r="K51" i="3" s="1"/>
  <c r="G50" i="3"/>
  <c r="H50" i="3" s="1"/>
  <c r="I50" i="3" s="1"/>
  <c r="J50" i="3" s="1"/>
  <c r="K50" i="3" s="1"/>
  <c r="G49" i="3"/>
  <c r="H49" i="3" s="1"/>
  <c r="I49" i="3" s="1"/>
  <c r="J49" i="3" s="1"/>
  <c r="K49" i="3" s="1"/>
  <c r="E55" i="3"/>
  <c r="D55" i="3"/>
  <c r="C55" i="3"/>
  <c r="E54" i="3"/>
  <c r="D54" i="3"/>
  <c r="C54" i="3"/>
  <c r="E53" i="3"/>
  <c r="D53" i="3"/>
  <c r="C53" i="3"/>
  <c r="E52" i="3"/>
  <c r="D52" i="3"/>
  <c r="C52" i="3"/>
  <c r="E51" i="3"/>
  <c r="D51" i="3"/>
  <c r="C51" i="3"/>
  <c r="E50" i="3"/>
  <c r="D50" i="3"/>
  <c r="C50" i="3"/>
  <c r="E49" i="3"/>
  <c r="D49" i="3"/>
  <c r="C49" i="3"/>
  <c r="BX48" i="3"/>
  <c r="BX121" i="3" s="1"/>
  <c r="BX47" i="3"/>
  <c r="BP48" i="3"/>
  <c r="BP47" i="3"/>
  <c r="S47" i="3"/>
  <c r="T120" i="3" s="1"/>
  <c r="W120" i="3" s="1"/>
  <c r="S46" i="3"/>
  <c r="S45" i="3"/>
  <c r="T118" i="3" s="1"/>
  <c r="AY45" i="3"/>
  <c r="AW45" i="3"/>
  <c r="U46" i="3"/>
  <c r="T46" i="3"/>
  <c r="U119" i="3" s="1"/>
  <c r="DF53" i="3"/>
  <c r="DG53" i="3" s="1"/>
  <c r="DH53" i="3" s="1"/>
  <c r="DI53" i="3" s="1"/>
  <c r="CZ53" i="3"/>
  <c r="DA53" i="3" s="1"/>
  <c r="CZ50" i="3"/>
  <c r="DA50" i="3" s="1"/>
  <c r="DB50" i="3" s="1"/>
  <c r="DC50" i="3" s="1"/>
  <c r="CT49" i="3"/>
  <c r="BJ45" i="3"/>
  <c r="AH55" i="3"/>
  <c r="AH128" i="3" s="1"/>
  <c r="AH54" i="3"/>
  <c r="AH127" i="3" s="1"/>
  <c r="AI53" i="3"/>
  <c r="AH53" i="3"/>
  <c r="AH126" i="3" s="1"/>
  <c r="AH52" i="3"/>
  <c r="AH125" i="3" s="1"/>
  <c r="AH51" i="3"/>
  <c r="AH124" i="3" s="1"/>
  <c r="AH50" i="3"/>
  <c r="AH123" i="3" s="1"/>
  <c r="AH49" i="3"/>
  <c r="AH122" i="3" s="1"/>
  <c r="AH48" i="3"/>
  <c r="AH121" i="3" s="1"/>
  <c r="AI121" i="3" s="1"/>
  <c r="AH47" i="3"/>
  <c r="AH120" i="3" s="1"/>
  <c r="AH45" i="3"/>
  <c r="AI45" i="3" s="1"/>
  <c r="M47" i="3"/>
  <c r="N47" i="3" s="1"/>
  <c r="O47" i="3" s="1"/>
  <c r="P47" i="3" s="1"/>
  <c r="Q47" i="3" s="1"/>
  <c r="M46" i="3"/>
  <c r="N46" i="3" s="1"/>
  <c r="O46" i="3" s="1"/>
  <c r="P46" i="3" s="1"/>
  <c r="Q46" i="3" s="1"/>
  <c r="M45" i="3"/>
  <c r="G47" i="3"/>
  <c r="H47" i="3" s="1"/>
  <c r="I47" i="3" s="1"/>
  <c r="J47" i="3" s="1"/>
  <c r="K47" i="3" s="1"/>
  <c r="G46" i="3"/>
  <c r="H46" i="3" s="1"/>
  <c r="I46" i="3" s="1"/>
  <c r="J46" i="3" s="1"/>
  <c r="K46" i="3" s="1"/>
  <c r="G45" i="3"/>
  <c r="H45" i="3" s="1"/>
  <c r="E47" i="3"/>
  <c r="D47" i="3"/>
  <c r="C47" i="3"/>
  <c r="E46" i="3"/>
  <c r="D46" i="3"/>
  <c r="C46" i="3"/>
  <c r="E45" i="3"/>
  <c r="D45" i="3"/>
  <c r="C45" i="3"/>
  <c r="BC42" i="3"/>
  <c r="AX42" i="3"/>
  <c r="AW42" i="3"/>
  <c r="AT42" i="3"/>
  <c r="AU42" i="3" s="1"/>
  <c r="AS42" i="3"/>
  <c r="AR42" i="3"/>
  <c r="AQ42" i="3"/>
  <c r="AM42" i="3"/>
  <c r="AL42" i="3"/>
  <c r="AG42" i="3"/>
  <c r="AF42" i="3"/>
  <c r="AE42" i="3"/>
  <c r="CQ41" i="3"/>
  <c r="CQ40" i="3"/>
  <c r="CQ39" i="3"/>
  <c r="CQ38" i="3"/>
  <c r="CQ36" i="3"/>
  <c r="CK41" i="3"/>
  <c r="CK40" i="3"/>
  <c r="CK38" i="3"/>
  <c r="CK36" i="3"/>
  <c r="CK34" i="3"/>
  <c r="CE41" i="3"/>
  <c r="CE40" i="3"/>
  <c r="CE37" i="3"/>
  <c r="CE36" i="3"/>
  <c r="CE34" i="3"/>
  <c r="BY41" i="3"/>
  <c r="BY40" i="3"/>
  <c r="BY39" i="3"/>
  <c r="BY38" i="3"/>
  <c r="BY37" i="3"/>
  <c r="BY36" i="3"/>
  <c r="BS41" i="3"/>
  <c r="BS40" i="3"/>
  <c r="BS38" i="3"/>
  <c r="BS36" i="3"/>
  <c r="BS35" i="3"/>
  <c r="BS34" i="3"/>
  <c r="BO41" i="3"/>
  <c r="BM41" i="3"/>
  <c r="BM40" i="3"/>
  <c r="BM38" i="3"/>
  <c r="BM36" i="3"/>
  <c r="BM35" i="3"/>
  <c r="BM34" i="3"/>
  <c r="BG41" i="3"/>
  <c r="BG40" i="3"/>
  <c r="BG38" i="3"/>
  <c r="BG36" i="3"/>
  <c r="BG35" i="3"/>
  <c r="BG34" i="3"/>
  <c r="BE41" i="3"/>
  <c r="BF114" i="3" s="1"/>
  <c r="BE40" i="3"/>
  <c r="BF113" i="3" s="1"/>
  <c r="BA41" i="3"/>
  <c r="BA38" i="3"/>
  <c r="BA37" i="3"/>
  <c r="BA36" i="3"/>
  <c r="AU41" i="3"/>
  <c r="AU40" i="3"/>
  <c r="AU39" i="3"/>
  <c r="AU38" i="3"/>
  <c r="AU37" i="3"/>
  <c r="AU36" i="3"/>
  <c r="AO41" i="3"/>
  <c r="AO39" i="3"/>
  <c r="AO38" i="3"/>
  <c r="AO37" i="3"/>
  <c r="AO36" i="3"/>
  <c r="AI41" i="3"/>
  <c r="AI38" i="3"/>
  <c r="AC41" i="3"/>
  <c r="AC38" i="3"/>
  <c r="AC37" i="3"/>
  <c r="AC36" i="3"/>
  <c r="W41" i="3"/>
  <c r="W40" i="3"/>
  <c r="W39" i="3"/>
  <c r="S41" i="3"/>
  <c r="T114" i="3" s="1"/>
  <c r="W114" i="3" s="1"/>
  <c r="S40" i="3"/>
  <c r="S39" i="3"/>
  <c r="T112" i="3" s="1"/>
  <c r="W112" i="3" s="1"/>
  <c r="S38" i="3"/>
  <c r="S37" i="3"/>
  <c r="CS40" i="3"/>
  <c r="BR40" i="3"/>
  <c r="BR113" i="3" s="1"/>
  <c r="BR39" i="3"/>
  <c r="BR112" i="3" s="1"/>
  <c r="BD40" i="3"/>
  <c r="BD113" i="3" s="1"/>
  <c r="BD255" i="1" s="1"/>
  <c r="AN40" i="3"/>
  <c r="AN113" i="3" s="1"/>
  <c r="AH40" i="3"/>
  <c r="AH113" i="3" s="1"/>
  <c r="AH39" i="3"/>
  <c r="AH112" i="3" s="1"/>
  <c r="CA39" i="3"/>
  <c r="CB39" i="3" s="1"/>
  <c r="CC39" i="3" s="1"/>
  <c r="BJ39" i="3"/>
  <c r="BK39" i="3" s="1"/>
  <c r="BL39" i="3" s="1"/>
  <c r="BO39" i="3" s="1"/>
  <c r="BF39" i="3"/>
  <c r="BF112" i="3" s="1"/>
  <c r="AY40" i="3"/>
  <c r="AZ40" i="3" s="1"/>
  <c r="BA40" i="3" s="1"/>
  <c r="AY39" i="3"/>
  <c r="AZ39" i="3" s="1"/>
  <c r="BA39" i="3" s="1"/>
  <c r="Z40" i="3"/>
  <c r="AA40" i="3" s="1"/>
  <c r="AB40" i="3" s="1"/>
  <c r="AC40" i="3" s="1"/>
  <c r="Z39" i="3"/>
  <c r="AA39" i="3" s="1"/>
  <c r="BV38" i="3"/>
  <c r="BW38" i="3" s="1"/>
  <c r="BX111" i="3" s="1"/>
  <c r="CZ40" i="3"/>
  <c r="DA40" i="3" s="1"/>
  <c r="CU113" i="3"/>
  <c r="CT39" i="3"/>
  <c r="CS37" i="3"/>
  <c r="CP37" i="3"/>
  <c r="CP42" i="3" s="1"/>
  <c r="CQ42" i="3" s="1"/>
  <c r="CO37" i="3"/>
  <c r="CP110" i="3" s="1"/>
  <c r="CN37" i="3"/>
  <c r="CO110" i="3" s="1"/>
  <c r="CM37" i="3"/>
  <c r="CJ37" i="3"/>
  <c r="CK37" i="3" s="1"/>
  <c r="CI37" i="3"/>
  <c r="CJ110" i="3" s="1"/>
  <c r="CH37" i="3"/>
  <c r="CI110" i="3" s="1"/>
  <c r="CG37" i="3"/>
  <c r="CB38" i="3"/>
  <c r="CD37" i="3"/>
  <c r="CC37" i="3"/>
  <c r="CD110" i="3" s="1"/>
  <c r="CB37" i="3"/>
  <c r="CC110" i="3" s="1"/>
  <c r="CA37" i="3"/>
  <c r="BX37" i="3"/>
  <c r="BX42" i="3" s="1"/>
  <c r="BY42" i="3" s="1"/>
  <c r="BW37" i="3"/>
  <c r="BX110" i="3" s="1"/>
  <c r="BV37" i="3"/>
  <c r="BW110" i="3" s="1"/>
  <c r="BU37" i="3"/>
  <c r="BR37" i="3"/>
  <c r="BS37" i="3" s="1"/>
  <c r="BQ37" i="3"/>
  <c r="BR110" i="3" s="1"/>
  <c r="BP37" i="3"/>
  <c r="BL37" i="3"/>
  <c r="BM37" i="3" s="1"/>
  <c r="BK37" i="3"/>
  <c r="BJ37" i="3"/>
  <c r="BK110" i="3" s="1"/>
  <c r="BI37" i="3"/>
  <c r="BF37" i="3"/>
  <c r="BF110" i="3" s="1"/>
  <c r="AZ37" i="3"/>
  <c r="AY37" i="3"/>
  <c r="AH37" i="3"/>
  <c r="AH110" i="3" s="1"/>
  <c r="AH36" i="3"/>
  <c r="AH109" i="3" s="1"/>
  <c r="Y38" i="3"/>
  <c r="M41" i="3"/>
  <c r="N41" i="3" s="1"/>
  <c r="O41" i="3" s="1"/>
  <c r="P41" i="3" s="1"/>
  <c r="Q41" i="3" s="1"/>
  <c r="M40" i="3"/>
  <c r="N40" i="3" s="1"/>
  <c r="O40" i="3" s="1"/>
  <c r="P40" i="3" s="1"/>
  <c r="Q40" i="3" s="1"/>
  <c r="M39" i="3"/>
  <c r="N39" i="3" s="1"/>
  <c r="O39" i="3" s="1"/>
  <c r="P39" i="3" s="1"/>
  <c r="Q39" i="3" s="1"/>
  <c r="M38" i="3"/>
  <c r="N38" i="3" s="1"/>
  <c r="M37" i="3"/>
  <c r="N37" i="3" s="1"/>
  <c r="O37" i="3" s="1"/>
  <c r="P37" i="3" s="1"/>
  <c r="Q37" i="3" s="1"/>
  <c r="G41" i="3"/>
  <c r="H41" i="3" s="1"/>
  <c r="I41" i="3" s="1"/>
  <c r="J41" i="3" s="1"/>
  <c r="K41" i="3" s="1"/>
  <c r="G40" i="3"/>
  <c r="H40" i="3" s="1"/>
  <c r="I40" i="3" s="1"/>
  <c r="J40" i="3" s="1"/>
  <c r="K40" i="3" s="1"/>
  <c r="G39" i="3"/>
  <c r="H39" i="3" s="1"/>
  <c r="I39" i="3" s="1"/>
  <c r="G38" i="3"/>
  <c r="H38" i="3" s="1"/>
  <c r="I38" i="3" s="1"/>
  <c r="J38" i="3" s="1"/>
  <c r="K38" i="3" s="1"/>
  <c r="G37" i="3"/>
  <c r="H37" i="3" s="1"/>
  <c r="I37" i="3" s="1"/>
  <c r="J37" i="3" s="1"/>
  <c r="K37" i="3" s="1"/>
  <c r="E41" i="3"/>
  <c r="D41" i="3"/>
  <c r="C41" i="3"/>
  <c r="E40" i="3"/>
  <c r="D40" i="3"/>
  <c r="C40" i="3"/>
  <c r="E39" i="3"/>
  <c r="D39" i="3"/>
  <c r="C39" i="3"/>
  <c r="E38" i="3"/>
  <c r="D38" i="3"/>
  <c r="C38" i="3"/>
  <c r="E37" i="3"/>
  <c r="D37" i="3"/>
  <c r="C37" i="3"/>
  <c r="DI36" i="3"/>
  <c r="DC36" i="3"/>
  <c r="CW36" i="3"/>
  <c r="CJ35" i="3"/>
  <c r="CI35" i="3"/>
  <c r="CJ108" i="3" s="1"/>
  <c r="CH35" i="3"/>
  <c r="CI108" i="3" s="1"/>
  <c r="CG35" i="3"/>
  <c r="CD35" i="3"/>
  <c r="CC35" i="3"/>
  <c r="CS34" i="3"/>
  <c r="CS42" i="3" s="1"/>
  <c r="CQ34" i="3"/>
  <c r="BY34" i="3"/>
  <c r="BE34" i="3"/>
  <c r="BA34" i="3"/>
  <c r="AU34" i="3"/>
  <c r="AO34" i="3"/>
  <c r="AH34" i="3"/>
  <c r="AC34" i="3"/>
  <c r="W34" i="3"/>
  <c r="S34" i="3"/>
  <c r="T107" i="3" s="1"/>
  <c r="M34" i="3"/>
  <c r="G34" i="3"/>
  <c r="H34" i="3" s="1"/>
  <c r="E34" i="3"/>
  <c r="D34" i="3"/>
  <c r="C34" i="3"/>
  <c r="CO30" i="3"/>
  <c r="BW30" i="3"/>
  <c r="BW31" i="3" s="1"/>
  <c r="BW69" i="3" s="1"/>
  <c r="BI30" i="3"/>
  <c r="CQ29" i="3"/>
  <c r="CQ28" i="3"/>
  <c r="CQ27" i="3"/>
  <c r="CQ25" i="3"/>
  <c r="CK29" i="3"/>
  <c r="CK28" i="3"/>
  <c r="CK27" i="3"/>
  <c r="CK25" i="3"/>
  <c r="CE29" i="3"/>
  <c r="CE28" i="3"/>
  <c r="CE27" i="3"/>
  <c r="CE25" i="3"/>
  <c r="I44" i="442" s="1"/>
  <c r="BY29" i="3"/>
  <c r="BY28" i="3"/>
  <c r="BY27" i="3"/>
  <c r="BY25" i="3"/>
  <c r="BY23" i="3"/>
  <c r="BY22" i="3"/>
  <c r="BY21" i="3"/>
  <c r="BY20" i="3"/>
  <c r="BY19" i="3"/>
  <c r="BY18" i="3"/>
  <c r="BY17" i="3"/>
  <c r="BY16" i="3"/>
  <c r="BY15" i="3"/>
  <c r="BY14" i="3"/>
  <c r="BY13" i="3"/>
  <c r="BU29" i="3"/>
  <c r="BS29" i="3"/>
  <c r="BS25" i="3"/>
  <c r="BM29" i="3"/>
  <c r="BM28" i="3"/>
  <c r="BM27" i="3"/>
  <c r="BM26" i="3"/>
  <c r="BM25" i="3"/>
  <c r="BJ29" i="3"/>
  <c r="BG29" i="3"/>
  <c r="BF29" i="3"/>
  <c r="BF101" i="3" s="1"/>
  <c r="BA29" i="3"/>
  <c r="BA28" i="3"/>
  <c r="BA25" i="3"/>
  <c r="AW28" i="3"/>
  <c r="AW27" i="3"/>
  <c r="AW25" i="3"/>
  <c r="AU29" i="3"/>
  <c r="AU28" i="3"/>
  <c r="AU27" i="3"/>
  <c r="AU25" i="3"/>
  <c r="AU24" i="3"/>
  <c r="AS29" i="3"/>
  <c r="AT101" i="3" s="1"/>
  <c r="AO29" i="3"/>
  <c r="AO28" i="3"/>
  <c r="AO27" i="3"/>
  <c r="AO25" i="3"/>
  <c r="AO24" i="3"/>
  <c r="AC29" i="3"/>
  <c r="AC28" i="3"/>
  <c r="AC25" i="3"/>
  <c r="CS28" i="3"/>
  <c r="CS27" i="3"/>
  <c r="CS26" i="3"/>
  <c r="CS24" i="3" s="1"/>
  <c r="BG28" i="3"/>
  <c r="BG27" i="3"/>
  <c r="BG26" i="3"/>
  <c r="BG25" i="3"/>
  <c r="AK28" i="3"/>
  <c r="Y28" i="3"/>
  <c r="Z28" i="3" s="1"/>
  <c r="BL27" i="3"/>
  <c r="BK27" i="3"/>
  <c r="BL99" i="3" s="1"/>
  <c r="BJ27" i="3"/>
  <c r="BK99" i="3" s="1"/>
  <c r="BI27" i="3"/>
  <c r="AT27" i="3"/>
  <c r="AT99" i="3" s="1"/>
  <c r="AT26" i="3"/>
  <c r="AT98" i="3" s="1"/>
  <c r="CP26" i="3"/>
  <c r="CO26" i="3"/>
  <c r="CN26" i="3"/>
  <c r="CO98" i="3" s="1"/>
  <c r="CM26" i="3"/>
  <c r="CJ26" i="3"/>
  <c r="CK26" i="3" s="1"/>
  <c r="CI26" i="3"/>
  <c r="CH26" i="3"/>
  <c r="CI98" i="3" s="1"/>
  <c r="CG26" i="3"/>
  <c r="CD26" i="3"/>
  <c r="CE26" i="3" s="1"/>
  <c r="CC26" i="3"/>
  <c r="CB26" i="3"/>
  <c r="CC98" i="3" s="1"/>
  <c r="CA26" i="3"/>
  <c r="BX26" i="3"/>
  <c r="BW26" i="3"/>
  <c r="BV26" i="3"/>
  <c r="BW98" i="3" s="1"/>
  <c r="BU26" i="3"/>
  <c r="BR28" i="3"/>
  <c r="BS28" i="3" s="1"/>
  <c r="BQ28" i="3"/>
  <c r="BR27" i="3"/>
  <c r="BS27" i="3" s="1"/>
  <c r="BQ27" i="3"/>
  <c r="BR26" i="3"/>
  <c r="BQ26" i="3"/>
  <c r="BP27" i="3"/>
  <c r="BO27" i="3"/>
  <c r="BP26" i="3"/>
  <c r="BO26" i="3"/>
  <c r="BL26" i="3"/>
  <c r="BL30" i="3" s="1"/>
  <c r="BK26" i="3"/>
  <c r="BJ26" i="3"/>
  <c r="BE27" i="3"/>
  <c r="BF99" i="3" s="1"/>
  <c r="BD27" i="3"/>
  <c r="BE99" i="3" s="1"/>
  <c r="BC27" i="3"/>
  <c r="BE26" i="3"/>
  <c r="BF98" i="3" s="1"/>
  <c r="BD26" i="3"/>
  <c r="BC26" i="3"/>
  <c r="BC24" i="3" s="1"/>
  <c r="AZ27" i="3"/>
  <c r="BA27" i="3" s="1"/>
  <c r="AY27" i="3"/>
  <c r="AZ99" i="3" s="1"/>
  <c r="AX27" i="3"/>
  <c r="AZ26" i="3"/>
  <c r="AZ30" i="3" s="1"/>
  <c r="AY26" i="3"/>
  <c r="AZ98" i="3" s="1"/>
  <c r="AX26" i="3"/>
  <c r="AN27" i="3"/>
  <c r="AN26" i="3"/>
  <c r="AO26" i="3" s="1"/>
  <c r="AE30" i="3"/>
  <c r="AE31" i="3" s="1"/>
  <c r="AE69" i="3" s="1"/>
  <c r="AE28" i="3"/>
  <c r="AF28" i="3" s="1"/>
  <c r="AH27" i="3"/>
  <c r="AI27" i="3" s="1"/>
  <c r="AH26" i="3"/>
  <c r="AI26" i="3" s="1"/>
  <c r="AB27" i="3"/>
  <c r="AC27" i="3" s="1"/>
  <c r="AB26" i="3"/>
  <c r="AC26" i="3" s="1"/>
  <c r="AQ28" i="3"/>
  <c r="AQ25" i="3"/>
  <c r="AK25" i="3"/>
  <c r="AL25" i="3" s="1"/>
  <c r="AM25" i="3" s="1"/>
  <c r="AI25" i="3"/>
  <c r="AE25" i="3"/>
  <c r="AF25" i="3" s="1"/>
  <c r="AG25" i="3" s="1"/>
  <c r="Y25" i="3"/>
  <c r="Z25" i="3" s="1"/>
  <c r="AA25" i="3" s="1"/>
  <c r="S29" i="3"/>
  <c r="S28" i="3"/>
  <c r="T28" i="3" s="1"/>
  <c r="S27" i="3"/>
  <c r="S26" i="3"/>
  <c r="S25" i="3"/>
  <c r="T25" i="3" s="1"/>
  <c r="CP24" i="3"/>
  <c r="CQ24" i="3" s="1"/>
  <c r="CO24" i="3"/>
  <c r="CN24" i="3"/>
  <c r="CI24" i="3"/>
  <c r="CH24" i="3"/>
  <c r="CD24" i="3"/>
  <c r="CE24" i="3" s="1"/>
  <c r="CC24" i="3"/>
  <c r="CB24" i="3"/>
  <c r="BX24" i="3"/>
  <c r="BY24" i="3" s="1"/>
  <c r="BW24" i="3"/>
  <c r="BV24" i="3"/>
  <c r="BR24" i="3"/>
  <c r="BS24" i="3" s="1"/>
  <c r="BQ24" i="3"/>
  <c r="BP24" i="3"/>
  <c r="BL24" i="3"/>
  <c r="BM24" i="3" s="1"/>
  <c r="BK24" i="3"/>
  <c r="BJ24" i="3"/>
  <c r="BI24" i="3"/>
  <c r="BF24" i="3"/>
  <c r="BG24" i="3" s="1"/>
  <c r="BE24" i="3"/>
  <c r="BD24" i="3"/>
  <c r="AZ24" i="3"/>
  <c r="AX24" i="3"/>
  <c r="AH24" i="3"/>
  <c r="AB24" i="3"/>
  <c r="AA24" i="3"/>
  <c r="W24" i="3"/>
  <c r="Q29" i="3"/>
  <c r="P29" i="3" s="1"/>
  <c r="M29" i="3"/>
  <c r="Q28" i="3"/>
  <c r="P28" i="3" s="1"/>
  <c r="M28" i="3"/>
  <c r="Q27" i="3"/>
  <c r="P27" i="3" s="1"/>
  <c r="M27" i="3"/>
  <c r="Q26" i="3"/>
  <c r="P26" i="3" s="1"/>
  <c r="M26" i="3"/>
  <c r="Q25" i="3"/>
  <c r="P25" i="3" s="1"/>
  <c r="M25" i="3"/>
  <c r="G29" i="3"/>
  <c r="H29" i="3" s="1"/>
  <c r="I29" i="3" s="1"/>
  <c r="J29" i="3" s="1"/>
  <c r="K29" i="3" s="1"/>
  <c r="G28" i="3"/>
  <c r="H28" i="3" s="1"/>
  <c r="I28" i="3" s="1"/>
  <c r="J28" i="3" s="1"/>
  <c r="K28" i="3" s="1"/>
  <c r="G27" i="3"/>
  <c r="H27" i="3" s="1"/>
  <c r="I27" i="3" s="1"/>
  <c r="J27" i="3" s="1"/>
  <c r="K27" i="3" s="1"/>
  <c r="G26" i="3"/>
  <c r="H26" i="3" s="1"/>
  <c r="I26" i="3" s="1"/>
  <c r="J26" i="3" s="1"/>
  <c r="K26" i="3" s="1"/>
  <c r="G25" i="3"/>
  <c r="H25" i="3" s="1"/>
  <c r="I25" i="3" s="1"/>
  <c r="J25" i="3" s="1"/>
  <c r="K25" i="3" s="1"/>
  <c r="G24" i="3"/>
  <c r="H24" i="3" s="1"/>
  <c r="I24" i="3" s="1"/>
  <c r="J24" i="3" s="1"/>
  <c r="E29" i="3"/>
  <c r="D29" i="3"/>
  <c r="C29" i="3"/>
  <c r="E28" i="3"/>
  <c r="D28" i="3"/>
  <c r="C28" i="3"/>
  <c r="E27" i="3"/>
  <c r="D27" i="3"/>
  <c r="C27" i="3"/>
  <c r="E26" i="3"/>
  <c r="D26" i="3"/>
  <c r="C26" i="3"/>
  <c r="E25" i="3"/>
  <c r="D25" i="3"/>
  <c r="C25" i="3"/>
  <c r="D24" i="3"/>
  <c r="C24" i="3"/>
  <c r="DE22" i="3"/>
  <c r="CY22" i="3"/>
  <c r="CT22" i="3"/>
  <c r="CQ22" i="3"/>
  <c r="CQ21" i="3"/>
  <c r="CQ20" i="3"/>
  <c r="CQ19" i="3"/>
  <c r="CQ18" i="3"/>
  <c r="CQ17" i="3"/>
  <c r="CQ16" i="3"/>
  <c r="CQ15" i="3"/>
  <c r="CQ14" i="3"/>
  <c r="CQ13" i="3"/>
  <c r="CM22" i="3"/>
  <c r="CJ22" i="3"/>
  <c r="CJ30" i="3" s="1"/>
  <c r="CI22" i="3"/>
  <c r="CE22" i="3"/>
  <c r="CD22" i="3"/>
  <c r="CD30" i="3" s="1"/>
  <c r="CC22" i="3"/>
  <c r="BS22" i="3"/>
  <c r="BS21" i="3"/>
  <c r="BS20" i="3"/>
  <c r="BS19" i="3"/>
  <c r="BS18" i="3"/>
  <c r="BS17" i="3"/>
  <c r="BS16" i="3"/>
  <c r="BS15" i="3"/>
  <c r="BS14" i="3"/>
  <c r="BS13" i="3"/>
  <c r="BM22" i="3"/>
  <c r="BM21" i="3"/>
  <c r="BM20" i="3"/>
  <c r="BM19" i="3"/>
  <c r="BM18" i="3"/>
  <c r="BM17" i="3"/>
  <c r="BM16" i="3"/>
  <c r="BM15" i="3"/>
  <c r="BM14" i="3"/>
  <c r="BM13" i="3"/>
  <c r="BE22" i="3"/>
  <c r="BF22" i="3" s="1"/>
  <c r="BG22" i="3" s="1"/>
  <c r="BA22" i="3"/>
  <c r="BA21" i="3"/>
  <c r="BA20" i="3"/>
  <c r="BA19" i="3"/>
  <c r="BA18" i="3"/>
  <c r="BA17" i="3"/>
  <c r="BA16" i="3"/>
  <c r="BA15" i="3"/>
  <c r="BA14" i="3"/>
  <c r="BA13" i="3"/>
  <c r="AY22" i="3"/>
  <c r="AY20" i="3"/>
  <c r="AY19" i="3"/>
  <c r="AY18" i="3"/>
  <c r="AU22" i="3"/>
  <c r="AU21" i="3"/>
  <c r="AU20" i="3"/>
  <c r="AU19" i="3"/>
  <c r="AU18" i="3"/>
  <c r="AU17" i="3"/>
  <c r="AU16" i="3"/>
  <c r="AU15" i="3"/>
  <c r="AU14" i="3"/>
  <c r="AU13" i="3"/>
  <c r="AO22" i="3"/>
  <c r="AO21" i="3"/>
  <c r="AO20" i="3"/>
  <c r="AO17" i="3"/>
  <c r="AO16" i="3"/>
  <c r="AO15" i="3"/>
  <c r="AO14" i="3"/>
  <c r="AO13" i="3"/>
  <c r="AB22" i="3"/>
  <c r="AC22" i="3" s="1"/>
  <c r="W22" i="3"/>
  <c r="W21" i="3"/>
  <c r="W20" i="3"/>
  <c r="W19" i="3"/>
  <c r="W18" i="3"/>
  <c r="W17" i="3"/>
  <c r="S22" i="3"/>
  <c r="T94" i="3" s="1"/>
  <c r="W94" i="3" s="1"/>
  <c r="S21" i="3"/>
  <c r="T93" i="3" s="1"/>
  <c r="W93" i="3" s="1"/>
  <c r="S20" i="3"/>
  <c r="T92" i="3" s="1"/>
  <c r="S19" i="3"/>
  <c r="T91" i="3" s="1"/>
  <c r="W91" i="3" s="1"/>
  <c r="S18" i="3"/>
  <c r="T90" i="3" s="1"/>
  <c r="W90" i="3" s="1"/>
  <c r="S17" i="3"/>
  <c r="T89" i="3" s="1"/>
  <c r="W89" i="3" s="1"/>
  <c r="DI21" i="3"/>
  <c r="DC21" i="3"/>
  <c r="CW21" i="3"/>
  <c r="CK21" i="3"/>
  <c r="CK20" i="3"/>
  <c r="CK19" i="3"/>
  <c r="CK18" i="3"/>
  <c r="CK17" i="3"/>
  <c r="CK16" i="3"/>
  <c r="CK15" i="3"/>
  <c r="CK14" i="3"/>
  <c r="CK13" i="3"/>
  <c r="CE21" i="3"/>
  <c r="CE20" i="3"/>
  <c r="CE19" i="3"/>
  <c r="CE18" i="3"/>
  <c r="CE17" i="3"/>
  <c r="CE16" i="3"/>
  <c r="CE15" i="3"/>
  <c r="CE14" i="3"/>
  <c r="CE13" i="3"/>
  <c r="BG21" i="3"/>
  <c r="BG17" i="3"/>
  <c r="BG16" i="3"/>
  <c r="BG15" i="3"/>
  <c r="BG14" i="3"/>
  <c r="BG13" i="3"/>
  <c r="AC21" i="3"/>
  <c r="AC20" i="3"/>
  <c r="AC19" i="3"/>
  <c r="AC18" i="3"/>
  <c r="AC17" i="3"/>
  <c r="AC16" i="3"/>
  <c r="AC15" i="3"/>
  <c r="AC14" i="3"/>
  <c r="AC13" i="3"/>
  <c r="CC20" i="3"/>
  <c r="CC19" i="3"/>
  <c r="AS20" i="3"/>
  <c r="AS19" i="3"/>
  <c r="AS18" i="3"/>
  <c r="AN19" i="3"/>
  <c r="AN91" i="3" s="1"/>
  <c r="AN18" i="3"/>
  <c r="AN90" i="3" s="1"/>
  <c r="BD20" i="3"/>
  <c r="BD19" i="3"/>
  <c r="BE19" i="3" s="1"/>
  <c r="BD18" i="3"/>
  <c r="AH22" i="3"/>
  <c r="AH94" i="3" s="1"/>
  <c r="AH21" i="3"/>
  <c r="AH20" i="3"/>
  <c r="AI20" i="3" s="1"/>
  <c r="AH19" i="3"/>
  <c r="AK19" i="3" s="1"/>
  <c r="AH18" i="3"/>
  <c r="AH90" i="3" s="1"/>
  <c r="AH17" i="3"/>
  <c r="M22" i="3"/>
  <c r="N22" i="3" s="1"/>
  <c r="O22" i="3" s="1"/>
  <c r="P22" i="3" s="1"/>
  <c r="Q22" i="3" s="1"/>
  <c r="M21" i="3"/>
  <c r="N21" i="3" s="1"/>
  <c r="O21" i="3" s="1"/>
  <c r="P21" i="3" s="1"/>
  <c r="Q21" i="3" s="1"/>
  <c r="M20" i="3"/>
  <c r="N20" i="3" s="1"/>
  <c r="O20" i="3" s="1"/>
  <c r="P20" i="3" s="1"/>
  <c r="Q20" i="3" s="1"/>
  <c r="M19" i="3"/>
  <c r="N19" i="3" s="1"/>
  <c r="O19" i="3" s="1"/>
  <c r="P19" i="3" s="1"/>
  <c r="Q19" i="3" s="1"/>
  <c r="M18" i="3"/>
  <c r="N18" i="3" s="1"/>
  <c r="O18" i="3" s="1"/>
  <c r="P18" i="3" s="1"/>
  <c r="Q18" i="3" s="1"/>
  <c r="M17" i="3"/>
  <c r="N17" i="3" s="1"/>
  <c r="O17" i="3" s="1"/>
  <c r="P17" i="3" s="1"/>
  <c r="Q17" i="3" s="1"/>
  <c r="G22" i="3"/>
  <c r="H22" i="3" s="1"/>
  <c r="I22" i="3" s="1"/>
  <c r="J22" i="3" s="1"/>
  <c r="K22" i="3" s="1"/>
  <c r="G21" i="3"/>
  <c r="H21" i="3" s="1"/>
  <c r="I21" i="3" s="1"/>
  <c r="J21" i="3" s="1"/>
  <c r="K21" i="3" s="1"/>
  <c r="G20" i="3"/>
  <c r="H20" i="3" s="1"/>
  <c r="I20" i="3" s="1"/>
  <c r="J20" i="3" s="1"/>
  <c r="K20" i="3" s="1"/>
  <c r="G19" i="3"/>
  <c r="H19" i="3" s="1"/>
  <c r="I19" i="3" s="1"/>
  <c r="J19" i="3" s="1"/>
  <c r="K19" i="3" s="1"/>
  <c r="G18" i="3"/>
  <c r="H18" i="3" s="1"/>
  <c r="I18" i="3" s="1"/>
  <c r="J18" i="3" s="1"/>
  <c r="K18" i="3" s="1"/>
  <c r="G17" i="3"/>
  <c r="H17" i="3" s="1"/>
  <c r="I17" i="3" s="1"/>
  <c r="J17" i="3" s="1"/>
  <c r="K17" i="3" s="1"/>
  <c r="E22" i="3"/>
  <c r="D22" i="3"/>
  <c r="C22" i="3"/>
  <c r="E21" i="3"/>
  <c r="D21" i="3"/>
  <c r="C21" i="3"/>
  <c r="E20" i="3"/>
  <c r="D20" i="3"/>
  <c r="C20" i="3"/>
  <c r="E19" i="3"/>
  <c r="D19" i="3"/>
  <c r="C19" i="3"/>
  <c r="E18" i="3"/>
  <c r="D18" i="3"/>
  <c r="C18" i="3"/>
  <c r="E17" i="3"/>
  <c r="D17" i="3"/>
  <c r="C17" i="3"/>
  <c r="CH16" i="3"/>
  <c r="CB16" i="3"/>
  <c r="CA16" i="3"/>
  <c r="AI16" i="3"/>
  <c r="AH15" i="3"/>
  <c r="AH87" i="3" s="1"/>
  <c r="AH14" i="3"/>
  <c r="AH86" i="3" s="1"/>
  <c r="AH13" i="3"/>
  <c r="W15" i="3"/>
  <c r="W14" i="3"/>
  <c r="W13" i="3"/>
  <c r="S15" i="3"/>
  <c r="T87" i="3" s="1"/>
  <c r="W87" i="3" s="1"/>
  <c r="S14" i="3"/>
  <c r="T86" i="3" s="1"/>
  <c r="W86" i="3" s="1"/>
  <c r="S13" i="3"/>
  <c r="T85" i="3" s="1"/>
  <c r="W85" i="3" s="1"/>
  <c r="W257" i="1" s="1"/>
  <c r="DF17" i="3"/>
  <c r="DG17" i="3" s="1"/>
  <c r="CZ17" i="3"/>
  <c r="DA17" i="3" s="1"/>
  <c r="CT20" i="3"/>
  <c r="CT19" i="3"/>
  <c r="CT18" i="3"/>
  <c r="M15" i="3"/>
  <c r="N15" i="3" s="1"/>
  <c r="O15" i="3" s="1"/>
  <c r="P15" i="3" s="1"/>
  <c r="Q15" i="3" s="1"/>
  <c r="N14" i="3"/>
  <c r="O14" i="3" s="1"/>
  <c r="P14" i="3" s="1"/>
  <c r="Q14" i="3" s="1"/>
  <c r="M14" i="3"/>
  <c r="M13" i="3"/>
  <c r="N13" i="3" s="1"/>
  <c r="O13" i="3" s="1"/>
  <c r="P13" i="3" s="1"/>
  <c r="G15" i="3"/>
  <c r="H15" i="3" s="1"/>
  <c r="I15" i="3" s="1"/>
  <c r="J15" i="3" s="1"/>
  <c r="K15" i="3" s="1"/>
  <c r="G14" i="3"/>
  <c r="H14" i="3" s="1"/>
  <c r="I14" i="3" s="1"/>
  <c r="J14" i="3" s="1"/>
  <c r="K14" i="3" s="1"/>
  <c r="G13" i="3"/>
  <c r="H13" i="3" s="1"/>
  <c r="I13" i="3" s="1"/>
  <c r="J13" i="3" s="1"/>
  <c r="E15" i="3"/>
  <c r="D15" i="3"/>
  <c r="C15" i="3"/>
  <c r="E14" i="3"/>
  <c r="D14" i="3"/>
  <c r="C14" i="3"/>
  <c r="E13" i="3"/>
  <c r="D13" i="3"/>
  <c r="C13" i="3"/>
  <c r="CQ10" i="3"/>
  <c r="CK10" i="3"/>
  <c r="CE10" i="3"/>
  <c r="BY10" i="3"/>
  <c r="BS10" i="3"/>
  <c r="BM10" i="3"/>
  <c r="BG10" i="3"/>
  <c r="BA10" i="3"/>
  <c r="AW10" i="3"/>
  <c r="AU10" i="3"/>
  <c r="AO10" i="3"/>
  <c r="AC10" i="3"/>
  <c r="W10" i="3"/>
  <c r="S10" i="3"/>
  <c r="T82" i="3" s="1"/>
  <c r="M10" i="3"/>
  <c r="G10" i="3"/>
  <c r="E10" i="3"/>
  <c r="D10" i="3"/>
  <c r="D30" i="3" s="1"/>
  <c r="C10" i="3"/>
  <c r="DI7" i="3"/>
  <c r="DI79" i="3" s="1"/>
  <c r="DH7" i="3"/>
  <c r="DH79" i="3" s="1"/>
  <c r="DG7" i="3"/>
  <c r="DG79" i="3" s="1"/>
  <c r="DF7" i="3"/>
  <c r="DF79" i="3" s="1"/>
  <c r="DE7" i="3"/>
  <c r="DE79" i="3" s="1"/>
  <c r="DC7" i="3"/>
  <c r="DC79" i="3" s="1"/>
  <c r="DB7" i="3"/>
  <c r="DB79" i="3" s="1"/>
  <c r="DA7" i="3"/>
  <c r="DA79" i="3" s="1"/>
  <c r="CZ7" i="3"/>
  <c r="CZ79" i="3" s="1"/>
  <c r="CY7" i="3"/>
  <c r="CY79" i="3" s="1"/>
  <c r="CW7" i="3"/>
  <c r="CW79" i="3" s="1"/>
  <c r="CV7" i="3"/>
  <c r="CV79" i="3" s="1"/>
  <c r="CU7" i="3"/>
  <c r="CU79" i="3" s="1"/>
  <c r="CT7" i="3"/>
  <c r="CT79" i="3" s="1"/>
  <c r="CS7" i="3"/>
  <c r="CS79" i="3" s="1"/>
  <c r="CQ7" i="3"/>
  <c r="CQ79" i="3" s="1"/>
  <c r="CP7" i="3"/>
  <c r="CP79" i="3" s="1"/>
  <c r="CO7" i="3"/>
  <c r="CO79" i="3" s="1"/>
  <c r="CN7" i="3"/>
  <c r="CN79" i="3" s="1"/>
  <c r="CM7" i="3"/>
  <c r="CM79" i="3" s="1"/>
  <c r="CK7" i="3"/>
  <c r="CK79" i="3" s="1"/>
  <c r="CJ7" i="3"/>
  <c r="CJ79" i="3" s="1"/>
  <c r="CI7" i="3"/>
  <c r="CI79" i="3" s="1"/>
  <c r="CH7" i="3"/>
  <c r="CH79" i="3" s="1"/>
  <c r="CG7" i="3"/>
  <c r="CG79" i="3" s="1"/>
  <c r="CE7" i="3"/>
  <c r="CE79" i="3" s="1"/>
  <c r="CD7" i="3"/>
  <c r="CD79" i="3" s="1"/>
  <c r="CC7" i="3"/>
  <c r="CC79" i="3" s="1"/>
  <c r="CB7" i="3"/>
  <c r="CB79" i="3" s="1"/>
  <c r="CA7" i="3"/>
  <c r="CA79" i="3" s="1"/>
  <c r="BY7" i="3"/>
  <c r="BY79" i="3" s="1"/>
  <c r="BX7" i="3"/>
  <c r="BX79" i="3" s="1"/>
  <c r="BW7" i="3"/>
  <c r="BW79" i="3" s="1"/>
  <c r="BV7" i="3"/>
  <c r="BV79" i="3" s="1"/>
  <c r="BU7" i="3"/>
  <c r="BU79" i="3" s="1"/>
  <c r="BS7" i="3"/>
  <c r="BS79" i="3" s="1"/>
  <c r="BR7" i="3"/>
  <c r="BR79" i="3" s="1"/>
  <c r="BQ7" i="3"/>
  <c r="BQ79" i="3" s="1"/>
  <c r="BP7" i="3"/>
  <c r="BP79" i="3" s="1"/>
  <c r="BO7" i="3"/>
  <c r="BO79" i="3" s="1"/>
  <c r="BM7" i="3"/>
  <c r="BM79" i="3" s="1"/>
  <c r="BL7" i="3"/>
  <c r="BL79" i="3" s="1"/>
  <c r="BK7" i="3"/>
  <c r="BK79" i="3" s="1"/>
  <c r="BJ7" i="3"/>
  <c r="BJ79" i="3" s="1"/>
  <c r="BI7" i="3"/>
  <c r="BI79" i="3" s="1"/>
  <c r="BG7" i="3"/>
  <c r="BG79" i="3" s="1"/>
  <c r="BF7" i="3"/>
  <c r="BF79" i="3" s="1"/>
  <c r="BE7" i="3"/>
  <c r="BE79" i="3" s="1"/>
  <c r="BD7" i="3"/>
  <c r="BD79" i="3" s="1"/>
  <c r="BC7" i="3"/>
  <c r="BC79" i="3" s="1"/>
  <c r="BA7" i="3"/>
  <c r="BA79" i="3" s="1"/>
  <c r="AZ7" i="3"/>
  <c r="AZ79" i="3" s="1"/>
  <c r="AY7" i="3"/>
  <c r="AY79" i="3" s="1"/>
  <c r="AX7" i="3"/>
  <c r="AX79" i="3" s="1"/>
  <c r="AW7" i="3"/>
  <c r="AW79" i="3" s="1"/>
  <c r="AU7" i="3"/>
  <c r="AU79" i="3" s="1"/>
  <c r="AT7" i="3"/>
  <c r="AT79" i="3" s="1"/>
  <c r="AS7" i="3"/>
  <c r="AS79" i="3" s="1"/>
  <c r="AR7" i="3"/>
  <c r="AR79" i="3" s="1"/>
  <c r="AQ7" i="3"/>
  <c r="AQ79" i="3" s="1"/>
  <c r="AO7" i="3"/>
  <c r="AO79" i="3" s="1"/>
  <c r="AN7" i="3"/>
  <c r="AN79" i="3" s="1"/>
  <c r="AM7" i="3"/>
  <c r="AM79" i="3" s="1"/>
  <c r="AL7" i="3"/>
  <c r="AL79" i="3" s="1"/>
  <c r="AK7" i="3"/>
  <c r="AK79" i="3" s="1"/>
  <c r="AI7" i="3"/>
  <c r="AI79" i="3" s="1"/>
  <c r="AH7" i="3"/>
  <c r="AH79" i="3" s="1"/>
  <c r="AG7" i="3"/>
  <c r="AG79" i="3" s="1"/>
  <c r="AF7" i="3"/>
  <c r="AF79" i="3" s="1"/>
  <c r="AE7" i="3"/>
  <c r="AE79" i="3" s="1"/>
  <c r="AC7" i="3"/>
  <c r="AC79" i="3" s="1"/>
  <c r="AB7" i="3"/>
  <c r="AB79" i="3" s="1"/>
  <c r="AA7" i="3"/>
  <c r="AA79" i="3" s="1"/>
  <c r="Z7" i="3"/>
  <c r="Z79" i="3" s="1"/>
  <c r="Y7" i="3"/>
  <c r="Y79" i="3" s="1"/>
  <c r="W7" i="3"/>
  <c r="W79" i="3" s="1"/>
  <c r="V7" i="3"/>
  <c r="V79" i="3" s="1"/>
  <c r="U7" i="3"/>
  <c r="U79" i="3" s="1"/>
  <c r="T7" i="3"/>
  <c r="T79" i="3" s="1"/>
  <c r="S7" i="3"/>
  <c r="S79" i="3" s="1"/>
  <c r="Q7" i="3"/>
  <c r="Q79" i="3" s="1"/>
  <c r="P7" i="3"/>
  <c r="P79" i="3" s="1"/>
  <c r="O7" i="3"/>
  <c r="O79" i="3" s="1"/>
  <c r="N7" i="3"/>
  <c r="N79" i="3" s="1"/>
  <c r="M7" i="3"/>
  <c r="M79" i="3" s="1"/>
  <c r="K7" i="3"/>
  <c r="K79" i="3" s="1"/>
  <c r="J7" i="3"/>
  <c r="J79" i="3" s="1"/>
  <c r="I7" i="3"/>
  <c r="I79" i="3" s="1"/>
  <c r="H7" i="3"/>
  <c r="H79" i="3" s="1"/>
  <c r="G7" i="3"/>
  <c r="G79" i="3" s="1"/>
  <c r="E7" i="3"/>
  <c r="E79" i="3" s="1"/>
  <c r="D7" i="3"/>
  <c r="D79" i="3" s="1"/>
  <c r="C7" i="3"/>
  <c r="DE6" i="3"/>
  <c r="DE78" i="3" s="1"/>
  <c r="CY6" i="3"/>
  <c r="CY78" i="3" s="1"/>
  <c r="CS6" i="3"/>
  <c r="CS78" i="3" s="1"/>
  <c r="CM6" i="3"/>
  <c r="CM78" i="3" s="1"/>
  <c r="CG6" i="3"/>
  <c r="CA6" i="3"/>
  <c r="BU6" i="3"/>
  <c r="BO6" i="3"/>
  <c r="BI6" i="3"/>
  <c r="BC6" i="3"/>
  <c r="AW6" i="3"/>
  <c r="AQ6" i="3"/>
  <c r="AK6" i="3"/>
  <c r="AE6" i="3"/>
  <c r="Y6" i="3"/>
  <c r="S6" i="3"/>
  <c r="M6" i="3"/>
  <c r="G6" i="3"/>
  <c r="A1" i="3"/>
  <c r="A73" i="3" s="1"/>
  <c r="CN276" i="42"/>
  <c r="CO275" i="42"/>
  <c r="CP275" i="42" s="1"/>
  <c r="CS275" i="42" s="1"/>
  <c r="CB273" i="42"/>
  <c r="CC273" i="42" s="1"/>
  <c r="CD273" i="42" s="1"/>
  <c r="CG273" i="42" s="1"/>
  <c r="CH273" i="42" s="1"/>
  <c r="CI273" i="42" s="1"/>
  <c r="CJ273" i="42" s="1"/>
  <c r="CM273" i="42" s="1"/>
  <c r="CN273" i="42" s="1"/>
  <c r="CO273" i="42" s="1"/>
  <c r="CP273" i="42" s="1"/>
  <c r="CS273" i="42" s="1"/>
  <c r="BV273" i="42"/>
  <c r="CS272" i="42"/>
  <c r="CP272" i="42"/>
  <c r="CO272" i="42"/>
  <c r="CM272" i="42"/>
  <c r="CN272" i="42" s="1"/>
  <c r="CJ272" i="42"/>
  <c r="CI272" i="42"/>
  <c r="CH272" i="42"/>
  <c r="CG272" i="42"/>
  <c r="CD272" i="42"/>
  <c r="CC272" i="42"/>
  <c r="CA272" i="42"/>
  <c r="BX272" i="42"/>
  <c r="BW272" i="42"/>
  <c r="BW273" i="42" s="1"/>
  <c r="BX273" i="42" s="1"/>
  <c r="CA273" i="42" s="1"/>
  <c r="BU270" i="42"/>
  <c r="BV269" i="42"/>
  <c r="CA266" i="42"/>
  <c r="CG266" i="42" s="1"/>
  <c r="CM266" i="42" s="1"/>
  <c r="BV266" i="42"/>
  <c r="CC268" i="42"/>
  <c r="CD268" i="42" s="1"/>
  <c r="CG268" i="42" s="1"/>
  <c r="CH268" i="42" s="1"/>
  <c r="CI268" i="42" s="1"/>
  <c r="CJ268" i="42" s="1"/>
  <c r="CM268" i="42" s="1"/>
  <c r="CN268" i="42" s="1"/>
  <c r="CO268" i="42" s="1"/>
  <c r="CP268" i="42" s="1"/>
  <c r="CS268" i="42" s="1"/>
  <c r="BW268" i="42"/>
  <c r="AZ263" i="42"/>
  <c r="AZ264" i="42" s="1"/>
  <c r="BR263" i="42"/>
  <c r="BQ263" i="42"/>
  <c r="BR262" i="42" s="1"/>
  <c r="BU262" i="42" s="1"/>
  <c r="BV262" i="42" s="1"/>
  <c r="BW262" i="42" s="1"/>
  <c r="BX262" i="42" s="1"/>
  <c r="CA262" i="42" s="1"/>
  <c r="CB262" i="42" s="1"/>
  <c r="CC262" i="42" s="1"/>
  <c r="CD262" i="42" s="1"/>
  <c r="CG262" i="42" s="1"/>
  <c r="CH262" i="42" s="1"/>
  <c r="BP263" i="42"/>
  <c r="BP264" i="42" s="1"/>
  <c r="BO263" i="42"/>
  <c r="BO264" i="42" s="1"/>
  <c r="BL263" i="42"/>
  <c r="BK263" i="42"/>
  <c r="BK264" i="42" s="1"/>
  <c r="BJ263" i="42"/>
  <c r="BJ264" i="42" s="1"/>
  <c r="BI263" i="42"/>
  <c r="BI264" i="42" s="1"/>
  <c r="BF263" i="42"/>
  <c r="BE262" i="42"/>
  <c r="BD262" i="42"/>
  <c r="BC262" i="42"/>
  <c r="BC263" i="42" s="1"/>
  <c r="BD261" i="42"/>
  <c r="BC261" i="42"/>
  <c r="AC257" i="42"/>
  <c r="AC255" i="42"/>
  <c r="Q247" i="42"/>
  <c r="K247" i="42"/>
  <c r="AC247" i="42"/>
  <c r="AB247" i="42"/>
  <c r="AA247" i="42"/>
  <c r="Z247" i="42"/>
  <c r="W247" i="42"/>
  <c r="S247" i="42"/>
  <c r="E247" i="42"/>
  <c r="D247" i="42"/>
  <c r="D246" i="42"/>
  <c r="D248" i="42" s="1"/>
  <c r="Z244" i="42"/>
  <c r="Y244" i="42"/>
  <c r="Z243" i="42"/>
  <c r="Y243" i="42"/>
  <c r="Z242" i="42"/>
  <c r="Y242" i="42"/>
  <c r="U244" i="42"/>
  <c r="T244" i="42"/>
  <c r="S244" i="42"/>
  <c r="S243" i="42"/>
  <c r="U242" i="42"/>
  <c r="T242" i="42"/>
  <c r="S242" i="42"/>
  <c r="AU236" i="42"/>
  <c r="AC236" i="42"/>
  <c r="Y236" i="42"/>
  <c r="W236" i="42"/>
  <c r="T236" i="42"/>
  <c r="S236" i="42"/>
  <c r="Q236" i="42"/>
  <c r="K236" i="42"/>
  <c r="E236" i="42"/>
  <c r="V232" i="42"/>
  <c r="V230" i="42"/>
  <c r="V242" i="42" s="1"/>
  <c r="W242" i="42" s="1"/>
  <c r="T231" i="42"/>
  <c r="U231" i="42" s="1"/>
  <c r="U144" i="42" s="1"/>
  <c r="V144" i="42" s="1"/>
  <c r="AS232" i="42"/>
  <c r="AT232" i="42" s="1"/>
  <c r="AS231" i="42"/>
  <c r="AT231" i="42" s="1"/>
  <c r="AS230" i="42"/>
  <c r="AT230" i="42" s="1"/>
  <c r="Z232" i="42"/>
  <c r="AA232" i="42" s="1"/>
  <c r="Z231" i="42"/>
  <c r="AA231" i="42" s="1"/>
  <c r="Z230" i="42"/>
  <c r="Z206" i="42" s="1"/>
  <c r="E229" i="42"/>
  <c r="E233" i="42" s="1"/>
  <c r="AC225" i="42"/>
  <c r="W225" i="42"/>
  <c r="Q225" i="42"/>
  <c r="K224" i="42"/>
  <c r="K225" i="42" s="1"/>
  <c r="E224" i="42"/>
  <c r="E225" i="42" s="1"/>
  <c r="AC223" i="42"/>
  <c r="AC222" i="42"/>
  <c r="AC221" i="42"/>
  <c r="AC170" i="1" s="1"/>
  <c r="W222" i="42"/>
  <c r="W221" i="42"/>
  <c r="AA221" i="42"/>
  <c r="Q208" i="42"/>
  <c r="Q163" i="1" s="1"/>
  <c r="Q207" i="42"/>
  <c r="Q206" i="42"/>
  <c r="Q155" i="1" s="1"/>
  <c r="Q156" i="1" s="1"/>
  <c r="K208" i="42"/>
  <c r="K163" i="1" s="1"/>
  <c r="K207" i="42"/>
  <c r="K206" i="42"/>
  <c r="E208" i="42"/>
  <c r="E207" i="42"/>
  <c r="E206" i="42"/>
  <c r="E205" i="42"/>
  <c r="AQ205" i="42"/>
  <c r="AN205" i="42"/>
  <c r="AC208" i="42"/>
  <c r="Y208" i="42"/>
  <c r="AC207" i="42"/>
  <c r="Y207" i="42"/>
  <c r="AC206" i="42"/>
  <c r="Y206" i="42"/>
  <c r="AB205" i="42"/>
  <c r="AA205" i="42"/>
  <c r="Z205" i="42"/>
  <c r="S208" i="42"/>
  <c r="U207" i="42"/>
  <c r="T207" i="42"/>
  <c r="S207" i="42"/>
  <c r="U206" i="42"/>
  <c r="T206" i="42"/>
  <c r="S206" i="42"/>
  <c r="V205" i="42"/>
  <c r="S205" i="42"/>
  <c r="DI187" i="42"/>
  <c r="DI186" i="42"/>
  <c r="DC187" i="42"/>
  <c r="DC186" i="42"/>
  <c r="CW187" i="42"/>
  <c r="CQ187" i="42"/>
  <c r="CK187" i="42"/>
  <c r="CE187" i="42"/>
  <c r="BY187" i="42"/>
  <c r="BS187" i="42"/>
  <c r="BM187" i="42"/>
  <c r="BG187" i="42"/>
  <c r="BA187" i="42"/>
  <c r="AU187" i="42"/>
  <c r="AO187" i="42"/>
  <c r="AI187" i="42"/>
  <c r="AC187" i="42"/>
  <c r="W187" i="42"/>
  <c r="Q187" i="42"/>
  <c r="AA184" i="42"/>
  <c r="Z184" i="42"/>
  <c r="Y184" i="42"/>
  <c r="V184" i="42"/>
  <c r="U184" i="42"/>
  <c r="T184" i="42"/>
  <c r="S184" i="42"/>
  <c r="P184" i="42"/>
  <c r="O184" i="42"/>
  <c r="N184" i="42"/>
  <c r="M184" i="42"/>
  <c r="J184" i="42"/>
  <c r="CS182" i="42"/>
  <c r="CT182" i="42" s="1"/>
  <c r="CM182" i="42"/>
  <c r="CN182" i="42" s="1"/>
  <c r="CO182" i="42" s="1"/>
  <c r="CG182" i="42"/>
  <c r="CH182" i="42" s="1"/>
  <c r="CI182" i="42" s="1"/>
  <c r="CA182" i="42"/>
  <c r="CB182" i="42" s="1"/>
  <c r="CC182" i="42" s="1"/>
  <c r="CD182" i="42" s="1"/>
  <c r="CD165" i="42" s="1"/>
  <c r="BU182" i="42"/>
  <c r="BV182" i="42" s="1"/>
  <c r="BW182" i="42" s="1"/>
  <c r="BX182" i="42" s="1"/>
  <c r="BX165" i="42" s="1"/>
  <c r="BO182" i="42"/>
  <c r="BC182" i="42"/>
  <c r="BD182" i="42" s="1"/>
  <c r="BE182" i="42" s="1"/>
  <c r="BE165" i="42" s="1"/>
  <c r="AW182" i="42"/>
  <c r="AW165" i="42" s="1"/>
  <c r="AQ182" i="42"/>
  <c r="AR182" i="42" s="1"/>
  <c r="AS182" i="42" s="1"/>
  <c r="AT182" i="42" s="1"/>
  <c r="AL182" i="42"/>
  <c r="AM182" i="42" s="1"/>
  <c r="AN182" i="42" s="1"/>
  <c r="AN165" i="42" s="1"/>
  <c r="AK182" i="42"/>
  <c r="AK165" i="42" s="1"/>
  <c r="AF182" i="42"/>
  <c r="AG182" i="42" s="1"/>
  <c r="AH182" i="42" s="1"/>
  <c r="AH165" i="42" s="1"/>
  <c r="AE182" i="42"/>
  <c r="AA182" i="42"/>
  <c r="AB182" i="42" s="1"/>
  <c r="AB165" i="42" s="1"/>
  <c r="Z182" i="42"/>
  <c r="Z165" i="42" s="1"/>
  <c r="Y182" i="42"/>
  <c r="V182" i="42"/>
  <c r="U182" i="42"/>
  <c r="T182" i="42"/>
  <c r="T165" i="42" s="1"/>
  <c r="S182" i="42"/>
  <c r="CS177" i="42"/>
  <c r="CP177" i="42"/>
  <c r="CO177" i="42"/>
  <c r="CN177" i="42"/>
  <c r="CM177" i="42"/>
  <c r="CJ177" i="42"/>
  <c r="CI177" i="42"/>
  <c r="CH177" i="42"/>
  <c r="CG177" i="42"/>
  <c r="BP177" i="42"/>
  <c r="BF177" i="42"/>
  <c r="BE177" i="42"/>
  <c r="BD177" i="42"/>
  <c r="BC177" i="42"/>
  <c r="AZ177" i="42"/>
  <c r="AY177" i="42"/>
  <c r="AX177" i="42"/>
  <c r="AW177" i="42"/>
  <c r="AT177" i="42"/>
  <c r="AR177" i="42"/>
  <c r="AQ177" i="42"/>
  <c r="AN177" i="42"/>
  <c r="AM177" i="42"/>
  <c r="AH177" i="42"/>
  <c r="AG177" i="42"/>
  <c r="AF177" i="42"/>
  <c r="AE177" i="42"/>
  <c r="AB177" i="42"/>
  <c r="AA177" i="42"/>
  <c r="Z177" i="42"/>
  <c r="Y177" i="42"/>
  <c r="V177" i="42"/>
  <c r="U177" i="42"/>
  <c r="T177" i="42"/>
  <c r="S177" i="42"/>
  <c r="M177" i="42"/>
  <c r="CW174" i="42"/>
  <c r="CS174" i="42"/>
  <c r="CQ174" i="42"/>
  <c r="CP174" i="42"/>
  <c r="CO174" i="42"/>
  <c r="CN174" i="42"/>
  <c r="CM174" i="42"/>
  <c r="CK174" i="42"/>
  <c r="CJ174" i="42"/>
  <c r="CI174" i="42"/>
  <c r="CH174" i="42"/>
  <c r="CG174" i="42"/>
  <c r="CE174" i="42"/>
  <c r="CD174" i="42"/>
  <c r="CC174" i="42"/>
  <c r="CB174" i="42"/>
  <c r="CA174" i="42"/>
  <c r="BY174" i="42"/>
  <c r="BX174" i="42"/>
  <c r="BW174" i="42"/>
  <c r="BV174" i="42"/>
  <c r="BU174" i="42"/>
  <c r="BS174" i="42"/>
  <c r="BR174" i="42"/>
  <c r="BQ174" i="42"/>
  <c r="BP174" i="42"/>
  <c r="BO174" i="42"/>
  <c r="BM174" i="42"/>
  <c r="BI174" i="42"/>
  <c r="BG174" i="42"/>
  <c r="BF174" i="42"/>
  <c r="BE174" i="42"/>
  <c r="BC174" i="42"/>
  <c r="BA174" i="42"/>
  <c r="AZ174" i="42"/>
  <c r="AY174" i="42"/>
  <c r="AX174" i="42"/>
  <c r="AW174" i="42"/>
  <c r="AU174" i="42"/>
  <c r="AT174" i="42"/>
  <c r="AS174" i="42"/>
  <c r="AR174" i="42"/>
  <c r="AQ174" i="42"/>
  <c r="AO174" i="42"/>
  <c r="AN174" i="42"/>
  <c r="AM174" i="42"/>
  <c r="AL174" i="42"/>
  <c r="AK174" i="42"/>
  <c r="AI174" i="42"/>
  <c r="AH174" i="42"/>
  <c r="AG174" i="42"/>
  <c r="AE174" i="42"/>
  <c r="AC174" i="42"/>
  <c r="AB174" i="42"/>
  <c r="AA174" i="42"/>
  <c r="Y174" i="42"/>
  <c r="W174" i="42"/>
  <c r="T174" i="42"/>
  <c r="S174" i="42"/>
  <c r="Q174" i="42"/>
  <c r="P174" i="42"/>
  <c r="O174" i="42"/>
  <c r="N174" i="42"/>
  <c r="M174" i="42"/>
  <c r="DI169" i="42"/>
  <c r="DC169" i="42"/>
  <c r="CS168" i="42"/>
  <c r="CV168" i="42" s="1"/>
  <c r="Q169" i="42"/>
  <c r="Q168" i="42"/>
  <c r="DE168" i="42"/>
  <c r="DF168" i="42" s="1"/>
  <c r="DG168" i="42" s="1"/>
  <c r="DH168" i="42" s="1"/>
  <c r="CY168" i="42"/>
  <c r="CZ168" i="42" s="1"/>
  <c r="DA168" i="42" s="1"/>
  <c r="DB168" i="42" s="1"/>
  <c r="CN168" i="42"/>
  <c r="CO168" i="42" s="1"/>
  <c r="CM168" i="42"/>
  <c r="CG168" i="42"/>
  <c r="CH168" i="42" s="1"/>
  <c r="CI168" i="42" s="1"/>
  <c r="CD168" i="42"/>
  <c r="CC168" i="42"/>
  <c r="CB168" i="42"/>
  <c r="CA168" i="42"/>
  <c r="BX168" i="42"/>
  <c r="BW168" i="42"/>
  <c r="BV168" i="42"/>
  <c r="BU168" i="42"/>
  <c r="BR168" i="42"/>
  <c r="BQ168" i="42"/>
  <c r="BP168" i="42"/>
  <c r="BO168" i="42"/>
  <c r="BL168" i="42"/>
  <c r="BK168" i="42"/>
  <c r="BJ168" i="42"/>
  <c r="BI168" i="42"/>
  <c r="BF168" i="42"/>
  <c r="BE168" i="42"/>
  <c r="BD168" i="42"/>
  <c r="BC168" i="42"/>
  <c r="AX168" i="42"/>
  <c r="AW168" i="42"/>
  <c r="AS168" i="42" s="1"/>
  <c r="AR168" i="42"/>
  <c r="AQ168" i="42"/>
  <c r="AK168" i="42"/>
  <c r="AL168" i="42" s="1"/>
  <c r="AM168" i="42" s="1"/>
  <c r="AN168" i="42" s="1"/>
  <c r="Y168" i="42"/>
  <c r="Z168" i="42" s="1"/>
  <c r="AA168" i="42" s="1"/>
  <c r="AB168" i="42" s="1"/>
  <c r="W168" i="42"/>
  <c r="AE168" i="42"/>
  <c r="AF168" i="42" s="1"/>
  <c r="AG168" i="42" s="1"/>
  <c r="CM165" i="42"/>
  <c r="AT165" i="42"/>
  <c r="AL165" i="42"/>
  <c r="AE165" i="42"/>
  <c r="AA165" i="42"/>
  <c r="V165" i="42"/>
  <c r="U165" i="42"/>
  <c r="DH161" i="42"/>
  <c r="DG161" i="42"/>
  <c r="DF161" i="42"/>
  <c r="DE161" i="42"/>
  <c r="DB161" i="42"/>
  <c r="DA161" i="42"/>
  <c r="CZ161" i="42"/>
  <c r="CY161" i="42"/>
  <c r="CV161" i="42"/>
  <c r="CS161" i="42"/>
  <c r="CP161" i="42"/>
  <c r="CO161" i="42"/>
  <c r="CN161" i="42"/>
  <c r="CM161" i="42"/>
  <c r="CJ161" i="42"/>
  <c r="CI161" i="42"/>
  <c r="CH161" i="42"/>
  <c r="CG161" i="42"/>
  <c r="CD161" i="42"/>
  <c r="CC161" i="42"/>
  <c r="CB161" i="42"/>
  <c r="CA161" i="42"/>
  <c r="BX161" i="42"/>
  <c r="BW161" i="42"/>
  <c r="BV161" i="42"/>
  <c r="BU161" i="42"/>
  <c r="BR161" i="42"/>
  <c r="BQ161" i="42"/>
  <c r="BP161" i="42"/>
  <c r="BO161" i="42"/>
  <c r="BL161" i="42"/>
  <c r="BK161" i="42"/>
  <c r="BJ161" i="42"/>
  <c r="BI161" i="42"/>
  <c r="BF161" i="42"/>
  <c r="BE161" i="42"/>
  <c r="BD161" i="42"/>
  <c r="BC161" i="42"/>
  <c r="AZ161" i="42"/>
  <c r="AY161" i="42"/>
  <c r="AX161" i="42"/>
  <c r="AW161" i="42"/>
  <c r="AT161" i="42"/>
  <c r="AS161" i="42"/>
  <c r="AR161" i="42"/>
  <c r="AQ161" i="42"/>
  <c r="AN161" i="42"/>
  <c r="AM161" i="42"/>
  <c r="AL161" i="42"/>
  <c r="AK161" i="42"/>
  <c r="AH161" i="42"/>
  <c r="AG161" i="42"/>
  <c r="AF161" i="42"/>
  <c r="AE161" i="42"/>
  <c r="AB161" i="42"/>
  <c r="AA161" i="42"/>
  <c r="Z161" i="42"/>
  <c r="Y161" i="42"/>
  <c r="V161" i="42"/>
  <c r="U161" i="42"/>
  <c r="T161" i="42"/>
  <c r="S161" i="42"/>
  <c r="P161" i="42"/>
  <c r="O161" i="42"/>
  <c r="N161" i="42"/>
  <c r="M161" i="42"/>
  <c r="DE160" i="42"/>
  <c r="CY160" i="42"/>
  <c r="CS160" i="42"/>
  <c r="CO160" i="42"/>
  <c r="CN160" i="42"/>
  <c r="CJ160" i="42" s="1"/>
  <c r="CJ162" i="42" s="1"/>
  <c r="CM160" i="42"/>
  <c r="CH160" i="42"/>
  <c r="CH162" i="42" s="1"/>
  <c r="CG160" i="42"/>
  <c r="CB160" i="42"/>
  <c r="BX160" i="42" s="1"/>
  <c r="CA160" i="42"/>
  <c r="BV160" i="42"/>
  <c r="BR160" i="42" s="1"/>
  <c r="BU160" i="42"/>
  <c r="BP160" i="42"/>
  <c r="BL160" i="42" s="1"/>
  <c r="BO160" i="42"/>
  <c r="BJ160" i="42"/>
  <c r="BF160" i="42" s="1"/>
  <c r="BI160" i="42"/>
  <c r="BE160" i="42" s="1"/>
  <c r="BD160" i="42"/>
  <c r="BC160" i="42"/>
  <c r="AX160" i="42"/>
  <c r="AT160" i="42" s="1"/>
  <c r="AT162" i="42" s="1"/>
  <c r="AW160" i="42"/>
  <c r="AR160" i="42"/>
  <c r="AQ160" i="42"/>
  <c r="AK160" i="42"/>
  <c r="AE160" i="42"/>
  <c r="Y160" i="42"/>
  <c r="S160" i="42"/>
  <c r="M160" i="42"/>
  <c r="DH157" i="42"/>
  <c r="DG157" i="42"/>
  <c r="DF157" i="42"/>
  <c r="DE157" i="42"/>
  <c r="DB157" i="42"/>
  <c r="DA157" i="42"/>
  <c r="CZ157" i="42"/>
  <c r="CY157" i="42"/>
  <c r="CV157" i="42"/>
  <c r="CS157" i="42"/>
  <c r="CP157" i="42"/>
  <c r="CO157" i="42"/>
  <c r="CN157" i="42"/>
  <c r="CM157" i="42"/>
  <c r="CJ157" i="42"/>
  <c r="CI157" i="42"/>
  <c r="CH157" i="42"/>
  <c r="CG157" i="42"/>
  <c r="CD157" i="42"/>
  <c r="CC157" i="42"/>
  <c r="CB157" i="42"/>
  <c r="CA157" i="42"/>
  <c r="BX157" i="42"/>
  <c r="BW157" i="42"/>
  <c r="BV157" i="42"/>
  <c r="BU157" i="42"/>
  <c r="BR157" i="42"/>
  <c r="BQ157" i="42"/>
  <c r="BP157" i="42"/>
  <c r="BO157" i="42"/>
  <c r="BL157" i="42"/>
  <c r="BK157" i="42"/>
  <c r="BJ157" i="42"/>
  <c r="BI157" i="42"/>
  <c r="BF157" i="42"/>
  <c r="BE157" i="42"/>
  <c r="BD157" i="42"/>
  <c r="BC157" i="42"/>
  <c r="S157" i="42"/>
  <c r="DI155" i="42"/>
  <c r="DI156" i="42" s="1"/>
  <c r="DC155" i="42"/>
  <c r="DC156" i="42" s="1"/>
  <c r="CW155" i="42"/>
  <c r="CW156" i="42" s="1"/>
  <c r="CQ155" i="42"/>
  <c r="CQ156" i="42" s="1"/>
  <c r="CK155" i="42"/>
  <c r="CK156" i="42" s="1"/>
  <c r="CE155" i="42"/>
  <c r="CE156" i="42" s="1"/>
  <c r="BY155" i="42"/>
  <c r="BY156" i="42" s="1"/>
  <c r="BS155" i="42"/>
  <c r="BS156" i="42" s="1"/>
  <c r="BM155" i="42"/>
  <c r="BM156" i="42" s="1"/>
  <c r="BG155" i="42"/>
  <c r="BG156" i="42" s="1"/>
  <c r="W155" i="42"/>
  <c r="AX155" i="42"/>
  <c r="AW155" i="42"/>
  <c r="AR155" i="42"/>
  <c r="AR157" i="42" s="1"/>
  <c r="AQ155" i="42"/>
  <c r="AQ157" i="42" s="1"/>
  <c r="AK155" i="42"/>
  <c r="AK157" i="42" s="1"/>
  <c r="AE155" i="42"/>
  <c r="AF155" i="42" s="1"/>
  <c r="AG155" i="42" s="1"/>
  <c r="Y155" i="42"/>
  <c r="Z155" i="42" s="1"/>
  <c r="Z157" i="42" s="1"/>
  <c r="T155" i="42"/>
  <c r="T157" i="42" s="1"/>
  <c r="M155" i="42"/>
  <c r="N155" i="42" s="1"/>
  <c r="N157" i="42" s="1"/>
  <c r="W152" i="42"/>
  <c r="CS151" i="42"/>
  <c r="CO151" i="42"/>
  <c r="CN151" i="42"/>
  <c r="CM151" i="42"/>
  <c r="CI151" i="42"/>
  <c r="CH151" i="42"/>
  <c r="CG151" i="42"/>
  <c r="CC151" i="42"/>
  <c r="CB151" i="42"/>
  <c r="CA151" i="42"/>
  <c r="BX151" i="42"/>
  <c r="BW151" i="42"/>
  <c r="BV151" i="42"/>
  <c r="BU151" i="42"/>
  <c r="BR151" i="42"/>
  <c r="BQ151" i="42"/>
  <c r="BP151" i="42"/>
  <c r="BO151" i="42"/>
  <c r="BL151" i="42"/>
  <c r="BK151" i="42"/>
  <c r="BJ151" i="42"/>
  <c r="BI151" i="42"/>
  <c r="BE151" i="42"/>
  <c r="BD151" i="42"/>
  <c r="BC151" i="42"/>
  <c r="AW151" i="42"/>
  <c r="AT151" i="42"/>
  <c r="AS151" i="42"/>
  <c r="AQ151" i="42"/>
  <c r="AN151" i="42"/>
  <c r="AM151" i="42"/>
  <c r="AK151" i="42"/>
  <c r="AG151" i="42"/>
  <c r="AF151" i="42"/>
  <c r="AE151" i="42"/>
  <c r="AB151" i="42"/>
  <c r="AA151" i="42"/>
  <c r="Z151" i="42"/>
  <c r="Y151" i="42"/>
  <c r="V151" i="42"/>
  <c r="U151" i="42"/>
  <c r="T151" i="42"/>
  <c r="S151" i="42"/>
  <c r="P151" i="42"/>
  <c r="O151" i="42"/>
  <c r="N151" i="42"/>
  <c r="M151" i="42"/>
  <c r="DI149" i="42"/>
  <c r="DC149" i="42"/>
  <c r="CW149" i="42"/>
  <c r="CQ149" i="42"/>
  <c r="CK149" i="42"/>
  <c r="CE149" i="42"/>
  <c r="BY149" i="42"/>
  <c r="BS149" i="42"/>
  <c r="BM149" i="42"/>
  <c r="BG149" i="42"/>
  <c r="BA149" i="42"/>
  <c r="AU149" i="42"/>
  <c r="AO149" i="42"/>
  <c r="AI149" i="42"/>
  <c r="AU144" i="42"/>
  <c r="AO143" i="42"/>
  <c r="AC144" i="42"/>
  <c r="AC143" i="42"/>
  <c r="Q144" i="42"/>
  <c r="P144" i="42" s="1"/>
  <c r="Q143" i="42"/>
  <c r="U146" i="42"/>
  <c r="T146" i="42"/>
  <c r="T145" i="42" s="1"/>
  <c r="S146" i="42"/>
  <c r="S145" i="42" s="1"/>
  <c r="AH146" i="42"/>
  <c r="AH151" i="42" s="1"/>
  <c r="AG146" i="42"/>
  <c r="AF146" i="42"/>
  <c r="AE146" i="42"/>
  <c r="AE145" i="42" s="1"/>
  <c r="AB146" i="42"/>
  <c r="AA146" i="42"/>
  <c r="Z146" i="42"/>
  <c r="Y146" i="42"/>
  <c r="Y145" i="42" s="1"/>
  <c r="W145" i="42"/>
  <c r="P146" i="42"/>
  <c r="O146" i="42"/>
  <c r="O145" i="42" s="1"/>
  <c r="N146" i="42"/>
  <c r="N145" i="42" s="1"/>
  <c r="M146" i="42"/>
  <c r="M145" i="42" s="1"/>
  <c r="DF145" i="42"/>
  <c r="DG145" i="42" s="1"/>
  <c r="DH145" i="42" s="1"/>
  <c r="DE144" i="42"/>
  <c r="CZ145" i="42"/>
  <c r="DA145" i="42" s="1"/>
  <c r="DB145" i="42" s="1"/>
  <c r="CS146" i="42"/>
  <c r="CS144" i="42"/>
  <c r="CP146" i="42"/>
  <c r="CO146" i="42"/>
  <c r="CN146" i="42"/>
  <c r="CM146" i="42"/>
  <c r="CP144" i="42"/>
  <c r="CO144" i="42"/>
  <c r="CO145" i="42" s="1"/>
  <c r="CN144" i="42"/>
  <c r="CN145" i="42" s="1"/>
  <c r="CM144" i="42"/>
  <c r="CJ146" i="42"/>
  <c r="CI146" i="42"/>
  <c r="CH146" i="42"/>
  <c r="CG146" i="42"/>
  <c r="CJ144" i="42"/>
  <c r="CJ145" i="42" s="1"/>
  <c r="CI144" i="42"/>
  <c r="CI145" i="42" s="1"/>
  <c r="CH144" i="42"/>
  <c r="CG144" i="42"/>
  <c r="CD146" i="42"/>
  <c r="CC146" i="42"/>
  <c r="CB146" i="42"/>
  <c r="CA146" i="42"/>
  <c r="CD144" i="42"/>
  <c r="CD145" i="42" s="1"/>
  <c r="CC144" i="42"/>
  <c r="CB144" i="42"/>
  <c r="CB145" i="42" s="1"/>
  <c r="CA144" i="42"/>
  <c r="BW146" i="42"/>
  <c r="BV146" i="42"/>
  <c r="BU146" i="42"/>
  <c r="BX144" i="42"/>
  <c r="BW144" i="42"/>
  <c r="BV144" i="42"/>
  <c r="BU144" i="42"/>
  <c r="BR146" i="42"/>
  <c r="BO146" i="42"/>
  <c r="BR144" i="42"/>
  <c r="BQ144" i="42"/>
  <c r="BP144" i="42"/>
  <c r="BO144" i="42"/>
  <c r="BL146" i="42"/>
  <c r="BK146" i="42"/>
  <c r="BJ146" i="42"/>
  <c r="BI146" i="42"/>
  <c r="BF146" i="42"/>
  <c r="BE146" i="42"/>
  <c r="BD146" i="42"/>
  <c r="BC146" i="42"/>
  <c r="BF144" i="42"/>
  <c r="BE144" i="42"/>
  <c r="AZ146" i="42"/>
  <c r="AY146" i="42"/>
  <c r="AX146" i="42"/>
  <c r="AW146" i="42"/>
  <c r="AZ144" i="42"/>
  <c r="AZ145" i="42" s="1"/>
  <c r="AY144" i="42"/>
  <c r="AX144" i="42"/>
  <c r="AW144" i="42"/>
  <c r="AT146" i="42"/>
  <c r="AS146" i="42"/>
  <c r="AR146" i="42"/>
  <c r="AQ146" i="42"/>
  <c r="AT144" i="42"/>
  <c r="AT145" i="42" s="1"/>
  <c r="AS144" i="42"/>
  <c r="AS145" i="42" s="1"/>
  <c r="AR144" i="42"/>
  <c r="AQ144" i="42"/>
  <c r="AQ145" i="42" s="1"/>
  <c r="AN146" i="42"/>
  <c r="AM146" i="42"/>
  <c r="AL146" i="42"/>
  <c r="AK146" i="42"/>
  <c r="AN144" i="42"/>
  <c r="AM144" i="42"/>
  <c r="AM145" i="42" s="1"/>
  <c r="AL144" i="42"/>
  <c r="AK144" i="42"/>
  <c r="AK145" i="42" s="1"/>
  <c r="AI144" i="42"/>
  <c r="AH144" i="42"/>
  <c r="AH145" i="42" s="1"/>
  <c r="AG144" i="42"/>
  <c r="AG145" i="42" s="1"/>
  <c r="AA144" i="42"/>
  <c r="AI143" i="42"/>
  <c r="W143" i="42"/>
  <c r="CS139" i="42"/>
  <c r="CP139" i="42"/>
  <c r="CO139" i="42"/>
  <c r="CN139" i="42"/>
  <c r="CM139" i="42"/>
  <c r="CJ139" i="42"/>
  <c r="CI139" i="42"/>
  <c r="CH139" i="42"/>
  <c r="CG139" i="42"/>
  <c r="BE139" i="42"/>
  <c r="BD139" i="42"/>
  <c r="BC139" i="42"/>
  <c r="AZ139" i="42"/>
  <c r="AY139" i="42"/>
  <c r="AX139" i="42"/>
  <c r="AW139" i="42"/>
  <c r="AT139" i="42"/>
  <c r="AQ139" i="42"/>
  <c r="AN139" i="42"/>
  <c r="AM139" i="42"/>
  <c r="AG139" i="42"/>
  <c r="AF139" i="42"/>
  <c r="AE139" i="42"/>
  <c r="AB139" i="42"/>
  <c r="AA139" i="42"/>
  <c r="Z139" i="42"/>
  <c r="Y139" i="42"/>
  <c r="V139" i="42"/>
  <c r="U139" i="42"/>
  <c r="T139" i="42"/>
  <c r="S139" i="42"/>
  <c r="DI131" i="42"/>
  <c r="DC131" i="42"/>
  <c r="CW131" i="42"/>
  <c r="CQ131" i="42"/>
  <c r="CK131" i="42"/>
  <c r="CE131" i="42"/>
  <c r="BY131" i="42"/>
  <c r="BS131" i="42"/>
  <c r="BM131" i="42"/>
  <c r="BG131" i="42"/>
  <c r="BA131" i="42"/>
  <c r="AU131" i="42"/>
  <c r="AO131" i="42"/>
  <c r="AI131" i="42"/>
  <c r="AC131" i="42"/>
  <c r="W131" i="42"/>
  <c r="Q131" i="42"/>
  <c r="D135" i="42"/>
  <c r="J132" i="42"/>
  <c r="K132" i="42" s="1"/>
  <c r="K131" i="42"/>
  <c r="BX126" i="42"/>
  <c r="CA126" i="42" s="1"/>
  <c r="CB126" i="42" s="1"/>
  <c r="CC126" i="42" s="1"/>
  <c r="CD126" i="42" s="1"/>
  <c r="CG126" i="42" s="1"/>
  <c r="AN126" i="42"/>
  <c r="AK126" i="42"/>
  <c r="AY125" i="42"/>
  <c r="AX125" i="42"/>
  <c r="AW125" i="42"/>
  <c r="AW126" i="42" s="1"/>
  <c r="AS125" i="42"/>
  <c r="AR125" i="42"/>
  <c r="AQ125" i="42"/>
  <c r="AO125" i="42"/>
  <c r="DF123" i="42"/>
  <c r="DG123" i="42" s="1"/>
  <c r="DH123" i="42" s="1"/>
  <c r="CZ123" i="42"/>
  <c r="DA123" i="42" s="1"/>
  <c r="DB123" i="42" s="1"/>
  <c r="AY122" i="42"/>
  <c r="AX122" i="42"/>
  <c r="AS122" i="42"/>
  <c r="AR122" i="42"/>
  <c r="AP122" i="42"/>
  <c r="AN122" i="42"/>
  <c r="AN124" i="42" s="1"/>
  <c r="CS120" i="42"/>
  <c r="CP120" i="42"/>
  <c r="CO120" i="42"/>
  <c r="CN120" i="42"/>
  <c r="CM120" i="42"/>
  <c r="CJ120" i="42"/>
  <c r="CI120" i="42"/>
  <c r="CH120" i="42"/>
  <c r="CG120" i="42"/>
  <c r="CD120" i="42"/>
  <c r="CC120" i="42"/>
  <c r="CB120" i="42"/>
  <c r="CA120" i="42"/>
  <c r="BX120" i="42"/>
  <c r="BW120" i="42"/>
  <c r="BV120" i="42"/>
  <c r="BW125" i="42" s="1"/>
  <c r="BW122" i="42" s="1"/>
  <c r="BU120" i="42"/>
  <c r="BR120" i="42"/>
  <c r="BQ120" i="42"/>
  <c r="BP120" i="42"/>
  <c r="BO120" i="42"/>
  <c r="BL120" i="42"/>
  <c r="BK120" i="42"/>
  <c r="BJ120" i="42"/>
  <c r="BI120" i="42"/>
  <c r="BF120" i="42"/>
  <c r="BE120" i="42"/>
  <c r="BD120" i="42"/>
  <c r="BC120" i="42"/>
  <c r="AZ120" i="42"/>
  <c r="AY120" i="42"/>
  <c r="AX120" i="42"/>
  <c r="AW120" i="42"/>
  <c r="AT120" i="42"/>
  <c r="AS120" i="42"/>
  <c r="AR120" i="42"/>
  <c r="AQ120" i="42"/>
  <c r="AN120" i="42"/>
  <c r="AM120" i="42"/>
  <c r="AK120" i="42"/>
  <c r="AH120" i="42"/>
  <c r="CP115" i="42"/>
  <c r="CO115" i="42"/>
  <c r="CN115" i="42"/>
  <c r="CM115" i="42"/>
  <c r="CJ115" i="42"/>
  <c r="CI115" i="42"/>
  <c r="CH115" i="42"/>
  <c r="CG115" i="42"/>
  <c r="CD115" i="42"/>
  <c r="CC115" i="42"/>
  <c r="CB115" i="42"/>
  <c r="CA115" i="42"/>
  <c r="BX115" i="42"/>
  <c r="BW115" i="42"/>
  <c r="BV115" i="42"/>
  <c r="BU115" i="42"/>
  <c r="BR115" i="42"/>
  <c r="BP115" i="42"/>
  <c r="BO115" i="42"/>
  <c r="BL115" i="42"/>
  <c r="BK115" i="42"/>
  <c r="BJ115" i="42"/>
  <c r="BI115" i="42"/>
  <c r="BD115" i="42"/>
  <c r="AZ115" i="42"/>
  <c r="AY115" i="42"/>
  <c r="AY112" i="42" s="1"/>
  <c r="AY113" i="42" s="1"/>
  <c r="AX115" i="42"/>
  <c r="AX112" i="42" s="1"/>
  <c r="AX113" i="42" s="1"/>
  <c r="AT115" i="42"/>
  <c r="AT112" i="42" s="1"/>
  <c r="AT113" i="42" s="1"/>
  <c r="AS115" i="42"/>
  <c r="AR115" i="42"/>
  <c r="AN115" i="42"/>
  <c r="AN112" i="42" s="1"/>
  <c r="AN113" i="42" s="1"/>
  <c r="AM115" i="42"/>
  <c r="AL115" i="42"/>
  <c r="AL112" i="42" s="1"/>
  <c r="AL113" i="42" s="1"/>
  <c r="AK115" i="42"/>
  <c r="AK112" i="42" s="1"/>
  <c r="AK113" i="42" s="1"/>
  <c r="AG115" i="42"/>
  <c r="AG112" i="42" s="1"/>
  <c r="AG113" i="42" s="1"/>
  <c r="AF115" i="42"/>
  <c r="AE115" i="42"/>
  <c r="AB115" i="42"/>
  <c r="AA115" i="42"/>
  <c r="AA112" i="42" s="1"/>
  <c r="AA113" i="42" s="1"/>
  <c r="Z115" i="42"/>
  <c r="Z112" i="42" s="1"/>
  <c r="Z113" i="42" s="1"/>
  <c r="Y115" i="42"/>
  <c r="Y112" i="42" s="1"/>
  <c r="Y113" i="42" s="1"/>
  <c r="U115" i="42"/>
  <c r="T115" i="42"/>
  <c r="S115" i="42"/>
  <c r="BC113" i="42"/>
  <c r="BD113" i="42" s="1"/>
  <c r="BE113" i="42" s="1"/>
  <c r="BF113" i="42" s="1"/>
  <c r="AZ112" i="42"/>
  <c r="AS112" i="42"/>
  <c r="AS113" i="42" s="1"/>
  <c r="AB112" i="42"/>
  <c r="AB113" i="42" s="1"/>
  <c r="DF110" i="42"/>
  <c r="DG110" i="42" s="1"/>
  <c r="DH110" i="42" s="1"/>
  <c r="CZ110" i="42"/>
  <c r="DA110" i="42" s="1"/>
  <c r="DB110" i="42" s="1"/>
  <c r="CS109" i="42"/>
  <c r="CS110" i="42" s="1"/>
  <c r="CP109" i="42"/>
  <c r="CP110" i="42" s="1"/>
  <c r="CO109" i="42"/>
  <c r="CO110" i="42" s="1"/>
  <c r="CN109" i="42"/>
  <c r="CN110" i="42" s="1"/>
  <c r="CM109" i="42"/>
  <c r="CJ109" i="42"/>
  <c r="CJ110" i="42" s="1"/>
  <c r="CI109" i="42"/>
  <c r="CI110" i="42" s="1"/>
  <c r="CH109" i="42"/>
  <c r="CH110" i="42" s="1"/>
  <c r="CG109" i="42"/>
  <c r="CG110" i="42" s="1"/>
  <c r="CD109" i="42"/>
  <c r="CD110" i="42" s="1"/>
  <c r="CC109" i="42"/>
  <c r="CC110" i="42" s="1"/>
  <c r="CB109" i="42"/>
  <c r="CB110" i="42" s="1"/>
  <c r="BX109" i="42"/>
  <c r="BX110" i="42" s="1"/>
  <c r="BW109" i="42"/>
  <c r="BW110" i="42" s="1"/>
  <c r="BV109" i="42"/>
  <c r="BV110" i="42" s="1"/>
  <c r="BR109" i="42"/>
  <c r="BR110" i="42" s="1"/>
  <c r="BQ109" i="42"/>
  <c r="BQ110" i="42" s="1"/>
  <c r="BP109" i="42"/>
  <c r="BP110" i="42" s="1"/>
  <c r="BL109" i="42"/>
  <c r="BL110" i="42" s="1"/>
  <c r="BK109" i="42"/>
  <c r="BK110" i="42" s="1"/>
  <c r="BJ109" i="42"/>
  <c r="BJ110" i="42" s="1"/>
  <c r="BF109" i="42"/>
  <c r="BF110" i="42" s="1"/>
  <c r="BE109" i="42"/>
  <c r="BD109" i="42"/>
  <c r="BC109" i="42"/>
  <c r="AZ109" i="42"/>
  <c r="AY109" i="42"/>
  <c r="AY110" i="42" s="1"/>
  <c r="AX109" i="42"/>
  <c r="AX110" i="42" s="1"/>
  <c r="AW109" i="42"/>
  <c r="AW110" i="42" s="1"/>
  <c r="AT109" i="42"/>
  <c r="AT110" i="42" s="1"/>
  <c r="AS109" i="42"/>
  <c r="AS110" i="42" s="1"/>
  <c r="AR109" i="42"/>
  <c r="AQ109" i="42"/>
  <c r="AN109" i="42"/>
  <c r="AN110" i="42" s="1"/>
  <c r="AM109" i="42"/>
  <c r="AM110" i="42" s="1"/>
  <c r="AL109" i="42"/>
  <c r="AL110" i="42" s="1"/>
  <c r="AK109" i="42"/>
  <c r="AK110" i="42" s="1"/>
  <c r="AG109" i="42"/>
  <c r="AG110" i="42" s="1"/>
  <c r="AF109" i="42"/>
  <c r="AF110" i="42" s="1"/>
  <c r="AE109" i="42"/>
  <c r="AE110" i="42" s="1"/>
  <c r="AA109" i="42"/>
  <c r="AA110" i="42" s="1"/>
  <c r="Z109" i="42"/>
  <c r="Z110" i="42" s="1"/>
  <c r="Y109" i="42"/>
  <c r="Y110" i="42" s="1"/>
  <c r="U109" i="42"/>
  <c r="S109" i="42"/>
  <c r="J107" i="42"/>
  <c r="J105" i="42" s="1"/>
  <c r="E107" i="42"/>
  <c r="E105" i="42" s="1"/>
  <c r="E110" i="42" s="1"/>
  <c r="CS107" i="42"/>
  <c r="CP107" i="42"/>
  <c r="CO107" i="42"/>
  <c r="CN107" i="42"/>
  <c r="CM107" i="42"/>
  <c r="CJ107" i="42"/>
  <c r="CI107" i="42"/>
  <c r="CH107" i="42"/>
  <c r="CG107" i="42"/>
  <c r="CD107" i="42"/>
  <c r="CC107" i="42"/>
  <c r="BX107" i="42"/>
  <c r="BW107" i="42"/>
  <c r="BV107" i="42"/>
  <c r="BU107" i="42"/>
  <c r="BR107" i="42"/>
  <c r="BQ107" i="42"/>
  <c r="BP107" i="42"/>
  <c r="BO107" i="42"/>
  <c r="BL107" i="42"/>
  <c r="BK107" i="42"/>
  <c r="BJ107" i="42"/>
  <c r="BI107" i="42"/>
  <c r="BF107" i="42"/>
  <c r="BE107" i="42"/>
  <c r="AZ107" i="42"/>
  <c r="AY107" i="42"/>
  <c r="AX107" i="42"/>
  <c r="AX106" i="42" s="1"/>
  <c r="AW107" i="42"/>
  <c r="AT107" i="42"/>
  <c r="AS107" i="42"/>
  <c r="AR107" i="42"/>
  <c r="AN107" i="42"/>
  <c r="AM107" i="42"/>
  <c r="AL107" i="42"/>
  <c r="AK107" i="42"/>
  <c r="AH107" i="42"/>
  <c r="AG107" i="42"/>
  <c r="AF107" i="42"/>
  <c r="AE107" i="42"/>
  <c r="AB107" i="42"/>
  <c r="AA107" i="42"/>
  <c r="Z107" i="42"/>
  <c r="Y107" i="42"/>
  <c r="V107" i="42"/>
  <c r="U107" i="42"/>
  <c r="U105" i="42" s="1"/>
  <c r="T107" i="42"/>
  <c r="T105" i="42" s="1"/>
  <c r="S107" i="42"/>
  <c r="S105" i="42" s="1"/>
  <c r="P107" i="42"/>
  <c r="P105" i="42" s="1"/>
  <c r="O107" i="42"/>
  <c r="O105" i="42" s="1"/>
  <c r="CB106" i="42"/>
  <c r="CB107" i="42" s="1"/>
  <c r="CA106" i="42"/>
  <c r="CA107" i="42" s="1"/>
  <c r="BD106" i="42"/>
  <c r="AZ106" i="42"/>
  <c r="AZ105" i="42" s="1"/>
  <c r="BC112" i="42" s="1"/>
  <c r="V106" i="42"/>
  <c r="D107" i="42"/>
  <c r="C107" i="42"/>
  <c r="C106" i="42"/>
  <c r="D106" i="42" s="1"/>
  <c r="AQ105" i="42"/>
  <c r="AQ107" i="42" s="1"/>
  <c r="C102" i="42"/>
  <c r="D102" i="42" s="1"/>
  <c r="E102" i="42" s="1"/>
  <c r="G102" i="42" s="1"/>
  <c r="H102" i="42" s="1"/>
  <c r="I102" i="42" s="1"/>
  <c r="J102" i="42" s="1"/>
  <c r="M102" i="42" s="1"/>
  <c r="N102" i="42" s="1"/>
  <c r="O102" i="42" s="1"/>
  <c r="P102" i="42" s="1"/>
  <c r="S102" i="42" s="1"/>
  <c r="T102" i="42" s="1"/>
  <c r="U102" i="42" s="1"/>
  <c r="V102" i="42" s="1"/>
  <c r="Y102" i="42" s="1"/>
  <c r="Z102" i="42" s="1"/>
  <c r="AA102" i="42" s="1"/>
  <c r="AB102" i="42" s="1"/>
  <c r="AE102" i="42" s="1"/>
  <c r="AF102" i="42" s="1"/>
  <c r="AG102" i="42" s="1"/>
  <c r="C101" i="42"/>
  <c r="D101" i="42" s="1"/>
  <c r="CS100" i="42"/>
  <c r="CP100" i="42"/>
  <c r="CO100" i="42"/>
  <c r="CN100" i="42"/>
  <c r="CM100" i="42"/>
  <c r="CJ100" i="42"/>
  <c r="CI100" i="42"/>
  <c r="CH100" i="42"/>
  <c r="CG100" i="42"/>
  <c r="CD100" i="42"/>
  <c r="CC100" i="42"/>
  <c r="CB100" i="42"/>
  <c r="CA100" i="42"/>
  <c r="BX100" i="42"/>
  <c r="BW100" i="42"/>
  <c r="BV100" i="42"/>
  <c r="BU100" i="42"/>
  <c r="BR100" i="42"/>
  <c r="BQ100" i="42"/>
  <c r="BP100" i="42"/>
  <c r="BO100" i="42"/>
  <c r="BL100" i="42"/>
  <c r="BK100" i="42"/>
  <c r="BJ100" i="42"/>
  <c r="BI100" i="42"/>
  <c r="BF100" i="42"/>
  <c r="BE100" i="42"/>
  <c r="BD100" i="42"/>
  <c r="BC100" i="42"/>
  <c r="AZ100" i="42"/>
  <c r="AY100" i="42"/>
  <c r="AX100" i="42"/>
  <c r="AW100" i="42"/>
  <c r="AT100" i="42"/>
  <c r="AS100" i="42"/>
  <c r="AR100" i="42"/>
  <c r="AQ100" i="42"/>
  <c r="AN100" i="42"/>
  <c r="AM100" i="42"/>
  <c r="AL100" i="42"/>
  <c r="AK100" i="42"/>
  <c r="AH100" i="42"/>
  <c r="AG100" i="42"/>
  <c r="AF100" i="42"/>
  <c r="AE100" i="42"/>
  <c r="AB100" i="42"/>
  <c r="AA100" i="42"/>
  <c r="Z100" i="42"/>
  <c r="Y100" i="42"/>
  <c r="AB98" i="42"/>
  <c r="V98" i="42"/>
  <c r="P98" i="42"/>
  <c r="CS97" i="42"/>
  <c r="CP97" i="42"/>
  <c r="CO97" i="42"/>
  <c r="CN97" i="42"/>
  <c r="CM97" i="42"/>
  <c r="CJ97" i="42"/>
  <c r="CI97" i="42"/>
  <c r="CH97" i="42"/>
  <c r="CG97" i="42"/>
  <c r="CD97" i="42"/>
  <c r="CC97" i="42"/>
  <c r="CB97" i="42"/>
  <c r="CA97" i="42"/>
  <c r="BX97" i="42"/>
  <c r="BW97" i="42"/>
  <c r="BV97" i="42"/>
  <c r="BU97" i="42"/>
  <c r="BR97" i="42"/>
  <c r="BQ97" i="42"/>
  <c r="BP97" i="42"/>
  <c r="BO97" i="42"/>
  <c r="BL97" i="42"/>
  <c r="BK97" i="42"/>
  <c r="BJ97" i="42"/>
  <c r="BI97" i="42"/>
  <c r="BF97" i="42"/>
  <c r="BE97" i="42"/>
  <c r="BD97" i="42"/>
  <c r="BC97" i="42"/>
  <c r="AZ97" i="42"/>
  <c r="AY97" i="42"/>
  <c r="AX97" i="42"/>
  <c r="AW97" i="42"/>
  <c r="AT97" i="42"/>
  <c r="AS97" i="42"/>
  <c r="AR97" i="42"/>
  <c r="AQ97" i="42"/>
  <c r="AN97" i="42"/>
  <c r="AM97" i="42"/>
  <c r="AL97" i="42"/>
  <c r="AK97" i="42"/>
  <c r="AH97" i="42"/>
  <c r="AG97" i="42"/>
  <c r="AF97" i="42"/>
  <c r="AE97" i="42"/>
  <c r="AA97" i="42"/>
  <c r="Z97" i="42"/>
  <c r="Y97" i="42"/>
  <c r="U97" i="42"/>
  <c r="T97" i="42"/>
  <c r="S97" i="42"/>
  <c r="O97" i="42"/>
  <c r="N97" i="42"/>
  <c r="M97" i="42"/>
  <c r="J97" i="42"/>
  <c r="I97" i="42"/>
  <c r="H97" i="42"/>
  <c r="G97" i="42"/>
  <c r="E97" i="42"/>
  <c r="D97" i="42"/>
  <c r="CS83" i="42"/>
  <c r="CP84" i="42"/>
  <c r="CO84" i="42"/>
  <c r="CN84" i="42"/>
  <c r="CJ84" i="42"/>
  <c r="CI84" i="42"/>
  <c r="CH84" i="42"/>
  <c r="CD84" i="42"/>
  <c r="CC84" i="42"/>
  <c r="CB84" i="42"/>
  <c r="BX84" i="42"/>
  <c r="BW84" i="42"/>
  <c r="BV84" i="42"/>
  <c r="BR84" i="42"/>
  <c r="BQ84" i="42"/>
  <c r="BP84" i="42"/>
  <c r="BL84" i="42"/>
  <c r="BK84" i="42"/>
  <c r="BJ84" i="42"/>
  <c r="BF84" i="42"/>
  <c r="BE84" i="42"/>
  <c r="BD84" i="42"/>
  <c r="AZ84" i="42"/>
  <c r="AY84" i="42"/>
  <c r="AX84" i="42"/>
  <c r="AT84" i="42"/>
  <c r="AS84" i="42"/>
  <c r="AR84" i="42"/>
  <c r="AN84" i="42"/>
  <c r="AM84" i="42"/>
  <c r="AL84" i="42"/>
  <c r="AH84" i="42"/>
  <c r="AG84" i="42"/>
  <c r="AF84" i="42"/>
  <c r="AB84" i="42"/>
  <c r="AA84" i="42"/>
  <c r="Z84" i="42"/>
  <c r="V84" i="42"/>
  <c r="U84" i="42"/>
  <c r="T84" i="42"/>
  <c r="P84" i="42"/>
  <c r="O84" i="42"/>
  <c r="N84" i="42"/>
  <c r="J84" i="42"/>
  <c r="I84" i="42"/>
  <c r="H84" i="42"/>
  <c r="G84" i="42"/>
  <c r="CP83" i="42"/>
  <c r="CO83" i="42"/>
  <c r="CN83" i="42"/>
  <c r="CM83" i="42"/>
  <c r="CJ83" i="42"/>
  <c r="CI83" i="42"/>
  <c r="CH83" i="42"/>
  <c r="CG83" i="42"/>
  <c r="CD83" i="42"/>
  <c r="CC83" i="42"/>
  <c r="CB83" i="42"/>
  <c r="CA83" i="42"/>
  <c r="BX83" i="42"/>
  <c r="BW83" i="42"/>
  <c r="BV83" i="42"/>
  <c r="BU83" i="42"/>
  <c r="BR83" i="42"/>
  <c r="BQ83" i="42"/>
  <c r="BP83" i="42"/>
  <c r="BO83" i="42"/>
  <c r="BL83" i="42"/>
  <c r="BK83" i="42"/>
  <c r="BJ83" i="42"/>
  <c r="BI83" i="42"/>
  <c r="BF83" i="42"/>
  <c r="BE83" i="42"/>
  <c r="BD83" i="42"/>
  <c r="BC83" i="42"/>
  <c r="AZ83" i="42"/>
  <c r="AY83" i="42"/>
  <c r="AX83" i="42"/>
  <c r="AW83" i="42"/>
  <c r="AT83" i="42"/>
  <c r="AS83" i="42"/>
  <c r="AR83" i="42"/>
  <c r="AQ83" i="42"/>
  <c r="AN83" i="42"/>
  <c r="AM83" i="42"/>
  <c r="AL83" i="42"/>
  <c r="AK83" i="42"/>
  <c r="AH83" i="42"/>
  <c r="AG83" i="42"/>
  <c r="AF83" i="42"/>
  <c r="AE83" i="42"/>
  <c r="AB83" i="42"/>
  <c r="AA83" i="42"/>
  <c r="Z83" i="42"/>
  <c r="Y83" i="42"/>
  <c r="V83" i="42"/>
  <c r="U83" i="42"/>
  <c r="T83" i="42"/>
  <c r="S83" i="42"/>
  <c r="P83" i="42"/>
  <c r="O83" i="42"/>
  <c r="N83" i="42"/>
  <c r="M83" i="42"/>
  <c r="E83" i="42"/>
  <c r="DI81" i="42"/>
  <c r="DI80" i="42"/>
  <c r="DC81" i="42"/>
  <c r="DC80" i="42"/>
  <c r="CW81" i="42"/>
  <c r="CW80" i="42"/>
  <c r="CQ81" i="42"/>
  <c r="CQ80" i="42"/>
  <c r="CK81" i="42"/>
  <c r="CK80" i="42"/>
  <c r="CE81" i="42"/>
  <c r="CE80" i="42"/>
  <c r="BY81" i="42"/>
  <c r="BY80" i="42"/>
  <c r="BS81" i="42"/>
  <c r="BS80" i="42"/>
  <c r="BM81" i="42"/>
  <c r="BM80" i="42"/>
  <c r="BG81" i="42"/>
  <c r="BG80" i="42"/>
  <c r="BA81" i="42"/>
  <c r="BA80" i="42"/>
  <c r="AU81" i="42"/>
  <c r="AU80" i="42"/>
  <c r="AO81" i="42"/>
  <c r="AO80" i="42"/>
  <c r="AI81" i="42"/>
  <c r="AI80" i="42"/>
  <c r="AC81" i="42"/>
  <c r="AC80" i="42"/>
  <c r="W81" i="42"/>
  <c r="W80" i="42"/>
  <c r="K80" i="42"/>
  <c r="CS79" i="42"/>
  <c r="CP79" i="42"/>
  <c r="CQ79" i="42" s="1"/>
  <c r="CO79" i="42"/>
  <c r="CN79" i="42"/>
  <c r="CM79" i="42"/>
  <c r="CM85" i="42" s="1"/>
  <c r="CJ79" i="42"/>
  <c r="CK79" i="42" s="1"/>
  <c r="CI79" i="42"/>
  <c r="CH79" i="42"/>
  <c r="CH85" i="42" s="1"/>
  <c r="CG79" i="42"/>
  <c r="CG85" i="42" s="1"/>
  <c r="CD79" i="42"/>
  <c r="CE79" i="42" s="1"/>
  <c r="CC79" i="42"/>
  <c r="CB79" i="42"/>
  <c r="CB85" i="42" s="1"/>
  <c r="CA79" i="42"/>
  <c r="CA85" i="42" s="1"/>
  <c r="BX79" i="42"/>
  <c r="BY79" i="42" s="1"/>
  <c r="BW79" i="42"/>
  <c r="BV79" i="42"/>
  <c r="BV85" i="42" s="1"/>
  <c r="BU79" i="42"/>
  <c r="BU85" i="42" s="1"/>
  <c r="BR79" i="42"/>
  <c r="BS79" i="42" s="1"/>
  <c r="BQ79" i="42"/>
  <c r="BP79" i="42"/>
  <c r="BP85" i="42" s="1"/>
  <c r="BO79" i="42"/>
  <c r="BO85" i="42" s="1"/>
  <c r="BL79" i="42"/>
  <c r="BM79" i="42" s="1"/>
  <c r="BK79" i="42"/>
  <c r="BJ79" i="42"/>
  <c r="BJ85" i="42" s="1"/>
  <c r="BI79" i="42"/>
  <c r="BI85" i="42" s="1"/>
  <c r="BF79" i="42"/>
  <c r="BG79" i="42" s="1"/>
  <c r="BE79" i="42"/>
  <c r="BD79" i="42"/>
  <c r="BD85" i="42" s="1"/>
  <c r="BC79" i="42"/>
  <c r="BC85" i="42" s="1"/>
  <c r="AZ79" i="42"/>
  <c r="BA79" i="42" s="1"/>
  <c r="AY79" i="42"/>
  <c r="AY85" i="42" s="1"/>
  <c r="AX79" i="42"/>
  <c r="AX85" i="42" s="1"/>
  <c r="AW79" i="42"/>
  <c r="AW85" i="42" s="1"/>
  <c r="AT79" i="42"/>
  <c r="AU79" i="42" s="1"/>
  <c r="AS79" i="42"/>
  <c r="AR79" i="42"/>
  <c r="AR85" i="42" s="1"/>
  <c r="AQ79" i="42"/>
  <c r="AQ85" i="42" s="1"/>
  <c r="AN79" i="42"/>
  <c r="AO79" i="42" s="1"/>
  <c r="AM79" i="42"/>
  <c r="AM85" i="42" s="1"/>
  <c r="AL79" i="42"/>
  <c r="AL85" i="42" s="1"/>
  <c r="AK79" i="42"/>
  <c r="AK85" i="42" s="1"/>
  <c r="AH79" i="42"/>
  <c r="AI79" i="42" s="1"/>
  <c r="AG79" i="42"/>
  <c r="AG85" i="42" s="1"/>
  <c r="AF79" i="42"/>
  <c r="AF85" i="42" s="1"/>
  <c r="AE79" i="42"/>
  <c r="AE85" i="42" s="1"/>
  <c r="AB79" i="42"/>
  <c r="AC79" i="42" s="1"/>
  <c r="AA79" i="42"/>
  <c r="AA85" i="42" s="1"/>
  <c r="Z79" i="42"/>
  <c r="Z85" i="42" s="1"/>
  <c r="Y79" i="42"/>
  <c r="Y85" i="42" s="1"/>
  <c r="V79" i="42"/>
  <c r="W79" i="42" s="1"/>
  <c r="U79" i="42"/>
  <c r="U85" i="42" s="1"/>
  <c r="T79" i="42"/>
  <c r="T85" i="42" s="1"/>
  <c r="S79" i="42"/>
  <c r="S85" i="42" s="1"/>
  <c r="P79" i="42"/>
  <c r="P85" i="42" s="1"/>
  <c r="O79" i="42"/>
  <c r="O85" i="42" s="1"/>
  <c r="N79" i="42"/>
  <c r="N81" i="42" s="1"/>
  <c r="M79" i="42"/>
  <c r="M85" i="42" s="1"/>
  <c r="J79" i="42"/>
  <c r="J85" i="42" s="1"/>
  <c r="I79" i="42"/>
  <c r="I81" i="42" s="1"/>
  <c r="H79" i="42"/>
  <c r="H81" i="42" s="1"/>
  <c r="G79" i="42"/>
  <c r="G85" i="42" s="1"/>
  <c r="E79" i="42"/>
  <c r="E81" i="42" s="1"/>
  <c r="D79" i="42"/>
  <c r="D81" i="42" s="1"/>
  <c r="CS76" i="42"/>
  <c r="CS73" i="42"/>
  <c r="CP76" i="42"/>
  <c r="CO76" i="42"/>
  <c r="CN76" i="42"/>
  <c r="CM76" i="42"/>
  <c r="CJ76" i="42"/>
  <c r="CI76" i="42"/>
  <c r="CH76" i="42"/>
  <c r="CG76" i="42"/>
  <c r="CD76" i="42"/>
  <c r="CC76" i="42"/>
  <c r="CB76" i="42"/>
  <c r="CA76" i="42"/>
  <c r="BX76" i="42"/>
  <c r="BW76" i="42"/>
  <c r="BV76" i="42"/>
  <c r="BU76" i="42"/>
  <c r="BR76" i="42"/>
  <c r="BQ76" i="42"/>
  <c r="BP76" i="42"/>
  <c r="BO76" i="42"/>
  <c r="BL76" i="42"/>
  <c r="BL71" i="42" s="1"/>
  <c r="BK76" i="42"/>
  <c r="BJ76" i="42"/>
  <c r="BI76" i="42"/>
  <c r="BF76" i="42"/>
  <c r="BE76" i="42"/>
  <c r="BD76" i="42"/>
  <c r="BC76" i="42"/>
  <c r="AZ76" i="42"/>
  <c r="AZ71" i="42" s="1"/>
  <c r="AY76" i="42"/>
  <c r="AX76" i="42"/>
  <c r="AW76" i="42"/>
  <c r="AX73" i="42"/>
  <c r="AF73" i="42"/>
  <c r="Z73" i="42"/>
  <c r="AA73" i="42" s="1"/>
  <c r="AB73" i="42" s="1"/>
  <c r="AK71" i="42"/>
  <c r="CP73" i="42"/>
  <c r="CO73" i="42"/>
  <c r="CN73" i="42"/>
  <c r="CM73" i="42"/>
  <c r="CJ73" i="42"/>
  <c r="CI73" i="42"/>
  <c r="CH73" i="42"/>
  <c r="CG73" i="42"/>
  <c r="CJ71" i="42"/>
  <c r="CD73" i="42"/>
  <c r="CC73" i="42"/>
  <c r="CB73" i="42"/>
  <c r="CA73" i="42"/>
  <c r="BX73" i="42"/>
  <c r="BW73" i="42"/>
  <c r="BV73" i="42"/>
  <c r="BU73" i="42"/>
  <c r="BR73" i="42"/>
  <c r="BQ73" i="42"/>
  <c r="BP73" i="42"/>
  <c r="BO73" i="42"/>
  <c r="BL73" i="42"/>
  <c r="BK73" i="42"/>
  <c r="BJ73" i="42"/>
  <c r="BI73" i="42"/>
  <c r="BE73" i="42"/>
  <c r="BD73" i="42"/>
  <c r="BC73" i="42"/>
  <c r="AR73" i="42"/>
  <c r="AS73" i="42" s="1"/>
  <c r="AR71" i="42"/>
  <c r="AL73" i="42"/>
  <c r="AM73" i="42" s="1"/>
  <c r="AN73" i="42" s="1"/>
  <c r="AO73" i="42" s="1"/>
  <c r="AF71" i="42"/>
  <c r="Z71" i="42"/>
  <c r="AW70" i="42"/>
  <c r="DH69" i="42"/>
  <c r="DG69" i="42"/>
  <c r="DF69" i="42"/>
  <c r="DE69" i="42"/>
  <c r="DB69" i="42"/>
  <c r="DA69" i="42"/>
  <c r="CZ69" i="42"/>
  <c r="CY69" i="42"/>
  <c r="AX71" i="42"/>
  <c r="CS61" i="42"/>
  <c r="CS62" i="42" s="1"/>
  <c r="CP61" i="42"/>
  <c r="CP62" i="42" s="1"/>
  <c r="CO61" i="42"/>
  <c r="CO62" i="42" s="1"/>
  <c r="CN61" i="42"/>
  <c r="CN62" i="42" s="1"/>
  <c r="CM61" i="42"/>
  <c r="CM62" i="42" s="1"/>
  <c r="CJ61" i="42"/>
  <c r="CJ62" i="42" s="1"/>
  <c r="CI61" i="42"/>
  <c r="CI62" i="42" s="1"/>
  <c r="CH61" i="42"/>
  <c r="CH62" i="42" s="1"/>
  <c r="CG61" i="42"/>
  <c r="CG62" i="42" s="1"/>
  <c r="CD61" i="42"/>
  <c r="CD62" i="42" s="1"/>
  <c r="CB61" i="42"/>
  <c r="CB62" i="42" s="1"/>
  <c r="CA61" i="42"/>
  <c r="CA62" i="42" s="1"/>
  <c r="BX61" i="42"/>
  <c r="BX62" i="42" s="1"/>
  <c r="BW61" i="42"/>
  <c r="BW62" i="42" s="1"/>
  <c r="BV61" i="42"/>
  <c r="BV62" i="42" s="1"/>
  <c r="BU61" i="42"/>
  <c r="BU62" i="42" s="1"/>
  <c r="BR61" i="42"/>
  <c r="BR62" i="42" s="1"/>
  <c r="BQ61" i="42"/>
  <c r="BQ62" i="42" s="1"/>
  <c r="BP61" i="42"/>
  <c r="BP62" i="42" s="1"/>
  <c r="BL61" i="42"/>
  <c r="BL62" i="42" s="1"/>
  <c r="BK61" i="42"/>
  <c r="BK62" i="42" s="1"/>
  <c r="BJ61" i="42"/>
  <c r="BJ62" i="42" s="1"/>
  <c r="BI61" i="42"/>
  <c r="BI62" i="42" s="1"/>
  <c r="BH61" i="42"/>
  <c r="BE61" i="42"/>
  <c r="BE62" i="42" s="1"/>
  <c r="BD61" i="42"/>
  <c r="BD62" i="42" s="1"/>
  <c r="BC61" i="42"/>
  <c r="BC62" i="42" s="1"/>
  <c r="AZ61" i="42"/>
  <c r="AZ62" i="42" s="1"/>
  <c r="AY61" i="42"/>
  <c r="AY62" i="42" s="1"/>
  <c r="AX61" i="42"/>
  <c r="AX62" i="42" s="1"/>
  <c r="AW61" i="42"/>
  <c r="AW62" i="42" s="1"/>
  <c r="Q57" i="42"/>
  <c r="Q254" i="1" s="1"/>
  <c r="Q55" i="42"/>
  <c r="Q54" i="42"/>
  <c r="Q184" i="42" s="1"/>
  <c r="Q53" i="42"/>
  <c r="Q52" i="42"/>
  <c r="Q51" i="42"/>
  <c r="Q50" i="42"/>
  <c r="CP56" i="42"/>
  <c r="CP133" i="42" s="1"/>
  <c r="CO56" i="42"/>
  <c r="CO133" i="42" s="1"/>
  <c r="CN56" i="42"/>
  <c r="CN133" i="42" s="1"/>
  <c r="CM56" i="42"/>
  <c r="CM133" i="42" s="1"/>
  <c r="CJ56" i="42"/>
  <c r="CJ133" i="42" s="1"/>
  <c r="CI56" i="42"/>
  <c r="CI133" i="42" s="1"/>
  <c r="CH56" i="42"/>
  <c r="CH133" i="42" s="1"/>
  <c r="CG56" i="42"/>
  <c r="CG133" i="42" s="1"/>
  <c r="CD56" i="42"/>
  <c r="CD133" i="42" s="1"/>
  <c r="BO56" i="42"/>
  <c r="BO133" i="42" s="1"/>
  <c r="BE56" i="42"/>
  <c r="BE133" i="42" s="1"/>
  <c r="BD56" i="42"/>
  <c r="BD133" i="42" s="1"/>
  <c r="BC56" i="42"/>
  <c r="BC133" i="42" s="1"/>
  <c r="AZ56" i="42"/>
  <c r="AZ133" i="42" s="1"/>
  <c r="AY56" i="42"/>
  <c r="AY133" i="42" s="1"/>
  <c r="AX56" i="42"/>
  <c r="AX133" i="42" s="1"/>
  <c r="AW56" i="42"/>
  <c r="AW133" i="42" s="1"/>
  <c r="AT56" i="42"/>
  <c r="AT133" i="42" s="1"/>
  <c r="AS56" i="42"/>
  <c r="AS133" i="42" s="1"/>
  <c r="AQ56" i="42"/>
  <c r="AQ133" i="42" s="1"/>
  <c r="AN56" i="42"/>
  <c r="AN133" i="42" s="1"/>
  <c r="AM56" i="42"/>
  <c r="AM133" i="42" s="1"/>
  <c r="AL56" i="42"/>
  <c r="AL133" i="42" s="1"/>
  <c r="AG56" i="42"/>
  <c r="AG133" i="42" s="1"/>
  <c r="AE56" i="42"/>
  <c r="AE133" i="42" s="1"/>
  <c r="AB56" i="42"/>
  <c r="AB133" i="42" s="1"/>
  <c r="AA56" i="42"/>
  <c r="AA133" i="42" s="1"/>
  <c r="Z56" i="42"/>
  <c r="Z133" i="42" s="1"/>
  <c r="Y56" i="42"/>
  <c r="Y133" i="42" s="1"/>
  <c r="V56" i="42"/>
  <c r="V133" i="42" s="1"/>
  <c r="U56" i="42"/>
  <c r="U133" i="42" s="1"/>
  <c r="T56" i="42"/>
  <c r="T133" i="42" s="1"/>
  <c r="S56" i="42"/>
  <c r="S133" i="42" s="1"/>
  <c r="P56" i="42"/>
  <c r="P133" i="42" s="1"/>
  <c r="O56" i="42"/>
  <c r="O133" i="42" s="1"/>
  <c r="N56" i="42"/>
  <c r="N133" i="42" s="1"/>
  <c r="M56" i="42"/>
  <c r="M133" i="42" s="1"/>
  <c r="J56" i="42"/>
  <c r="J57" i="42" s="1"/>
  <c r="K57" i="42" s="1"/>
  <c r="K254" i="1" s="1"/>
  <c r="E56" i="42"/>
  <c r="E135" i="42" s="1"/>
  <c r="CS55" i="42"/>
  <c r="CS56" i="42" s="1"/>
  <c r="CQ55" i="42"/>
  <c r="CQ54" i="42"/>
  <c r="CQ184" i="42" s="1"/>
  <c r="CQ53" i="42"/>
  <c r="CQ52" i="42"/>
  <c r="CQ51" i="42"/>
  <c r="CQ50" i="42"/>
  <c r="CK55" i="42"/>
  <c r="CK54" i="42"/>
  <c r="CK184" i="42" s="1"/>
  <c r="CK53" i="42"/>
  <c r="CK52" i="42"/>
  <c r="CK51" i="42"/>
  <c r="CK50" i="42"/>
  <c r="CE55" i="42"/>
  <c r="CE54" i="42"/>
  <c r="CE184" i="42" s="1"/>
  <c r="CE53" i="42"/>
  <c r="CE52" i="42"/>
  <c r="CE51" i="42"/>
  <c r="CE50" i="42"/>
  <c r="BY55" i="42"/>
  <c r="BY54" i="42"/>
  <c r="BY184" i="42" s="1"/>
  <c r="BY53" i="42"/>
  <c r="BY52" i="42"/>
  <c r="BY50" i="42"/>
  <c r="BS55" i="42"/>
  <c r="BS54" i="42"/>
  <c r="BS184" i="42" s="1"/>
  <c r="BS53" i="42"/>
  <c r="BS52" i="42"/>
  <c r="BS50" i="42"/>
  <c r="BM55" i="42"/>
  <c r="BM54" i="42"/>
  <c r="BM184" i="42" s="1"/>
  <c r="BM53" i="42"/>
  <c r="BM52" i="42"/>
  <c r="BM50" i="42"/>
  <c r="BG55" i="42"/>
  <c r="BG54" i="42"/>
  <c r="BG184" i="42" s="1"/>
  <c r="BG51" i="42"/>
  <c r="BG50" i="42"/>
  <c r="BA55" i="42"/>
  <c r="BA54" i="42"/>
  <c r="BA184" i="42" s="1"/>
  <c r="BA53" i="42"/>
  <c r="BA52" i="42"/>
  <c r="BA51" i="42"/>
  <c r="BA50" i="42"/>
  <c r="AU55" i="42"/>
  <c r="AU54" i="42"/>
  <c r="AU184" i="42" s="1"/>
  <c r="AU53" i="42"/>
  <c r="AU52" i="42"/>
  <c r="AU51" i="42"/>
  <c r="AU50" i="42"/>
  <c r="AO55" i="42"/>
  <c r="AO54" i="42"/>
  <c r="AO184" i="42" s="1"/>
  <c r="AO53" i="42"/>
  <c r="AO52" i="42"/>
  <c r="AO51" i="42"/>
  <c r="AO50" i="42"/>
  <c r="AI55" i="42"/>
  <c r="AI54" i="42"/>
  <c r="AI184" i="42" s="1"/>
  <c r="AI52" i="42"/>
  <c r="AI51" i="42"/>
  <c r="AI50" i="42"/>
  <c r="AC55" i="42"/>
  <c r="AC54" i="42"/>
  <c r="AC184" i="42" s="1"/>
  <c r="AC53" i="42"/>
  <c r="AC52" i="42"/>
  <c r="AC51" i="42"/>
  <c r="AC50" i="42"/>
  <c r="W55" i="42"/>
  <c r="W54" i="42"/>
  <c r="W184" i="42" s="1"/>
  <c r="W53" i="42"/>
  <c r="W52" i="42"/>
  <c r="W51" i="42"/>
  <c r="W50" i="42"/>
  <c r="K55" i="42"/>
  <c r="K54" i="42"/>
  <c r="K184" i="42" s="1"/>
  <c r="K53" i="42"/>
  <c r="K52" i="42"/>
  <c r="K51" i="42"/>
  <c r="K50" i="42"/>
  <c r="BI54" i="42"/>
  <c r="BF53" i="42"/>
  <c r="BG53" i="42" s="1"/>
  <c r="AR53" i="42"/>
  <c r="AH53" i="42"/>
  <c r="AK53" i="42" s="1"/>
  <c r="CC51" i="42"/>
  <c r="CC56" i="42" s="1"/>
  <c r="CB51" i="42"/>
  <c r="CA51" i="42"/>
  <c r="CA56" i="42" s="1"/>
  <c r="CA133" i="42" s="1"/>
  <c r="BX51" i="42"/>
  <c r="BW51" i="42"/>
  <c r="BV51" i="42"/>
  <c r="BU51" i="42"/>
  <c r="BR51" i="42"/>
  <c r="BR56" i="42" s="1"/>
  <c r="BR133" i="42" s="1"/>
  <c r="BQ51" i="42"/>
  <c r="BQ56" i="42" s="1"/>
  <c r="BP51" i="42"/>
  <c r="BL51" i="42"/>
  <c r="BM51" i="42" s="1"/>
  <c r="BK51" i="42"/>
  <c r="BK56" i="42" s="1"/>
  <c r="BJ51" i="42"/>
  <c r="BJ56" i="42" s="1"/>
  <c r="BJ133" i="42" s="1"/>
  <c r="BI51" i="42"/>
  <c r="BI56" i="42" s="1"/>
  <c r="M53" i="42"/>
  <c r="N53" i="42" s="1"/>
  <c r="O53" i="42" s="1"/>
  <c r="M52" i="42"/>
  <c r="M182" i="42" s="1"/>
  <c r="G54" i="42"/>
  <c r="H54" i="42" s="1"/>
  <c r="I54" i="42" s="1"/>
  <c r="G53" i="42"/>
  <c r="H53" i="42" s="1"/>
  <c r="I53" i="42" s="1"/>
  <c r="G52" i="42"/>
  <c r="H52" i="42" s="1"/>
  <c r="I52" i="42" s="1"/>
  <c r="G51" i="42"/>
  <c r="H51" i="42" s="1"/>
  <c r="DF48" i="42"/>
  <c r="DG48" i="42" s="1"/>
  <c r="CZ48" i="42"/>
  <c r="DA48" i="42" s="1"/>
  <c r="CP48" i="42"/>
  <c r="CH48" i="42"/>
  <c r="CH57" i="42" s="1"/>
  <c r="CH254" i="1" s="1"/>
  <c r="CE48" i="42"/>
  <c r="BV48" i="42"/>
  <c r="BQ48" i="42"/>
  <c r="BR48" i="42" s="1"/>
  <c r="BL48" i="42"/>
  <c r="BM48" i="42" s="1"/>
  <c r="BE48" i="42"/>
  <c r="BF48" i="42" s="1"/>
  <c r="BA48" i="42"/>
  <c r="AX48" i="42"/>
  <c r="AX57" i="42" s="1"/>
  <c r="AU48" i="42"/>
  <c r="AR48" i="42"/>
  <c r="AS48" i="42" s="1"/>
  <c r="AN48" i="42"/>
  <c r="AN57" i="42" s="1"/>
  <c r="AO57" i="42" s="1"/>
  <c r="AO254" i="1" s="1"/>
  <c r="AL48" i="42"/>
  <c r="AG48" i="42"/>
  <c r="AH48" i="42" s="1"/>
  <c r="AC48" i="42"/>
  <c r="AA48" i="42"/>
  <c r="Z48" i="42"/>
  <c r="W48" i="42"/>
  <c r="Q48" i="42"/>
  <c r="K48" i="42"/>
  <c r="CP45" i="42"/>
  <c r="CQ44" i="42"/>
  <c r="CQ43" i="42"/>
  <c r="CQ42" i="42"/>
  <c r="CQ41" i="42"/>
  <c r="CQ40" i="42"/>
  <c r="CQ39" i="42"/>
  <c r="CS45" i="42"/>
  <c r="CO45" i="42"/>
  <c r="CN45" i="42"/>
  <c r="CJ45" i="42"/>
  <c r="CI45" i="42"/>
  <c r="CH45" i="42"/>
  <c r="CC45" i="42"/>
  <c r="CB45" i="42"/>
  <c r="CA45" i="42"/>
  <c r="BX45" i="42"/>
  <c r="BS45" i="42"/>
  <c r="BS44" i="42"/>
  <c r="BS43" i="42"/>
  <c r="BS42" i="42"/>
  <c r="BM45" i="42"/>
  <c r="BM44" i="42"/>
  <c r="BM43" i="42"/>
  <c r="BM42" i="42"/>
  <c r="BG45" i="42"/>
  <c r="BG44" i="42"/>
  <c r="BG43" i="42"/>
  <c r="BG42" i="42"/>
  <c r="BA45" i="42"/>
  <c r="BA44" i="42"/>
  <c r="BA43" i="42"/>
  <c r="BA42" i="42"/>
  <c r="AU45" i="42"/>
  <c r="AU44" i="42"/>
  <c r="AU43" i="42"/>
  <c r="AU42" i="42"/>
  <c r="AO45" i="42"/>
  <c r="AO44" i="42"/>
  <c r="AO43" i="42"/>
  <c r="AO42" i="42"/>
  <c r="AI45" i="42"/>
  <c r="AI44" i="42"/>
  <c r="AE45" i="42"/>
  <c r="AC45" i="42"/>
  <c r="AC44" i="42"/>
  <c r="AC43" i="42"/>
  <c r="AC42" i="42"/>
  <c r="W45" i="42"/>
  <c r="W44" i="42"/>
  <c r="W43" i="42"/>
  <c r="W42" i="42"/>
  <c r="Q45" i="42"/>
  <c r="Q44" i="42"/>
  <c r="Q43" i="42"/>
  <c r="Q42" i="42"/>
  <c r="K45" i="42"/>
  <c r="K44" i="42"/>
  <c r="K43" i="42"/>
  <c r="K42" i="42"/>
  <c r="E45" i="42"/>
  <c r="CM44" i="42"/>
  <c r="CM45" i="42" s="1"/>
  <c r="CK44" i="42"/>
  <c r="CK43" i="42"/>
  <c r="CK42" i="42"/>
  <c r="CK41" i="42"/>
  <c r="CK40" i="42"/>
  <c r="CK39" i="42"/>
  <c r="CI44" i="42"/>
  <c r="CC44" i="42"/>
  <c r="CD44" i="42" s="1"/>
  <c r="CG44" i="42" s="1"/>
  <c r="CG45" i="42" s="1"/>
  <c r="BY44" i="42"/>
  <c r="BY43" i="42"/>
  <c r="BY42" i="42"/>
  <c r="BY41" i="42"/>
  <c r="BY40" i="42"/>
  <c r="BY39" i="42"/>
  <c r="BP44" i="42"/>
  <c r="CE43" i="42"/>
  <c r="CE42" i="42"/>
  <c r="CE41" i="42"/>
  <c r="CE40" i="42"/>
  <c r="CE39" i="42"/>
  <c r="AH43" i="42"/>
  <c r="AI43" i="42" s="1"/>
  <c r="AH42" i="42"/>
  <c r="AI42" i="42" s="1"/>
  <c r="AE43" i="42"/>
  <c r="AE248" i="1" s="1"/>
  <c r="AE42" i="42"/>
  <c r="Z43" i="42"/>
  <c r="Z248" i="1" s="1"/>
  <c r="Z42" i="42"/>
  <c r="BS40" i="42"/>
  <c r="BS39" i="42"/>
  <c r="BM40" i="42"/>
  <c r="BM39" i="42"/>
  <c r="BG40" i="42"/>
  <c r="BG39" i="42"/>
  <c r="BA40" i="42"/>
  <c r="BA39" i="42"/>
  <c r="AU40" i="42"/>
  <c r="AU39" i="42"/>
  <c r="AS40" i="42"/>
  <c r="AS252" i="1" s="1"/>
  <c r="AQ40" i="42"/>
  <c r="AQ252" i="1" s="1"/>
  <c r="AO40" i="42"/>
  <c r="AO39" i="42"/>
  <c r="AK39" i="42"/>
  <c r="AH40" i="42"/>
  <c r="AE40" i="42"/>
  <c r="AE252" i="1" s="1"/>
  <c r="AC40" i="42"/>
  <c r="AC39" i="42"/>
  <c r="Z40" i="42"/>
  <c r="W40" i="42"/>
  <c r="W39" i="42"/>
  <c r="Q40" i="42"/>
  <c r="K40" i="42"/>
  <c r="BE39" i="42"/>
  <c r="AI39" i="42"/>
  <c r="J39" i="42"/>
  <c r="K39" i="42" s="1"/>
  <c r="E39" i="42"/>
  <c r="CS37" i="42"/>
  <c r="CP37" i="42"/>
  <c r="CP46" i="42" s="1"/>
  <c r="CP47" i="42" s="1"/>
  <c r="CO37" i="42"/>
  <c r="CO46" i="42" s="1"/>
  <c r="CN37" i="42"/>
  <c r="CN46" i="42" s="1"/>
  <c r="CM37" i="42"/>
  <c r="CM46" i="42" s="1"/>
  <c r="S37" i="42"/>
  <c r="S46" i="42" s="1"/>
  <c r="E37" i="42"/>
  <c r="CQ36" i="42"/>
  <c r="CQ35" i="42"/>
  <c r="CQ34" i="42"/>
  <c r="CQ33" i="42"/>
  <c r="CQ248" i="1" s="1"/>
  <c r="CQ31" i="42"/>
  <c r="CQ30" i="42"/>
  <c r="CK36" i="42"/>
  <c r="CK35" i="42"/>
  <c r="CK34" i="42"/>
  <c r="CK33" i="42"/>
  <c r="CK31" i="42"/>
  <c r="CE36" i="42"/>
  <c r="CE35" i="42"/>
  <c r="CE34" i="42"/>
  <c r="CE33" i="42"/>
  <c r="CE248" i="1" s="1"/>
  <c r="CE31" i="42"/>
  <c r="BY36" i="42"/>
  <c r="BY35" i="42"/>
  <c r="BY34" i="42"/>
  <c r="BY252" i="1" s="1"/>
  <c r="BY33" i="42"/>
  <c r="BY31" i="42"/>
  <c r="BS36" i="42"/>
  <c r="BM36" i="42"/>
  <c r="BG36" i="42"/>
  <c r="BA36" i="42"/>
  <c r="AU36" i="42"/>
  <c r="AO36" i="42"/>
  <c r="AI36" i="42"/>
  <c r="AG36" i="42"/>
  <c r="AF36" i="42"/>
  <c r="AE36" i="42"/>
  <c r="AB36" i="42"/>
  <c r="W36" i="42"/>
  <c r="Q36" i="42"/>
  <c r="K36" i="42"/>
  <c r="DI35" i="42"/>
  <c r="DI34" i="42"/>
  <c r="DC35" i="42"/>
  <c r="DC34" i="42"/>
  <c r="CW35" i="42"/>
  <c r="CW34" i="42"/>
  <c r="BS34" i="42"/>
  <c r="BS33" i="42"/>
  <c r="BS31" i="42"/>
  <c r="BM34" i="42"/>
  <c r="BM33" i="42"/>
  <c r="BM32" i="42"/>
  <c r="BM31" i="42"/>
  <c r="BF34" i="42"/>
  <c r="BG34" i="42" s="1"/>
  <c r="BA34" i="42"/>
  <c r="BA33" i="42"/>
  <c r="BA32" i="42"/>
  <c r="BA31" i="42"/>
  <c r="AU34" i="42"/>
  <c r="AU33" i="42"/>
  <c r="AU32" i="42"/>
  <c r="AU31" i="42"/>
  <c r="AN34" i="42"/>
  <c r="AO34" i="42" s="1"/>
  <c r="AI34" i="42"/>
  <c r="AI33" i="42"/>
  <c r="AQ159" i="41" s="1"/>
  <c r="AI32" i="42"/>
  <c r="AI31" i="42"/>
  <c r="AC34" i="42"/>
  <c r="AC33" i="42"/>
  <c r="AK159" i="41" s="1"/>
  <c r="AC32" i="42"/>
  <c r="AC31" i="42"/>
  <c r="W34" i="42"/>
  <c r="W252" i="1" s="1"/>
  <c r="W33" i="42"/>
  <c r="AE159" i="41" s="1"/>
  <c r="W32" i="42"/>
  <c r="W31" i="42"/>
  <c r="Q34" i="42"/>
  <c r="Q33" i="42"/>
  <c r="Y159" i="41" s="1"/>
  <c r="Q32" i="42"/>
  <c r="K34" i="42"/>
  <c r="K33" i="42"/>
  <c r="S159" i="41" s="1"/>
  <c r="K32" i="42"/>
  <c r="K31" i="42"/>
  <c r="BG33" i="42"/>
  <c r="BG31" i="42"/>
  <c r="AO33" i="42"/>
  <c r="AO32" i="42"/>
  <c r="AO31" i="42"/>
  <c r="CS32" i="42"/>
  <c r="CQ32" i="42"/>
  <c r="CO32" i="42"/>
  <c r="CN32" i="42"/>
  <c r="CM32" i="42"/>
  <c r="CJ32" i="42"/>
  <c r="CI32" i="42"/>
  <c r="CH32" i="42"/>
  <c r="CG32" i="42"/>
  <c r="CG30" i="42" s="1"/>
  <c r="CG37" i="42" s="1"/>
  <c r="CD32" i="42"/>
  <c r="CC32" i="42"/>
  <c r="CB32" i="42"/>
  <c r="CA32" i="42"/>
  <c r="CA30" i="42" s="1"/>
  <c r="CA37" i="42" s="1"/>
  <c r="BX32" i="42"/>
  <c r="BW32" i="42"/>
  <c r="BV32" i="42"/>
  <c r="BU32" i="42"/>
  <c r="BU30" i="42" s="1"/>
  <c r="BU37" i="42" s="1"/>
  <c r="BR32" i="42"/>
  <c r="BF32" i="42"/>
  <c r="AE32" i="42"/>
  <c r="D31" i="42"/>
  <c r="D30" i="42"/>
  <c r="D37" i="42" s="1"/>
  <c r="D46" i="42" s="1"/>
  <c r="D59" i="42" s="1"/>
  <c r="U31" i="42"/>
  <c r="T31" i="42"/>
  <c r="S31" i="42"/>
  <c r="P31" i="42"/>
  <c r="M31" i="42" s="1"/>
  <c r="P30" i="42"/>
  <c r="Q30" i="42" s="1"/>
  <c r="G31" i="42"/>
  <c r="CH30" i="42"/>
  <c r="CH37" i="42" s="1"/>
  <c r="CH46" i="42" s="1"/>
  <c r="CB30" i="42"/>
  <c r="CB37" i="42" s="1"/>
  <c r="CB46" i="42" s="1"/>
  <c r="BV30" i="42"/>
  <c r="BV37" i="42" s="1"/>
  <c r="BV46" i="42" s="1"/>
  <c r="BQ30" i="42"/>
  <c r="BQ37" i="42" s="1"/>
  <c r="BQ46" i="42" s="1"/>
  <c r="BP30" i="42"/>
  <c r="BP37" i="42" s="1"/>
  <c r="BO30" i="42"/>
  <c r="BO37" i="42" s="1"/>
  <c r="BO46" i="42" s="1"/>
  <c r="BL30" i="42"/>
  <c r="BM30" i="42" s="1"/>
  <c r="BK30" i="42"/>
  <c r="BK37" i="42" s="1"/>
  <c r="BK46" i="42" s="1"/>
  <c r="BJ30" i="42"/>
  <c r="BJ37" i="42" s="1"/>
  <c r="BJ46" i="42" s="1"/>
  <c r="BI30" i="42"/>
  <c r="BI37" i="42" s="1"/>
  <c r="BI46" i="42" s="1"/>
  <c r="BE30" i="42"/>
  <c r="BE37" i="42" s="1"/>
  <c r="BE46" i="42" s="1"/>
  <c r="BD30" i="42"/>
  <c r="BD37" i="42" s="1"/>
  <c r="BD46" i="42" s="1"/>
  <c r="BC30" i="42"/>
  <c r="BC37" i="42" s="1"/>
  <c r="BC46" i="42" s="1"/>
  <c r="AZ30" i="42"/>
  <c r="AZ37" i="42" s="1"/>
  <c r="AZ46" i="42" s="1"/>
  <c r="AY30" i="42"/>
  <c r="AY37" i="42" s="1"/>
  <c r="AY46" i="42" s="1"/>
  <c r="AX30" i="42"/>
  <c r="AX37" i="42" s="1"/>
  <c r="AX46" i="42" s="1"/>
  <c r="AX59" i="42" s="1"/>
  <c r="AW30" i="42"/>
  <c r="AW37" i="42" s="1"/>
  <c r="AW46" i="42" s="1"/>
  <c r="AT30" i="42"/>
  <c r="AU30" i="42" s="1"/>
  <c r="AS30" i="42"/>
  <c r="AS37" i="42" s="1"/>
  <c r="AR30" i="42"/>
  <c r="AR37" i="42" s="1"/>
  <c r="AR46" i="42" s="1"/>
  <c r="AQ30" i="42"/>
  <c r="AN30" i="42"/>
  <c r="AO30" i="42" s="1"/>
  <c r="AM30" i="42"/>
  <c r="AM37" i="42" s="1"/>
  <c r="AM46" i="42" s="1"/>
  <c r="AL30" i="42"/>
  <c r="AK30" i="42"/>
  <c r="AK37" i="42" s="1"/>
  <c r="AH30" i="42"/>
  <c r="AH37" i="42" s="1"/>
  <c r="AG30" i="42"/>
  <c r="AG37" i="42" s="1"/>
  <c r="AG46" i="42" s="1"/>
  <c r="AF30" i="42"/>
  <c r="AF37" i="42" s="1"/>
  <c r="AF46" i="42" s="1"/>
  <c r="AE30" i="42"/>
  <c r="AB30" i="42"/>
  <c r="AB37" i="42" s="1"/>
  <c r="AB46" i="42" s="1"/>
  <c r="AA30" i="42"/>
  <c r="Z30" i="42"/>
  <c r="Z37" i="42" s="1"/>
  <c r="Y30" i="42"/>
  <c r="V30" i="42"/>
  <c r="V37" i="42" s="1"/>
  <c r="V46" i="42" s="1"/>
  <c r="T30" i="42"/>
  <c r="T37" i="42" s="1"/>
  <c r="T46" i="42" s="1"/>
  <c r="O30" i="42"/>
  <c r="N30" i="42"/>
  <c r="N37" i="42" s="1"/>
  <c r="N46" i="42" s="1"/>
  <c r="N59" i="42" s="1"/>
  <c r="M30" i="42"/>
  <c r="M37" i="42" s="1"/>
  <c r="M46" i="42" s="1"/>
  <c r="M59" i="42" s="1"/>
  <c r="J30" i="42"/>
  <c r="I30" i="42"/>
  <c r="H30" i="42"/>
  <c r="H37" i="42" s="1"/>
  <c r="G30" i="42"/>
  <c r="G32" i="42" s="1"/>
  <c r="C30" i="42"/>
  <c r="C37" i="42" s="1"/>
  <c r="C46" i="42" s="1"/>
  <c r="C59" i="42" s="1"/>
  <c r="CS26" i="42"/>
  <c r="CP26" i="42"/>
  <c r="CQ26" i="42" s="1"/>
  <c r="CO26" i="42"/>
  <c r="CN26" i="42"/>
  <c r="CM26" i="42"/>
  <c r="CJ26" i="42"/>
  <c r="CI26" i="42"/>
  <c r="CH26" i="42"/>
  <c r="CG26" i="42"/>
  <c r="CD26" i="42"/>
  <c r="CE26" i="42" s="1"/>
  <c r="CC26" i="42"/>
  <c r="CB26" i="42"/>
  <c r="CA26" i="42"/>
  <c r="BX26" i="42"/>
  <c r="BY26" i="42" s="1"/>
  <c r="BW26" i="42"/>
  <c r="BV26" i="42"/>
  <c r="BU26" i="42"/>
  <c r="BS26" i="42"/>
  <c r="BS25" i="42"/>
  <c r="BS24" i="42"/>
  <c r="BS23" i="42"/>
  <c r="BS22" i="42"/>
  <c r="BS21" i="42"/>
  <c r="BS19" i="42"/>
  <c r="BM26" i="42"/>
  <c r="BM25" i="42"/>
  <c r="BM24" i="42"/>
  <c r="BM23" i="42"/>
  <c r="BM22" i="42"/>
  <c r="BM21" i="42"/>
  <c r="BM20" i="42"/>
  <c r="BM19" i="42"/>
  <c r="BG26" i="42"/>
  <c r="BG25" i="42"/>
  <c r="BG24" i="42"/>
  <c r="BG23" i="42"/>
  <c r="BG22" i="42"/>
  <c r="BG20" i="42"/>
  <c r="BG19" i="42"/>
  <c r="BA26" i="42"/>
  <c r="BA25" i="42"/>
  <c r="BA24" i="42"/>
  <c r="BA23" i="42"/>
  <c r="BA22" i="42"/>
  <c r="BA21" i="42"/>
  <c r="BA20" i="42"/>
  <c r="BA19" i="42"/>
  <c r="AU26" i="42"/>
  <c r="AU25" i="42"/>
  <c r="AW122" i="42" s="1"/>
  <c r="AU24" i="42"/>
  <c r="AU23" i="42"/>
  <c r="AU22" i="42"/>
  <c r="AU21" i="42"/>
  <c r="AU20" i="42"/>
  <c r="AU19" i="42"/>
  <c r="AR26" i="42"/>
  <c r="AQ26" i="42"/>
  <c r="AN26" i="42"/>
  <c r="AO26" i="42" s="1"/>
  <c r="AM26" i="42"/>
  <c r="AL26" i="42"/>
  <c r="AK26" i="42"/>
  <c r="AH26" i="42"/>
  <c r="AC26" i="42"/>
  <c r="V26" i="42"/>
  <c r="W26" i="42" s="1"/>
  <c r="U26" i="42"/>
  <c r="T26" i="42"/>
  <c r="Q26" i="42"/>
  <c r="K26" i="42"/>
  <c r="CQ25" i="42"/>
  <c r="CQ24" i="42"/>
  <c r="CQ23" i="42"/>
  <c r="CQ22" i="42"/>
  <c r="CQ21" i="42"/>
  <c r="CQ19" i="42"/>
  <c r="CK25" i="42"/>
  <c r="CK24" i="42"/>
  <c r="CK23" i="42"/>
  <c r="CK22" i="42"/>
  <c r="CK21" i="42"/>
  <c r="CK19" i="42"/>
  <c r="CE25" i="42"/>
  <c r="CE24" i="42"/>
  <c r="CE23" i="42"/>
  <c r="CE22" i="42"/>
  <c r="CE21" i="42"/>
  <c r="CE19" i="42"/>
  <c r="BY25" i="42"/>
  <c r="BY24" i="42"/>
  <c r="BY23" i="42"/>
  <c r="BY22" i="42"/>
  <c r="BY21" i="42"/>
  <c r="BY20" i="42"/>
  <c r="BY19" i="42"/>
  <c r="AO25" i="42"/>
  <c r="AO24" i="42"/>
  <c r="AO23" i="42"/>
  <c r="AO22" i="42"/>
  <c r="AO21" i="42"/>
  <c r="AO20" i="42"/>
  <c r="AO19" i="42"/>
  <c r="AL25" i="42"/>
  <c r="AI25" i="42"/>
  <c r="AI24" i="42"/>
  <c r="AI23" i="42"/>
  <c r="AI22" i="42"/>
  <c r="AI21" i="42"/>
  <c r="AI20" i="42"/>
  <c r="AI19" i="42"/>
  <c r="AC24" i="42"/>
  <c r="AC23" i="42"/>
  <c r="AC22" i="42"/>
  <c r="AC21" i="42"/>
  <c r="AC20" i="42"/>
  <c r="AC19" i="42"/>
  <c r="Z24" i="42"/>
  <c r="W24" i="42"/>
  <c r="W23" i="42"/>
  <c r="W21" i="42"/>
  <c r="W20" i="42"/>
  <c r="W19" i="42"/>
  <c r="Q24" i="42"/>
  <c r="Q23" i="42"/>
  <c r="Q22" i="42"/>
  <c r="Q21" i="42"/>
  <c r="Q20" i="42"/>
  <c r="Q19" i="42"/>
  <c r="K24" i="42"/>
  <c r="Z22" i="42"/>
  <c r="Y22" i="42"/>
  <c r="V22" i="42"/>
  <c r="Y37" i="3" s="1"/>
  <c r="U22" i="42"/>
  <c r="T22" i="42"/>
  <c r="T37" i="3" s="1"/>
  <c r="T38" i="3" s="1"/>
  <c r="K22" i="42"/>
  <c r="K21" i="42"/>
  <c r="K20" i="42"/>
  <c r="K19" i="42"/>
  <c r="BP21" i="42"/>
  <c r="BP20" i="42"/>
  <c r="BF21" i="42"/>
  <c r="BG21" i="42" s="1"/>
  <c r="CP20" i="42"/>
  <c r="CQ20" i="42" s="1"/>
  <c r="CA20" i="42"/>
  <c r="CB20" i="42" s="1"/>
  <c r="CC20" i="42" s="1"/>
  <c r="CD20" i="42" s="1"/>
  <c r="BQ20" i="42"/>
  <c r="BR20" i="42" s="1"/>
  <c r="BS20" i="42" s="1"/>
  <c r="BI20" i="42"/>
  <c r="BJ20" i="42" s="1"/>
  <c r="BK20" i="42" s="1"/>
  <c r="CS17" i="42"/>
  <c r="CP17" i="42"/>
  <c r="CO17" i="42"/>
  <c r="CO27" i="42" s="1"/>
  <c r="CN17" i="42"/>
  <c r="CM17" i="42"/>
  <c r="CJ17" i="42"/>
  <c r="BR17" i="42"/>
  <c r="BS17" i="42" s="1"/>
  <c r="BQ17" i="42"/>
  <c r="BP17" i="42"/>
  <c r="BL17" i="42"/>
  <c r="BL27" i="42" s="1"/>
  <c r="BK17" i="42"/>
  <c r="BJ17" i="42"/>
  <c r="BI17" i="42"/>
  <c r="BE17" i="42"/>
  <c r="BE27" i="42" s="1"/>
  <c r="BD17" i="42"/>
  <c r="BD27" i="42" s="1"/>
  <c r="BC17" i="42"/>
  <c r="BC27" i="42" s="1"/>
  <c r="AZ17" i="42"/>
  <c r="AZ27" i="42" s="1"/>
  <c r="AY17" i="42"/>
  <c r="AY27" i="42" s="1"/>
  <c r="AX17" i="42"/>
  <c r="AX27" i="42" s="1"/>
  <c r="AW17" i="42"/>
  <c r="AW27" i="42" s="1"/>
  <c r="AT17" i="42"/>
  <c r="AT27" i="42" s="1"/>
  <c r="AU27" i="42" s="1"/>
  <c r="AS17" i="42"/>
  <c r="AS27" i="42" s="1"/>
  <c r="P17" i="42"/>
  <c r="P27" i="42" s="1"/>
  <c r="Q27" i="42" s="1"/>
  <c r="O17" i="42"/>
  <c r="O27" i="42" s="1"/>
  <c r="N17" i="42"/>
  <c r="N27" i="42" s="1"/>
  <c r="M17" i="42"/>
  <c r="M27" i="42" s="1"/>
  <c r="I17" i="42"/>
  <c r="I27" i="42" s="1"/>
  <c r="H17" i="42"/>
  <c r="H27" i="42" s="1"/>
  <c r="G17" i="42"/>
  <c r="G27" i="42" s="1"/>
  <c r="E17" i="42"/>
  <c r="E27" i="42" s="1"/>
  <c r="D17" i="42"/>
  <c r="D27" i="42" s="1"/>
  <c r="C17" i="42"/>
  <c r="C27" i="42" s="1"/>
  <c r="CQ16" i="42"/>
  <c r="CQ15" i="42"/>
  <c r="CQ14" i="42"/>
  <c r="CY183" i="41" s="1"/>
  <c r="CQ13" i="42"/>
  <c r="CQ12" i="42"/>
  <c r="K43" i="442" s="1"/>
  <c r="CQ11" i="42"/>
  <c r="CQ10" i="42"/>
  <c r="CK16" i="42"/>
  <c r="CK15" i="42"/>
  <c r="CK14" i="42"/>
  <c r="CS183" i="41" s="1"/>
  <c r="CK13" i="42"/>
  <c r="CK12" i="42"/>
  <c r="J43" i="442" s="1"/>
  <c r="CK11" i="42"/>
  <c r="CK10" i="42"/>
  <c r="CI16" i="42"/>
  <c r="CH16" i="42"/>
  <c r="CH17" i="42" s="1"/>
  <c r="CG16" i="42"/>
  <c r="CD16" i="42"/>
  <c r="CD17" i="42" s="1"/>
  <c r="CE17" i="42" s="1"/>
  <c r="CC16" i="42"/>
  <c r="CB16" i="42"/>
  <c r="CB17" i="42" s="1"/>
  <c r="CB27" i="42" s="1"/>
  <c r="CA16" i="42"/>
  <c r="BX17" i="42"/>
  <c r="BX16" i="42"/>
  <c r="BY16" i="42" s="1"/>
  <c r="BW16" i="42"/>
  <c r="BV16" i="42"/>
  <c r="BV17" i="42" s="1"/>
  <c r="BU16" i="42"/>
  <c r="BS16" i="42"/>
  <c r="BS15" i="42"/>
  <c r="BS14" i="42"/>
  <c r="CA183" i="41" s="1"/>
  <c r="BS13" i="42"/>
  <c r="BS12" i="42"/>
  <c r="BS11" i="42"/>
  <c r="BS10" i="42"/>
  <c r="BM16" i="42"/>
  <c r="BM15" i="42"/>
  <c r="BM14" i="42"/>
  <c r="BM13" i="42"/>
  <c r="BM12" i="42"/>
  <c r="BM11" i="42"/>
  <c r="BM10" i="42"/>
  <c r="BG16" i="42"/>
  <c r="BG15" i="42"/>
  <c r="BG14" i="42"/>
  <c r="BG13" i="42"/>
  <c r="BG12" i="42"/>
  <c r="BG250" i="1" s="1"/>
  <c r="BG11" i="42"/>
  <c r="BA16" i="42"/>
  <c r="BA15" i="42"/>
  <c r="BA14" i="42"/>
  <c r="BA13" i="42"/>
  <c r="BA12" i="42"/>
  <c r="BA250" i="1" s="1"/>
  <c r="BA11" i="42"/>
  <c r="BA10" i="42"/>
  <c r="BA251" i="1" s="1"/>
  <c r="AU16" i="42"/>
  <c r="AU15" i="42"/>
  <c r="AU14" i="42"/>
  <c r="AU13" i="42"/>
  <c r="AU12" i="42"/>
  <c r="AU11" i="42"/>
  <c r="AU10" i="42"/>
  <c r="AU251" i="1" s="1"/>
  <c r="AO16" i="42"/>
  <c r="AO15" i="42"/>
  <c r="AO13" i="42"/>
  <c r="AO12" i="42"/>
  <c r="AO250" i="1" s="1"/>
  <c r="AO11" i="42"/>
  <c r="AO10" i="42"/>
  <c r="AL16" i="42"/>
  <c r="AI16" i="42"/>
  <c r="AI15" i="42"/>
  <c r="AI13" i="42"/>
  <c r="AI12" i="42"/>
  <c r="AI11" i="42"/>
  <c r="AI10" i="42"/>
  <c r="AC16" i="42"/>
  <c r="AC15" i="42"/>
  <c r="AC13" i="42"/>
  <c r="AC12" i="42"/>
  <c r="AC250" i="1" s="1"/>
  <c r="AC11" i="42"/>
  <c r="AC10" i="42"/>
  <c r="W16" i="42"/>
  <c r="W15" i="42"/>
  <c r="W13" i="42"/>
  <c r="W12" i="42"/>
  <c r="W250" i="1" s="1"/>
  <c r="W11" i="42"/>
  <c r="W10" i="42"/>
  <c r="Q16" i="42"/>
  <c r="Q15" i="42"/>
  <c r="Q14" i="42"/>
  <c r="Y183" i="41" s="1"/>
  <c r="Q13" i="42"/>
  <c r="Q12" i="42"/>
  <c r="Q11" i="42"/>
  <c r="Q10" i="42"/>
  <c r="K16" i="42"/>
  <c r="K15" i="42"/>
  <c r="K14" i="42"/>
  <c r="S183" i="41" s="1"/>
  <c r="S186" i="41" s="1"/>
  <c r="K13" i="42"/>
  <c r="K12" i="42"/>
  <c r="K11" i="42"/>
  <c r="CE15" i="42"/>
  <c r="CE14" i="42"/>
  <c r="CM183" i="41" s="1"/>
  <c r="CE13" i="42"/>
  <c r="CE12" i="42"/>
  <c r="I43" i="442" s="1"/>
  <c r="CE11" i="42"/>
  <c r="CE251" i="1" s="1"/>
  <c r="CE10" i="42"/>
  <c r="BY15" i="42"/>
  <c r="BY14" i="42"/>
  <c r="CG183" i="41" s="1"/>
  <c r="BY13" i="42"/>
  <c r="BY12" i="42"/>
  <c r="BY11" i="42"/>
  <c r="BY10" i="42"/>
  <c r="AG15" i="42"/>
  <c r="AG14" i="42"/>
  <c r="AR14" i="42"/>
  <c r="AZ183" i="41" s="1"/>
  <c r="AQ14" i="42"/>
  <c r="AN14" i="42"/>
  <c r="AM14" i="42"/>
  <c r="AL14" i="42"/>
  <c r="AT183" i="41" s="1"/>
  <c r="AK14" i="42"/>
  <c r="AH14" i="42"/>
  <c r="AK26" i="3" s="1"/>
  <c r="AL26" i="3" s="1"/>
  <c r="AF14" i="42"/>
  <c r="AE14" i="42"/>
  <c r="AB14" i="42"/>
  <c r="AA14" i="42"/>
  <c r="Z14" i="42"/>
  <c r="Y14" i="42"/>
  <c r="V14" i="42"/>
  <c r="V75" i="42" s="1"/>
  <c r="Y74" i="42" s="1"/>
  <c r="U14" i="42"/>
  <c r="AC183" i="41" s="1"/>
  <c r="T14" i="42"/>
  <c r="T17" i="42" s="1"/>
  <c r="T27" i="42" s="1"/>
  <c r="S14" i="42"/>
  <c r="S17" i="42" s="1"/>
  <c r="S27" i="42" s="1"/>
  <c r="DI13" i="42"/>
  <c r="DC13" i="42"/>
  <c r="CW13" i="42"/>
  <c r="CC61" i="42"/>
  <c r="CC62" i="42" s="1"/>
  <c r="BO10" i="42"/>
  <c r="BO61" i="42" s="1"/>
  <c r="BO62" i="42" s="1"/>
  <c r="BF10" i="42"/>
  <c r="BF61" i="42" s="1"/>
  <c r="BF62" i="42" s="1"/>
  <c r="J10" i="42"/>
  <c r="J17" i="42" s="1"/>
  <c r="DI7" i="42"/>
  <c r="DH7" i="42"/>
  <c r="DG7" i="42"/>
  <c r="DF7" i="42"/>
  <c r="DE7" i="42"/>
  <c r="DC7" i="42"/>
  <c r="DB7" i="42"/>
  <c r="DA7" i="42"/>
  <c r="CZ7" i="42"/>
  <c r="CY7" i="42"/>
  <c r="CW7" i="42"/>
  <c r="CV7" i="42"/>
  <c r="CU7" i="42"/>
  <c r="CT7" i="42"/>
  <c r="CS7" i="42"/>
  <c r="CQ7" i="42"/>
  <c r="CP7" i="42"/>
  <c r="CO7" i="42"/>
  <c r="CN7" i="42"/>
  <c r="CM7" i="42"/>
  <c r="CK7" i="42"/>
  <c r="CJ7" i="42"/>
  <c r="CI7" i="42"/>
  <c r="CH7" i="42"/>
  <c r="CG7" i="42"/>
  <c r="CE7" i="42"/>
  <c r="CD7" i="42"/>
  <c r="CC7" i="42"/>
  <c r="CB7" i="42"/>
  <c r="CA7" i="42"/>
  <c r="BY7" i="42"/>
  <c r="BX7" i="42"/>
  <c r="BW7" i="42"/>
  <c r="BV7" i="42"/>
  <c r="BU7" i="42"/>
  <c r="BS7" i="42"/>
  <c r="BR7" i="42"/>
  <c r="BQ7" i="42"/>
  <c r="BP7" i="42"/>
  <c r="BO7" i="42"/>
  <c r="BM7" i="42"/>
  <c r="BL7" i="42"/>
  <c r="BK7" i="42"/>
  <c r="BJ7" i="42"/>
  <c r="BI7" i="42"/>
  <c r="BG7" i="42"/>
  <c r="BF7" i="42"/>
  <c r="BE7" i="42"/>
  <c r="BD7" i="42"/>
  <c r="BC7" i="42"/>
  <c r="BA7" i="42"/>
  <c r="AZ7" i="42"/>
  <c r="AY7" i="42"/>
  <c r="AX7" i="42"/>
  <c r="AW7" i="42"/>
  <c r="AU7" i="42"/>
  <c r="AT7" i="42"/>
  <c r="AS7" i="42"/>
  <c r="AR7" i="42"/>
  <c r="AQ7" i="42"/>
  <c r="AO7" i="42"/>
  <c r="AN7" i="42"/>
  <c r="AM7" i="42"/>
  <c r="AL7" i="42"/>
  <c r="AK7" i="42"/>
  <c r="AI7" i="42"/>
  <c r="AH7" i="42"/>
  <c r="AG7" i="42"/>
  <c r="AF7" i="42"/>
  <c r="AE7" i="42"/>
  <c r="AC7" i="42"/>
  <c r="AB7" i="42"/>
  <c r="AA7" i="42"/>
  <c r="Z7" i="42"/>
  <c r="Y7" i="42"/>
  <c r="W7" i="42"/>
  <c r="V7" i="42"/>
  <c r="U7" i="42"/>
  <c r="T7" i="42"/>
  <c r="S7" i="42"/>
  <c r="Q7" i="42"/>
  <c r="P7" i="42"/>
  <c r="O7" i="42"/>
  <c r="N7" i="42"/>
  <c r="M7" i="42"/>
  <c r="DE6" i="42"/>
  <c r="CY6" i="42"/>
  <c r="CS6" i="42"/>
  <c r="CM6" i="42"/>
  <c r="CG6" i="42"/>
  <c r="BU6" i="42"/>
  <c r="BO6" i="42"/>
  <c r="BI6" i="42"/>
  <c r="BC6" i="42"/>
  <c r="AW6" i="42"/>
  <c r="AQ6" i="42"/>
  <c r="AK6" i="42"/>
  <c r="AE6" i="42"/>
  <c r="Y6" i="42"/>
  <c r="S6" i="42"/>
  <c r="M6" i="42"/>
  <c r="AX389" i="1"/>
  <c r="AX387" i="1" s="1"/>
  <c r="AX385" i="1" s="1"/>
  <c r="AW389" i="1"/>
  <c r="AW387" i="1" s="1"/>
  <c r="AW385" i="1" s="1"/>
  <c r="V380" i="1"/>
  <c r="BI368" i="1"/>
  <c r="AY366" i="1"/>
  <c r="AY365" i="1"/>
  <c r="AW361" i="1"/>
  <c r="AW347" i="1"/>
  <c r="AB347" i="1"/>
  <c r="AA347" i="1"/>
  <c r="Z347" i="1"/>
  <c r="Y347" i="1"/>
  <c r="V347" i="1"/>
  <c r="U347" i="1"/>
  <c r="T347" i="1"/>
  <c r="BD321" i="1"/>
  <c r="BC321" i="1"/>
  <c r="AZ321" i="1"/>
  <c r="AY321" i="1"/>
  <c r="AX321" i="1"/>
  <c r="AW321" i="1"/>
  <c r="BE318" i="1"/>
  <c r="BD318" i="1"/>
  <c r="BD315" i="1"/>
  <c r="BC315" i="1"/>
  <c r="AZ315" i="1"/>
  <c r="AY315" i="1"/>
  <c r="AX315" i="1"/>
  <c r="AW315" i="1"/>
  <c r="AT315" i="1"/>
  <c r="AS315" i="1"/>
  <c r="AR315" i="1"/>
  <c r="AQ315" i="1"/>
  <c r="AN315" i="1"/>
  <c r="AM315" i="1"/>
  <c r="AL315" i="1"/>
  <c r="AK315" i="1"/>
  <c r="BE307" i="1"/>
  <c r="BD307" i="1"/>
  <c r="BC307" i="1"/>
  <c r="AZ307" i="1"/>
  <c r="AY307" i="1"/>
  <c r="AX307" i="1"/>
  <c r="AW307" i="1"/>
  <c r="AT307" i="1"/>
  <c r="AS307" i="1"/>
  <c r="AR307" i="1"/>
  <c r="AQ307" i="1"/>
  <c r="AN307" i="1"/>
  <c r="AM307" i="1"/>
  <c r="AL307" i="1"/>
  <c r="AK307" i="1"/>
  <c r="AH307" i="1"/>
  <c r="AG307" i="1"/>
  <c r="AF307" i="1"/>
  <c r="AE307" i="1"/>
  <c r="AB307" i="1"/>
  <c r="AA307" i="1"/>
  <c r="Z307" i="1"/>
  <c r="Y307" i="1"/>
  <c r="V307" i="1"/>
  <c r="U307" i="1"/>
  <c r="T307" i="1"/>
  <c r="BL304" i="1"/>
  <c r="AH301" i="1"/>
  <c r="AG301" i="1"/>
  <c r="CJ276" i="1"/>
  <c r="CI276" i="1"/>
  <c r="CH276" i="1"/>
  <c r="CG276" i="1"/>
  <c r="CD276" i="1"/>
  <c r="CC276" i="1"/>
  <c r="CB276" i="1"/>
  <c r="CA276" i="1"/>
  <c r="BX276" i="1"/>
  <c r="BW276" i="1"/>
  <c r="BV276" i="1"/>
  <c r="AB276" i="1"/>
  <c r="AA276" i="1"/>
  <c r="Z276" i="1"/>
  <c r="Y276" i="1"/>
  <c r="U276" i="1"/>
  <c r="T276" i="1"/>
  <c r="S276" i="1"/>
  <c r="N276" i="1"/>
  <c r="M276" i="1"/>
  <c r="CO274" i="1"/>
  <c r="CO276" i="1" s="1"/>
  <c r="CN274" i="1"/>
  <c r="CN276" i="1" s="1"/>
  <c r="CM274" i="1"/>
  <c r="CM276" i="1" s="1"/>
  <c r="BU274" i="1"/>
  <c r="BU276" i="1" s="1"/>
  <c r="BR274" i="1"/>
  <c r="BR276" i="1" s="1"/>
  <c r="BQ274" i="1"/>
  <c r="BQ276" i="1" s="1"/>
  <c r="BP274" i="1"/>
  <c r="BP276" i="1" s="1"/>
  <c r="BL274" i="1"/>
  <c r="BL276" i="1" s="1"/>
  <c r="BK274" i="1"/>
  <c r="BK276" i="1" s="1"/>
  <c r="BJ274" i="1"/>
  <c r="BJ276" i="1" s="1"/>
  <c r="BI274" i="1"/>
  <c r="BI276" i="1" s="1"/>
  <c r="BF274" i="1"/>
  <c r="BF276" i="1" s="1"/>
  <c r="BE274" i="1"/>
  <c r="BE276" i="1" s="1"/>
  <c r="BD274" i="1"/>
  <c r="BD276" i="1" s="1"/>
  <c r="BC274" i="1"/>
  <c r="BC276" i="1" s="1"/>
  <c r="AZ274" i="1"/>
  <c r="AZ276" i="1" s="1"/>
  <c r="AY274" i="1"/>
  <c r="AY276" i="1" s="1"/>
  <c r="AX274" i="1"/>
  <c r="AX276" i="1" s="1"/>
  <c r="AW274" i="1"/>
  <c r="AW276" i="1" s="1"/>
  <c r="AT274" i="1"/>
  <c r="AT276" i="1" s="1"/>
  <c r="AS274" i="1"/>
  <c r="AS276" i="1" s="1"/>
  <c r="AR274" i="1"/>
  <c r="AR276" i="1" s="1"/>
  <c r="AQ274" i="1"/>
  <c r="AQ276" i="1" s="1"/>
  <c r="AN274" i="1"/>
  <c r="AN276" i="1" s="1"/>
  <c r="AM274" i="1"/>
  <c r="AM276" i="1" s="1"/>
  <c r="AL274" i="1"/>
  <c r="AL276" i="1" s="1"/>
  <c r="AK274" i="1"/>
  <c r="AK276" i="1" s="1"/>
  <c r="AH274" i="1"/>
  <c r="AH276" i="1" s="1"/>
  <c r="AG274" i="1"/>
  <c r="AG276" i="1" s="1"/>
  <c r="AF274" i="1"/>
  <c r="AF276" i="1" s="1"/>
  <c r="AE274" i="1"/>
  <c r="AE276" i="1" s="1"/>
  <c r="AB274" i="1"/>
  <c r="AA274" i="1"/>
  <c r="AA273" i="1" s="1"/>
  <c r="Z274" i="1"/>
  <c r="Z273" i="1" s="1"/>
  <c r="Y274" i="1"/>
  <c r="Y273" i="1" s="1"/>
  <c r="AB273" i="1"/>
  <c r="V274" i="1"/>
  <c r="V276" i="1" s="1"/>
  <c r="U274" i="1"/>
  <c r="U273" i="1" s="1"/>
  <c r="T274" i="1"/>
  <c r="T273" i="1" s="1"/>
  <c r="S274" i="1"/>
  <c r="S273" i="1" s="1"/>
  <c r="V273" i="1"/>
  <c r="N274" i="1"/>
  <c r="N273" i="1" s="1"/>
  <c r="M274" i="1"/>
  <c r="M273" i="1" s="1"/>
  <c r="AA270" i="1"/>
  <c r="BL269" i="1"/>
  <c r="BL270" i="1" s="1"/>
  <c r="AZ269" i="1"/>
  <c r="AZ270" i="1" s="1"/>
  <c r="AY269" i="1"/>
  <c r="AY270" i="1" s="1"/>
  <c r="AX269" i="1"/>
  <c r="AX270" i="1" s="1"/>
  <c r="AW269" i="1"/>
  <c r="AW270" i="1" s="1"/>
  <c r="AR269" i="1"/>
  <c r="AR270" i="1" s="1"/>
  <c r="AQ269" i="1"/>
  <c r="AQ270" i="1" s="1"/>
  <c r="AN269" i="1"/>
  <c r="AN270" i="1" s="1"/>
  <c r="AM269" i="1"/>
  <c r="AM270" i="1" s="1"/>
  <c r="AL269" i="1"/>
  <c r="AL270" i="1" s="1"/>
  <c r="AK269" i="1"/>
  <c r="AH269" i="1"/>
  <c r="AH270" i="1" s="1"/>
  <c r="AG269" i="1"/>
  <c r="AG270" i="1" s="1"/>
  <c r="DI265" i="1"/>
  <c r="DC265" i="1"/>
  <c r="CW265" i="1"/>
  <c r="CQ265" i="1"/>
  <c r="CK265" i="1"/>
  <c r="CE265" i="1"/>
  <c r="BY265" i="1"/>
  <c r="BS265" i="1"/>
  <c r="BM265" i="1"/>
  <c r="BG265" i="1"/>
  <c r="BA265" i="1"/>
  <c r="AU265" i="1"/>
  <c r="AO265" i="1"/>
  <c r="AI265" i="1"/>
  <c r="AC265" i="1"/>
  <c r="W265" i="1"/>
  <c r="Q265" i="1"/>
  <c r="K265" i="1"/>
  <c r="J263" i="1"/>
  <c r="J262" i="1"/>
  <c r="S263" i="1"/>
  <c r="P263" i="1"/>
  <c r="O263" i="1"/>
  <c r="N263" i="1"/>
  <c r="P262" i="1"/>
  <c r="O262" i="1"/>
  <c r="N262" i="1"/>
  <c r="I263" i="1"/>
  <c r="H263" i="1"/>
  <c r="G263" i="1"/>
  <c r="I262" i="1"/>
  <c r="H262" i="1"/>
  <c r="G262" i="1"/>
  <c r="D263" i="1"/>
  <c r="E262" i="1"/>
  <c r="D262" i="1"/>
  <c r="CT260" i="1"/>
  <c r="CS260" i="1"/>
  <c r="CP260" i="1"/>
  <c r="CQ260" i="1" s="1"/>
  <c r="CO260" i="1"/>
  <c r="CN260" i="1"/>
  <c r="CM260" i="1"/>
  <c r="CJ260" i="1"/>
  <c r="CK260" i="1" s="1"/>
  <c r="CI260" i="1"/>
  <c r="CH260" i="1"/>
  <c r="CG260" i="1"/>
  <c r="CD260" i="1"/>
  <c r="CE260" i="1" s="1"/>
  <c r="CC260" i="1"/>
  <c r="CB260" i="1"/>
  <c r="CA260" i="1"/>
  <c r="BX260" i="1"/>
  <c r="BY260" i="1" s="1"/>
  <c r="BW260" i="1"/>
  <c r="BV260" i="1"/>
  <c r="BU260" i="1"/>
  <c r="BR260" i="1"/>
  <c r="BS260" i="1" s="1"/>
  <c r="BQ260" i="1"/>
  <c r="BP260" i="1"/>
  <c r="BO260" i="1"/>
  <c r="BL260" i="1"/>
  <c r="BM260" i="1" s="1"/>
  <c r="BK260" i="1"/>
  <c r="BJ260" i="1"/>
  <c r="BI260" i="1"/>
  <c r="BF260" i="1"/>
  <c r="BG260" i="1" s="1"/>
  <c r="BE260" i="1"/>
  <c r="BD260" i="1"/>
  <c r="BC260" i="1"/>
  <c r="AZ260" i="1"/>
  <c r="BA260" i="1" s="1"/>
  <c r="AY260" i="1"/>
  <c r="AX260" i="1"/>
  <c r="AW260" i="1"/>
  <c r="AT260" i="1"/>
  <c r="AU260" i="1" s="1"/>
  <c r="AS260" i="1"/>
  <c r="AR260" i="1"/>
  <c r="AQ260" i="1"/>
  <c r="AN260" i="1"/>
  <c r="AO260" i="1" s="1"/>
  <c r="AM260" i="1"/>
  <c r="AL260" i="1"/>
  <c r="AK260" i="1"/>
  <c r="AH260" i="1"/>
  <c r="AI260" i="1" s="1"/>
  <c r="AG260" i="1"/>
  <c r="AF260" i="1"/>
  <c r="AE260" i="1"/>
  <c r="AB260" i="1"/>
  <c r="AC260" i="1" s="1"/>
  <c r="AC147" i="42" s="1"/>
  <c r="AA260" i="1"/>
  <c r="Z260" i="1"/>
  <c r="Y260" i="1"/>
  <c r="W260" i="1"/>
  <c r="W147" i="42" s="1"/>
  <c r="V260" i="1"/>
  <c r="U260" i="1"/>
  <c r="T260" i="1"/>
  <c r="S260" i="1"/>
  <c r="P260" i="1"/>
  <c r="Q260" i="1" s="1"/>
  <c r="O260" i="1"/>
  <c r="N260" i="1"/>
  <c r="M260" i="1"/>
  <c r="J260" i="1"/>
  <c r="K260" i="1" s="1"/>
  <c r="I260" i="1"/>
  <c r="H260" i="1"/>
  <c r="G260" i="1"/>
  <c r="E260" i="1"/>
  <c r="D260" i="1"/>
  <c r="E258" i="1"/>
  <c r="D258" i="1"/>
  <c r="E257" i="1"/>
  <c r="D257" i="1"/>
  <c r="D256" i="1"/>
  <c r="E255" i="1"/>
  <c r="D255" i="1"/>
  <c r="E254" i="1"/>
  <c r="D254" i="1"/>
  <c r="E252" i="1"/>
  <c r="D252" i="1"/>
  <c r="E251" i="1"/>
  <c r="D251" i="1"/>
  <c r="E250" i="1"/>
  <c r="D250" i="1"/>
  <c r="CS257" i="1"/>
  <c r="CS252" i="1"/>
  <c r="CS251" i="1"/>
  <c r="CS250" i="1"/>
  <c r="CS248" i="1"/>
  <c r="CP257" i="1"/>
  <c r="CO257" i="1"/>
  <c r="CN257" i="1"/>
  <c r="CM257" i="1"/>
  <c r="CP255" i="1"/>
  <c r="CO255" i="1"/>
  <c r="CN255" i="1"/>
  <c r="CM255" i="1"/>
  <c r="CQ252" i="1"/>
  <c r="CP252" i="1"/>
  <c r="CO252" i="1"/>
  <c r="CN252" i="1"/>
  <c r="CM252" i="1"/>
  <c r="CP251" i="1"/>
  <c r="CP253" i="1" s="1"/>
  <c r="CO251" i="1"/>
  <c r="CO253" i="1" s="1"/>
  <c r="CN251" i="1"/>
  <c r="CN253" i="1" s="1"/>
  <c r="CM251" i="1"/>
  <c r="CP250" i="1"/>
  <c r="CO250" i="1"/>
  <c r="CN250" i="1"/>
  <c r="CM250" i="1"/>
  <c r="CP248" i="1"/>
  <c r="CO248" i="1"/>
  <c r="CN248" i="1"/>
  <c r="CM248" i="1"/>
  <c r="CJ257" i="1"/>
  <c r="CI257" i="1"/>
  <c r="CH257" i="1"/>
  <c r="CG257" i="1"/>
  <c r="CJ255" i="1"/>
  <c r="CI255" i="1"/>
  <c r="CH255" i="1"/>
  <c r="CG255" i="1"/>
  <c r="CJ252" i="1"/>
  <c r="CI252" i="1"/>
  <c r="CH252" i="1"/>
  <c r="CG252" i="1"/>
  <c r="CJ251" i="1"/>
  <c r="CJ253" i="1" s="1"/>
  <c r="CI251" i="1"/>
  <c r="CH251" i="1"/>
  <c r="CH253" i="1" s="1"/>
  <c r="CG251" i="1"/>
  <c r="CG253" i="1" s="1"/>
  <c r="CJ250" i="1"/>
  <c r="CI250" i="1"/>
  <c r="CH250" i="1"/>
  <c r="CG250" i="1"/>
  <c r="CJ248" i="1"/>
  <c r="CI248" i="1"/>
  <c r="CH248" i="1"/>
  <c r="CG248" i="1"/>
  <c r="CD257" i="1"/>
  <c r="CC257" i="1"/>
  <c r="CB257" i="1"/>
  <c r="CA257" i="1"/>
  <c r="CD255" i="1"/>
  <c r="CC255" i="1"/>
  <c r="CB255" i="1"/>
  <c r="CA255" i="1"/>
  <c r="CD252" i="1"/>
  <c r="CC252" i="1"/>
  <c r="CB252" i="1"/>
  <c r="CA252" i="1"/>
  <c r="CD251" i="1"/>
  <c r="CC251" i="1"/>
  <c r="CB251" i="1"/>
  <c r="CA251" i="1"/>
  <c r="CD250" i="1"/>
  <c r="CC250" i="1"/>
  <c r="CB250" i="1"/>
  <c r="CA250" i="1"/>
  <c r="CD248" i="1"/>
  <c r="CC248" i="1"/>
  <c r="CB248" i="1"/>
  <c r="CA248" i="1"/>
  <c r="BX257" i="1"/>
  <c r="BW257" i="1"/>
  <c r="BV257" i="1"/>
  <c r="BU257" i="1"/>
  <c r="BX255" i="1"/>
  <c r="BW255" i="1"/>
  <c r="BV255" i="1"/>
  <c r="BU255" i="1"/>
  <c r="BX252" i="1"/>
  <c r="BW252" i="1"/>
  <c r="BV252" i="1"/>
  <c r="BU252" i="1"/>
  <c r="BX251" i="1"/>
  <c r="BW251" i="1"/>
  <c r="BW253" i="1" s="1"/>
  <c r="BV251" i="1"/>
  <c r="BU251" i="1"/>
  <c r="BU253" i="1" s="1"/>
  <c r="BY250" i="1"/>
  <c r="BX250" i="1"/>
  <c r="BW250" i="1"/>
  <c r="BV250" i="1"/>
  <c r="BU250" i="1"/>
  <c r="BX248" i="1"/>
  <c r="BW248" i="1"/>
  <c r="BV248" i="1"/>
  <c r="BU248" i="1"/>
  <c r="BR257" i="1"/>
  <c r="BQ257" i="1"/>
  <c r="BP257" i="1"/>
  <c r="BO257" i="1"/>
  <c r="BR255" i="1"/>
  <c r="BQ255" i="1"/>
  <c r="BP255" i="1"/>
  <c r="BO255" i="1"/>
  <c r="BR252" i="1"/>
  <c r="BQ252" i="1"/>
  <c r="BP252" i="1"/>
  <c r="BO252" i="1"/>
  <c r="BR251" i="1"/>
  <c r="BR253" i="1" s="1"/>
  <c r="BQ251" i="1"/>
  <c r="BQ253" i="1" s="1"/>
  <c r="BP251" i="1"/>
  <c r="BP253" i="1" s="1"/>
  <c r="BO251" i="1"/>
  <c r="BO253" i="1" s="1"/>
  <c r="BS250" i="1"/>
  <c r="BR250" i="1"/>
  <c r="BQ250" i="1"/>
  <c r="BP250" i="1"/>
  <c r="BO250" i="1"/>
  <c r="BR248" i="1"/>
  <c r="BQ248" i="1"/>
  <c r="BP248" i="1"/>
  <c r="BO248" i="1"/>
  <c r="BL257" i="1"/>
  <c r="BK257" i="1"/>
  <c r="BJ257" i="1"/>
  <c r="BI257" i="1"/>
  <c r="BL255" i="1"/>
  <c r="BK255" i="1"/>
  <c r="BJ255" i="1"/>
  <c r="BI255" i="1"/>
  <c r="BL252" i="1"/>
  <c r="BK252" i="1"/>
  <c r="BJ252" i="1"/>
  <c r="BI252" i="1"/>
  <c r="BL251" i="1"/>
  <c r="BL253" i="1" s="1"/>
  <c r="BK251" i="1"/>
  <c r="BJ251" i="1"/>
  <c r="BI251" i="1"/>
  <c r="BI253" i="1" s="1"/>
  <c r="BM250" i="1"/>
  <c r="BL250" i="1"/>
  <c r="BK250" i="1"/>
  <c r="BJ250" i="1"/>
  <c r="BI250" i="1"/>
  <c r="BL248" i="1"/>
  <c r="BK248" i="1"/>
  <c r="BJ248" i="1"/>
  <c r="BI248" i="1"/>
  <c r="BF257" i="1"/>
  <c r="BE257" i="1"/>
  <c r="BD257" i="1"/>
  <c r="BC257" i="1"/>
  <c r="BC255" i="1"/>
  <c r="BF252" i="1"/>
  <c r="BE252" i="1"/>
  <c r="BD252" i="1"/>
  <c r="BC252" i="1"/>
  <c r="BF251" i="1"/>
  <c r="BF253" i="1" s="1"/>
  <c r="BE251" i="1"/>
  <c r="BD251" i="1"/>
  <c r="BC251" i="1"/>
  <c r="BF250" i="1"/>
  <c r="BE250" i="1"/>
  <c r="BD250" i="1"/>
  <c r="BC250" i="1"/>
  <c r="BF248" i="1"/>
  <c r="BE248" i="1"/>
  <c r="BD248" i="1"/>
  <c r="BC248" i="1"/>
  <c r="AZ257" i="1"/>
  <c r="AY257" i="1"/>
  <c r="AX257" i="1"/>
  <c r="AW257" i="1"/>
  <c r="AX255" i="1"/>
  <c r="AW255" i="1"/>
  <c r="AX254" i="1"/>
  <c r="AZ252" i="1"/>
  <c r="AY252" i="1"/>
  <c r="AX252" i="1"/>
  <c r="AW252" i="1"/>
  <c r="AZ251" i="1"/>
  <c r="AY251" i="1"/>
  <c r="AX251" i="1"/>
  <c r="AW251" i="1"/>
  <c r="AZ250" i="1"/>
  <c r="AY250" i="1"/>
  <c r="AX250" i="1"/>
  <c r="AW250" i="1"/>
  <c r="AZ248" i="1"/>
  <c r="AY248" i="1"/>
  <c r="AX248" i="1"/>
  <c r="AW248" i="1"/>
  <c r="AT257" i="1"/>
  <c r="AS257" i="1"/>
  <c r="AR257" i="1"/>
  <c r="AQ257" i="1"/>
  <c r="AT255" i="1"/>
  <c r="AS255" i="1"/>
  <c r="AR255" i="1"/>
  <c r="AQ255" i="1"/>
  <c r="AT252" i="1"/>
  <c r="AR252" i="1"/>
  <c r="AT251" i="1"/>
  <c r="AS251" i="1"/>
  <c r="AR251" i="1"/>
  <c r="AQ251" i="1"/>
  <c r="AU250" i="1"/>
  <c r="AT250" i="1"/>
  <c r="AS250" i="1"/>
  <c r="AR250" i="1"/>
  <c r="AQ250" i="1"/>
  <c r="AT248" i="1"/>
  <c r="AS248" i="1"/>
  <c r="AR248" i="1"/>
  <c r="AQ248" i="1"/>
  <c r="K257" i="1"/>
  <c r="J257" i="1"/>
  <c r="I257" i="1"/>
  <c r="H257" i="1"/>
  <c r="G257" i="1"/>
  <c r="J256" i="1"/>
  <c r="I256" i="1"/>
  <c r="H256" i="1"/>
  <c r="G256" i="1"/>
  <c r="K255" i="1"/>
  <c r="J255" i="1"/>
  <c r="I255" i="1"/>
  <c r="H255" i="1"/>
  <c r="G255" i="1"/>
  <c r="I254" i="1"/>
  <c r="H254" i="1"/>
  <c r="G254" i="1"/>
  <c r="J252" i="1"/>
  <c r="J251" i="1"/>
  <c r="I251" i="1"/>
  <c r="H251" i="1"/>
  <c r="G251" i="1"/>
  <c r="K250" i="1"/>
  <c r="J250" i="1"/>
  <c r="I250" i="1"/>
  <c r="H250" i="1"/>
  <c r="G250" i="1"/>
  <c r="K248" i="1"/>
  <c r="J248" i="1"/>
  <c r="I248" i="1"/>
  <c r="H248" i="1"/>
  <c r="G248" i="1"/>
  <c r="E248" i="1"/>
  <c r="D248" i="1"/>
  <c r="AN257" i="1"/>
  <c r="AM257" i="1"/>
  <c r="AL257" i="1"/>
  <c r="AK257" i="1"/>
  <c r="AN255" i="1"/>
  <c r="AM255" i="1"/>
  <c r="AM252" i="1"/>
  <c r="AL252" i="1"/>
  <c r="AN251" i="1"/>
  <c r="AM251" i="1"/>
  <c r="AL251" i="1"/>
  <c r="AK251" i="1"/>
  <c r="AN250" i="1"/>
  <c r="AM250" i="1"/>
  <c r="AL250" i="1"/>
  <c r="AK250" i="1"/>
  <c r="AO248" i="1"/>
  <c r="AN248" i="1"/>
  <c r="AM248" i="1"/>
  <c r="AL248" i="1"/>
  <c r="AK248" i="1"/>
  <c r="AG257" i="1"/>
  <c r="AF257" i="1"/>
  <c r="AE257" i="1"/>
  <c r="AG255" i="1"/>
  <c r="AF255" i="1"/>
  <c r="AE255" i="1"/>
  <c r="AH252" i="1"/>
  <c r="AG252" i="1"/>
  <c r="AF252" i="1"/>
  <c r="AI251" i="1"/>
  <c r="AH251" i="1"/>
  <c r="AG251" i="1"/>
  <c r="AG253" i="1" s="1"/>
  <c r="AF251" i="1"/>
  <c r="AF253" i="1" s="1"/>
  <c r="AE251" i="1"/>
  <c r="AI250" i="1"/>
  <c r="AH250" i="1"/>
  <c r="AG250" i="1"/>
  <c r="AF250" i="1"/>
  <c r="AE250" i="1"/>
  <c r="AG248" i="1"/>
  <c r="AF248" i="1"/>
  <c r="AB257" i="1"/>
  <c r="AA257" i="1"/>
  <c r="Z257" i="1"/>
  <c r="Y257" i="1"/>
  <c r="Y255" i="1"/>
  <c r="AB252" i="1"/>
  <c r="AA252" i="1"/>
  <c r="Z252" i="1"/>
  <c r="Y252" i="1"/>
  <c r="AB251" i="1"/>
  <c r="AB253" i="1" s="1"/>
  <c r="AA251" i="1"/>
  <c r="Z251" i="1"/>
  <c r="Y251" i="1"/>
  <c r="AB250" i="1"/>
  <c r="AA250" i="1"/>
  <c r="Z250" i="1"/>
  <c r="Y250" i="1"/>
  <c r="AB248" i="1"/>
  <c r="AA248" i="1"/>
  <c r="Y248" i="1"/>
  <c r="V257" i="1"/>
  <c r="U257" i="1"/>
  <c r="S257" i="1"/>
  <c r="S255" i="1"/>
  <c r="V252" i="1"/>
  <c r="U252" i="1"/>
  <c r="T252" i="1"/>
  <c r="S252" i="1"/>
  <c r="V251" i="1"/>
  <c r="V253" i="1" s="1"/>
  <c r="U251" i="1"/>
  <c r="U253" i="1" s="1"/>
  <c r="T251" i="1"/>
  <c r="S251" i="1"/>
  <c r="V250" i="1"/>
  <c r="U250" i="1"/>
  <c r="T250" i="1"/>
  <c r="S250" i="1"/>
  <c r="V248" i="1"/>
  <c r="U248" i="1"/>
  <c r="T248" i="1"/>
  <c r="S248" i="1"/>
  <c r="Q257" i="1"/>
  <c r="P257" i="1"/>
  <c r="O257" i="1"/>
  <c r="N257" i="1"/>
  <c r="M257" i="1"/>
  <c r="P256" i="1"/>
  <c r="O256" i="1"/>
  <c r="N256" i="1"/>
  <c r="Q255" i="1"/>
  <c r="P255" i="1"/>
  <c r="O255" i="1"/>
  <c r="N255" i="1"/>
  <c r="M255" i="1"/>
  <c r="P254" i="1"/>
  <c r="O254" i="1"/>
  <c r="N254" i="1"/>
  <c r="M254" i="1"/>
  <c r="P252" i="1"/>
  <c r="O252" i="1"/>
  <c r="N252" i="1"/>
  <c r="M252" i="1"/>
  <c r="P251" i="1"/>
  <c r="P253" i="1" s="1"/>
  <c r="O251" i="1"/>
  <c r="N251" i="1"/>
  <c r="N253" i="1" s="1"/>
  <c r="M251" i="1"/>
  <c r="M253" i="1" s="1"/>
  <c r="Q250" i="1"/>
  <c r="P250" i="1"/>
  <c r="O250" i="1"/>
  <c r="N250" i="1"/>
  <c r="M250" i="1"/>
  <c r="P248" i="1"/>
  <c r="O248" i="1"/>
  <c r="N248" i="1"/>
  <c r="M248" i="1"/>
  <c r="D243" i="1"/>
  <c r="C243" i="1"/>
  <c r="E241" i="1"/>
  <c r="D241" i="1"/>
  <c r="C241" i="1"/>
  <c r="CS236" i="1"/>
  <c r="CP236" i="1"/>
  <c r="CO236" i="1"/>
  <c r="CN236" i="1"/>
  <c r="CM236" i="1"/>
  <c r="CJ236" i="1"/>
  <c r="CI236" i="1"/>
  <c r="CH236" i="1"/>
  <c r="CG236" i="1"/>
  <c r="CD236" i="1"/>
  <c r="CB236" i="1"/>
  <c r="CA236" i="1"/>
  <c r="BX236" i="1"/>
  <c r="BW236" i="1"/>
  <c r="BV236" i="1"/>
  <c r="BU236" i="1"/>
  <c r="BR236" i="1"/>
  <c r="BQ236" i="1"/>
  <c r="BJ236" i="1"/>
  <c r="BI236" i="1"/>
  <c r="BF236" i="1"/>
  <c r="BE236" i="1"/>
  <c r="BD236" i="1"/>
  <c r="BC236" i="1"/>
  <c r="AZ236" i="1"/>
  <c r="AY236" i="1"/>
  <c r="AX236" i="1"/>
  <c r="AW236" i="1"/>
  <c r="AT236" i="1"/>
  <c r="AS236" i="1"/>
  <c r="AR236" i="1"/>
  <c r="AQ236" i="1"/>
  <c r="AN236" i="1"/>
  <c r="AM236" i="1"/>
  <c r="AL236" i="1"/>
  <c r="AK236" i="1"/>
  <c r="AH236" i="1"/>
  <c r="AG236" i="1"/>
  <c r="AF236" i="1"/>
  <c r="AE236" i="1"/>
  <c r="AB241" i="1"/>
  <c r="AA241" i="1"/>
  <c r="Z241" i="1"/>
  <c r="Y241" i="1"/>
  <c r="AB236" i="1"/>
  <c r="AA236" i="1"/>
  <c r="Z236" i="1"/>
  <c r="Y236" i="1"/>
  <c r="V241" i="1"/>
  <c r="U241" i="1"/>
  <c r="T241" i="1"/>
  <c r="S241" i="1"/>
  <c r="V236" i="1"/>
  <c r="U236" i="1"/>
  <c r="T236" i="1"/>
  <c r="S236" i="1"/>
  <c r="P241" i="1"/>
  <c r="O241" i="1"/>
  <c r="N241" i="1"/>
  <c r="M241" i="1"/>
  <c r="P236" i="1"/>
  <c r="O236" i="1"/>
  <c r="N236" i="1"/>
  <c r="M236" i="1"/>
  <c r="J243" i="1"/>
  <c r="J241" i="1"/>
  <c r="J236" i="1"/>
  <c r="E236" i="1"/>
  <c r="D236" i="1"/>
  <c r="CS231" i="1"/>
  <c r="CP231" i="1"/>
  <c r="CO231" i="1"/>
  <c r="CN231" i="1"/>
  <c r="CM231" i="1"/>
  <c r="CJ231" i="1"/>
  <c r="CI231" i="1"/>
  <c r="CH231" i="1"/>
  <c r="CG231" i="1"/>
  <c r="CD231" i="1"/>
  <c r="CC231" i="1"/>
  <c r="CB231" i="1"/>
  <c r="CA231" i="1"/>
  <c r="BX231" i="1"/>
  <c r="BW231" i="1"/>
  <c r="BV231" i="1"/>
  <c r="BU231" i="1"/>
  <c r="BR231" i="1"/>
  <c r="BQ231" i="1"/>
  <c r="BP231" i="1"/>
  <c r="BO231" i="1"/>
  <c r="BL231" i="1"/>
  <c r="BK231" i="1"/>
  <c r="BJ231" i="1"/>
  <c r="BI231" i="1"/>
  <c r="BF231" i="1"/>
  <c r="BE231" i="1"/>
  <c r="BD231" i="1"/>
  <c r="BC231" i="1"/>
  <c r="AZ231" i="1"/>
  <c r="AY231" i="1"/>
  <c r="AX231" i="1"/>
  <c r="AW231" i="1"/>
  <c r="AT231" i="1"/>
  <c r="AS231" i="1"/>
  <c r="AR231" i="1"/>
  <c r="AQ231" i="1"/>
  <c r="AN231" i="1"/>
  <c r="AM231" i="1"/>
  <c r="AL231" i="1"/>
  <c r="AK231" i="1"/>
  <c r="AH231" i="1"/>
  <c r="AG231" i="1"/>
  <c r="AF231" i="1"/>
  <c r="AE231" i="1"/>
  <c r="AC231" i="1"/>
  <c r="AB231" i="1"/>
  <c r="AA231" i="1"/>
  <c r="Z231" i="1"/>
  <c r="Y231" i="1"/>
  <c r="W231" i="1"/>
  <c r="V231" i="1"/>
  <c r="U231" i="1"/>
  <c r="T231" i="1"/>
  <c r="S231" i="1"/>
  <c r="Q231" i="1"/>
  <c r="P231" i="1"/>
  <c r="O231" i="1"/>
  <c r="N231" i="1"/>
  <c r="M231" i="1"/>
  <c r="K231" i="1"/>
  <c r="E231" i="1"/>
  <c r="AB208" i="1"/>
  <c r="AA208" i="1"/>
  <c r="Z208" i="1"/>
  <c r="Y208" i="1"/>
  <c r="AB207" i="1"/>
  <c r="AA207" i="1"/>
  <c r="Z207" i="1"/>
  <c r="Y207" i="1"/>
  <c r="AB206" i="1"/>
  <c r="AA206" i="1"/>
  <c r="Z206" i="1"/>
  <c r="Y206" i="1"/>
  <c r="V208" i="1"/>
  <c r="U208" i="1"/>
  <c r="T208" i="1"/>
  <c r="S208" i="1"/>
  <c r="V207" i="1"/>
  <c r="U207" i="1"/>
  <c r="T207" i="1"/>
  <c r="S207" i="1"/>
  <c r="V206" i="1"/>
  <c r="U206" i="1"/>
  <c r="T206" i="1"/>
  <c r="S206" i="1"/>
  <c r="P208" i="1"/>
  <c r="O208" i="1"/>
  <c r="N208" i="1"/>
  <c r="M208" i="1"/>
  <c r="P207" i="1"/>
  <c r="O207" i="1"/>
  <c r="N207" i="1"/>
  <c r="M207" i="1"/>
  <c r="P206" i="1"/>
  <c r="O206" i="1"/>
  <c r="N206" i="1"/>
  <c r="M206" i="1"/>
  <c r="AB204" i="1"/>
  <c r="AA204" i="1"/>
  <c r="Z204" i="1"/>
  <c r="Y204" i="1"/>
  <c r="AB203" i="1"/>
  <c r="AA203" i="1"/>
  <c r="Z203" i="1"/>
  <c r="Y203" i="1"/>
  <c r="V204" i="1"/>
  <c r="U204" i="1"/>
  <c r="T204" i="1"/>
  <c r="S204" i="1"/>
  <c r="V203" i="1"/>
  <c r="U203" i="1"/>
  <c r="T203" i="1"/>
  <c r="S203" i="1"/>
  <c r="P204" i="1"/>
  <c r="O204" i="1"/>
  <c r="N204" i="1"/>
  <c r="M204" i="1"/>
  <c r="P203" i="1"/>
  <c r="O203" i="1"/>
  <c r="N203" i="1"/>
  <c r="M203" i="1"/>
  <c r="J204" i="1"/>
  <c r="I204" i="1"/>
  <c r="H204" i="1"/>
  <c r="J203" i="1"/>
  <c r="I203" i="1"/>
  <c r="H203" i="1"/>
  <c r="CS200" i="1"/>
  <c r="CS199" i="1"/>
  <c r="CP200" i="1"/>
  <c r="CO200" i="1"/>
  <c r="CN200" i="1"/>
  <c r="CM200" i="1"/>
  <c r="CP199" i="1"/>
  <c r="CO199" i="1"/>
  <c r="CN199" i="1"/>
  <c r="CM199" i="1"/>
  <c r="CJ200" i="1"/>
  <c r="CI200" i="1"/>
  <c r="CH200" i="1"/>
  <c r="CG200" i="1"/>
  <c r="CJ199" i="1"/>
  <c r="CI199" i="1"/>
  <c r="CH199" i="1"/>
  <c r="CG199" i="1"/>
  <c r="CD200" i="1"/>
  <c r="CC200" i="1"/>
  <c r="CB200" i="1"/>
  <c r="CA200" i="1"/>
  <c r="CD199" i="1"/>
  <c r="CC199" i="1"/>
  <c r="CB199" i="1"/>
  <c r="CA199" i="1"/>
  <c r="BX200" i="1"/>
  <c r="BW200" i="1"/>
  <c r="BV200" i="1"/>
  <c r="BU200" i="1"/>
  <c r="BX199" i="1"/>
  <c r="BW199" i="1"/>
  <c r="BV199" i="1"/>
  <c r="BU199" i="1"/>
  <c r="BR200" i="1"/>
  <c r="BQ200" i="1"/>
  <c r="BP200" i="1"/>
  <c r="BO200" i="1"/>
  <c r="BR199" i="1"/>
  <c r="BQ199" i="1"/>
  <c r="BP199" i="1"/>
  <c r="BO199" i="1"/>
  <c r="BJ200" i="1"/>
  <c r="BI200" i="1"/>
  <c r="BJ199" i="1"/>
  <c r="BI199" i="1"/>
  <c r="BF200" i="1"/>
  <c r="BE200" i="1"/>
  <c r="BD200" i="1"/>
  <c r="BC200" i="1"/>
  <c r="BF199" i="1"/>
  <c r="BE199" i="1"/>
  <c r="BD199" i="1"/>
  <c r="BC199" i="1"/>
  <c r="AZ200" i="1"/>
  <c r="AY200" i="1"/>
  <c r="AX200" i="1"/>
  <c r="AW200" i="1"/>
  <c r="AZ199" i="1"/>
  <c r="AY199" i="1"/>
  <c r="AX199" i="1"/>
  <c r="AW199" i="1"/>
  <c r="AT200" i="1"/>
  <c r="AS200" i="1"/>
  <c r="AR200" i="1"/>
  <c r="AQ200" i="1"/>
  <c r="AT199" i="1"/>
  <c r="AS199" i="1"/>
  <c r="AR199" i="1"/>
  <c r="AQ199" i="1"/>
  <c r="AN200" i="1"/>
  <c r="AM200" i="1"/>
  <c r="AL200" i="1"/>
  <c r="AK200" i="1"/>
  <c r="AN199" i="1"/>
  <c r="AM199" i="1"/>
  <c r="AL199" i="1"/>
  <c r="AK199" i="1"/>
  <c r="AH200" i="1"/>
  <c r="AG200" i="1"/>
  <c r="AF200" i="1"/>
  <c r="AE200" i="1"/>
  <c r="AH199" i="1"/>
  <c r="AG199" i="1"/>
  <c r="AF199" i="1"/>
  <c r="AE199" i="1"/>
  <c r="AB200" i="1"/>
  <c r="AA200" i="1"/>
  <c r="Z200" i="1"/>
  <c r="Y200" i="1"/>
  <c r="AB199" i="1"/>
  <c r="AA199" i="1"/>
  <c r="Z199" i="1"/>
  <c r="Y199" i="1"/>
  <c r="V200" i="1"/>
  <c r="U200" i="1"/>
  <c r="T200" i="1"/>
  <c r="S200" i="1"/>
  <c r="V199" i="1"/>
  <c r="U199" i="1"/>
  <c r="T199" i="1"/>
  <c r="S199" i="1"/>
  <c r="P200" i="1"/>
  <c r="O200" i="1"/>
  <c r="N200" i="1"/>
  <c r="M200" i="1"/>
  <c r="P199" i="1"/>
  <c r="O199" i="1"/>
  <c r="N199" i="1"/>
  <c r="M199" i="1"/>
  <c r="J200" i="1"/>
  <c r="I200" i="1"/>
  <c r="H200" i="1"/>
  <c r="J199" i="1"/>
  <c r="I199" i="1"/>
  <c r="H199" i="1"/>
  <c r="E191" i="1"/>
  <c r="D191" i="1"/>
  <c r="E190" i="1"/>
  <c r="D190" i="1"/>
  <c r="E189" i="1"/>
  <c r="D189" i="1"/>
  <c r="E188" i="1"/>
  <c r="E187" i="1"/>
  <c r="E186" i="1"/>
  <c r="AF191" i="1"/>
  <c r="AF190" i="1"/>
  <c r="AF189" i="1"/>
  <c r="AB191" i="1"/>
  <c r="AA191" i="1"/>
  <c r="Z191" i="1"/>
  <c r="Y191" i="1"/>
  <c r="AB190" i="1"/>
  <c r="AA190" i="1"/>
  <c r="Z190" i="1"/>
  <c r="Y190" i="1"/>
  <c r="AB189" i="1"/>
  <c r="AA189" i="1"/>
  <c r="Z189" i="1"/>
  <c r="Y189" i="1"/>
  <c r="AB188" i="1"/>
  <c r="AA188" i="1"/>
  <c r="Z188" i="1"/>
  <c r="Y188" i="1"/>
  <c r="AB187" i="1"/>
  <c r="AA187" i="1"/>
  <c r="Z187" i="1"/>
  <c r="Y187" i="1"/>
  <c r="AB186" i="1"/>
  <c r="AA186" i="1"/>
  <c r="Z186" i="1"/>
  <c r="Y186" i="1"/>
  <c r="V191" i="1"/>
  <c r="U191" i="1"/>
  <c r="T191" i="1"/>
  <c r="S191" i="1"/>
  <c r="V190" i="1"/>
  <c r="U190" i="1"/>
  <c r="T190" i="1"/>
  <c r="S190" i="1"/>
  <c r="V189" i="1"/>
  <c r="U189" i="1"/>
  <c r="T189" i="1"/>
  <c r="S189" i="1"/>
  <c r="V188" i="1"/>
  <c r="U188" i="1"/>
  <c r="T188" i="1"/>
  <c r="S188" i="1"/>
  <c r="V187" i="1"/>
  <c r="U187" i="1"/>
  <c r="T187" i="1"/>
  <c r="S187" i="1"/>
  <c r="V186" i="1"/>
  <c r="U186" i="1"/>
  <c r="T186" i="1"/>
  <c r="S186" i="1"/>
  <c r="P191" i="1"/>
  <c r="O191" i="1"/>
  <c r="N191" i="1"/>
  <c r="M191" i="1"/>
  <c r="P190" i="1"/>
  <c r="O190" i="1"/>
  <c r="N190" i="1"/>
  <c r="M190" i="1"/>
  <c r="P189" i="1"/>
  <c r="O189" i="1"/>
  <c r="N189" i="1"/>
  <c r="M189" i="1"/>
  <c r="P188" i="1"/>
  <c r="O188" i="1"/>
  <c r="N188" i="1"/>
  <c r="M188" i="1"/>
  <c r="P187" i="1"/>
  <c r="O187" i="1"/>
  <c r="N187" i="1"/>
  <c r="M187" i="1"/>
  <c r="P186" i="1"/>
  <c r="O186" i="1"/>
  <c r="N186" i="1"/>
  <c r="M186" i="1"/>
  <c r="E183" i="1"/>
  <c r="E182" i="1"/>
  <c r="CS183" i="1"/>
  <c r="CS182" i="1"/>
  <c r="CP183" i="1"/>
  <c r="CO183" i="1"/>
  <c r="CN183" i="1"/>
  <c r="CM183" i="1"/>
  <c r="CP182" i="1"/>
  <c r="CO182" i="1"/>
  <c r="CN182" i="1"/>
  <c r="CM182" i="1"/>
  <c r="CJ183" i="1"/>
  <c r="CI183" i="1"/>
  <c r="CH183" i="1"/>
  <c r="CG183" i="1"/>
  <c r="CJ182" i="1"/>
  <c r="CI182" i="1"/>
  <c r="CH182" i="1"/>
  <c r="CG182" i="1"/>
  <c r="CD183" i="1"/>
  <c r="CC183" i="1"/>
  <c r="CB183" i="1"/>
  <c r="CA183" i="1"/>
  <c r="CD182" i="1"/>
  <c r="CC182" i="1"/>
  <c r="CB182" i="1"/>
  <c r="CA182" i="1"/>
  <c r="BX183" i="1"/>
  <c r="BW183" i="1"/>
  <c r="BV183" i="1"/>
  <c r="BU183" i="1"/>
  <c r="BX182" i="1"/>
  <c r="BW182" i="1"/>
  <c r="BV182" i="1"/>
  <c r="BU182" i="1"/>
  <c r="BR183" i="1"/>
  <c r="BP183" i="1"/>
  <c r="BO183" i="1"/>
  <c r="BR182" i="1"/>
  <c r="BP182" i="1"/>
  <c r="BO182" i="1"/>
  <c r="BL183" i="1"/>
  <c r="BJ183" i="1"/>
  <c r="BI183" i="1"/>
  <c r="BL182" i="1"/>
  <c r="BJ182" i="1"/>
  <c r="BI182" i="1"/>
  <c r="BF183" i="1"/>
  <c r="BE183" i="1"/>
  <c r="BD183" i="1"/>
  <c r="BC183" i="1"/>
  <c r="BF182" i="1"/>
  <c r="BE182" i="1"/>
  <c r="BD182" i="1"/>
  <c r="BC182" i="1"/>
  <c r="AZ183" i="1"/>
  <c r="AY183" i="1"/>
  <c r="AX183" i="1"/>
  <c r="AW183" i="1"/>
  <c r="AZ182" i="1"/>
  <c r="AY182" i="1"/>
  <c r="AX182" i="1"/>
  <c r="AW182" i="1"/>
  <c r="AT183" i="1"/>
  <c r="AS183" i="1"/>
  <c r="AR183" i="1"/>
  <c r="AQ183" i="1"/>
  <c r="AT182" i="1"/>
  <c r="AS182" i="1"/>
  <c r="AR182" i="1"/>
  <c r="AQ182" i="1"/>
  <c r="AN183" i="1"/>
  <c r="AM183" i="1"/>
  <c r="AL183" i="1"/>
  <c r="AK183" i="1"/>
  <c r="AN182" i="1"/>
  <c r="AM182" i="1"/>
  <c r="AL182" i="1"/>
  <c r="AK182" i="1"/>
  <c r="AH183" i="1"/>
  <c r="AG183" i="1"/>
  <c r="AF183" i="1"/>
  <c r="AE183" i="1"/>
  <c r="AH182" i="1"/>
  <c r="AG182" i="1"/>
  <c r="AF182" i="1"/>
  <c r="AE182" i="1"/>
  <c r="AB183" i="1"/>
  <c r="AA183" i="1"/>
  <c r="Z183" i="1"/>
  <c r="Y183" i="1"/>
  <c r="AB182" i="1"/>
  <c r="AA182" i="1"/>
  <c r="Z182" i="1"/>
  <c r="Y182" i="1"/>
  <c r="V183" i="1"/>
  <c r="U183" i="1"/>
  <c r="T183" i="1"/>
  <c r="S183" i="1"/>
  <c r="V182" i="1"/>
  <c r="U182" i="1"/>
  <c r="T182" i="1"/>
  <c r="S182" i="1"/>
  <c r="P183" i="1"/>
  <c r="O183" i="1"/>
  <c r="N183" i="1"/>
  <c r="M183" i="1"/>
  <c r="P182" i="1"/>
  <c r="O182" i="1"/>
  <c r="N182" i="1"/>
  <c r="M182" i="1"/>
  <c r="DI179" i="1"/>
  <c r="DH179" i="1"/>
  <c r="DG179" i="1"/>
  <c r="DF179" i="1"/>
  <c r="DE179" i="1"/>
  <c r="DC179" i="1"/>
  <c r="DB179" i="1"/>
  <c r="DA179" i="1"/>
  <c r="CZ179" i="1"/>
  <c r="CY179" i="1"/>
  <c r="CW179" i="1"/>
  <c r="CV179" i="1"/>
  <c r="CU179" i="1"/>
  <c r="CT179" i="1"/>
  <c r="CS179" i="1"/>
  <c r="CQ179" i="1"/>
  <c r="CP179" i="1"/>
  <c r="CO179" i="1"/>
  <c r="CN179" i="1"/>
  <c r="CM179" i="1"/>
  <c r="CK179" i="1"/>
  <c r="CJ179" i="1"/>
  <c r="CI179" i="1"/>
  <c r="CH179" i="1"/>
  <c r="CG179" i="1"/>
  <c r="CE179" i="1"/>
  <c r="CD179" i="1"/>
  <c r="CC179" i="1"/>
  <c r="CB179" i="1"/>
  <c r="CA179" i="1"/>
  <c r="BY179" i="1"/>
  <c r="BX179" i="1"/>
  <c r="BW179" i="1"/>
  <c r="BV179" i="1"/>
  <c r="BU179" i="1"/>
  <c r="BS179" i="1"/>
  <c r="BR179" i="1"/>
  <c r="BQ179" i="1"/>
  <c r="BP179" i="1"/>
  <c r="BO179" i="1"/>
  <c r="BM179" i="1"/>
  <c r="BL179" i="1"/>
  <c r="BK179" i="1"/>
  <c r="BJ179" i="1"/>
  <c r="BI179" i="1"/>
  <c r="BG179" i="1"/>
  <c r="BF179" i="1"/>
  <c r="BE179" i="1"/>
  <c r="BD179" i="1"/>
  <c r="BC179" i="1"/>
  <c r="BA179" i="1"/>
  <c r="AZ179" i="1"/>
  <c r="AY179" i="1"/>
  <c r="AX179" i="1"/>
  <c r="AW179" i="1"/>
  <c r="AU179" i="1"/>
  <c r="AT179" i="1"/>
  <c r="AS179" i="1"/>
  <c r="AR179" i="1"/>
  <c r="AQ179" i="1"/>
  <c r="AO179" i="1"/>
  <c r="AN179" i="1"/>
  <c r="AM179" i="1"/>
  <c r="AL179" i="1"/>
  <c r="AK179" i="1"/>
  <c r="AI179" i="1"/>
  <c r="AH179" i="1"/>
  <c r="AG179" i="1"/>
  <c r="AF179" i="1"/>
  <c r="AE179" i="1"/>
  <c r="AC179" i="1"/>
  <c r="AB179" i="1"/>
  <c r="AA179" i="1"/>
  <c r="Z179" i="1"/>
  <c r="Y179" i="1"/>
  <c r="W179" i="1"/>
  <c r="V179" i="1"/>
  <c r="U179" i="1"/>
  <c r="T179" i="1"/>
  <c r="S179" i="1"/>
  <c r="Q179" i="1"/>
  <c r="P179" i="1"/>
  <c r="O179" i="1"/>
  <c r="N179" i="1"/>
  <c r="M179" i="1"/>
  <c r="K179" i="1"/>
  <c r="J179" i="1"/>
  <c r="I179" i="1"/>
  <c r="H179" i="1"/>
  <c r="G179" i="1"/>
  <c r="E179" i="1"/>
  <c r="D179" i="1"/>
  <c r="C179" i="1"/>
  <c r="DE178" i="1"/>
  <c r="CY178" i="1"/>
  <c r="CS178" i="1"/>
  <c r="CM178" i="1"/>
  <c r="CG178" i="1"/>
  <c r="CA178" i="1"/>
  <c r="BU178" i="1"/>
  <c r="BO178" i="1"/>
  <c r="BI178" i="1"/>
  <c r="BC178" i="1"/>
  <c r="AW178" i="1"/>
  <c r="AQ178" i="1"/>
  <c r="AK178" i="1"/>
  <c r="AE178" i="1"/>
  <c r="Y178" i="1"/>
  <c r="S178" i="1"/>
  <c r="M178" i="1"/>
  <c r="G178" i="1"/>
  <c r="A176" i="1"/>
  <c r="BM173" i="1"/>
  <c r="BG173" i="1"/>
  <c r="BA173" i="1"/>
  <c r="AU173" i="1"/>
  <c r="AC172" i="1"/>
  <c r="AC171" i="1"/>
  <c r="AC169" i="1"/>
  <c r="W172" i="1"/>
  <c r="W171" i="1"/>
  <c r="W170" i="1"/>
  <c r="W169" i="1"/>
  <c r="Q172" i="1"/>
  <c r="Q171" i="1"/>
  <c r="Q170" i="1"/>
  <c r="Q169" i="1"/>
  <c r="K172" i="1"/>
  <c r="K171" i="1"/>
  <c r="K170" i="1"/>
  <c r="K169" i="1"/>
  <c r="BY170" i="1"/>
  <c r="CE170" i="1" s="1"/>
  <c r="CK170" i="1" s="1"/>
  <c r="CQ170" i="1" s="1"/>
  <c r="CW170" i="1" s="1"/>
  <c r="DC170" i="1" s="1"/>
  <c r="DI170" i="1" s="1"/>
  <c r="DO170" i="1" s="1"/>
  <c r="BY169" i="1"/>
  <c r="CE169" i="1" s="1"/>
  <c r="CK169" i="1" s="1"/>
  <c r="CQ169" i="1" s="1"/>
  <c r="CW169" i="1" s="1"/>
  <c r="DC169" i="1" s="1"/>
  <c r="DI169" i="1" s="1"/>
  <c r="DO169" i="1" s="1"/>
  <c r="BS168" i="1"/>
  <c r="BS167" i="1"/>
  <c r="BM168" i="1"/>
  <c r="BM167" i="1"/>
  <c r="BG168" i="1"/>
  <c r="BG167" i="1"/>
  <c r="BA168" i="1"/>
  <c r="BA167" i="1"/>
  <c r="AU167" i="1"/>
  <c r="AO167" i="1"/>
  <c r="AI167" i="1"/>
  <c r="AC167" i="1"/>
  <c r="W167" i="1"/>
  <c r="Q167" i="1"/>
  <c r="K167" i="1"/>
  <c r="AC163" i="1"/>
  <c r="Q160" i="1"/>
  <c r="AC160" i="1"/>
  <c r="K160" i="1"/>
  <c r="BS156" i="1"/>
  <c r="BS155" i="1"/>
  <c r="BM156" i="1"/>
  <c r="BM155" i="1"/>
  <c r="BG156" i="1"/>
  <c r="BG155" i="1"/>
  <c r="BA156" i="1"/>
  <c r="BA155" i="1"/>
  <c r="AU156" i="1"/>
  <c r="AU155" i="1" s="1"/>
  <c r="AC155" i="1"/>
  <c r="K155" i="1"/>
  <c r="CQ155" i="1"/>
  <c r="CK155" i="1"/>
  <c r="CE155" i="1"/>
  <c r="BY155" i="1"/>
  <c r="AO155" i="1"/>
  <c r="AI155" i="1"/>
  <c r="AC152" i="1"/>
  <c r="Q152" i="1"/>
  <c r="K152" i="1"/>
  <c r="DE150" i="1"/>
  <c r="DK150" i="1" s="1"/>
  <c r="DG150" i="1"/>
  <c r="DM150" i="1" s="1"/>
  <c r="DM49" i="1" s="1"/>
  <c r="DF150" i="1"/>
  <c r="DL150" i="1" s="1"/>
  <c r="DL49" i="1" s="1"/>
  <c r="CQ150" i="1"/>
  <c r="CK150" i="1"/>
  <c r="CE150" i="1"/>
  <c r="BY150" i="1"/>
  <c r="BS150" i="1"/>
  <c r="BM150" i="1"/>
  <c r="AW150" i="1"/>
  <c r="AT150" i="1"/>
  <c r="AS150" i="1"/>
  <c r="AR150" i="1"/>
  <c r="AQ150" i="1"/>
  <c r="AM150" i="1"/>
  <c r="AL150" i="1"/>
  <c r="AG150" i="1"/>
  <c r="AF150" i="1"/>
  <c r="AG144" i="1"/>
  <c r="AF144" i="1"/>
  <c r="AB144" i="1"/>
  <c r="AB143" i="1"/>
  <c r="V144" i="1"/>
  <c r="V143" i="1"/>
  <c r="P144" i="1"/>
  <c r="P143" i="1"/>
  <c r="AC136" i="1"/>
  <c r="AE135" i="1"/>
  <c r="BV133" i="1"/>
  <c r="BP133" i="1"/>
  <c r="BM133" i="1"/>
  <c r="BL133" i="1"/>
  <c r="BS173" i="1"/>
  <c r="CJ125" i="1"/>
  <c r="CP125" i="1"/>
  <c r="CI125" i="1"/>
  <c r="CM125" i="1"/>
  <c r="CO125" i="1"/>
  <c r="CK125" i="1"/>
  <c r="CN125" i="1"/>
  <c r="CQ125" i="1"/>
  <c r="Z75" i="42" l="1"/>
  <c r="AF75" i="42"/>
  <c r="AM75" i="42"/>
  <c r="AG75" i="42"/>
  <c r="U17" i="42"/>
  <c r="U27" i="42" s="1"/>
  <c r="BY248" i="1"/>
  <c r="Q252" i="1"/>
  <c r="AC252" i="1"/>
  <c r="BA252" i="1"/>
  <c r="BL56" i="42"/>
  <c r="BL133" i="42" s="1"/>
  <c r="Y26" i="3"/>
  <c r="Z26" i="3" s="1"/>
  <c r="AA26" i="3" s="1"/>
  <c r="AB98" i="3" s="1"/>
  <c r="AB183" i="41"/>
  <c r="AH183" i="41"/>
  <c r="AN183" i="41"/>
  <c r="AA75" i="42"/>
  <c r="AH75" i="42"/>
  <c r="AK74" i="42" s="1"/>
  <c r="AN75" i="42"/>
  <c r="AQ74" i="42" s="1"/>
  <c r="AH17" i="42"/>
  <c r="AH27" i="42" s="1"/>
  <c r="BS51" i="42"/>
  <c r="BX71" i="42"/>
  <c r="CG71" i="42"/>
  <c r="AI183" i="41"/>
  <c r="AO183" i="41"/>
  <c r="AU183" i="41"/>
  <c r="AB75" i="42"/>
  <c r="AE74" i="42" s="1"/>
  <c r="AK75" i="42"/>
  <c r="AQ75" i="42"/>
  <c r="AN17" i="42"/>
  <c r="AN27" i="42" s="1"/>
  <c r="C105" i="42"/>
  <c r="AQ26" i="3"/>
  <c r="BO149" i="3"/>
  <c r="AD183" i="41"/>
  <c r="AJ183" i="41"/>
  <c r="AP183" i="41"/>
  <c r="AV183" i="41"/>
  <c r="E253" i="1"/>
  <c r="Y75" i="42"/>
  <c r="AE75" i="42"/>
  <c r="AL75" i="42"/>
  <c r="AR17" i="42"/>
  <c r="AR27" i="42" s="1"/>
  <c r="AI14" i="42"/>
  <c r="AQ183" i="41" s="1"/>
  <c r="AO14" i="42"/>
  <c r="AW183" i="41" s="1"/>
  <c r="W22" i="42"/>
  <c r="BG248" i="1"/>
  <c r="BM248" i="1"/>
  <c r="BS248" i="1"/>
  <c r="AE26" i="3"/>
  <c r="AF26" i="3" s="1"/>
  <c r="AA183" i="41"/>
  <c r="AG183" i="41"/>
  <c r="AM183" i="41"/>
  <c r="AS183" i="41"/>
  <c r="AY183" i="41"/>
  <c r="BD162" i="42"/>
  <c r="DH150" i="1"/>
  <c r="DN150" i="1" s="1"/>
  <c r="DN49" i="1" s="1"/>
  <c r="DN56" i="1" s="1"/>
  <c r="CV49" i="1"/>
  <c r="AE102" i="3"/>
  <c r="AE115" i="3"/>
  <c r="AW115" i="3"/>
  <c r="BA108" i="3"/>
  <c r="BA109" i="3"/>
  <c r="BG108" i="3"/>
  <c r="BG109" i="3"/>
  <c r="BM113" i="3"/>
  <c r="BS108" i="3"/>
  <c r="AI111" i="3"/>
  <c r="AE129" i="3"/>
  <c r="AU119" i="3"/>
  <c r="AU120" i="3"/>
  <c r="AU121" i="3"/>
  <c r="AU122" i="3"/>
  <c r="AU123" i="3"/>
  <c r="AU124" i="3"/>
  <c r="AU125" i="3"/>
  <c r="AU126" i="3"/>
  <c r="BA121" i="3"/>
  <c r="CQ125" i="3"/>
  <c r="CQ126" i="3"/>
  <c r="CQ127" i="3"/>
  <c r="AO131" i="3"/>
  <c r="AU131" i="3"/>
  <c r="BA131" i="3"/>
  <c r="T109" i="42"/>
  <c r="W131" i="3"/>
  <c r="Q102" i="3"/>
  <c r="AF102" i="3"/>
  <c r="BG85" i="3"/>
  <c r="BG257" i="1" s="1"/>
  <c r="BG86" i="3"/>
  <c r="BG88" i="3"/>
  <c r="BG89" i="3"/>
  <c r="CQ85" i="3"/>
  <c r="CQ86" i="3"/>
  <c r="CQ87" i="3"/>
  <c r="CQ88" i="3"/>
  <c r="CQ89" i="3"/>
  <c r="CQ90" i="3"/>
  <c r="CQ91" i="3"/>
  <c r="CQ92" i="3"/>
  <c r="CQ93" i="3"/>
  <c r="DC93" i="3"/>
  <c r="E133" i="3"/>
  <c r="E137" i="3" s="1"/>
  <c r="BG97" i="3"/>
  <c r="BG100" i="3"/>
  <c r="BY97" i="3"/>
  <c r="BY99" i="3"/>
  <c r="AF115" i="3"/>
  <c r="W121" i="3"/>
  <c r="AF129" i="3"/>
  <c r="DI131" i="3"/>
  <c r="AN145" i="42"/>
  <c r="BR145" i="42"/>
  <c r="AI13" i="3"/>
  <c r="G30" i="3"/>
  <c r="T257" i="1"/>
  <c r="BU44" i="42"/>
  <c r="V112" i="42"/>
  <c r="V113" i="42" s="1"/>
  <c r="AQ115" i="42"/>
  <c r="AW115" i="42"/>
  <c r="AW112" i="42" s="1"/>
  <c r="AW113" i="42" s="1"/>
  <c r="BC115" i="42"/>
  <c r="W92" i="3"/>
  <c r="AR26" i="3"/>
  <c r="AS98" i="3" s="1"/>
  <c r="O38" i="3"/>
  <c r="P38" i="3" s="1"/>
  <c r="Q38" i="3" s="1"/>
  <c r="CK89" i="3"/>
  <c r="CK90" i="3"/>
  <c r="CK91" i="3"/>
  <c r="CK92" i="3"/>
  <c r="CK93" i="3"/>
  <c r="CW93" i="3"/>
  <c r="CE97" i="3"/>
  <c r="CE99" i="3"/>
  <c r="CE100" i="3"/>
  <c r="CE101" i="3"/>
  <c r="CK97" i="3"/>
  <c r="CK99" i="3"/>
  <c r="CK100" i="3"/>
  <c r="CK101" i="3"/>
  <c r="CQ99" i="3"/>
  <c r="CQ100" i="3"/>
  <c r="C133" i="3"/>
  <c r="C137" i="3" s="1"/>
  <c r="AM115" i="3"/>
  <c r="AI248" i="1"/>
  <c r="BX27" i="42"/>
  <c r="CK149" i="3"/>
  <c r="BP27" i="42"/>
  <c r="CM27" i="42"/>
  <c r="Q37" i="42"/>
  <c r="BM252" i="1"/>
  <c r="CA71" i="42"/>
  <c r="BM149" i="3"/>
  <c r="BS251" i="1"/>
  <c r="BK27" i="42"/>
  <c r="Z46" i="42"/>
  <c r="CA46" i="42"/>
  <c r="AU248" i="1"/>
  <c r="BA248" i="1"/>
  <c r="D105" i="42"/>
  <c r="BC253" i="1"/>
  <c r="W248" i="1"/>
  <c r="AH248" i="1"/>
  <c r="CK250" i="1"/>
  <c r="W251" i="1"/>
  <c r="CP27" i="42"/>
  <c r="AS46" i="42"/>
  <c r="AO252" i="1"/>
  <c r="AU252" i="1"/>
  <c r="BS252" i="1"/>
  <c r="CK248" i="1"/>
  <c r="E107" i="442"/>
  <c r="I107" i="442"/>
  <c r="D28" i="442"/>
  <c r="N194" i="442"/>
  <c r="O194" i="442" s="1"/>
  <c r="P194" i="442" s="1"/>
  <c r="Q194" i="442" s="1"/>
  <c r="R194" i="442" s="1"/>
  <c r="S194" i="442" s="1"/>
  <c r="T194" i="442" s="1"/>
  <c r="D25" i="442"/>
  <c r="F28" i="442"/>
  <c r="C99" i="442"/>
  <c r="E25" i="442"/>
  <c r="BG39" i="3"/>
  <c r="AI49" i="3"/>
  <c r="W52" i="3"/>
  <c r="AO51" i="3"/>
  <c r="BM100" i="3"/>
  <c r="BS111" i="3"/>
  <c r="CE109" i="3"/>
  <c r="AO118" i="3"/>
  <c r="BA123" i="3"/>
  <c r="BM120" i="3"/>
  <c r="BM121" i="3"/>
  <c r="BM122" i="3"/>
  <c r="CQ123" i="3"/>
  <c r="BU46" i="42"/>
  <c r="H10" i="3"/>
  <c r="I10" i="3" s="1"/>
  <c r="CO96" i="3"/>
  <c r="BG124" i="3"/>
  <c r="BM86" i="3"/>
  <c r="CE86" i="3"/>
  <c r="CE121" i="3"/>
  <c r="CE122" i="3"/>
  <c r="CQ121" i="3"/>
  <c r="BG131" i="3"/>
  <c r="DM56" i="1"/>
  <c r="DO150" i="1"/>
  <c r="DK49" i="1"/>
  <c r="DL56" i="1"/>
  <c r="C56" i="3"/>
  <c r="N110" i="442"/>
  <c r="O34" i="442"/>
  <c r="H109" i="442"/>
  <c r="H107" i="442" s="1"/>
  <c r="H108" i="442" s="1"/>
  <c r="G101" i="442"/>
  <c r="G18" i="442"/>
  <c r="E20" i="442"/>
  <c r="F20" i="442"/>
  <c r="H20" i="442"/>
  <c r="I62" i="442"/>
  <c r="E135" i="442"/>
  <c r="H91" i="442"/>
  <c r="I135" i="442"/>
  <c r="D109" i="442"/>
  <c r="D107" i="442" s="1"/>
  <c r="D108" i="442" s="1"/>
  <c r="I20" i="442"/>
  <c r="E28" i="442"/>
  <c r="I28" i="442"/>
  <c r="D37" i="442"/>
  <c r="H37" i="442"/>
  <c r="D62" i="442"/>
  <c r="G88" i="442"/>
  <c r="I99" i="442"/>
  <c r="C103" i="442"/>
  <c r="C113" i="442" s="1"/>
  <c r="I118" i="442"/>
  <c r="E142" i="442"/>
  <c r="E153" i="442" s="1"/>
  <c r="E151" i="442" s="1"/>
  <c r="E152" i="442" s="1"/>
  <c r="I142" i="442"/>
  <c r="I143" i="442" s="1"/>
  <c r="D18" i="442"/>
  <c r="H18" i="442"/>
  <c r="G20" i="442"/>
  <c r="E37" i="442"/>
  <c r="I37" i="442"/>
  <c r="C88" i="442"/>
  <c r="D91" i="442"/>
  <c r="C95" i="442"/>
  <c r="C96" i="442" s="1"/>
  <c r="E99" i="442"/>
  <c r="C30" i="3"/>
  <c r="AC85" i="3"/>
  <c r="AC257" i="1" s="1"/>
  <c r="AC86" i="3"/>
  <c r="AC87" i="3"/>
  <c r="AC88" i="3"/>
  <c r="AC90" i="3"/>
  <c r="AC91" i="3"/>
  <c r="AC92" i="3"/>
  <c r="AI88" i="3"/>
  <c r="AO86" i="3"/>
  <c r="BG111" i="3"/>
  <c r="BM108" i="3"/>
  <c r="BM109" i="3"/>
  <c r="AO121" i="3"/>
  <c r="BM87" i="3"/>
  <c r="BM88" i="3"/>
  <c r="BM90" i="3"/>
  <c r="BM91" i="3"/>
  <c r="AO114" i="3"/>
  <c r="AU108" i="3"/>
  <c r="AU109" i="3"/>
  <c r="AU110" i="3"/>
  <c r="AU111" i="3"/>
  <c r="AU112" i="3"/>
  <c r="AU113" i="3"/>
  <c r="AU114" i="3"/>
  <c r="BS109" i="3"/>
  <c r="Y42" i="3"/>
  <c r="AF256" i="1"/>
  <c r="AR253" i="1"/>
  <c r="AA145" i="42"/>
  <c r="Q146" i="42"/>
  <c r="AO151" i="42"/>
  <c r="BS151" i="42"/>
  <c r="CK151" i="42"/>
  <c r="AG102" i="3"/>
  <c r="DI108" i="3"/>
  <c r="DI109" i="3"/>
  <c r="BW162" i="41"/>
  <c r="BY162" i="41"/>
  <c r="CD162" i="41"/>
  <c r="AM186" i="41"/>
  <c r="BE186" i="41"/>
  <c r="BK186" i="41"/>
  <c r="AX253" i="1"/>
  <c r="CB253" i="1"/>
  <c r="J264" i="1"/>
  <c r="S264" i="1"/>
  <c r="AO251" i="1"/>
  <c r="BE71" i="42"/>
  <c r="BW71" i="42"/>
  <c r="CC71" i="42"/>
  <c r="CO71" i="42"/>
  <c r="CT268" i="42"/>
  <c r="CU268" i="42" s="1"/>
  <c r="CV268" i="42" s="1"/>
  <c r="CY268" i="42" s="1"/>
  <c r="CZ268" i="42" s="1"/>
  <c r="DA268" i="42" s="1"/>
  <c r="DB268" i="42" s="1"/>
  <c r="DE268" i="42" s="1"/>
  <c r="DF268" i="42" s="1"/>
  <c r="DG268" i="42" s="1"/>
  <c r="DH268" i="42" s="1"/>
  <c r="DK268" i="42" s="1"/>
  <c r="K13" i="3"/>
  <c r="Q13" i="3"/>
  <c r="N27" i="3"/>
  <c r="AH96" i="3"/>
  <c r="BA24" i="3"/>
  <c r="BF96" i="3"/>
  <c r="BL96" i="3"/>
  <c r="BQ96" i="3"/>
  <c r="BX96" i="3"/>
  <c r="CC96" i="3"/>
  <c r="D42" i="3"/>
  <c r="BS39" i="3"/>
  <c r="AN126" i="3"/>
  <c r="AO53" i="3"/>
  <c r="AS126" i="42"/>
  <c r="V146" i="42"/>
  <c r="AB232" i="42"/>
  <c r="BK262" i="42"/>
  <c r="BO262" i="42"/>
  <c r="CT272" i="42"/>
  <c r="CU272" i="42" s="1"/>
  <c r="CV272" i="42" s="1"/>
  <c r="CT273" i="42"/>
  <c r="CU273" i="42" s="1"/>
  <c r="CV273" i="42" s="1"/>
  <c r="CY273" i="42" s="1"/>
  <c r="CZ273" i="42" s="1"/>
  <c r="DA273" i="42" s="1"/>
  <c r="DB273" i="42" s="1"/>
  <c r="DE273" i="42" s="1"/>
  <c r="DF273" i="42" s="1"/>
  <c r="DG273" i="42" s="1"/>
  <c r="DH273" i="42" s="1"/>
  <c r="DK273" i="42" s="1"/>
  <c r="DL273" i="42" s="1"/>
  <c r="DM273" i="42" s="1"/>
  <c r="DN273" i="42" s="1"/>
  <c r="AH85" i="3"/>
  <c r="AI15" i="3"/>
  <c r="K24" i="3"/>
  <c r="AC24" i="3"/>
  <c r="AI24" i="3"/>
  <c r="E42" i="3"/>
  <c r="M42" i="3"/>
  <c r="AH107" i="3"/>
  <c r="C42" i="3"/>
  <c r="AZ42" i="3"/>
  <c r="BA42" i="3" s="1"/>
  <c r="BU39" i="3"/>
  <c r="BV39" i="3" s="1"/>
  <c r="D56" i="3"/>
  <c r="D60" i="3" s="1"/>
  <c r="D64" i="3" s="1"/>
  <c r="M56" i="3"/>
  <c r="AI47" i="3"/>
  <c r="AI51" i="3"/>
  <c r="BL124" i="3"/>
  <c r="BM51" i="3"/>
  <c r="BG93" i="3"/>
  <c r="BM92" i="3"/>
  <c r="BM94" i="3"/>
  <c r="BS85" i="3"/>
  <c r="BS257" i="1" s="1"/>
  <c r="BS86" i="3"/>
  <c r="BS87" i="3"/>
  <c r="BS88" i="3"/>
  <c r="BS89" i="3"/>
  <c r="BS90" i="3"/>
  <c r="BS92" i="3"/>
  <c r="BS93" i="3"/>
  <c r="DI93" i="3"/>
  <c r="AO96" i="3"/>
  <c r="AU96" i="3"/>
  <c r="BM97" i="3"/>
  <c r="AO108" i="3"/>
  <c r="AO109" i="3"/>
  <c r="AO110" i="3"/>
  <c r="AO111" i="3"/>
  <c r="BM111" i="3"/>
  <c r="BY113" i="3"/>
  <c r="BY114" i="3"/>
  <c r="DC109" i="3"/>
  <c r="AC118" i="3"/>
  <c r="AC119" i="3"/>
  <c r="AC121" i="3"/>
  <c r="AC122" i="3"/>
  <c r="AC123" i="3"/>
  <c r="AG129" i="3"/>
  <c r="AS129" i="3"/>
  <c r="AU127" i="3"/>
  <c r="CE123" i="3"/>
  <c r="CE126" i="3"/>
  <c r="CK127" i="3"/>
  <c r="BS125" i="3"/>
  <c r="BA12" i="41"/>
  <c r="AM33" i="41"/>
  <c r="AG34" i="41"/>
  <c r="CJ92" i="41"/>
  <c r="CL94" i="41"/>
  <c r="CX95" i="41"/>
  <c r="AT160" i="41"/>
  <c r="V56" i="3"/>
  <c r="W56" i="3" s="1"/>
  <c r="BA49" i="3"/>
  <c r="W125" i="3"/>
  <c r="W127" i="3"/>
  <c r="AO87" i="3"/>
  <c r="AO88" i="3"/>
  <c r="AO89" i="3"/>
  <c r="AO94" i="3"/>
  <c r="AU85" i="3"/>
  <c r="AU257" i="1" s="1"/>
  <c r="AU86" i="3"/>
  <c r="AU87" i="3"/>
  <c r="AU88" i="3"/>
  <c r="AU89" i="3"/>
  <c r="AU93" i="3"/>
  <c r="AU94" i="3"/>
  <c r="BA86" i="3"/>
  <c r="BA87" i="3"/>
  <c r="BA88" i="3"/>
  <c r="BA89" i="3"/>
  <c r="CE89" i="3"/>
  <c r="CE90" i="3"/>
  <c r="CK85" i="3"/>
  <c r="CK86" i="3"/>
  <c r="N243" i="1"/>
  <c r="S243" i="1"/>
  <c r="W108" i="3"/>
  <c r="AC108" i="3"/>
  <c r="AC109" i="3"/>
  <c r="AC114" i="3"/>
  <c r="BM114" i="3"/>
  <c r="AG115" i="3"/>
  <c r="AM129" i="3"/>
  <c r="AO123" i="3"/>
  <c r="BG120" i="3"/>
  <c r="BY122" i="3"/>
  <c r="BM131" i="3"/>
  <c r="BS131" i="3"/>
  <c r="CK131" i="3"/>
  <c r="CQ131" i="3"/>
  <c r="AT12" i="41"/>
  <c r="CR24" i="41"/>
  <c r="P64" i="41"/>
  <c r="CX94" i="41"/>
  <c r="AC107" i="41"/>
  <c r="AD160" i="41"/>
  <c r="R160" i="41"/>
  <c r="AP160" i="41"/>
  <c r="BK169" i="41"/>
  <c r="BK162" i="41"/>
  <c r="BM169" i="41"/>
  <c r="BM162" i="41"/>
  <c r="BQ169" i="41"/>
  <c r="BQ162" i="41"/>
  <c r="BS169" i="41"/>
  <c r="BS162" i="41"/>
  <c r="CG159" i="41"/>
  <c r="CF162" i="41"/>
  <c r="CJ162" i="41"/>
  <c r="CL162" i="41"/>
  <c r="CP162" i="41"/>
  <c r="CR162" i="41"/>
  <c r="CX162" i="41"/>
  <c r="CC162" i="41"/>
  <c r="BL162" i="41"/>
  <c r="BO159" i="41"/>
  <c r="BN162" i="41"/>
  <c r="BR162" i="41"/>
  <c r="BT169" i="41"/>
  <c r="BT162" i="41"/>
  <c r="BX162" i="41"/>
  <c r="BZ162" i="41"/>
  <c r="CE160" i="41"/>
  <c r="CE162" i="41"/>
  <c r="CI162" i="41"/>
  <c r="CK162" i="41"/>
  <c r="CO162" i="41"/>
  <c r="CQ162" i="41"/>
  <c r="CU162" i="41"/>
  <c r="CV162" i="41"/>
  <c r="CW162" i="41"/>
  <c r="DA162" i="41"/>
  <c r="CT165" i="42"/>
  <c r="CU182" i="42"/>
  <c r="CU165" i="42" s="1"/>
  <c r="CW108" i="3"/>
  <c r="M262" i="1"/>
  <c r="M263" i="1"/>
  <c r="O264" i="1" s="1"/>
  <c r="S262" i="1"/>
  <c r="O243" i="1"/>
  <c r="M256" i="1"/>
  <c r="M24" i="3"/>
  <c r="N24" i="3" s="1"/>
  <c r="O24" i="3" s="1"/>
  <c r="P243" i="1"/>
  <c r="AR52" i="42"/>
  <c r="BW165" i="42"/>
  <c r="AG165" i="42"/>
  <c r="S112" i="42"/>
  <c r="S113" i="42" s="1"/>
  <c r="CV144" i="42"/>
  <c r="BR57" i="42"/>
  <c r="BR254" i="1" s="1"/>
  <c r="CC165" i="42"/>
  <c r="AA57" i="42"/>
  <c r="AA254" i="1" s="1"/>
  <c r="CG165" i="42"/>
  <c r="AR56" i="42"/>
  <c r="AR133" i="42" s="1"/>
  <c r="BC165" i="42"/>
  <c r="W182" i="42"/>
  <c r="AH168" i="42"/>
  <c r="AX162" i="42"/>
  <c r="BJ162" i="42"/>
  <c r="BJ46" i="3" s="1"/>
  <c r="BJ119" i="3" s="1"/>
  <c r="CP168" i="42"/>
  <c r="T208" i="42"/>
  <c r="M243" i="1"/>
  <c r="S256" i="1"/>
  <c r="M264" i="1"/>
  <c r="V44" i="41"/>
  <c r="U40" i="41"/>
  <c r="DE146" i="42"/>
  <c r="DE47" i="3" s="1"/>
  <c r="DE120" i="3" s="1"/>
  <c r="CY146" i="42"/>
  <c r="CY47" i="3" s="1"/>
  <c r="CY120" i="3" s="1"/>
  <c r="CZ146" i="42"/>
  <c r="CG70" i="42"/>
  <c r="AL71" i="42"/>
  <c r="DA107" i="41"/>
  <c r="R26" i="41"/>
  <c r="CD184" i="41"/>
  <c r="BQ17" i="41"/>
  <c r="BQ18" i="41" s="1"/>
  <c r="AH34" i="41"/>
  <c r="AH33" i="41"/>
  <c r="AQ36" i="41"/>
  <c r="AQ37" i="41" s="1"/>
  <c r="AP38" i="41"/>
  <c r="AN125" i="41"/>
  <c r="AW9" i="41"/>
  <c r="CR23" i="41"/>
  <c r="CR165" i="41" s="1"/>
  <c r="BR8" i="41"/>
  <c r="AH12" i="41"/>
  <c r="BC11" i="41"/>
  <c r="BE12" i="41"/>
  <c r="CS12" i="41"/>
  <c r="U24" i="41"/>
  <c r="AM24" i="41"/>
  <c r="AS36" i="41"/>
  <c r="E48" i="41"/>
  <c r="D44" i="41"/>
  <c r="AO125" i="41"/>
  <c r="BY154" i="1"/>
  <c r="Y11" i="41"/>
  <c r="U12" i="41"/>
  <c r="AD12" i="41"/>
  <c r="AU12" i="41"/>
  <c r="AO12" i="41"/>
  <c r="BS12" i="41"/>
  <c r="AI48" i="41"/>
  <c r="AH44" i="41"/>
  <c r="AH40" i="41" s="1"/>
  <c r="AG55" i="41"/>
  <c r="R64" i="41"/>
  <c r="W64" i="41"/>
  <c r="AD64" i="41"/>
  <c r="AD63" i="41"/>
  <c r="CP95" i="41"/>
  <c r="CP101" i="41" s="1"/>
  <c r="CP92" i="41"/>
  <c r="CP98" i="41" s="1"/>
  <c r="CP93" i="41"/>
  <c r="BQ9" i="41"/>
  <c r="AS12" i="41"/>
  <c r="BB12" i="41"/>
  <c r="BM12" i="41"/>
  <c r="BE10" i="41"/>
  <c r="BT12" i="41"/>
  <c r="BN12" i="41"/>
  <c r="AA24" i="41"/>
  <c r="AG24" i="41"/>
  <c r="CC24" i="41"/>
  <c r="AI34" i="41"/>
  <c r="DB48" i="41"/>
  <c r="DC48" i="41" s="1"/>
  <c r="AJ55" i="41"/>
  <c r="AC64" i="41"/>
  <c r="BQ10" i="41"/>
  <c r="R12" i="41"/>
  <c r="V12" i="41"/>
  <c r="AE11" i="41"/>
  <c r="AC12" i="41"/>
  <c r="AI33" i="41"/>
  <c r="AP32" i="41"/>
  <c r="AQ32" i="41" s="1"/>
  <c r="AM44" i="41"/>
  <c r="AM40" i="41" s="1"/>
  <c r="X64" i="41"/>
  <c r="K66" i="41"/>
  <c r="K69" i="41" s="1"/>
  <c r="J66" i="41"/>
  <c r="CQ94" i="41"/>
  <c r="CQ92" i="41"/>
  <c r="CI92" i="41"/>
  <c r="CI93" i="41"/>
  <c r="CQ95" i="41"/>
  <c r="BZ125" i="41"/>
  <c r="O66" i="41"/>
  <c r="AK11" i="41"/>
  <c r="AK12" i="41" s="1"/>
  <c r="AG12" i="41"/>
  <c r="AP12" i="41"/>
  <c r="CA12" i="41"/>
  <c r="CY12" i="41"/>
  <c r="CD23" i="41"/>
  <c r="CD165" i="41" s="1"/>
  <c r="AQ51" i="41"/>
  <c r="AH55" i="41"/>
  <c r="AA63" i="41"/>
  <c r="AE63" i="41"/>
  <c r="CY82" i="41"/>
  <c r="CY85" i="41"/>
  <c r="CR99" i="41"/>
  <c r="CU93" i="41"/>
  <c r="AP125" i="41"/>
  <c r="AT184" i="41"/>
  <c r="AU186" i="41"/>
  <c r="BG186" i="41"/>
  <c r="BM186" i="41"/>
  <c r="BX202" i="41"/>
  <c r="CD201" i="41"/>
  <c r="CY236" i="41"/>
  <c r="M312" i="41"/>
  <c r="S312" i="41"/>
  <c r="Y312" i="41"/>
  <c r="AE312" i="41"/>
  <c r="AK312" i="41"/>
  <c r="AW312" i="41"/>
  <c r="AW51" i="41"/>
  <c r="AO55" i="41"/>
  <c r="Q64" i="41"/>
  <c r="V64" i="41"/>
  <c r="U63" i="41"/>
  <c r="AB63" i="41"/>
  <c r="CO98" i="41"/>
  <c r="CJ93" i="41"/>
  <c r="CU94" i="41"/>
  <c r="AM125" i="41"/>
  <c r="AT169" i="41"/>
  <c r="R186" i="41"/>
  <c r="CD199" i="41"/>
  <c r="AI313" i="41"/>
  <c r="AO313" i="41"/>
  <c r="Q323" i="41"/>
  <c r="AI323" i="41"/>
  <c r="BM323" i="41"/>
  <c r="S105" i="41"/>
  <c r="S167" i="41" s="1"/>
  <c r="U107" i="41"/>
  <c r="P186" i="41"/>
  <c r="AB186" i="41"/>
  <c r="AH160" i="41"/>
  <c r="CK190" i="41"/>
  <c r="DB24" i="41"/>
  <c r="DB108" i="41"/>
  <c r="DH108" i="41" s="1"/>
  <c r="DN108" i="41" s="1"/>
  <c r="DT108" i="41" s="1"/>
  <c r="AA186" i="41"/>
  <c r="CL185" i="41"/>
  <c r="BM23" i="41"/>
  <c r="BM165" i="41" s="1"/>
  <c r="CV23" i="41"/>
  <c r="CV165" i="41" s="1"/>
  <c r="DB23" i="41"/>
  <c r="BW185" i="41"/>
  <c r="DA191" i="41"/>
  <c r="DA192" i="41" s="1"/>
  <c r="DB186" i="41"/>
  <c r="CY89" i="41"/>
  <c r="Q147" i="42"/>
  <c r="Z208" i="42"/>
  <c r="Z215" i="42" s="1"/>
  <c r="E213" i="42"/>
  <c r="CH171" i="42"/>
  <c r="CH175" i="42" s="1"/>
  <c r="BX162" i="42"/>
  <c r="AM165" i="42"/>
  <c r="BD165" i="42"/>
  <c r="BD169" i="42" s="1"/>
  <c r="CD160" i="42"/>
  <c r="CD162" i="42" s="1"/>
  <c r="CY162" i="42"/>
  <c r="CY46" i="3" s="1"/>
  <c r="CY119" i="3" s="1"/>
  <c r="AC182" i="42"/>
  <c r="AE162" i="42"/>
  <c r="CN165" i="42"/>
  <c r="AO56" i="42"/>
  <c r="AO133" i="42" s="1"/>
  <c r="CS165" i="42"/>
  <c r="AX182" i="42"/>
  <c r="CA165" i="42"/>
  <c r="M186" i="42"/>
  <c r="S186" i="42"/>
  <c r="Y186" i="42"/>
  <c r="CP57" i="42"/>
  <c r="BM56" i="42"/>
  <c r="BM133" i="42" s="1"/>
  <c r="BU165" i="42"/>
  <c r="CB165" i="42"/>
  <c r="AU313" i="41"/>
  <c r="CU260" i="1"/>
  <c r="L70" i="41"/>
  <c r="I45" i="41"/>
  <c r="AN44" i="41"/>
  <c r="P44" i="41"/>
  <c r="P40" i="41" s="1"/>
  <c r="P42" i="41" s="1"/>
  <c r="E243" i="1"/>
  <c r="E263" i="1"/>
  <c r="Q263" i="1"/>
  <c r="E30" i="3"/>
  <c r="N29" i="3"/>
  <c r="E256" i="1"/>
  <c r="N26" i="3"/>
  <c r="E246" i="42"/>
  <c r="E248" i="42" s="1"/>
  <c r="K229" i="42"/>
  <c r="K233" i="42" s="1"/>
  <c r="K209" i="42" s="1"/>
  <c r="Q159" i="1" s="1"/>
  <c r="W160" i="1" s="1"/>
  <c r="AH253" i="1"/>
  <c r="AS253" i="1"/>
  <c r="AY253" i="1"/>
  <c r="AZ253" i="1"/>
  <c r="CA253" i="1"/>
  <c r="CC253" i="1"/>
  <c r="CD253" i="1"/>
  <c r="AW186" i="41"/>
  <c r="CK251" i="1"/>
  <c r="CY186" i="41"/>
  <c r="M32" i="42"/>
  <c r="W30" i="42"/>
  <c r="W37" i="42" s="1"/>
  <c r="G37" i="42"/>
  <c r="AN37" i="42"/>
  <c r="AN46" i="42" s="1"/>
  <c r="AO46" i="42" s="1"/>
  <c r="BG252" i="1"/>
  <c r="CE252" i="1"/>
  <c r="CE253" i="1" s="1"/>
  <c r="BA56" i="42"/>
  <c r="BA133" i="42" s="1"/>
  <c r="G81" i="42"/>
  <c r="M132" i="42"/>
  <c r="N132" i="42" s="1"/>
  <c r="O132" i="42" s="1"/>
  <c r="AY160" i="42"/>
  <c r="AZ160" i="42" s="1"/>
  <c r="BA161" i="42" s="1"/>
  <c r="BP162" i="42"/>
  <c r="CN162" i="42"/>
  <c r="CO276" i="42"/>
  <c r="CP276" i="42" s="1"/>
  <c r="AK27" i="3"/>
  <c r="AL27" i="3" s="1"/>
  <c r="AM27" i="3" s="1"/>
  <c r="AN99" i="3" s="1"/>
  <c r="CL160" i="41"/>
  <c r="CX160" i="41"/>
  <c r="Q186" i="41"/>
  <c r="BZ194" i="41"/>
  <c r="CF191" i="41"/>
  <c r="CF192" i="41" s="1"/>
  <c r="CL194" i="41"/>
  <c r="CQ191" i="41"/>
  <c r="CQ192" i="41" s="1"/>
  <c r="O253" i="1"/>
  <c r="AL253" i="1"/>
  <c r="J253" i="1"/>
  <c r="BV253" i="1"/>
  <c r="CS253" i="1"/>
  <c r="BY149" i="3"/>
  <c r="AC251" i="1"/>
  <c r="Q251" i="1"/>
  <c r="Q253" i="1" s="1"/>
  <c r="S184" i="41"/>
  <c r="K252" i="1"/>
  <c r="CK252" i="1"/>
  <c r="AC248" i="1"/>
  <c r="AY48" i="42"/>
  <c r="AY57" i="42" s="1"/>
  <c r="AY254" i="1" s="1"/>
  <c r="AH56" i="42"/>
  <c r="AH133" i="42" s="1"/>
  <c r="BF71" i="42"/>
  <c r="BQ71" i="42"/>
  <c r="BV71" i="42"/>
  <c r="CD71" i="42"/>
  <c r="CJ70" i="42" s="1"/>
  <c r="M81" i="42"/>
  <c r="O155" i="42"/>
  <c r="O157" i="42" s="1"/>
  <c r="M157" i="42"/>
  <c r="AE157" i="42"/>
  <c r="AR162" i="42"/>
  <c r="BV162" i="42"/>
  <c r="N186" i="42"/>
  <c r="T186" i="42"/>
  <c r="T185" i="42" s="1"/>
  <c r="Z186" i="42"/>
  <c r="Z185" i="42" s="1"/>
  <c r="V160" i="41"/>
  <c r="BR160" i="41"/>
  <c r="CM159" i="41"/>
  <c r="CM160" i="41" s="1"/>
  <c r="CY159" i="41"/>
  <c r="BH186" i="41"/>
  <c r="BN186" i="41"/>
  <c r="CX194" i="41"/>
  <c r="W23" i="41"/>
  <c r="W165" i="41" s="1"/>
  <c r="AO23" i="41"/>
  <c r="AO165" i="41" s="1"/>
  <c r="AS106" i="41"/>
  <c r="BA106" i="41"/>
  <c r="BE106" i="41"/>
  <c r="CI106" i="41"/>
  <c r="BA270" i="1"/>
  <c r="AI55" i="3"/>
  <c r="BE24" i="41"/>
  <c r="CI24" i="41"/>
  <c r="CO24" i="41"/>
  <c r="CU24" i="41"/>
  <c r="BS323" i="41"/>
  <c r="O41" i="41"/>
  <c r="U41" i="41"/>
  <c r="C45" i="41"/>
  <c r="J46" i="41"/>
  <c r="AB44" i="41"/>
  <c r="AM45" i="41"/>
  <c r="AA41" i="41"/>
  <c r="D46" i="41"/>
  <c r="V46" i="41"/>
  <c r="AN46" i="41"/>
  <c r="C41" i="41"/>
  <c r="J42" i="41"/>
  <c r="D45" i="41"/>
  <c r="O45" i="41"/>
  <c r="U45" i="41"/>
  <c r="D40" i="41"/>
  <c r="I41" i="41"/>
  <c r="V40" i="41"/>
  <c r="AG40" i="41"/>
  <c r="AM41" i="41" s="1"/>
  <c r="AA45" i="41"/>
  <c r="AG45" i="41"/>
  <c r="BU246" i="41"/>
  <c r="BO237" i="41"/>
  <c r="BU237" i="41"/>
  <c r="CS237" i="41"/>
  <c r="CY237" i="41"/>
  <c r="DK237" i="41"/>
  <c r="DQ237" i="41"/>
  <c r="CA237" i="41"/>
  <c r="CG186" i="41"/>
  <c r="CM186" i="41"/>
  <c r="AC253" i="1"/>
  <c r="AU253" i="1"/>
  <c r="BS253" i="1"/>
  <c r="K115" i="42"/>
  <c r="AG157" i="42"/>
  <c r="AH155" i="42"/>
  <c r="AH157" i="42" s="1"/>
  <c r="W253" i="1"/>
  <c r="AE253" i="1"/>
  <c r="CA125" i="42"/>
  <c r="CA122" i="42" s="1"/>
  <c r="P145" i="42"/>
  <c r="Q145" i="42" s="1"/>
  <c r="Q141" i="42"/>
  <c r="V85" i="42"/>
  <c r="AB85" i="42"/>
  <c r="AH85" i="42"/>
  <c r="AN85" i="42"/>
  <c r="AT85" i="42"/>
  <c r="BX125" i="42"/>
  <c r="BX122" i="42" s="1"/>
  <c r="AF165" i="42"/>
  <c r="AI165" i="42" s="1"/>
  <c r="AR165" i="42"/>
  <c r="CH165" i="42"/>
  <c r="CH169" i="42" s="1"/>
  <c r="BT185" i="41"/>
  <c r="AL37" i="42"/>
  <c r="AL46" i="42" s="1"/>
  <c r="AM253" i="1"/>
  <c r="AQ253" i="1"/>
  <c r="BA253" i="1"/>
  <c r="BK253" i="1"/>
  <c r="CM253" i="1"/>
  <c r="BO183" i="41"/>
  <c r="CE16" i="42"/>
  <c r="AU17" i="42"/>
  <c r="CW22" i="42"/>
  <c r="AA37" i="42"/>
  <c r="AA46" i="42" s="1"/>
  <c r="BM37" i="42"/>
  <c r="AS57" i="42"/>
  <c r="AS254" i="1" s="1"/>
  <c r="AA71" i="42"/>
  <c r="AM71" i="42"/>
  <c r="AA253" i="1"/>
  <c r="BM251" i="1"/>
  <c r="BM253" i="1" s="1"/>
  <c r="BY251" i="1"/>
  <c r="BY253" i="1" s="1"/>
  <c r="CQ250" i="1"/>
  <c r="CQ149" i="3"/>
  <c r="BQ27" i="42"/>
  <c r="AH46" i="42"/>
  <c r="AO37" i="42"/>
  <c r="AU37" i="42"/>
  <c r="CH59" i="42"/>
  <c r="P37" i="42"/>
  <c r="P46" i="42" s="1"/>
  <c r="BL37" i="42"/>
  <c r="BL46" i="42" s="1"/>
  <c r="W57" i="42"/>
  <c r="W254" i="1" s="1"/>
  <c r="CK177" i="42"/>
  <c r="CW177" i="42"/>
  <c r="U57" i="42"/>
  <c r="U254" i="1" s="1"/>
  <c r="AW57" i="42"/>
  <c r="AW254" i="1" s="1"/>
  <c r="CG57" i="42"/>
  <c r="CG254" i="1" s="1"/>
  <c r="BJ71" i="42"/>
  <c r="CB125" i="42"/>
  <c r="CB122" i="42" s="1"/>
  <c r="V145" i="42"/>
  <c r="BG157" i="42"/>
  <c r="BM157" i="42"/>
  <c r="BS157" i="42"/>
  <c r="CE157" i="42"/>
  <c r="CK157" i="42"/>
  <c r="CQ157" i="42"/>
  <c r="CW157" i="42"/>
  <c r="DC157" i="42"/>
  <c r="DI157" i="42"/>
  <c r="BP182" i="42"/>
  <c r="BO165" i="42"/>
  <c r="CJ182" i="42"/>
  <c r="CJ165" i="42" s="1"/>
  <c r="CJ169" i="42" s="1"/>
  <c r="CI165" i="42"/>
  <c r="O69" i="41"/>
  <c r="R70" i="41" s="1"/>
  <c r="BI183" i="41"/>
  <c r="CQ194" i="41"/>
  <c r="CW194" i="41"/>
  <c r="BC183" i="41"/>
  <c r="BU183" i="41"/>
  <c r="CA186" i="41" s="1"/>
  <c r="AS71" i="42"/>
  <c r="Z253" i="1"/>
  <c r="AT253" i="1"/>
  <c r="AW253" i="1"/>
  <c r="J44" i="442"/>
  <c r="AI17" i="42"/>
  <c r="CI48" i="42"/>
  <c r="CI57" i="42" s="1"/>
  <c r="CI254" i="1" s="1"/>
  <c r="K56" i="42"/>
  <c r="K133" i="42" s="1"/>
  <c r="AC57" i="42"/>
  <c r="AC254" i="1" s="1"/>
  <c r="W177" i="42"/>
  <c r="AE169" i="42"/>
  <c r="AE172" i="42" s="1"/>
  <c r="BF182" i="42"/>
  <c r="BG182" i="42" s="1"/>
  <c r="CW191" i="41"/>
  <c r="CW192" i="41" s="1"/>
  <c r="CW190" i="41"/>
  <c r="AN252" i="1"/>
  <c r="AN253" i="1" s="1"/>
  <c r="AN254" i="1"/>
  <c r="CE149" i="3"/>
  <c r="Q248" i="1"/>
  <c r="T253" i="1"/>
  <c r="S253" i="1"/>
  <c r="Y253" i="1"/>
  <c r="J254" i="1"/>
  <c r="BD253" i="1"/>
  <c r="BJ253" i="1"/>
  <c r="CE250" i="1"/>
  <c r="CI253" i="1"/>
  <c r="CQ251" i="1"/>
  <c r="CQ253" i="1" s="1"/>
  <c r="D253" i="1"/>
  <c r="AR75" i="42"/>
  <c r="BA149" i="3"/>
  <c r="BS149" i="3"/>
  <c r="CQ17" i="42"/>
  <c r="Y37" i="42"/>
  <c r="Y46" i="42" s="1"/>
  <c r="Y27" i="3"/>
  <c r="Z27" i="3" s="1"/>
  <c r="AA27" i="3" s="1"/>
  <c r="AE37" i="42"/>
  <c r="AE46" i="42" s="1"/>
  <c r="AE27" i="3"/>
  <c r="AQ37" i="42"/>
  <c r="AQ46" i="42" s="1"/>
  <c r="AQ27" i="3"/>
  <c r="AR27" i="3" s="1"/>
  <c r="AS99" i="3" s="1"/>
  <c r="BP46" i="42"/>
  <c r="AE160" i="41"/>
  <c r="AK160" i="41"/>
  <c r="AL57" i="42"/>
  <c r="AL254" i="1" s="1"/>
  <c r="CQ48" i="42"/>
  <c r="W56" i="42"/>
  <c r="W133" i="42" s="1"/>
  <c r="BA177" i="42"/>
  <c r="BM177" i="42"/>
  <c r="BY177" i="42"/>
  <c r="CK56" i="42"/>
  <c r="CK133" i="42" s="1"/>
  <c r="Y57" i="42"/>
  <c r="Y254" i="1" s="1"/>
  <c r="AG57" i="42"/>
  <c r="AG254" i="1" s="1"/>
  <c r="BE57" i="42"/>
  <c r="BE254" i="1" s="1"/>
  <c r="CO57" i="42"/>
  <c r="CO254" i="1" s="1"/>
  <c r="AG71" i="42"/>
  <c r="BP71" i="42"/>
  <c r="CM71" i="42"/>
  <c r="BC71" i="42"/>
  <c r="BO71" i="42"/>
  <c r="D103" i="42"/>
  <c r="AX171" i="42"/>
  <c r="AX175" i="42" s="1"/>
  <c r="S162" i="42"/>
  <c r="CB162" i="42"/>
  <c r="S165" i="42"/>
  <c r="Y165" i="42"/>
  <c r="AC165" i="42" s="1"/>
  <c r="AO165" i="42"/>
  <c r="AQ165" i="42"/>
  <c r="CP182" i="42"/>
  <c r="CP165" i="42" s="1"/>
  <c r="CO165" i="42"/>
  <c r="BS160" i="41"/>
  <c r="BZ161" i="41"/>
  <c r="CA159" i="41"/>
  <c r="BZ160" i="41"/>
  <c r="CQ160" i="41"/>
  <c r="CC186" i="41"/>
  <c r="CC185" i="41"/>
  <c r="CR185" i="41"/>
  <c r="AI182" i="42"/>
  <c r="T243" i="42"/>
  <c r="BI262" i="42"/>
  <c r="BL262" i="42"/>
  <c r="AQ29" i="3"/>
  <c r="BB160" i="41"/>
  <c r="BY161" i="41"/>
  <c r="BI159" i="41"/>
  <c r="BK160" i="41" s="1"/>
  <c r="V186" i="41"/>
  <c r="BW194" i="41"/>
  <c r="CF194" i="41"/>
  <c r="CK185" i="41"/>
  <c r="CE191" i="41"/>
  <c r="CE192" i="41" s="1"/>
  <c r="CQ190" i="41"/>
  <c r="CP191" i="41"/>
  <c r="CP192" i="41" s="1"/>
  <c r="O186" i="42"/>
  <c r="O185" i="42" s="1"/>
  <c r="U186" i="42"/>
  <c r="U185" i="42" s="1"/>
  <c r="BF160" i="41"/>
  <c r="BN160" i="41"/>
  <c r="BN187" i="41" s="1"/>
  <c r="AC186" i="41"/>
  <c r="AH186" i="41"/>
  <c r="AH187" i="41" s="1"/>
  <c r="AV186" i="41"/>
  <c r="BT194" i="41"/>
  <c r="BY186" i="41"/>
  <c r="CR191" i="41"/>
  <c r="CR192" i="41" s="1"/>
  <c r="CJ168" i="42"/>
  <c r="AO182" i="42"/>
  <c r="V206" i="42"/>
  <c r="W206" i="42" s="1"/>
  <c r="W155" i="1" s="1"/>
  <c r="W156" i="1" s="1"/>
  <c r="T27" i="3"/>
  <c r="T99" i="3" s="1"/>
  <c r="BG169" i="41"/>
  <c r="BG173" i="41" s="1"/>
  <c r="CP160" i="41"/>
  <c r="DA161" i="41"/>
  <c r="AI186" i="41"/>
  <c r="AN186" i="41"/>
  <c r="BB186" i="41"/>
  <c r="BL186" i="41"/>
  <c r="BR191" i="41"/>
  <c r="BX191" i="41"/>
  <c r="CD191" i="41"/>
  <c r="CD192" i="41" s="1"/>
  <c r="CW150" i="1"/>
  <c r="AC159" i="1"/>
  <c r="AI163" i="1" s="1"/>
  <c r="AO269" i="1"/>
  <c r="AK270" i="1"/>
  <c r="AO270" i="1" s="1"/>
  <c r="U23" i="41"/>
  <c r="U165" i="41" s="1"/>
  <c r="BG23" i="41"/>
  <c r="BG165" i="41" s="1"/>
  <c r="BA23" i="41"/>
  <c r="BA165" i="41" s="1"/>
  <c r="BK323" i="41"/>
  <c r="BW323" i="41"/>
  <c r="CI323" i="41"/>
  <c r="CJ24" i="41"/>
  <c r="CJ23" i="41"/>
  <c r="CJ165" i="41" s="1"/>
  <c r="AO106" i="41"/>
  <c r="BX106" i="41"/>
  <c r="CP274" i="1"/>
  <c r="CS274" i="1" s="1"/>
  <c r="CS276" i="1" s="1"/>
  <c r="BV171" i="42"/>
  <c r="BV175" i="42" s="1"/>
  <c r="BV145" i="42"/>
  <c r="U106" i="41"/>
  <c r="AI147" i="42"/>
  <c r="AI23" i="41"/>
  <c r="AI165" i="41" s="1"/>
  <c r="AC23" i="41"/>
  <c r="AC165" i="41" s="1"/>
  <c r="AU147" i="42"/>
  <c r="R66" i="41"/>
  <c r="AG23" i="41"/>
  <c r="AG165" i="41" s="1"/>
  <c r="BE23" i="41"/>
  <c r="BE165" i="41" s="1"/>
  <c r="BT23" i="41"/>
  <c r="BT165" i="41" s="1"/>
  <c r="BT24" i="41"/>
  <c r="BA144" i="42"/>
  <c r="BA147" i="42" s="1"/>
  <c r="C79" i="3"/>
  <c r="Q26" i="41"/>
  <c r="AS24" i="41"/>
  <c r="AS23" i="41"/>
  <c r="AS165" i="41" s="1"/>
  <c r="BQ24" i="41"/>
  <c r="BQ23" i="41"/>
  <c r="BQ165" i="41" s="1"/>
  <c r="CV24" i="41"/>
  <c r="AC106" i="41"/>
  <c r="AO107" i="41"/>
  <c r="CK323" i="41"/>
  <c r="AO144" i="42"/>
  <c r="AO147" i="42" s="1"/>
  <c r="CC145" i="42"/>
  <c r="BO171" i="42"/>
  <c r="BO175" i="42" s="1"/>
  <c r="CM171" i="42"/>
  <c r="CM175" i="42" s="1"/>
  <c r="AG107" i="41"/>
  <c r="AG106" i="41"/>
  <c r="AX145" i="42"/>
  <c r="BE145" i="42"/>
  <c r="E214" i="42"/>
  <c r="E215" i="42"/>
  <c r="Z213" i="42"/>
  <c r="CA171" i="42"/>
  <c r="CA175" i="42" s="1"/>
  <c r="AO55" i="3"/>
  <c r="F18" i="442"/>
  <c r="C28" i="442"/>
  <c r="C37" i="442"/>
  <c r="C25" i="442"/>
  <c r="G185" i="442"/>
  <c r="G62" i="442"/>
  <c r="G28" i="442"/>
  <c r="G37" i="442"/>
  <c r="G25" i="442"/>
  <c r="K44" i="442"/>
  <c r="D20" i="442"/>
  <c r="H132" i="442"/>
  <c r="H139" i="442"/>
  <c r="H147" i="442"/>
  <c r="H163" i="442" s="1"/>
  <c r="E18" i="442"/>
  <c r="I18" i="442"/>
  <c r="F62" i="442"/>
  <c r="F37" i="442"/>
  <c r="F25" i="442"/>
  <c r="H28" i="442"/>
  <c r="H62" i="442"/>
  <c r="E88" i="442"/>
  <c r="C134" i="442"/>
  <c r="C135" i="442" s="1"/>
  <c r="C91" i="442"/>
  <c r="G134" i="442"/>
  <c r="G135" i="442" s="1"/>
  <c r="G91" i="442"/>
  <c r="E91" i="442"/>
  <c r="D93" i="442"/>
  <c r="I93" i="442"/>
  <c r="E95" i="442"/>
  <c r="F96" i="442" s="1"/>
  <c r="E101" i="442"/>
  <c r="I103" i="442"/>
  <c r="D103" i="442"/>
  <c r="D113" i="442" s="1"/>
  <c r="D95" i="442"/>
  <c r="D131" i="442"/>
  <c r="E132" i="442" s="1"/>
  <c r="H103" i="442"/>
  <c r="H113" i="442" s="1"/>
  <c r="H95" i="442"/>
  <c r="F91" i="442"/>
  <c r="E93" i="442"/>
  <c r="E108" i="442"/>
  <c r="G156" i="442"/>
  <c r="E147" i="442"/>
  <c r="E157" i="442" s="1"/>
  <c r="E139" i="442"/>
  <c r="I139" i="442"/>
  <c r="I132" i="442"/>
  <c r="H88" i="442"/>
  <c r="G93" i="442"/>
  <c r="I95" i="442"/>
  <c r="B142" i="442"/>
  <c r="B101" i="442"/>
  <c r="F142" i="442"/>
  <c r="F101" i="442"/>
  <c r="F109" i="442"/>
  <c r="F107" i="442" s="1"/>
  <c r="F108" i="442" s="1"/>
  <c r="F99" i="442"/>
  <c r="G99" i="442"/>
  <c r="H156" i="442"/>
  <c r="N154" i="442"/>
  <c r="O154" i="442" s="1"/>
  <c r="I47" i="442"/>
  <c r="B131" i="442"/>
  <c r="B103" i="442"/>
  <c r="C104" i="442" s="1"/>
  <c r="F93" i="442"/>
  <c r="F94" i="442" s="1"/>
  <c r="F131" i="442"/>
  <c r="G132" i="442" s="1"/>
  <c r="F103" i="442"/>
  <c r="F88" i="442"/>
  <c r="D88" i="442"/>
  <c r="I88" i="442"/>
  <c r="F135" i="442"/>
  <c r="I91" i="442"/>
  <c r="C93" i="442"/>
  <c r="C94" i="442" s="1"/>
  <c r="H93" i="442"/>
  <c r="C142" i="442"/>
  <c r="D143" i="442" s="1"/>
  <c r="C109" i="442"/>
  <c r="C107" i="442" s="1"/>
  <c r="C108" i="442" s="1"/>
  <c r="C101" i="442"/>
  <c r="G142" i="442"/>
  <c r="G147" i="442" s="1"/>
  <c r="G109" i="442"/>
  <c r="G107" i="442" s="1"/>
  <c r="G108" i="442" s="1"/>
  <c r="E103" i="442"/>
  <c r="B109" i="442"/>
  <c r="I108" i="442"/>
  <c r="G161" i="442"/>
  <c r="H162" i="442" s="1"/>
  <c r="G118" i="442"/>
  <c r="H118" i="442"/>
  <c r="C139" i="442"/>
  <c r="C140" i="442" s="1"/>
  <c r="C147" i="442"/>
  <c r="G95" i="442"/>
  <c r="G96" i="442" s="1"/>
  <c r="D99" i="442"/>
  <c r="H99" i="442"/>
  <c r="D101" i="442"/>
  <c r="G103" i="442"/>
  <c r="F156" i="442"/>
  <c r="H153" i="442"/>
  <c r="H145" i="442"/>
  <c r="I162" i="442"/>
  <c r="D153" i="442"/>
  <c r="D151" i="442" s="1"/>
  <c r="D145" i="442"/>
  <c r="P197" i="442"/>
  <c r="Q197" i="442" s="1"/>
  <c r="R197" i="442" s="1"/>
  <c r="S197" i="442" s="1"/>
  <c r="T197" i="442" s="1"/>
  <c r="L197" i="442"/>
  <c r="N197" i="442" s="1"/>
  <c r="BQ26" i="41"/>
  <c r="BQ20" i="41"/>
  <c r="S12" i="41"/>
  <c r="W26" i="41"/>
  <c r="W19" i="41"/>
  <c r="AI26" i="41"/>
  <c r="AI20" i="41"/>
  <c r="AI19" i="41"/>
  <c r="AU26" i="41"/>
  <c r="AU20" i="41"/>
  <c r="AU19" i="41"/>
  <c r="X26" i="41"/>
  <c r="X19" i="41"/>
  <c r="AD26" i="41"/>
  <c r="AD20" i="41"/>
  <c r="AD19" i="41"/>
  <c r="AJ26" i="41"/>
  <c r="AJ20" i="41"/>
  <c r="AJ19" i="41"/>
  <c r="AP26" i="41"/>
  <c r="AP20" i="41"/>
  <c r="AP19" i="41"/>
  <c r="AV26" i="41"/>
  <c r="AV20" i="41"/>
  <c r="AV19" i="41"/>
  <c r="BB26" i="41"/>
  <c r="BB20" i="41"/>
  <c r="BB19" i="41"/>
  <c r="BN26" i="41"/>
  <c r="BN20" i="41"/>
  <c r="Y12" i="41"/>
  <c r="AW12" i="41"/>
  <c r="O26" i="41"/>
  <c r="S18" i="41"/>
  <c r="U26" i="41"/>
  <c r="U19" i="41"/>
  <c r="Y18" i="41"/>
  <c r="AA26" i="41"/>
  <c r="AA19" i="41"/>
  <c r="AA20" i="41"/>
  <c r="AE18" i="41"/>
  <c r="AE19" i="41" s="1"/>
  <c r="AG19" i="41"/>
  <c r="AK18" i="41"/>
  <c r="AG26" i="41"/>
  <c r="AG20" i="41"/>
  <c r="AM26" i="41"/>
  <c r="AM19" i="41"/>
  <c r="AM20" i="41"/>
  <c r="AQ18" i="41"/>
  <c r="AS26" i="41"/>
  <c r="AS19" i="41"/>
  <c r="AW18" i="41"/>
  <c r="AS20" i="41"/>
  <c r="AY26" i="41"/>
  <c r="AY19" i="41"/>
  <c r="AY20" i="41"/>
  <c r="BC18" i="41"/>
  <c r="BE26" i="41"/>
  <c r="BE19" i="41"/>
  <c r="BE20" i="41"/>
  <c r="AE12" i="41"/>
  <c r="BI12" i="41"/>
  <c r="BC12" i="41"/>
  <c r="P26" i="41"/>
  <c r="V26" i="41"/>
  <c r="V19" i="41"/>
  <c r="AB19" i="41"/>
  <c r="AB20" i="41"/>
  <c r="AB26" i="41"/>
  <c r="AH26" i="41"/>
  <c r="AH20" i="41"/>
  <c r="AH19" i="41"/>
  <c r="AN19" i="41"/>
  <c r="AN20" i="41"/>
  <c r="AN26" i="41"/>
  <c r="AT26" i="41"/>
  <c r="AT20" i="41"/>
  <c r="AT19" i="41"/>
  <c r="AZ19" i="41"/>
  <c r="AZ20" i="41"/>
  <c r="AZ26" i="41"/>
  <c r="BC9" i="41"/>
  <c r="O12" i="41"/>
  <c r="W12" i="41"/>
  <c r="AA12" i="41"/>
  <c r="AM12" i="41"/>
  <c r="AY12" i="41"/>
  <c r="BL12" i="41"/>
  <c r="X150" i="41"/>
  <c r="X151" i="41" s="1"/>
  <c r="X66" i="41"/>
  <c r="AB150" i="41"/>
  <c r="AB66" i="41"/>
  <c r="AB24" i="41"/>
  <c r="AA23" i="41"/>
  <c r="AA165" i="41" s="1"/>
  <c r="AJ150" i="41"/>
  <c r="AJ58" i="41"/>
  <c r="AJ66" i="41"/>
  <c r="AN150" i="41"/>
  <c r="AN58" i="41"/>
  <c r="AN66" i="41"/>
  <c r="AN24" i="41"/>
  <c r="AM23" i="41"/>
  <c r="AM165" i="41" s="1"/>
  <c r="AV150" i="41"/>
  <c r="AV66" i="41"/>
  <c r="AZ150" i="41"/>
  <c r="AZ74" i="41"/>
  <c r="AZ66" i="41"/>
  <c r="AZ24" i="41"/>
  <c r="AY23" i="41"/>
  <c r="AY165" i="41" s="1"/>
  <c r="BH150" i="41"/>
  <c r="BL150" i="41"/>
  <c r="BL24" i="41"/>
  <c r="BK23" i="41"/>
  <c r="BK165" i="41" s="1"/>
  <c r="BY150" i="41"/>
  <c r="BY24" i="41"/>
  <c r="BY23" i="41"/>
  <c r="BY165" i="41" s="1"/>
  <c r="CE150" i="41"/>
  <c r="CE24" i="41"/>
  <c r="CE23" i="41"/>
  <c r="CE165" i="41" s="1"/>
  <c r="CW150" i="41"/>
  <c r="CW24" i="41"/>
  <c r="DA150" i="41"/>
  <c r="DB153" i="41" s="1"/>
  <c r="DA108" i="41"/>
  <c r="DG108" i="41" s="1"/>
  <c r="DM108" i="41" s="1"/>
  <c r="DS108" i="41" s="1"/>
  <c r="M23" i="41"/>
  <c r="DA24" i="41"/>
  <c r="AJ33" i="41"/>
  <c r="AK32" i="41"/>
  <c r="AJ34" i="41"/>
  <c r="AP33" i="41"/>
  <c r="AN34" i="41"/>
  <c r="AN33" i="41"/>
  <c r="R48" i="41"/>
  <c r="R44" i="41" s="1"/>
  <c r="Q44" i="41"/>
  <c r="AP48" i="41"/>
  <c r="AO44" i="41"/>
  <c r="X12" i="41"/>
  <c r="AB12" i="41"/>
  <c r="AJ12" i="41"/>
  <c r="AN12" i="41"/>
  <c r="AV12" i="41"/>
  <c r="AZ12" i="41"/>
  <c r="BO11" i="41"/>
  <c r="BH12" i="41"/>
  <c r="U150" i="41"/>
  <c r="U151" i="41" s="1"/>
  <c r="U66" i="41"/>
  <c r="Y22" i="41"/>
  <c r="X23" i="41"/>
  <c r="X165" i="41" s="1"/>
  <c r="AC150" i="41"/>
  <c r="AC66" i="41"/>
  <c r="AC24" i="41"/>
  <c r="AB23" i="41"/>
  <c r="AB165" i="41" s="1"/>
  <c r="AG150" i="41"/>
  <c r="AG66" i="41"/>
  <c r="AG58" i="41"/>
  <c r="AK22" i="41"/>
  <c r="AJ23" i="41"/>
  <c r="AJ165" i="41" s="1"/>
  <c r="AO150" i="41"/>
  <c r="AO66" i="41"/>
  <c r="AO24" i="41"/>
  <c r="AO58" i="41"/>
  <c r="AN23" i="41"/>
  <c r="AN165" i="41" s="1"/>
  <c r="AS150" i="41"/>
  <c r="AS66" i="41"/>
  <c r="AW22" i="41"/>
  <c r="AV23" i="41"/>
  <c r="AV165" i="41" s="1"/>
  <c r="BA150" i="41"/>
  <c r="BA74" i="41"/>
  <c r="BA24" i="41"/>
  <c r="AZ23" i="41"/>
  <c r="AZ165" i="41" s="1"/>
  <c r="BE150" i="41"/>
  <c r="BI22" i="41"/>
  <c r="BH23" i="41"/>
  <c r="BH165" i="41" s="1"/>
  <c r="BM150" i="41"/>
  <c r="BM24" i="41"/>
  <c r="BL23" i="41"/>
  <c r="BL165" i="41" s="1"/>
  <c r="BQ150" i="41"/>
  <c r="BU22" i="41"/>
  <c r="BZ150" i="41"/>
  <c r="BZ23" i="41"/>
  <c r="BZ165" i="41" s="1"/>
  <c r="CF23" i="41"/>
  <c r="CF165" i="41" s="1"/>
  <c r="CK150" i="41"/>
  <c r="CK24" i="41"/>
  <c r="CK23" i="41"/>
  <c r="CK165" i="41" s="1"/>
  <c r="CX150" i="41"/>
  <c r="CX23" i="41"/>
  <c r="CX165" i="41" s="1"/>
  <c r="S22" i="41"/>
  <c r="S23" i="41" s="1"/>
  <c r="S165" i="41" s="1"/>
  <c r="X24" i="41"/>
  <c r="AJ24" i="41"/>
  <c r="AV24" i="41"/>
  <c r="BH24" i="41"/>
  <c r="CF24" i="41"/>
  <c r="AO34" i="41"/>
  <c r="W44" i="41"/>
  <c r="X48" i="41"/>
  <c r="X44" i="41" s="1"/>
  <c r="BF9" i="41"/>
  <c r="AY10" i="41"/>
  <c r="BF17" i="41"/>
  <c r="BF18" i="41" s="1"/>
  <c r="BR17" i="41"/>
  <c r="BR18" i="41" s="1"/>
  <c r="AC26" i="41"/>
  <c r="AO26" i="41"/>
  <c r="BA26" i="41"/>
  <c r="BM26" i="41"/>
  <c r="AC20" i="41"/>
  <c r="AO20" i="41"/>
  <c r="BA20" i="41"/>
  <c r="BM20" i="41"/>
  <c r="P66" i="41"/>
  <c r="P24" i="41"/>
  <c r="V150" i="41"/>
  <c r="V151" i="41" s="1"/>
  <c r="V66" i="41"/>
  <c r="V24" i="41"/>
  <c r="AD150" i="41"/>
  <c r="AD66" i="41"/>
  <c r="AH150" i="41"/>
  <c r="AH66" i="41"/>
  <c r="AH58" i="41"/>
  <c r="AH24" i="41"/>
  <c r="AP150" i="41"/>
  <c r="AP66" i="41"/>
  <c r="AT150" i="41"/>
  <c r="AT66" i="41"/>
  <c r="AT24" i="41"/>
  <c r="BB150" i="41"/>
  <c r="BB74" i="41"/>
  <c r="BF150" i="41"/>
  <c r="BF163" i="41"/>
  <c r="BF24" i="41"/>
  <c r="BN150" i="41"/>
  <c r="BR150" i="41"/>
  <c r="BR108" i="41"/>
  <c r="BR24" i="41"/>
  <c r="BW150" i="41"/>
  <c r="BW23" i="41"/>
  <c r="BW165" i="41" s="1"/>
  <c r="CA22" i="41"/>
  <c r="CC150" i="41"/>
  <c r="CG22" i="41"/>
  <c r="CL150" i="41"/>
  <c r="CL23" i="41"/>
  <c r="CL165" i="41" s="1"/>
  <c r="CO150" i="41"/>
  <c r="CS22" i="41"/>
  <c r="AY24" i="41"/>
  <c r="BK24" i="41"/>
  <c r="BW24" i="41"/>
  <c r="F48" i="41"/>
  <c r="F44" i="41" s="1"/>
  <c r="E44" i="41"/>
  <c r="AD48" i="41"/>
  <c r="AD44" i="41" s="1"/>
  <c r="AC44" i="41"/>
  <c r="BG8" i="41"/>
  <c r="BL9" i="41"/>
  <c r="BF10" i="41"/>
  <c r="BR10" i="41"/>
  <c r="AC19" i="41"/>
  <c r="AO19" i="41"/>
  <c r="BA19" i="41"/>
  <c r="Q66" i="41"/>
  <c r="Q24" i="41"/>
  <c r="W150" i="41"/>
  <c r="W151" i="41" s="1"/>
  <c r="W66" i="41"/>
  <c r="W74" i="41"/>
  <c r="W24" i="41"/>
  <c r="V23" i="41"/>
  <c r="V165" i="41" s="1"/>
  <c r="AA150" i="41"/>
  <c r="AA66" i="41"/>
  <c r="AA74" i="41"/>
  <c r="AE22" i="41"/>
  <c r="AD23" i="41"/>
  <c r="AD165" i="41" s="1"/>
  <c r="AI150" i="41"/>
  <c r="AI58" i="41"/>
  <c r="AI66" i="41"/>
  <c r="AI74" i="41"/>
  <c r="AI24" i="41"/>
  <c r="AH23" i="41"/>
  <c r="AH165" i="41" s="1"/>
  <c r="AM150" i="41"/>
  <c r="AM66" i="41"/>
  <c r="AM58" i="41"/>
  <c r="AM74" i="41"/>
  <c r="AQ22" i="41"/>
  <c r="AQ163" i="41" s="1"/>
  <c r="AP23" i="41"/>
  <c r="AP165" i="41" s="1"/>
  <c r="AU150" i="41"/>
  <c r="AU66" i="41"/>
  <c r="AU74" i="41"/>
  <c r="AU24" i="41"/>
  <c r="AT23" i="41"/>
  <c r="AT165" i="41" s="1"/>
  <c r="AY150" i="41"/>
  <c r="AY74" i="41"/>
  <c r="BC22" i="41"/>
  <c r="BB23" i="41"/>
  <c r="BB165" i="41" s="1"/>
  <c r="BG150" i="41"/>
  <c r="BG24" i="41"/>
  <c r="BF23" i="41"/>
  <c r="BF165" i="41" s="1"/>
  <c r="BK150" i="41"/>
  <c r="BO22" i="41"/>
  <c r="BN23" i="41"/>
  <c r="BN165" i="41" s="1"/>
  <c r="BS150" i="41"/>
  <c r="BS24" i="41"/>
  <c r="BS23" i="41"/>
  <c r="BS165" i="41" s="1"/>
  <c r="BR23" i="41"/>
  <c r="BR165" i="41" s="1"/>
  <c r="BX24" i="41"/>
  <c r="BX23" i="41"/>
  <c r="BX165" i="41" s="1"/>
  <c r="CD150" i="41"/>
  <c r="CD108" i="41"/>
  <c r="CD24" i="41"/>
  <c r="CC23" i="41"/>
  <c r="CC165" i="41" s="1"/>
  <c r="CI150" i="41"/>
  <c r="CI23" i="41"/>
  <c r="CI165" i="41" s="1"/>
  <c r="CM22" i="41"/>
  <c r="CM163" i="41" s="1"/>
  <c r="CP150" i="41"/>
  <c r="CP108" i="41"/>
  <c r="CP24" i="41"/>
  <c r="CP23" i="41"/>
  <c r="CP165" i="41" s="1"/>
  <c r="CO23" i="41"/>
  <c r="CO165" i="41" s="1"/>
  <c r="CW23" i="41"/>
  <c r="CW165" i="41" s="1"/>
  <c r="DA23" i="41"/>
  <c r="DA165" i="41" s="1"/>
  <c r="R24" i="41"/>
  <c r="AD24" i="41"/>
  <c r="AP24" i="41"/>
  <c r="BB24" i="41"/>
  <c r="BN24" i="41"/>
  <c r="BZ24" i="41"/>
  <c r="CL24" i="41"/>
  <c r="CX24" i="41"/>
  <c r="AM34" i="41"/>
  <c r="I46" i="41"/>
  <c r="K44" i="41"/>
  <c r="L48" i="41"/>
  <c r="L44" i="41" s="1"/>
  <c r="AI44" i="41"/>
  <c r="AJ48" i="41"/>
  <c r="AJ44" i="41" s="1"/>
  <c r="AP34" i="41"/>
  <c r="AP37" i="41"/>
  <c r="AB45" i="41"/>
  <c r="AH318" i="41"/>
  <c r="AH56" i="41"/>
  <c r="AP54" i="41"/>
  <c r="R74" i="41"/>
  <c r="X74" i="41"/>
  <c r="AD74" i="41"/>
  <c r="AJ74" i="41"/>
  <c r="AP74" i="41"/>
  <c r="AV74" i="41"/>
  <c r="CU98" i="41"/>
  <c r="CI108" i="41"/>
  <c r="AK51" i="41"/>
  <c r="AI318" i="41"/>
  <c r="AM318" i="41"/>
  <c r="AM56" i="41"/>
  <c r="AI56" i="41"/>
  <c r="M74" i="41"/>
  <c r="U74" i="41"/>
  <c r="AE74" i="41"/>
  <c r="AG74" i="41"/>
  <c r="AS74" i="41"/>
  <c r="CV101" i="41"/>
  <c r="DA98" i="41"/>
  <c r="DG92" i="41"/>
  <c r="BE108" i="41"/>
  <c r="CQ150" i="41"/>
  <c r="CU150" i="41"/>
  <c r="CY22" i="41"/>
  <c r="CY163" i="41" s="1"/>
  <c r="BE36" i="41"/>
  <c r="AS38" i="41"/>
  <c r="J41" i="41"/>
  <c r="V41" i="41"/>
  <c r="C42" i="41"/>
  <c r="J45" i="41"/>
  <c r="AE44" i="41"/>
  <c r="AH45" i="41"/>
  <c r="C46" i="41"/>
  <c r="AA46" i="41"/>
  <c r="AJ318" i="41"/>
  <c r="AI55" i="41"/>
  <c r="AN318" i="41"/>
  <c r="AN56" i="41"/>
  <c r="AM55" i="41"/>
  <c r="AJ56" i="41"/>
  <c r="P74" i="41"/>
  <c r="V74" i="41"/>
  <c r="AB74" i="41"/>
  <c r="AH74" i="41"/>
  <c r="AN74" i="41"/>
  <c r="AT74" i="41"/>
  <c r="CY92" i="41"/>
  <c r="CQ100" i="41"/>
  <c r="CW100" i="41"/>
  <c r="BQ108" i="41"/>
  <c r="BT150" i="41"/>
  <c r="BX150" i="41"/>
  <c r="CF150" i="41"/>
  <c r="CJ150" i="41"/>
  <c r="CR150" i="41"/>
  <c r="CQ23" i="41"/>
  <c r="CQ165" i="41" s="1"/>
  <c r="CV150" i="41"/>
  <c r="DB152" i="41" s="1"/>
  <c r="CU23" i="41"/>
  <c r="CU165" i="41" s="1"/>
  <c r="CQ24" i="41"/>
  <c r="AO33" i="41"/>
  <c r="BF32" i="41"/>
  <c r="BF36" i="41" s="1"/>
  <c r="AG318" i="41"/>
  <c r="AG56" i="41"/>
  <c r="AK54" i="41"/>
  <c r="AK55" i="41" s="1"/>
  <c r="AO318" i="41"/>
  <c r="AN55" i="41"/>
  <c r="AO56" i="41"/>
  <c r="Q74" i="41"/>
  <c r="AC74" i="41"/>
  <c r="AO74" i="41"/>
  <c r="CX99" i="41"/>
  <c r="DJ93" i="41"/>
  <c r="DP93" i="41" s="1"/>
  <c r="DV93" i="41" s="1"/>
  <c r="AS108" i="41"/>
  <c r="BX108" i="41"/>
  <c r="CC108" i="41"/>
  <c r="AC63" i="41"/>
  <c r="U64" i="41"/>
  <c r="AA64" i="41"/>
  <c r="L67" i="41"/>
  <c r="CY78" i="41"/>
  <c r="CS82" i="41"/>
  <c r="CS88" i="41"/>
  <c r="CK95" i="41"/>
  <c r="CQ101" i="41" s="1"/>
  <c r="CO93" i="41"/>
  <c r="CO99" i="41" s="1"/>
  <c r="CR94" i="41"/>
  <c r="CR100" i="41" s="1"/>
  <c r="CV92" i="41"/>
  <c r="DB98" i="41" s="1"/>
  <c r="CY93" i="41"/>
  <c r="CW95" i="41"/>
  <c r="CW101" i="41" s="1"/>
  <c r="DA93" i="41"/>
  <c r="DJ94" i="41"/>
  <c r="DP94" i="41" s="1"/>
  <c r="DV94" i="41" s="1"/>
  <c r="AD108" i="41"/>
  <c r="AD107" i="41"/>
  <c r="AP108" i="41"/>
  <c r="AP107" i="41"/>
  <c r="BB108" i="41"/>
  <c r="BB107" i="41"/>
  <c r="BN108" i="41"/>
  <c r="BN107" i="41"/>
  <c r="BN106" i="41"/>
  <c r="BS108" i="41"/>
  <c r="BS107" i="41"/>
  <c r="BS106" i="41"/>
  <c r="BY106" i="41"/>
  <c r="BY108" i="41"/>
  <c r="BY107" i="41"/>
  <c r="CO106" i="41"/>
  <c r="CS105" i="41"/>
  <c r="CY105" i="41"/>
  <c r="V108" i="41"/>
  <c r="AH108" i="41"/>
  <c r="AT107" i="41"/>
  <c r="AZ107" i="41"/>
  <c r="BF107" i="41"/>
  <c r="BL107" i="41"/>
  <c r="BR107" i="41"/>
  <c r="BX107" i="41"/>
  <c r="CD107" i="41"/>
  <c r="CJ107" i="41"/>
  <c r="CP107" i="41"/>
  <c r="CV107" i="41"/>
  <c r="DA106" i="41"/>
  <c r="AB64" i="41"/>
  <c r="Y73" i="41"/>
  <c r="Y74" i="41" s="1"/>
  <c r="AK73" i="41"/>
  <c r="AW73" i="41"/>
  <c r="CS79" i="41"/>
  <c r="CY79" i="41"/>
  <c r="CS85" i="41"/>
  <c r="CS89" i="41"/>
  <c r="CS93" i="41" s="1"/>
  <c r="CK92" i="41"/>
  <c r="CQ98" i="41" s="1"/>
  <c r="CL95" i="41"/>
  <c r="CO94" i="41"/>
  <c r="CO100" i="41" s="1"/>
  <c r="CR95" i="41"/>
  <c r="CR101" i="41" s="1"/>
  <c r="CW92" i="41"/>
  <c r="CV93" i="41"/>
  <c r="DB99" i="41" s="1"/>
  <c r="CY94" i="41"/>
  <c r="DA94" i="41"/>
  <c r="V106" i="41"/>
  <c r="AE105" i="41"/>
  <c r="AD106" i="41"/>
  <c r="AH106" i="41"/>
  <c r="AQ105" i="41"/>
  <c r="AP106" i="41"/>
  <c r="AU108" i="41"/>
  <c r="AU107" i="41"/>
  <c r="AT106" i="41"/>
  <c r="BC105" i="41"/>
  <c r="BB106" i="41"/>
  <c r="BG108" i="41"/>
  <c r="BG107" i="41"/>
  <c r="BF106" i="41"/>
  <c r="BO105" i="41"/>
  <c r="BT108" i="41"/>
  <c r="BT107" i="41"/>
  <c r="BT106" i="41"/>
  <c r="BZ108" i="41"/>
  <c r="BZ106" i="41"/>
  <c r="CE108" i="41"/>
  <c r="CE107" i="41"/>
  <c r="CE106" i="41"/>
  <c r="CK106" i="41"/>
  <c r="CK108" i="41"/>
  <c r="CK107" i="41"/>
  <c r="CJ106" i="41"/>
  <c r="CP106" i="41"/>
  <c r="CU106" i="41"/>
  <c r="V107" i="41"/>
  <c r="W108" i="41"/>
  <c r="AA108" i="41"/>
  <c r="AH107" i="41"/>
  <c r="AI108" i="41"/>
  <c r="AM108" i="41"/>
  <c r="AY108" i="41"/>
  <c r="BK108" i="41"/>
  <c r="BW108" i="41"/>
  <c r="CO108" i="41"/>
  <c r="CU108" i="41"/>
  <c r="W63" i="41"/>
  <c r="J69" i="41"/>
  <c r="CY88" i="41"/>
  <c r="CM89" i="41"/>
  <c r="CM92" i="41" s="1"/>
  <c r="CL92" i="41"/>
  <c r="CK93" i="41"/>
  <c r="CJ94" i="41"/>
  <c r="CI95" i="41"/>
  <c r="CR92" i="41"/>
  <c r="CR98" i="41" s="1"/>
  <c r="CQ93" i="41"/>
  <c r="CQ99" i="41" s="1"/>
  <c r="CP94" i="41"/>
  <c r="CP100" i="41" s="1"/>
  <c r="CO95" i="41"/>
  <c r="CO101" i="41" s="1"/>
  <c r="CX92" i="41"/>
  <c r="CW93" i="41"/>
  <c r="CV94" i="41"/>
  <c r="DB100" i="41" s="1"/>
  <c r="CU95" i="41"/>
  <c r="CU101" i="41" s="1"/>
  <c r="CY95" i="41"/>
  <c r="DA95" i="41"/>
  <c r="X108" i="41"/>
  <c r="X107" i="41"/>
  <c r="W106" i="41"/>
  <c r="AA106" i="41"/>
  <c r="AJ108" i="41"/>
  <c r="AJ107" i="41"/>
  <c r="AI106" i="41"/>
  <c r="AM106" i="41"/>
  <c r="AV108" i="41"/>
  <c r="AV107" i="41"/>
  <c r="AU106" i="41"/>
  <c r="AY106" i="41"/>
  <c r="BH108" i="41"/>
  <c r="BH107" i="41"/>
  <c r="BG106" i="41"/>
  <c r="BK106" i="41"/>
  <c r="BQ106" i="41"/>
  <c r="BU105" i="41"/>
  <c r="CA105" i="41"/>
  <c r="CF108" i="41"/>
  <c r="CF107" i="41"/>
  <c r="CF106" i="41"/>
  <c r="CL108" i="41"/>
  <c r="CL106" i="41"/>
  <c r="CQ108" i="41"/>
  <c r="CQ107" i="41"/>
  <c r="CQ106" i="41"/>
  <c r="CW106" i="41"/>
  <c r="CW108" i="41"/>
  <c r="CW107" i="41"/>
  <c r="CV106" i="41"/>
  <c r="W107" i="41"/>
  <c r="AA107" i="41"/>
  <c r="AB108" i="41"/>
  <c r="AI107" i="41"/>
  <c r="AM107" i="41"/>
  <c r="AN108" i="41"/>
  <c r="AT108" i="41"/>
  <c r="AZ108" i="41"/>
  <c r="BF108" i="41"/>
  <c r="BL108" i="41"/>
  <c r="CJ108" i="41"/>
  <c r="CV108" i="41"/>
  <c r="X63" i="41"/>
  <c r="Y105" i="41"/>
  <c r="Y106" i="41" s="1"/>
  <c r="X106" i="41"/>
  <c r="AB106" i="41"/>
  <c r="AK105" i="41"/>
  <c r="AK106" i="41" s="1"/>
  <c r="AJ106" i="41"/>
  <c r="AO108" i="41"/>
  <c r="AN106" i="41"/>
  <c r="AW105" i="41"/>
  <c r="AV106" i="41"/>
  <c r="BA108" i="41"/>
  <c r="BA107" i="41"/>
  <c r="AZ106" i="41"/>
  <c r="BI105" i="41"/>
  <c r="BH106" i="41"/>
  <c r="BM106" i="41"/>
  <c r="BM108" i="41"/>
  <c r="BM107" i="41"/>
  <c r="BL106" i="41"/>
  <c r="BR106" i="41"/>
  <c r="BW106" i="41"/>
  <c r="CC106" i="41"/>
  <c r="CG105" i="41"/>
  <c r="CM105" i="41"/>
  <c r="CR108" i="41"/>
  <c r="CR107" i="41"/>
  <c r="CR106" i="41"/>
  <c r="CX108" i="41"/>
  <c r="DJ108" i="41" s="1"/>
  <c r="DP108" i="41" s="1"/>
  <c r="DV108" i="41" s="1"/>
  <c r="CX106" i="41"/>
  <c r="U108" i="41"/>
  <c r="AB107" i="41"/>
  <c r="AC108" i="41"/>
  <c r="AG108" i="41"/>
  <c r="AN107" i="41"/>
  <c r="AS107" i="41"/>
  <c r="AY107" i="41"/>
  <c r="BE107" i="41"/>
  <c r="BK107" i="41"/>
  <c r="BQ107" i="41"/>
  <c r="BW107" i="41"/>
  <c r="CC107" i="41"/>
  <c r="CI107" i="41"/>
  <c r="CO107" i="41"/>
  <c r="CU107" i="41"/>
  <c r="BR163" i="41"/>
  <c r="CE163" i="41"/>
  <c r="CC163" i="41"/>
  <c r="CG246" i="41"/>
  <c r="CG136" i="41"/>
  <c r="BT137" i="41"/>
  <c r="BW137" i="41" s="1"/>
  <c r="BX137" i="41" s="1"/>
  <c r="BY137" i="41" s="1"/>
  <c r="BZ137" i="41" s="1"/>
  <c r="CC137" i="41" s="1"/>
  <c r="CD137" i="41" s="1"/>
  <c r="CE137" i="41" s="1"/>
  <c r="CF137" i="41" s="1"/>
  <c r="G163" i="41"/>
  <c r="Q164" i="41"/>
  <c r="Y163" i="41"/>
  <c r="AS163" i="41"/>
  <c r="BB164" i="41"/>
  <c r="CA163" i="41"/>
  <c r="CF163" i="41"/>
  <c r="CR163" i="41"/>
  <c r="CA136" i="41"/>
  <c r="BU136" i="41"/>
  <c r="M163" i="41"/>
  <c r="R164" i="41"/>
  <c r="V163" i="41"/>
  <c r="AD164" i="41"/>
  <c r="AH163" i="41"/>
  <c r="AP164" i="41"/>
  <c r="BN163" i="41"/>
  <c r="CG163" i="41"/>
  <c r="CO163" i="41"/>
  <c r="CW163" i="41"/>
  <c r="BZ107" i="41"/>
  <c r="CL107" i="41"/>
  <c r="CX107" i="41"/>
  <c r="AU163" i="41"/>
  <c r="BO163" i="41"/>
  <c r="CP163" i="41"/>
  <c r="CX163" i="41"/>
  <c r="O174" i="41"/>
  <c r="O173" i="41"/>
  <c r="W173" i="41"/>
  <c r="W174" i="41"/>
  <c r="AA184" i="41"/>
  <c r="AA169" i="41"/>
  <c r="AI173" i="41"/>
  <c r="AI171" i="41"/>
  <c r="AM184" i="41"/>
  <c r="AM169" i="41"/>
  <c r="AY173" i="41"/>
  <c r="AY172" i="41"/>
  <c r="AY171" i="41"/>
  <c r="AY170" i="41"/>
  <c r="BG171" i="41"/>
  <c r="BE161" i="41"/>
  <c r="BG164" i="41"/>
  <c r="BK173" i="41"/>
  <c r="BK172" i="41"/>
  <c r="BK171" i="41"/>
  <c r="BK170" i="41"/>
  <c r="BY171" i="41"/>
  <c r="BS173" i="41"/>
  <c r="BS171" i="41"/>
  <c r="BS170" i="41"/>
  <c r="BW173" i="41"/>
  <c r="BW170" i="41"/>
  <c r="CI184" i="41"/>
  <c r="CI173" i="41"/>
  <c r="CI170" i="41"/>
  <c r="CQ189" i="41"/>
  <c r="CQ173" i="41"/>
  <c r="CQ170" i="41"/>
  <c r="CU173" i="41"/>
  <c r="CU170" i="41"/>
  <c r="Q161" i="41"/>
  <c r="W161" i="41"/>
  <c r="AC161" i="41"/>
  <c r="AI161" i="41"/>
  <c r="AO161" i="41"/>
  <c r="AU161" i="41"/>
  <c r="BA161" i="41"/>
  <c r="BM161" i="41"/>
  <c r="BS161" i="41"/>
  <c r="CI161" i="41"/>
  <c r="CO161" i="41"/>
  <c r="CU161" i="41"/>
  <c r="Q163" i="41"/>
  <c r="AA163" i="41"/>
  <c r="AE163" i="41"/>
  <c r="AJ163" i="41"/>
  <c r="AO163" i="41"/>
  <c r="AT163" i="41"/>
  <c r="AY163" i="41"/>
  <c r="BC163" i="41"/>
  <c r="BM163" i="41"/>
  <c r="BW163" i="41"/>
  <c r="CI163" i="41"/>
  <c r="W164" i="41"/>
  <c r="AC164" i="41"/>
  <c r="AI164" i="41"/>
  <c r="AO164" i="41"/>
  <c r="AU164" i="41"/>
  <c r="BA164" i="41"/>
  <c r="BQ164" i="41"/>
  <c r="P174" i="41"/>
  <c r="P173" i="41"/>
  <c r="O160" i="41"/>
  <c r="S160" i="41"/>
  <c r="S187" i="41" s="1"/>
  <c r="X174" i="41"/>
  <c r="X173" i="41"/>
  <c r="W160" i="41"/>
  <c r="AB184" i="41"/>
  <c r="AB169" i="41"/>
  <c r="AC172" i="41" s="1"/>
  <c r="AA160" i="41"/>
  <c r="AJ174" i="41"/>
  <c r="AP171" i="41"/>
  <c r="AJ173" i="41"/>
  <c r="AJ172" i="41"/>
  <c r="AI160" i="41"/>
  <c r="AN173" i="41"/>
  <c r="AN172" i="41"/>
  <c r="AN170" i="41"/>
  <c r="AM160" i="41"/>
  <c r="AM187" i="41" s="1"/>
  <c r="AQ160" i="41"/>
  <c r="AV173" i="41"/>
  <c r="AV171" i="41"/>
  <c r="AV170" i="41"/>
  <c r="AU160" i="41"/>
  <c r="AU187" i="41" s="1"/>
  <c r="AZ173" i="41"/>
  <c r="AZ172" i="41"/>
  <c r="AZ171" i="41"/>
  <c r="AZ170" i="41"/>
  <c r="BE160" i="41"/>
  <c r="BF161" i="41"/>
  <c r="BG163" i="41"/>
  <c r="BL169" i="41"/>
  <c r="BM172" i="41" s="1"/>
  <c r="BL164" i="41"/>
  <c r="BT173" i="41"/>
  <c r="BT172" i="41"/>
  <c r="BT170" i="41"/>
  <c r="BW172" i="41"/>
  <c r="BZ171" i="41"/>
  <c r="BX184" i="41"/>
  <c r="BX173" i="41"/>
  <c r="BX170" i="41"/>
  <c r="CJ173" i="41"/>
  <c r="CJ170" i="41"/>
  <c r="CI160" i="41"/>
  <c r="CR173" i="41"/>
  <c r="CR170" i="41"/>
  <c r="CV173" i="41"/>
  <c r="CV170" i="41"/>
  <c r="R161" i="41"/>
  <c r="X161" i="41"/>
  <c r="AD161" i="41"/>
  <c r="AJ161" i="41"/>
  <c r="AP161" i="41"/>
  <c r="AV161" i="41"/>
  <c r="BB161" i="41"/>
  <c r="BN161" i="41"/>
  <c r="BT161" i="41"/>
  <c r="CJ161" i="41"/>
  <c r="CP161" i="41"/>
  <c r="CV161" i="41"/>
  <c r="R163" i="41"/>
  <c r="W163" i="41"/>
  <c r="AB163" i="41"/>
  <c r="AG163" i="41"/>
  <c r="AK163" i="41"/>
  <c r="AP163" i="41"/>
  <c r="AZ163" i="41"/>
  <c r="BS163" i="41"/>
  <c r="BX163" i="41"/>
  <c r="CC173" i="41"/>
  <c r="CC170" i="41"/>
  <c r="CJ163" i="41"/>
  <c r="X164" i="41"/>
  <c r="AJ164" i="41"/>
  <c r="AV164" i="41"/>
  <c r="BX164" i="41"/>
  <c r="BH173" i="41"/>
  <c r="BH170" i="41"/>
  <c r="Q174" i="41"/>
  <c r="Q173" i="41"/>
  <c r="P160" i="41"/>
  <c r="U173" i="41"/>
  <c r="U174" i="41"/>
  <c r="X160" i="41"/>
  <c r="AC173" i="41"/>
  <c r="AC171" i="41"/>
  <c r="AB160" i="41"/>
  <c r="AB187" i="41" s="1"/>
  <c r="AG173" i="41"/>
  <c r="AJ160" i="41"/>
  <c r="AP172" i="41"/>
  <c r="AO173" i="41"/>
  <c r="AO172" i="41"/>
  <c r="AO171" i="41"/>
  <c r="AO170" i="41"/>
  <c r="AN160" i="41"/>
  <c r="AW159" i="41"/>
  <c r="AW184" i="41" s="1"/>
  <c r="AV160" i="41"/>
  <c r="BA173" i="41"/>
  <c r="BA172" i="41"/>
  <c r="BA170" i="41"/>
  <c r="AZ160" i="41"/>
  <c r="BE173" i="41"/>
  <c r="BE171" i="41"/>
  <c r="BG161" i="41"/>
  <c r="BE164" i="41"/>
  <c r="BM173" i="41"/>
  <c r="BM171" i="41"/>
  <c r="BM170" i="41"/>
  <c r="BL160" i="41"/>
  <c r="BQ173" i="41"/>
  <c r="BQ171" i="41"/>
  <c r="BQ170" i="41"/>
  <c r="BW171" i="41"/>
  <c r="BU159" i="41"/>
  <c r="BU184" i="41" s="1"/>
  <c r="BT160" i="41"/>
  <c r="BY173" i="41"/>
  <c r="BY170" i="41"/>
  <c r="BY164" i="41"/>
  <c r="BX160" i="41"/>
  <c r="CE189" i="41"/>
  <c r="CE173" i="41"/>
  <c r="CE170" i="41"/>
  <c r="CF160" i="41"/>
  <c r="CK173" i="41"/>
  <c r="CK170" i="41"/>
  <c r="CJ160" i="41"/>
  <c r="CO173" i="41"/>
  <c r="CO170" i="41"/>
  <c r="CS159" i="41"/>
  <c r="CS184" i="41" s="1"/>
  <c r="CR160" i="41"/>
  <c r="CW173" i="41"/>
  <c r="CW170" i="41"/>
  <c r="CV160" i="41"/>
  <c r="DA189" i="41"/>
  <c r="DA173" i="41"/>
  <c r="DA170" i="41"/>
  <c r="O161" i="41"/>
  <c r="U161" i="41"/>
  <c r="AA161" i="41"/>
  <c r="AG161" i="41"/>
  <c r="AM161" i="41"/>
  <c r="AS161" i="41"/>
  <c r="AY161" i="41"/>
  <c r="BK161" i="41"/>
  <c r="BQ161" i="41"/>
  <c r="BW161" i="41"/>
  <c r="CE161" i="41"/>
  <c r="CK161" i="41"/>
  <c r="CQ161" i="41"/>
  <c r="CW161" i="41"/>
  <c r="O163" i="41"/>
  <c r="S163" i="41"/>
  <c r="X163" i="41"/>
  <c r="AC163" i="41"/>
  <c r="AM163" i="41"/>
  <c r="AV163" i="41"/>
  <c r="BA163" i="41"/>
  <c r="BK163" i="41"/>
  <c r="BT163" i="41"/>
  <c r="BY163" i="41"/>
  <c r="CC160" i="41"/>
  <c r="CK163" i="41"/>
  <c r="CU163" i="41"/>
  <c r="O164" i="41"/>
  <c r="O146" i="41" s="1"/>
  <c r="U164" i="41"/>
  <c r="AA164" i="41"/>
  <c r="AG164" i="41"/>
  <c r="AM164" i="41"/>
  <c r="AS164" i="41"/>
  <c r="AY164" i="41"/>
  <c r="BK164" i="41"/>
  <c r="AS173" i="41"/>
  <c r="R184" i="41"/>
  <c r="R174" i="41"/>
  <c r="R173" i="41"/>
  <c r="Q160" i="41"/>
  <c r="V184" i="41"/>
  <c r="V173" i="41"/>
  <c r="V174" i="41"/>
  <c r="U160" i="41"/>
  <c r="Y160" i="41"/>
  <c r="AD184" i="41"/>
  <c r="AD169" i="41"/>
  <c r="AC160" i="41"/>
  <c r="AC187" i="41" s="1"/>
  <c r="AH184" i="41"/>
  <c r="AH169" i="41"/>
  <c r="AG160" i="41"/>
  <c r="AP184" i="41"/>
  <c r="AP173" i="41"/>
  <c r="AP170" i="41"/>
  <c r="AO160" i="41"/>
  <c r="AS160" i="41"/>
  <c r="BB184" i="41"/>
  <c r="BB169" i="41"/>
  <c r="BA160" i="41"/>
  <c r="BF184" i="41"/>
  <c r="BF169" i="41"/>
  <c r="BG172" i="41" s="1"/>
  <c r="BG160" i="41"/>
  <c r="BE163" i="41"/>
  <c r="BF164" i="41"/>
  <c r="BN184" i="41"/>
  <c r="BN169" i="41"/>
  <c r="BN164" i="41"/>
  <c r="BM160" i="41"/>
  <c r="BR184" i="41"/>
  <c r="BR169" i="41"/>
  <c r="BR164" i="41"/>
  <c r="BQ160" i="41"/>
  <c r="BZ184" i="41"/>
  <c r="BZ173" i="41"/>
  <c r="BZ170" i="41"/>
  <c r="CF173" i="41"/>
  <c r="CF170" i="41"/>
  <c r="CG160" i="41"/>
  <c r="CL184" i="41"/>
  <c r="CL173" i="41"/>
  <c r="CL170" i="41"/>
  <c r="CK160" i="41"/>
  <c r="CP184" i="41"/>
  <c r="CP173" i="41"/>
  <c r="CP170" i="41"/>
  <c r="CX184" i="41"/>
  <c r="CX173" i="41"/>
  <c r="CX170" i="41"/>
  <c r="CW160" i="41"/>
  <c r="DA160" i="41"/>
  <c r="P161" i="41"/>
  <c r="V161" i="41"/>
  <c r="AB161" i="41"/>
  <c r="AH161" i="41"/>
  <c r="AN161" i="41"/>
  <c r="AT161" i="41"/>
  <c r="AZ161" i="41"/>
  <c r="BL161" i="41"/>
  <c r="BR161" i="41"/>
  <c r="BX161" i="41"/>
  <c r="CF161" i="41"/>
  <c r="CL161" i="41"/>
  <c r="CR161" i="41"/>
  <c r="CX161" i="41"/>
  <c r="P163" i="41"/>
  <c r="U163" i="41"/>
  <c r="AD163" i="41"/>
  <c r="AI163" i="41"/>
  <c r="AN163" i="41"/>
  <c r="BB163" i="41"/>
  <c r="BL163" i="41"/>
  <c r="BQ163" i="41"/>
  <c r="BZ163" i="41"/>
  <c r="CC161" i="41"/>
  <c r="CL163" i="41"/>
  <c r="CQ163" i="41"/>
  <c r="CV163" i="41"/>
  <c r="DA163" i="41"/>
  <c r="P164" i="41"/>
  <c r="V164" i="41"/>
  <c r="AB164" i="41"/>
  <c r="AH164" i="41"/>
  <c r="AN164" i="41"/>
  <c r="AT164" i="41"/>
  <c r="AZ164" i="41"/>
  <c r="BM164" i="41"/>
  <c r="CD161" i="41"/>
  <c r="CD160" i="41"/>
  <c r="AT170" i="41"/>
  <c r="AT171" i="41"/>
  <c r="AT172" i="41"/>
  <c r="AT173" i="41"/>
  <c r="BH161" i="41"/>
  <c r="BH166" i="41"/>
  <c r="AA187" i="41"/>
  <c r="AV187" i="41"/>
  <c r="BK187" i="41"/>
  <c r="BH163" i="41"/>
  <c r="P184" i="41"/>
  <c r="BG184" i="41"/>
  <c r="CD163" i="41"/>
  <c r="BH164" i="41"/>
  <c r="CD170" i="41"/>
  <c r="CD173" i="41"/>
  <c r="AJ184" i="41"/>
  <c r="AY184" i="41"/>
  <c r="CA184" i="41"/>
  <c r="BS189" i="41"/>
  <c r="CD164" i="41"/>
  <c r="AS170" i="41"/>
  <c r="AS171" i="41"/>
  <c r="AS172" i="41"/>
  <c r="BH160" i="41"/>
  <c r="R187" i="41"/>
  <c r="W184" i="41"/>
  <c r="AU184" i="41"/>
  <c r="AZ184" i="41"/>
  <c r="BS184" i="41"/>
  <c r="AG184" i="41"/>
  <c r="AQ184" i="41"/>
  <c r="AV184" i="41"/>
  <c r="BM184" i="41"/>
  <c r="BL184" i="41"/>
  <c r="BX194" i="41"/>
  <c r="BX185" i="41"/>
  <c r="BW184" i="41"/>
  <c r="CC194" i="41"/>
  <c r="CC184" i="41"/>
  <c r="CG184" i="41"/>
  <c r="CR194" i="41"/>
  <c r="CR186" i="41"/>
  <c r="CR187" i="41" s="1"/>
  <c r="CR184" i="41"/>
  <c r="CX186" i="41"/>
  <c r="CX187" i="41" s="1"/>
  <c r="BS185" i="41"/>
  <c r="BZ185" i="41"/>
  <c r="CI185" i="41"/>
  <c r="CQ185" i="41"/>
  <c r="CX185" i="41"/>
  <c r="W186" i="41"/>
  <c r="W187" i="41" s="1"/>
  <c r="AJ186" i="41"/>
  <c r="AY186" i="41"/>
  <c r="BS186" i="41"/>
  <c r="CF186" i="41"/>
  <c r="CF187" i="41" s="1"/>
  <c r="CI186" i="41"/>
  <c r="BR192" i="41"/>
  <c r="BW191" i="41"/>
  <c r="BY189" i="41"/>
  <c r="CI191" i="41"/>
  <c r="CK189" i="41"/>
  <c r="CU191" i="41"/>
  <c r="CW189" i="41"/>
  <c r="BS194" i="41"/>
  <c r="Q187" i="41"/>
  <c r="AC184" i="41"/>
  <c r="AS184" i="41"/>
  <c r="BH184" i="41"/>
  <c r="BY184" i="41"/>
  <c r="CJ186" i="41"/>
  <c r="CJ194" i="41"/>
  <c r="CJ185" i="41"/>
  <c r="CO194" i="41"/>
  <c r="CO186" i="41"/>
  <c r="CO184" i="41"/>
  <c r="CS186" i="41"/>
  <c r="CY184" i="41"/>
  <c r="X186" i="41"/>
  <c r="AS186" i="41"/>
  <c r="AS187" i="41" s="1"/>
  <c r="AZ186" i="41"/>
  <c r="BM187" i="41"/>
  <c r="BT186" i="41"/>
  <c r="CU186" i="41"/>
  <c r="BX192" i="41"/>
  <c r="BY190" i="41"/>
  <c r="BY194" i="41"/>
  <c r="CJ191" i="41"/>
  <c r="CV191" i="41"/>
  <c r="DB193" i="41" s="1"/>
  <c r="D202" i="41"/>
  <c r="D200" i="41"/>
  <c r="E198" i="41"/>
  <c r="X184" i="41"/>
  <c r="AD186" i="41"/>
  <c r="AD187" i="41" s="1"/>
  <c r="AI184" i="41"/>
  <c r="AO184" i="41"/>
  <c r="AN184" i="41"/>
  <c r="AT186" i="41"/>
  <c r="AT187" i="41" s="1"/>
  <c r="BE184" i="41"/>
  <c r="BI184" i="41"/>
  <c r="BT184" i="41"/>
  <c r="BZ186" i="41"/>
  <c r="BZ187" i="41" s="1"/>
  <c r="CE184" i="41"/>
  <c r="CK186" i="41"/>
  <c r="CK187" i="41" s="1"/>
  <c r="CK184" i="41"/>
  <c r="CJ184" i="41"/>
  <c r="CV186" i="41"/>
  <c r="CV194" i="41"/>
  <c r="CV185" i="41"/>
  <c r="CU184" i="41"/>
  <c r="CE185" i="41"/>
  <c r="CU185" i="41"/>
  <c r="Y186" i="41"/>
  <c r="AG186" i="41"/>
  <c r="AG187" i="41" s="1"/>
  <c r="BA186" i="41"/>
  <c r="BW186" i="41"/>
  <c r="BT191" i="41"/>
  <c r="BT192" i="41" s="1"/>
  <c r="BY191" i="41"/>
  <c r="CC191" i="41"/>
  <c r="CK191" i="41"/>
  <c r="CO191" i="41"/>
  <c r="BS191" i="41"/>
  <c r="BS192" i="41" s="1"/>
  <c r="DA185" i="41"/>
  <c r="P201" i="41"/>
  <c r="P199" i="41"/>
  <c r="J202" i="41"/>
  <c r="J201" i="41"/>
  <c r="J200" i="41"/>
  <c r="J199" i="41"/>
  <c r="K198" i="41"/>
  <c r="U184" i="41"/>
  <c r="Y184" i="41"/>
  <c r="AP186" i="41"/>
  <c r="BA184" i="41"/>
  <c r="BF186" i="41"/>
  <c r="BK184" i="41"/>
  <c r="BQ194" i="41"/>
  <c r="BQ184" i="41"/>
  <c r="CF184" i="41"/>
  <c r="CL186" i="41"/>
  <c r="CL187" i="41" s="1"/>
  <c r="CQ184" i="41"/>
  <c r="CW186" i="41"/>
  <c r="CW184" i="41"/>
  <c r="CV184" i="41"/>
  <c r="BQ185" i="41"/>
  <c r="BY185" i="41"/>
  <c r="CF185" i="41"/>
  <c r="CO185" i="41"/>
  <c r="CW185" i="41"/>
  <c r="U186" i="41"/>
  <c r="AO186" i="41"/>
  <c r="AO187" i="41" s="1"/>
  <c r="BQ186" i="41"/>
  <c r="BX186" i="41"/>
  <c r="BX187" i="41" s="1"/>
  <c r="CE186" i="41"/>
  <c r="CE187" i="41" s="1"/>
  <c r="CQ186" i="41"/>
  <c r="CQ187" i="41" s="1"/>
  <c r="BQ191" i="41"/>
  <c r="BQ192" i="41" s="1"/>
  <c r="CD193" i="41"/>
  <c r="Q184" i="41"/>
  <c r="BR185" i="41"/>
  <c r="CD185" i="41"/>
  <c r="CP185" i="41"/>
  <c r="BR186" i="41"/>
  <c r="CD186" i="41"/>
  <c r="CP186" i="41"/>
  <c r="BR189" i="41"/>
  <c r="BX189" i="41"/>
  <c r="BX190" i="41"/>
  <c r="CD189" i="41"/>
  <c r="CD190" i="41"/>
  <c r="CJ189" i="41"/>
  <c r="CJ190" i="41"/>
  <c r="CP189" i="41"/>
  <c r="CP190" i="41"/>
  <c r="CV189" i="41"/>
  <c r="CV190" i="41"/>
  <c r="DA184" i="41"/>
  <c r="I199" i="41"/>
  <c r="I200" i="41"/>
  <c r="I201" i="41"/>
  <c r="I202" i="41"/>
  <c r="O199" i="41"/>
  <c r="O201" i="41"/>
  <c r="CE199" i="41"/>
  <c r="CE201" i="41"/>
  <c r="BX201" i="41"/>
  <c r="BZ200" i="41"/>
  <c r="BY201" i="41"/>
  <c r="BY202" i="41"/>
  <c r="DJ244" i="41"/>
  <c r="DK244" i="41" s="1"/>
  <c r="BT189" i="41"/>
  <c r="BZ189" i="41"/>
  <c r="BZ190" i="41"/>
  <c r="BZ191" i="41"/>
  <c r="CF189" i="41"/>
  <c r="CF190" i="41"/>
  <c r="CL189" i="41"/>
  <c r="CL190" i="41"/>
  <c r="CL191" i="41"/>
  <c r="CR189" i="41"/>
  <c r="CR190" i="41"/>
  <c r="CX189" i="41"/>
  <c r="CX190" i="41"/>
  <c r="CX191" i="41"/>
  <c r="DD193" i="41" s="1"/>
  <c r="DA186" i="41"/>
  <c r="DA190" i="41"/>
  <c r="DA194" i="41"/>
  <c r="BY199" i="41"/>
  <c r="BZ202" i="41"/>
  <c r="CG237" i="41"/>
  <c r="DA237" i="41"/>
  <c r="BQ189" i="41"/>
  <c r="BW189" i="41"/>
  <c r="BW190" i="41"/>
  <c r="CC189" i="41"/>
  <c r="CC190" i="41"/>
  <c r="CI189" i="41"/>
  <c r="CI190" i="41"/>
  <c r="CO189" i="41"/>
  <c r="CO190" i="41"/>
  <c r="CU189" i="41"/>
  <c r="CU190" i="41"/>
  <c r="DP244" i="41"/>
  <c r="DQ244" i="41" s="1"/>
  <c r="CA246" i="41"/>
  <c r="BW280" i="41"/>
  <c r="O320" i="41"/>
  <c r="O323" i="41"/>
  <c r="U323" i="41"/>
  <c r="U327" i="41"/>
  <c r="U328" i="41" s="1"/>
  <c r="U320" i="41"/>
  <c r="AA323" i="41"/>
  <c r="AA327" i="41"/>
  <c r="AA320" i="41"/>
  <c r="AG323" i="41"/>
  <c r="AG327" i="41"/>
  <c r="AG320" i="41"/>
  <c r="AM323" i="41"/>
  <c r="AM327" i="41"/>
  <c r="AM320" i="41"/>
  <c r="AW335" i="41"/>
  <c r="AS327" i="41"/>
  <c r="AS323" i="41"/>
  <c r="AS320" i="41"/>
  <c r="AY323" i="41"/>
  <c r="BC335" i="41"/>
  <c r="AY327" i="41"/>
  <c r="AY320" i="41"/>
  <c r="BE320" i="41"/>
  <c r="BQ320" i="41"/>
  <c r="AJ313" i="41"/>
  <c r="AP315" i="41"/>
  <c r="P320" i="41"/>
  <c r="U315" i="41"/>
  <c r="S315" i="41"/>
  <c r="Q320" i="41"/>
  <c r="AN315" i="41"/>
  <c r="AH313" i="41"/>
  <c r="R323" i="41"/>
  <c r="R320" i="41"/>
  <c r="X327" i="41"/>
  <c r="X320" i="41"/>
  <c r="X323" i="41"/>
  <c r="AD327" i="41"/>
  <c r="AD320" i="41"/>
  <c r="AD323" i="41"/>
  <c r="AJ327" i="41"/>
  <c r="AJ323" i="41"/>
  <c r="AJ320" i="41"/>
  <c r="AP327" i="41"/>
  <c r="AP320" i="41"/>
  <c r="AP323" i="41"/>
  <c r="AV327" i="41"/>
  <c r="AV323" i="41"/>
  <c r="AV320" i="41"/>
  <c r="BB327" i="41"/>
  <c r="BB323" i="41"/>
  <c r="BB320" i="41"/>
  <c r="BH327" i="41"/>
  <c r="BH323" i="41"/>
  <c r="BN327" i="41"/>
  <c r="BN323" i="41"/>
  <c r="BN320" i="41"/>
  <c r="W327" i="41"/>
  <c r="W320" i="41"/>
  <c r="AC327" i="41"/>
  <c r="AC320" i="41"/>
  <c r="AI327" i="41"/>
  <c r="AI320" i="41"/>
  <c r="AO327" i="41"/>
  <c r="AO323" i="41"/>
  <c r="AO320" i="41"/>
  <c r="AU327" i="41"/>
  <c r="AU320" i="41"/>
  <c r="BA327" i="41"/>
  <c r="BA323" i="41"/>
  <c r="BA320" i="41"/>
  <c r="BG327" i="41"/>
  <c r="BG323" i="41"/>
  <c r="BM327" i="41"/>
  <c r="BM320" i="41"/>
  <c r="BS327" i="41"/>
  <c r="BY327" i="41"/>
  <c r="BY323" i="41"/>
  <c r="CK327" i="41"/>
  <c r="CQ327" i="41"/>
  <c r="CW327" i="41"/>
  <c r="CW323" i="41"/>
  <c r="W323" i="41"/>
  <c r="AC323" i="41"/>
  <c r="AU323" i="41"/>
  <c r="CQ323" i="41"/>
  <c r="BT327" i="41"/>
  <c r="BT323" i="41"/>
  <c r="BZ327" i="41"/>
  <c r="BZ323" i="41"/>
  <c r="CF327" i="41"/>
  <c r="CF323" i="41"/>
  <c r="CL327" i="41"/>
  <c r="CL323" i="41"/>
  <c r="CR327" i="41"/>
  <c r="CR323" i="41"/>
  <c r="CX327" i="41"/>
  <c r="CX323" i="41"/>
  <c r="AQ312" i="41"/>
  <c r="BW327" i="41"/>
  <c r="CU327" i="41"/>
  <c r="BE323" i="41"/>
  <c r="BI335" i="41"/>
  <c r="BE327" i="41"/>
  <c r="BQ323" i="41"/>
  <c r="BQ327" i="41"/>
  <c r="CC323" i="41"/>
  <c r="CC327" i="41"/>
  <c r="CO323" i="41"/>
  <c r="CO327" i="41"/>
  <c r="DA323" i="41"/>
  <c r="DA327" i="41"/>
  <c r="G312" i="41"/>
  <c r="P323" i="41"/>
  <c r="V327" i="41"/>
  <c r="V320" i="41"/>
  <c r="V323" i="41"/>
  <c r="V324" i="41" s="1"/>
  <c r="AB327" i="41"/>
  <c r="AB320" i="41"/>
  <c r="AB323" i="41"/>
  <c r="AH327" i="41"/>
  <c r="AH320" i="41"/>
  <c r="AH323" i="41"/>
  <c r="AN323" i="41"/>
  <c r="AN327" i="41"/>
  <c r="AN320" i="41"/>
  <c r="AT323" i="41"/>
  <c r="AT327" i="41"/>
  <c r="AT328" i="41" s="1"/>
  <c r="AT320" i="41"/>
  <c r="AZ323" i="41"/>
  <c r="AZ327" i="41"/>
  <c r="AZ320" i="41"/>
  <c r="BF323" i="41"/>
  <c r="BF327" i="41"/>
  <c r="BL323" i="41"/>
  <c r="BL327" i="41"/>
  <c r="BL320" i="41"/>
  <c r="BR323" i="41"/>
  <c r="BR327" i="41"/>
  <c r="BR320" i="41"/>
  <c r="BX323" i="41"/>
  <c r="BX327" i="41"/>
  <c r="CJ323" i="41"/>
  <c r="CJ327" i="41"/>
  <c r="CP323" i="41"/>
  <c r="CP327" i="41"/>
  <c r="CV323" i="41"/>
  <c r="CV327" i="41"/>
  <c r="BK327" i="41"/>
  <c r="CI327" i="41"/>
  <c r="BN354" i="41"/>
  <c r="BL354" i="41"/>
  <c r="BM354" i="41" s="1"/>
  <c r="BN355" i="41"/>
  <c r="BL355" i="41"/>
  <c r="BM355" i="41" s="1"/>
  <c r="CW19" i="3"/>
  <c r="CY19" i="3"/>
  <c r="DG48" i="3"/>
  <c r="DH17" i="3"/>
  <c r="AL91" i="3"/>
  <c r="AK91" i="3"/>
  <c r="AN97" i="3"/>
  <c r="AM26" i="3"/>
  <c r="AN98" i="3" s="1"/>
  <c r="CW44" i="42"/>
  <c r="CY44" i="42"/>
  <c r="CZ44" i="42" s="1"/>
  <c r="DA44" i="42" s="1"/>
  <c r="DB44" i="42" s="1"/>
  <c r="G69" i="3"/>
  <c r="CV90" i="3"/>
  <c r="BF19" i="3"/>
  <c r="BG19" i="3" s="1"/>
  <c r="I30" i="3"/>
  <c r="J10" i="3"/>
  <c r="BG73" i="42"/>
  <c r="BS73" i="42"/>
  <c r="CK73" i="42"/>
  <c r="CS71" i="42"/>
  <c r="BS109" i="42"/>
  <c r="BS110" i="42" s="1"/>
  <c r="AR145" i="42"/>
  <c r="AU145" i="42" s="1"/>
  <c r="AW145" i="42"/>
  <c r="BF145" i="42"/>
  <c r="BG146" i="42"/>
  <c r="BW145" i="42"/>
  <c r="N10" i="3"/>
  <c r="W82" i="3"/>
  <c r="AW82" i="3"/>
  <c r="AX82" i="3"/>
  <c r="CU89" i="3"/>
  <c r="CU151" i="42" s="1"/>
  <c r="CT89" i="3"/>
  <c r="CT151" i="42" s="1"/>
  <c r="CT48" i="3"/>
  <c r="CZ89" i="3"/>
  <c r="DA89" i="3"/>
  <c r="CZ48" i="3"/>
  <c r="AI14" i="3"/>
  <c r="CC88" i="3"/>
  <c r="CB88" i="3"/>
  <c r="CB30" i="3"/>
  <c r="AH89" i="3"/>
  <c r="AI17" i="3"/>
  <c r="AH92" i="3"/>
  <c r="AK20" i="3"/>
  <c r="AI22" i="3"/>
  <c r="AK18" i="3"/>
  <c r="AT92" i="3"/>
  <c r="AS92" i="3"/>
  <c r="AZ90" i="3"/>
  <c r="AY90" i="3"/>
  <c r="AZ94" i="3"/>
  <c r="AY94" i="3"/>
  <c r="P24" i="3"/>
  <c r="O29" i="3"/>
  <c r="P101" i="3" s="1"/>
  <c r="AB96" i="3"/>
  <c r="AA96" i="3"/>
  <c r="AY24" i="3"/>
  <c r="AZ96" i="3" s="1"/>
  <c r="BW96" i="3"/>
  <c r="CD96" i="3"/>
  <c r="CJ24" i="3"/>
  <c r="U25" i="3"/>
  <c r="AA97" i="3"/>
  <c r="Z29" i="3"/>
  <c r="Z30" i="3" s="1"/>
  <c r="AF100" i="3"/>
  <c r="AE100" i="3"/>
  <c r="I45" i="3"/>
  <c r="H56" i="3"/>
  <c r="CV55" i="3"/>
  <c r="CW55" i="3" s="1"/>
  <c r="AI146" i="42"/>
  <c r="CT92" i="3"/>
  <c r="DA48" i="3"/>
  <c r="BD90" i="3"/>
  <c r="BD30" i="3"/>
  <c r="BE18" i="3"/>
  <c r="BE90" i="3" s="1"/>
  <c r="BD92" i="3"/>
  <c r="CD94" i="3"/>
  <c r="CC94" i="3"/>
  <c r="CJ66" i="3"/>
  <c r="CJ31" i="3"/>
  <c r="CJ69" i="3" s="1"/>
  <c r="CK30" i="3"/>
  <c r="J54" i="442" s="1"/>
  <c r="CY94" i="3"/>
  <c r="DE94" i="3"/>
  <c r="DF22" i="3"/>
  <c r="DF94" i="3" s="1"/>
  <c r="N98" i="3"/>
  <c r="N99" i="3"/>
  <c r="AB97" i="3"/>
  <c r="AQ100" i="3"/>
  <c r="AG28" i="3"/>
  <c r="AG100" i="3" s="1"/>
  <c r="AY98" i="3"/>
  <c r="AX30" i="3"/>
  <c r="AW26" i="3"/>
  <c r="AW29" i="3" s="1"/>
  <c r="BJ98" i="3"/>
  <c r="BK98" i="3"/>
  <c r="BJ30" i="3"/>
  <c r="BQ98" i="3"/>
  <c r="BP30" i="3"/>
  <c r="BS26" i="3"/>
  <c r="BR30" i="3"/>
  <c r="BY26" i="3"/>
  <c r="BX30" i="3"/>
  <c r="CQ26" i="3"/>
  <c r="CP30" i="3"/>
  <c r="CV122" i="3"/>
  <c r="BX55" i="3"/>
  <c r="BY55" i="3" s="1"/>
  <c r="CJ55" i="3"/>
  <c r="CK55" i="3" s="1"/>
  <c r="CE73" i="42"/>
  <c r="W109" i="42"/>
  <c r="AU109" i="42"/>
  <c r="AM112" i="42"/>
  <c r="AM113" i="42" s="1"/>
  <c r="BA146" i="42"/>
  <c r="BM146" i="42"/>
  <c r="CE146" i="42"/>
  <c r="CQ146" i="42"/>
  <c r="CV89" i="3"/>
  <c r="CT91" i="3"/>
  <c r="CU91" i="3"/>
  <c r="DB17" i="3"/>
  <c r="DB89" i="3" s="1"/>
  <c r="DC89" i="3" s="1"/>
  <c r="AI18" i="3"/>
  <c r="AH93" i="3"/>
  <c r="AI93" i="3" s="1"/>
  <c r="AI21" i="3"/>
  <c r="BE20" i="3"/>
  <c r="AT90" i="3"/>
  <c r="AS90" i="3"/>
  <c r="AS30" i="3"/>
  <c r="CC92" i="3"/>
  <c r="CD92" i="3"/>
  <c r="AO19" i="3"/>
  <c r="AY92" i="3"/>
  <c r="AZ92" i="3"/>
  <c r="CD66" i="3"/>
  <c r="CD31" i="3"/>
  <c r="CD69" i="3" s="1"/>
  <c r="CE30" i="3"/>
  <c r="I54" i="442" s="1"/>
  <c r="CK22" i="3"/>
  <c r="CU94" i="3"/>
  <c r="CT94" i="3"/>
  <c r="CZ22" i="3"/>
  <c r="N25" i="3"/>
  <c r="N97" i="3" s="1"/>
  <c r="O27" i="3"/>
  <c r="P99" i="3" s="1"/>
  <c r="N101" i="3"/>
  <c r="BE96" i="3"/>
  <c r="BK96" i="3"/>
  <c r="BR96" i="3"/>
  <c r="CI96" i="3"/>
  <c r="CP96" i="3"/>
  <c r="T97" i="3"/>
  <c r="T26" i="3"/>
  <c r="T29" i="3" s="1"/>
  <c r="U28" i="3"/>
  <c r="U100" i="3" s="1"/>
  <c r="S30" i="3"/>
  <c r="AG97" i="3"/>
  <c r="AQ98" i="3"/>
  <c r="AR98" i="3"/>
  <c r="AR28" i="3"/>
  <c r="AS100" i="3" s="1"/>
  <c r="AG26" i="3"/>
  <c r="AH98" i="3" s="1"/>
  <c r="AK99" i="3"/>
  <c r="BD99" i="3"/>
  <c r="BC99" i="3"/>
  <c r="BL98" i="3"/>
  <c r="BK30" i="3"/>
  <c r="BP99" i="3"/>
  <c r="BO99" i="3"/>
  <c r="BO30" i="3"/>
  <c r="BO24" i="3"/>
  <c r="BR99" i="3"/>
  <c r="BQ30" i="3"/>
  <c r="BU98" i="3"/>
  <c r="BV98" i="3"/>
  <c r="BU30" i="3"/>
  <c r="BU24" i="3"/>
  <c r="CB98" i="3"/>
  <c r="CA98" i="3"/>
  <c r="CA24" i="3"/>
  <c r="CG98" i="3"/>
  <c r="CH98" i="3"/>
  <c r="CG30" i="3"/>
  <c r="CG24" i="3"/>
  <c r="CN98" i="3"/>
  <c r="CM98" i="3"/>
  <c r="CM24" i="3"/>
  <c r="H42" i="3"/>
  <c r="I34" i="3"/>
  <c r="CW53" i="3"/>
  <c r="BY73" i="42"/>
  <c r="BI71" i="42"/>
  <c r="BU71" i="42"/>
  <c r="CH71" i="42"/>
  <c r="CN71" i="42"/>
  <c r="BG109" i="42"/>
  <c r="CE109" i="42"/>
  <c r="CE110" i="42" s="1"/>
  <c r="CA110" i="42"/>
  <c r="CQ109" i="42"/>
  <c r="CQ110" i="42" s="1"/>
  <c r="CM110" i="42"/>
  <c r="AC115" i="42"/>
  <c r="AO115" i="42"/>
  <c r="BY115" i="42"/>
  <c r="H30" i="3"/>
  <c r="CU90" i="3"/>
  <c r="CT90" i="3"/>
  <c r="CV91" i="3"/>
  <c r="CW91" i="3" s="1"/>
  <c r="DG89" i="3"/>
  <c r="DF89" i="3"/>
  <c r="DF48" i="3"/>
  <c r="CA88" i="3"/>
  <c r="CA30" i="3"/>
  <c r="AH91" i="3"/>
  <c r="AI19" i="3"/>
  <c r="BD91" i="3"/>
  <c r="BE91" i="3"/>
  <c r="AT91" i="3"/>
  <c r="AS91" i="3"/>
  <c r="AB94" i="3"/>
  <c r="AB30" i="3"/>
  <c r="BF94" i="3"/>
  <c r="BE94" i="3"/>
  <c r="CM94" i="3"/>
  <c r="CN94" i="3"/>
  <c r="CM30" i="3"/>
  <c r="CW22" i="3"/>
  <c r="O26" i="3"/>
  <c r="P98" i="3" s="1"/>
  <c r="O99" i="3"/>
  <c r="AY96" i="3"/>
  <c r="AX96" i="3"/>
  <c r="U97" i="3"/>
  <c r="AH97" i="3"/>
  <c r="AM97" i="3"/>
  <c r="AA98" i="3"/>
  <c r="AL98" i="3"/>
  <c r="AK98" i="3"/>
  <c r="AK29" i="3"/>
  <c r="AZ66" i="3"/>
  <c r="AZ31" i="3"/>
  <c r="AZ69" i="3" s="1"/>
  <c r="BA30" i="3"/>
  <c r="BD96" i="3"/>
  <c r="BC96" i="3"/>
  <c r="BL66" i="3"/>
  <c r="BL31" i="3"/>
  <c r="BL69" i="3" s="1"/>
  <c r="BM30" i="3"/>
  <c r="CS96" i="3"/>
  <c r="BO112" i="3"/>
  <c r="BO42" i="3"/>
  <c r="BP39" i="3"/>
  <c r="BQ112" i="3" s="1"/>
  <c r="CH88" i="3"/>
  <c r="CH102" i="3" s="1"/>
  <c r="CI88" i="3"/>
  <c r="CD91" i="3"/>
  <c r="CC91" i="3"/>
  <c r="AO18" i="3"/>
  <c r="AY91" i="3"/>
  <c r="AZ91" i="3"/>
  <c r="CI94" i="3"/>
  <c r="CJ94" i="3"/>
  <c r="BJ96" i="3"/>
  <c r="BI96" i="3"/>
  <c r="T100" i="3"/>
  <c r="Z97" i="3"/>
  <c r="Y97" i="3"/>
  <c r="AL97" i="3"/>
  <c r="AK97" i="3"/>
  <c r="AR25" i="3"/>
  <c r="AR97" i="3" s="1"/>
  <c r="AY99" i="3"/>
  <c r="BE98" i="3"/>
  <c r="BP98" i="3"/>
  <c r="BO98" i="3"/>
  <c r="BO102" i="3" s="1"/>
  <c r="BR98" i="3"/>
  <c r="BR100" i="3"/>
  <c r="BQ100" i="3"/>
  <c r="BY160" i="41" s="1"/>
  <c r="BY187" i="41" s="1"/>
  <c r="BX98" i="3"/>
  <c r="BX102" i="3" s="1"/>
  <c r="CD98" i="3"/>
  <c r="CJ98" i="3"/>
  <c r="CP98" i="3"/>
  <c r="BJ99" i="3"/>
  <c r="BI99" i="3"/>
  <c r="Z100" i="3"/>
  <c r="Y100" i="3"/>
  <c r="AX100" i="3"/>
  <c r="AW100" i="3"/>
  <c r="BA26" i="3"/>
  <c r="AN30" i="3"/>
  <c r="CN30" i="3"/>
  <c r="N34" i="3"/>
  <c r="W107" i="3"/>
  <c r="AI34" i="3"/>
  <c r="BF107" i="3"/>
  <c r="BE107" i="3"/>
  <c r="CH108" i="3"/>
  <c r="CG108" i="3"/>
  <c r="Z37" i="3"/>
  <c r="Z110" i="3" s="1"/>
  <c r="BL110" i="3"/>
  <c r="CH110" i="3"/>
  <c r="CG110" i="3"/>
  <c r="CN110" i="3"/>
  <c r="CM110" i="3"/>
  <c r="CS110" i="3"/>
  <c r="Z113" i="3"/>
  <c r="Z255" i="1" s="1"/>
  <c r="AA113" i="3"/>
  <c r="AA255" i="1" s="1"/>
  <c r="BJ112" i="3"/>
  <c r="BK112" i="3"/>
  <c r="BK115" i="3" s="1"/>
  <c r="CB112" i="3"/>
  <c r="CA112" i="3"/>
  <c r="AK40" i="3"/>
  <c r="AO40" i="3"/>
  <c r="BP114" i="3"/>
  <c r="BO114" i="3"/>
  <c r="S42" i="3"/>
  <c r="BE42" i="3"/>
  <c r="BJ42" i="3"/>
  <c r="CM42" i="3"/>
  <c r="E56" i="3"/>
  <c r="E60" i="3" s="1"/>
  <c r="E64" i="3" s="1"/>
  <c r="AI48" i="3"/>
  <c r="AI50" i="3"/>
  <c r="AI52" i="3"/>
  <c r="AI54" i="3"/>
  <c r="BK45" i="3"/>
  <c r="BK118" i="3" s="1"/>
  <c r="CT125" i="3"/>
  <c r="CZ123" i="3"/>
  <c r="DA123" i="3"/>
  <c r="DF126" i="3"/>
  <c r="DG126" i="3"/>
  <c r="V119" i="3"/>
  <c r="U56" i="3"/>
  <c r="AY118" i="3"/>
  <c r="AZ118" i="3"/>
  <c r="AX122" i="3"/>
  <c r="AW122" i="3"/>
  <c r="CS51" i="3"/>
  <c r="BV126" i="3"/>
  <c r="BU126" i="3"/>
  <c r="Z127" i="3"/>
  <c r="Y127" i="3"/>
  <c r="AY126" i="3"/>
  <c r="AZ126" i="3"/>
  <c r="BM52" i="3"/>
  <c r="AA124" i="3"/>
  <c r="Z124" i="3"/>
  <c r="Z56" i="3"/>
  <c r="AA128" i="3"/>
  <c r="Z128" i="3"/>
  <c r="Z129" i="3" s="1"/>
  <c r="AW125" i="3"/>
  <c r="AX125" i="3"/>
  <c r="AY128" i="3"/>
  <c r="AZ55" i="3"/>
  <c r="BA55" i="3" s="1"/>
  <c r="AI85" i="3"/>
  <c r="AI257" i="1" s="1"/>
  <c r="AI90" i="3"/>
  <c r="AI94" i="3"/>
  <c r="AU92" i="3"/>
  <c r="CS98" i="3"/>
  <c r="AU26" i="3"/>
  <c r="AX97" i="3"/>
  <c r="AW97" i="3"/>
  <c r="BI66" i="3"/>
  <c r="CC30" i="3"/>
  <c r="CO66" i="3"/>
  <c r="BV110" i="3"/>
  <c r="BU110" i="3"/>
  <c r="CA110" i="3"/>
  <c r="CB110" i="3"/>
  <c r="CB111" i="3"/>
  <c r="CT111" i="3"/>
  <c r="CT112" i="3"/>
  <c r="DA113" i="3"/>
  <c r="CZ113" i="3"/>
  <c r="AA112" i="3"/>
  <c r="Z112" i="3"/>
  <c r="AB113" i="3"/>
  <c r="AB255" i="1" s="1"/>
  <c r="AY113" i="3"/>
  <c r="AY255" i="1" s="1"/>
  <c r="AZ113" i="3"/>
  <c r="AZ255" i="1" s="1"/>
  <c r="BL112" i="3"/>
  <c r="BV112" i="3"/>
  <c r="BU112" i="3"/>
  <c r="CC112" i="3"/>
  <c r="CS113" i="3"/>
  <c r="CT113" i="3"/>
  <c r="AI39" i="3"/>
  <c r="BM39" i="3"/>
  <c r="CE35" i="3"/>
  <c r="CK35" i="3"/>
  <c r="CQ37" i="3"/>
  <c r="AH42" i="3"/>
  <c r="AI42" i="3" s="1"/>
  <c r="BF42" i="3"/>
  <c r="BG42" i="3" s="1"/>
  <c r="BK42" i="3"/>
  <c r="BU42" i="3"/>
  <c r="CN42" i="3"/>
  <c r="AH118" i="3"/>
  <c r="DB123" i="3"/>
  <c r="DA126" i="3"/>
  <c r="CZ126" i="3"/>
  <c r="DH126" i="3"/>
  <c r="BW123" i="3"/>
  <c r="BY123" i="3" s="1"/>
  <c r="BX123" i="3"/>
  <c r="BP124" i="3"/>
  <c r="CD125" i="3"/>
  <c r="CC125" i="3"/>
  <c r="BI126" i="3"/>
  <c r="BM53" i="3"/>
  <c r="BU127" i="3"/>
  <c r="BV54" i="3"/>
  <c r="DE128" i="3"/>
  <c r="CT131" i="3"/>
  <c r="CU131" i="3"/>
  <c r="AC94" i="3"/>
  <c r="AI89" i="3"/>
  <c r="BA92" i="3"/>
  <c r="AA28" i="3"/>
  <c r="AB100" i="3" s="1"/>
  <c r="AK100" i="3"/>
  <c r="CS99" i="3"/>
  <c r="BJ101" i="3"/>
  <c r="BK101" i="3"/>
  <c r="AT30" i="3"/>
  <c r="BI31" i="3"/>
  <c r="BI69" i="3" s="1"/>
  <c r="BV30" i="3"/>
  <c r="CH30" i="3"/>
  <c r="CO31" i="3"/>
  <c r="CO69" i="3" s="1"/>
  <c r="CC108" i="3"/>
  <c r="CD108" i="3"/>
  <c r="G42" i="3"/>
  <c r="U37" i="3"/>
  <c r="Y111" i="3"/>
  <c r="BJ110" i="3"/>
  <c r="BI110" i="3"/>
  <c r="BQ110" i="3"/>
  <c r="BQ115" i="3" s="1"/>
  <c r="BP110" i="3"/>
  <c r="CC38" i="3"/>
  <c r="T110" i="3"/>
  <c r="AI36" i="3"/>
  <c r="AI40" i="3"/>
  <c r="AN42" i="3"/>
  <c r="AO42" i="3" s="1"/>
  <c r="BL42" i="3"/>
  <c r="BM42" i="3" s="1"/>
  <c r="BQ42" i="3"/>
  <c r="BV42" i="3"/>
  <c r="CA42" i="3"/>
  <c r="CO42" i="3"/>
  <c r="CT127" i="3"/>
  <c r="W118" i="3"/>
  <c r="V122" i="3"/>
  <c r="W49" i="3"/>
  <c r="BD122" i="3"/>
  <c r="BE122" i="3"/>
  <c r="BD56" i="3"/>
  <c r="BQ51" i="3"/>
  <c r="BQ124" i="3" s="1"/>
  <c r="CA124" i="3"/>
  <c r="CB51" i="3"/>
  <c r="CB124" i="3" s="1"/>
  <c r="BJ53" i="3"/>
  <c r="BK126" i="3" s="1"/>
  <c r="DE121" i="3"/>
  <c r="AY124" i="3"/>
  <c r="AZ51" i="3"/>
  <c r="CQ51" i="3"/>
  <c r="CY128" i="3"/>
  <c r="CZ55" i="3"/>
  <c r="DF55" i="3"/>
  <c r="AA126" i="3"/>
  <c r="Z126" i="3"/>
  <c r="AX127" i="3"/>
  <c r="AW127" i="3"/>
  <c r="BD128" i="3"/>
  <c r="BC128" i="3"/>
  <c r="BC129" i="3" s="1"/>
  <c r="BC56" i="3"/>
  <c r="CA128" i="3"/>
  <c r="CB128" i="3"/>
  <c r="CM128" i="3"/>
  <c r="S56" i="3"/>
  <c r="AH131" i="3"/>
  <c r="AI131" i="3" s="1"/>
  <c r="AI58" i="3"/>
  <c r="AF97" i="3"/>
  <c r="AE97" i="3"/>
  <c r="AQ97" i="3"/>
  <c r="AR99" i="3"/>
  <c r="AQ99" i="3"/>
  <c r="Z98" i="3"/>
  <c r="Y98" i="3"/>
  <c r="Y99" i="3"/>
  <c r="Z99" i="3"/>
  <c r="AF98" i="3"/>
  <c r="AE98" i="3"/>
  <c r="AE60" i="3"/>
  <c r="AE66" i="3"/>
  <c r="BD98" i="3"/>
  <c r="BD102" i="3" s="1"/>
  <c r="BC98" i="3"/>
  <c r="BQ99" i="3"/>
  <c r="BQ102" i="3" s="1"/>
  <c r="Y29" i="3"/>
  <c r="Y30" i="3" s="1"/>
  <c r="AL28" i="3"/>
  <c r="CS100" i="3"/>
  <c r="AX99" i="3"/>
  <c r="AW99" i="3"/>
  <c r="BV101" i="3"/>
  <c r="BV102" i="3" s="1"/>
  <c r="BU101" i="3"/>
  <c r="BC30" i="3"/>
  <c r="BW66" i="3"/>
  <c r="CI30" i="3"/>
  <c r="AH115" i="3"/>
  <c r="CS107" i="3"/>
  <c r="Y110" i="3"/>
  <c r="AZ110" i="3"/>
  <c r="AY110" i="3"/>
  <c r="AY115" i="3" s="1"/>
  <c r="CW40" i="3"/>
  <c r="DB40" i="3"/>
  <c r="DB113" i="3" s="1"/>
  <c r="BW111" i="3"/>
  <c r="BV111" i="3"/>
  <c r="BY111" i="3" s="1"/>
  <c r="AB39" i="3"/>
  <c r="AB112" i="3" s="1"/>
  <c r="AZ112" i="3"/>
  <c r="AZ115" i="3" s="1"/>
  <c r="AY112" i="3"/>
  <c r="BW39" i="3"/>
  <c r="BX112" i="3" s="1"/>
  <c r="CD39" i="3"/>
  <c r="T40" i="3"/>
  <c r="T113" i="3" s="1"/>
  <c r="AK39" i="3"/>
  <c r="T111" i="3"/>
  <c r="AI37" i="3"/>
  <c r="BG37" i="3"/>
  <c r="AY42" i="3"/>
  <c r="BD42" i="3"/>
  <c r="BI42" i="3"/>
  <c r="BR42" i="3"/>
  <c r="BS42" i="3" s="1"/>
  <c r="CB42" i="3"/>
  <c r="G56" i="3"/>
  <c r="N45" i="3"/>
  <c r="BJ118" i="3"/>
  <c r="CU122" i="3"/>
  <c r="CT122" i="3"/>
  <c r="CU126" i="3"/>
  <c r="CT126" i="3"/>
  <c r="CU127" i="3"/>
  <c r="DB53" i="3"/>
  <c r="DC53" i="3" s="1"/>
  <c r="T119" i="3"/>
  <c r="BP120" i="3"/>
  <c r="BP146" i="42" s="1"/>
  <c r="BP145" i="42" s="1"/>
  <c r="BQ120" i="3"/>
  <c r="BQ146" i="42" s="1"/>
  <c r="BQ145" i="42" s="1"/>
  <c r="BX120" i="3"/>
  <c r="BX146" i="42" s="1"/>
  <c r="BX145" i="42" s="1"/>
  <c r="BY47" i="3"/>
  <c r="AK49" i="3"/>
  <c r="CP122" i="3"/>
  <c r="CQ49" i="3"/>
  <c r="CZ121" i="3"/>
  <c r="CY121" i="3"/>
  <c r="W51" i="3"/>
  <c r="W53" i="3"/>
  <c r="W55" i="3"/>
  <c r="AO52" i="3"/>
  <c r="AO54" i="3"/>
  <c r="CT123" i="3"/>
  <c r="CS123" i="3"/>
  <c r="BF52" i="3"/>
  <c r="BW125" i="3"/>
  <c r="BV125" i="3"/>
  <c r="DE50" i="3"/>
  <c r="AZ125" i="3"/>
  <c r="AY125" i="3"/>
  <c r="BD127" i="3"/>
  <c r="BE54" i="3"/>
  <c r="BE127" i="3" s="1"/>
  <c r="W124" i="3"/>
  <c r="W128" i="3"/>
  <c r="AW124" i="3"/>
  <c r="AX124" i="3"/>
  <c r="AW128" i="3"/>
  <c r="AX128" i="3"/>
  <c r="BE55" i="3"/>
  <c r="BL128" i="3"/>
  <c r="BR128" i="3"/>
  <c r="BW128" i="3"/>
  <c r="CC55" i="3"/>
  <c r="CC128" i="3" s="1"/>
  <c r="CI128" i="3"/>
  <c r="CN55" i="3"/>
  <c r="CN128" i="3" s="1"/>
  <c r="CU128" i="3"/>
  <c r="T56" i="3"/>
  <c r="AI86" i="3"/>
  <c r="AI92" i="3"/>
  <c r="AX118" i="3"/>
  <c r="AW118" i="3"/>
  <c r="BQ121" i="3"/>
  <c r="BP121" i="3"/>
  <c r="BQ123" i="3"/>
  <c r="BP123" i="3"/>
  <c r="BJ124" i="3"/>
  <c r="BK124" i="3"/>
  <c r="BE125" i="3"/>
  <c r="BD125" i="3"/>
  <c r="BX125" i="3"/>
  <c r="BY125" i="3" s="1"/>
  <c r="BW126" i="3"/>
  <c r="AZ127" i="3"/>
  <c r="AY127" i="3"/>
  <c r="W122" i="3"/>
  <c r="W126" i="3"/>
  <c r="AA125" i="3"/>
  <c r="Z125" i="3"/>
  <c r="AW126" i="3"/>
  <c r="AX126" i="3"/>
  <c r="BJ128" i="3"/>
  <c r="BK128" i="3"/>
  <c r="BP128" i="3"/>
  <c r="BQ128" i="3"/>
  <c r="BU128" i="3"/>
  <c r="BV128" i="3"/>
  <c r="CG128" i="3"/>
  <c r="CH128" i="3"/>
  <c r="CS128" i="3"/>
  <c r="CT128" i="3"/>
  <c r="AN56" i="3"/>
  <c r="AO56" i="3" s="1"/>
  <c r="AC82" i="3"/>
  <c r="AM102" i="3"/>
  <c r="BI102" i="3"/>
  <c r="BM82" i="3"/>
  <c r="BR102" i="3"/>
  <c r="CC102" i="3"/>
  <c r="CM102" i="3"/>
  <c r="AC89" i="3"/>
  <c r="AI91" i="3"/>
  <c r="BG87" i="3"/>
  <c r="BM85" i="3"/>
  <c r="BM257" i="1" s="1"/>
  <c r="BS91" i="3"/>
  <c r="BY88" i="3"/>
  <c r="BY89" i="3"/>
  <c r="J160" i="3"/>
  <c r="J144" i="3"/>
  <c r="AE160" i="3"/>
  <c r="AE144" i="3"/>
  <c r="AE139" i="3"/>
  <c r="AE133" i="3"/>
  <c r="AE103" i="3"/>
  <c r="BJ102" i="3"/>
  <c r="BY82" i="3"/>
  <c r="CI102" i="3"/>
  <c r="AI87" i="3"/>
  <c r="CK94" i="3"/>
  <c r="AC96" i="3"/>
  <c r="BS100" i="3"/>
  <c r="AF160" i="3"/>
  <c r="AF144" i="3"/>
  <c r="AF133" i="3"/>
  <c r="AF139" i="3"/>
  <c r="AF103" i="3"/>
  <c r="AT102" i="3"/>
  <c r="BK102" i="3"/>
  <c r="BP102" i="3"/>
  <c r="CA102" i="3"/>
  <c r="CE82" i="3"/>
  <c r="CJ102" i="3"/>
  <c r="CO102" i="3"/>
  <c r="AO85" i="3"/>
  <c r="AO257" i="1" s="1"/>
  <c r="AO93" i="3"/>
  <c r="BA85" i="3"/>
  <c r="BA257" i="1" s="1"/>
  <c r="BM93" i="3"/>
  <c r="BS94" i="3"/>
  <c r="BY85" i="3"/>
  <c r="BY257" i="1" s="1"/>
  <c r="CE85" i="3"/>
  <c r="CE87" i="3"/>
  <c r="CE93" i="3"/>
  <c r="CE94" i="3"/>
  <c r="CK87" i="3"/>
  <c r="W96" i="3"/>
  <c r="Q160" i="3"/>
  <c r="Q144" i="3"/>
  <c r="Q103" i="3"/>
  <c r="AG160" i="3"/>
  <c r="AG144" i="3"/>
  <c r="AG139" i="3"/>
  <c r="AG133" i="3"/>
  <c r="AG103" i="3"/>
  <c r="BC102" i="3"/>
  <c r="BG82" i="3"/>
  <c r="BL102" i="3"/>
  <c r="BW102" i="3"/>
  <c r="CB102" i="3"/>
  <c r="CG102" i="3"/>
  <c r="CK82" i="3"/>
  <c r="CP102" i="3"/>
  <c r="AC93" i="3"/>
  <c r="BM89" i="3"/>
  <c r="AI96" i="3"/>
  <c r="AU82" i="3"/>
  <c r="BS82" i="3"/>
  <c r="CQ82" i="3"/>
  <c r="G160" i="3"/>
  <c r="G144" i="3"/>
  <c r="G133" i="3"/>
  <c r="G137" i="3" s="1"/>
  <c r="K91" i="3"/>
  <c r="K102" i="3" s="1"/>
  <c r="BY100" i="3"/>
  <c r="CQ97" i="3"/>
  <c r="I160" i="3"/>
  <c r="I144" i="3"/>
  <c r="BS113" i="3"/>
  <c r="BX115" i="3"/>
  <c r="CP115" i="3"/>
  <c r="AI110" i="3"/>
  <c r="AC126" i="3"/>
  <c r="AI122" i="3"/>
  <c r="AI126" i="3"/>
  <c r="M160" i="3"/>
  <c r="M144" i="3"/>
  <c r="M133" i="3"/>
  <c r="M137" i="3" s="1"/>
  <c r="M103" i="3"/>
  <c r="BA112" i="3"/>
  <c r="BG113" i="3"/>
  <c r="BL115" i="3"/>
  <c r="BU115" i="3"/>
  <c r="CM115" i="3"/>
  <c r="AI109" i="3"/>
  <c r="AI125" i="3"/>
  <c r="BG122" i="3"/>
  <c r="Q96" i="3"/>
  <c r="BM98" i="3"/>
  <c r="BS97" i="3"/>
  <c r="CQ101" i="3"/>
  <c r="S160" i="3"/>
  <c r="S144" i="3"/>
  <c r="S133" i="3"/>
  <c r="S103" i="3"/>
  <c r="AC113" i="3"/>
  <c r="BD115" i="3"/>
  <c r="BG112" i="3"/>
  <c r="BI115" i="3"/>
  <c r="BR115" i="3"/>
  <c r="CA115" i="3"/>
  <c r="CN115" i="3"/>
  <c r="AO127" i="3"/>
  <c r="BA96" i="3"/>
  <c r="BG101" i="3"/>
  <c r="BS101" i="3"/>
  <c r="O160" i="3"/>
  <c r="O144" i="3"/>
  <c r="O103" i="3"/>
  <c r="AN115" i="3"/>
  <c r="BA110" i="3"/>
  <c r="BG110" i="3"/>
  <c r="BG114" i="3"/>
  <c r="BJ115" i="3"/>
  <c r="BS110" i="3"/>
  <c r="CO115" i="3"/>
  <c r="AI113" i="3"/>
  <c r="AI123" i="3"/>
  <c r="AI127" i="3"/>
  <c r="AO126" i="3"/>
  <c r="H160" i="3"/>
  <c r="H144" i="3"/>
  <c r="H133" i="3"/>
  <c r="H137" i="3" s="1"/>
  <c r="AC107" i="3"/>
  <c r="BG107" i="3"/>
  <c r="CE107" i="3"/>
  <c r="CW109" i="3"/>
  <c r="AI112" i="3"/>
  <c r="O115" i="3"/>
  <c r="O133" i="3" s="1"/>
  <c r="O137" i="3" s="1"/>
  <c r="AC124" i="3"/>
  <c r="AO120" i="3"/>
  <c r="AT129" i="3"/>
  <c r="BM127" i="3"/>
  <c r="CE125" i="3"/>
  <c r="DI126" i="3"/>
  <c r="N160" i="3"/>
  <c r="N144" i="3"/>
  <c r="N133" i="3"/>
  <c r="N137" i="3" s="1"/>
  <c r="AO107" i="3"/>
  <c r="BM107" i="3"/>
  <c r="CK107" i="3"/>
  <c r="AC120" i="3"/>
  <c r="Y129" i="3"/>
  <c r="AI118" i="3"/>
  <c r="AI124" i="3"/>
  <c r="AO128" i="3"/>
  <c r="AU118" i="3"/>
  <c r="AU128" i="3"/>
  <c r="BA120" i="3"/>
  <c r="BG119" i="3"/>
  <c r="AI107" i="3"/>
  <c r="AU107" i="3"/>
  <c r="BS107" i="3"/>
  <c r="CQ107" i="3"/>
  <c r="AB129" i="3"/>
  <c r="AN129" i="3"/>
  <c r="CQ122" i="3"/>
  <c r="DC123" i="3"/>
  <c r="P160" i="3"/>
  <c r="P144" i="3"/>
  <c r="P133" i="3"/>
  <c r="P137" i="3" s="1"/>
  <c r="Q115" i="3"/>
  <c r="BA107" i="3"/>
  <c r="BY107" i="3"/>
  <c r="DC108" i="3"/>
  <c r="J112" i="3"/>
  <c r="J39" i="3" s="1"/>
  <c r="K39" i="3" s="1"/>
  <c r="I115" i="3"/>
  <c r="I133" i="3" s="1"/>
  <c r="I137" i="3" s="1"/>
  <c r="U129" i="3"/>
  <c r="AI120" i="3"/>
  <c r="AI128" i="3"/>
  <c r="AO124" i="3"/>
  <c r="BG118" i="3"/>
  <c r="BM123" i="3"/>
  <c r="BY121" i="3"/>
  <c r="BS120" i="3"/>
  <c r="V129" i="3"/>
  <c r="BY120" i="3"/>
  <c r="CE120" i="3"/>
  <c r="Q129" i="3"/>
  <c r="BS122" i="3"/>
  <c r="K129" i="3"/>
  <c r="BS126" i="3"/>
  <c r="BS127" i="3"/>
  <c r="BG126" i="3"/>
  <c r="CQ124" i="3"/>
  <c r="AC131" i="3"/>
  <c r="CK120" i="3"/>
  <c r="CQ120" i="3"/>
  <c r="BY131" i="3"/>
  <c r="CE131" i="3"/>
  <c r="DC131" i="3"/>
  <c r="CW15" i="42"/>
  <c r="CY15" i="42"/>
  <c r="CZ15" i="42" s="1"/>
  <c r="DA15" i="42" s="1"/>
  <c r="DB15" i="42" s="1"/>
  <c r="BY27" i="42"/>
  <c r="BA27" i="42"/>
  <c r="J27" i="42"/>
  <c r="K27" i="42" s="1"/>
  <c r="K17" i="42"/>
  <c r="AO27" i="42"/>
  <c r="BJ27" i="42"/>
  <c r="CQ27" i="42"/>
  <c r="CY22" i="42"/>
  <c r="CW11" i="42"/>
  <c r="CY11" i="42"/>
  <c r="CY24" i="42"/>
  <c r="CZ24" i="42" s="1"/>
  <c r="DA24" i="42" s="1"/>
  <c r="DB24" i="42" s="1"/>
  <c r="CW24" i="42"/>
  <c r="CG20" i="42"/>
  <c r="CH20" i="42" s="1"/>
  <c r="CI20" i="42" s="1"/>
  <c r="CJ20" i="42" s="1"/>
  <c r="CK20" i="42" s="1"/>
  <c r="CE20" i="42"/>
  <c r="AO253" i="1"/>
  <c r="BO274" i="1"/>
  <c r="BO276" i="1" s="1"/>
  <c r="BU17" i="42"/>
  <c r="BY17" i="42"/>
  <c r="CC17" i="42"/>
  <c r="CC27" i="42" s="1"/>
  <c r="Q17" i="42"/>
  <c r="V17" i="42"/>
  <c r="AA17" i="42"/>
  <c r="AA27" i="42" s="1"/>
  <c r="AF17" i="42"/>
  <c r="AF27" i="42" s="1"/>
  <c r="AK17" i="42"/>
  <c r="AK27" i="42" s="1"/>
  <c r="AO17" i="42"/>
  <c r="BI27" i="42"/>
  <c r="BM17" i="42"/>
  <c r="BR27" i="42"/>
  <c r="CI17" i="42"/>
  <c r="CI27" i="42" s="1"/>
  <c r="CN27" i="42"/>
  <c r="BU20" i="42"/>
  <c r="BV20" i="42" s="1"/>
  <c r="BW20" i="42" s="1"/>
  <c r="CS20" i="42"/>
  <c r="AL126" i="42"/>
  <c r="AM126" i="42"/>
  <c r="AM122" i="42"/>
  <c r="AL122" i="42"/>
  <c r="AL120" i="42"/>
  <c r="AI26" i="42"/>
  <c r="CD27" i="42"/>
  <c r="C60" i="42"/>
  <c r="J37" i="42"/>
  <c r="J46" i="42" s="1"/>
  <c r="K30" i="42"/>
  <c r="K37" i="42" s="1"/>
  <c r="AA59" i="42"/>
  <c r="AY59" i="42"/>
  <c r="CG46" i="42"/>
  <c r="CG59" i="42" s="1"/>
  <c r="H31" i="42"/>
  <c r="CQ37" i="42"/>
  <c r="AS59" i="42"/>
  <c r="BM46" i="42"/>
  <c r="G39" i="42"/>
  <c r="CW43" i="42"/>
  <c r="CY43" i="42"/>
  <c r="CZ43" i="42" s="1"/>
  <c r="DA43" i="42" s="1"/>
  <c r="DB43" i="42" s="1"/>
  <c r="E46" i="42"/>
  <c r="E59" i="42" s="1"/>
  <c r="E60" i="42" s="1"/>
  <c r="BQ133" i="42"/>
  <c r="BQ57" i="42"/>
  <c r="BQ254" i="1" s="1"/>
  <c r="CC133" i="42"/>
  <c r="CC57" i="42"/>
  <c r="CC254" i="1" s="1"/>
  <c r="CS133" i="42"/>
  <c r="CS57" i="42"/>
  <c r="CS254" i="1" s="1"/>
  <c r="K10" i="42"/>
  <c r="K251" i="1" s="1"/>
  <c r="AB17" i="42"/>
  <c r="AG17" i="42"/>
  <c r="AG27" i="42" s="1"/>
  <c r="AL17" i="42"/>
  <c r="AL27" i="42" s="1"/>
  <c r="AQ17" i="42"/>
  <c r="AQ27" i="42" s="1"/>
  <c r="BO17" i="42"/>
  <c r="BO27" i="42" s="1"/>
  <c r="CK26" i="42"/>
  <c r="M60" i="42"/>
  <c r="W46" i="42"/>
  <c r="AI46" i="42"/>
  <c r="BA46" i="42"/>
  <c r="BY83" i="42"/>
  <c r="CA84" i="42"/>
  <c r="Q46" i="42"/>
  <c r="P59" i="42"/>
  <c r="CP59" i="42"/>
  <c r="CQ46" i="42"/>
  <c r="CW39" i="42"/>
  <c r="CK45" i="42"/>
  <c r="CS46" i="42"/>
  <c r="AC46" i="42"/>
  <c r="BK133" i="42"/>
  <c r="BK57" i="42"/>
  <c r="BK254" i="1" s="1"/>
  <c r="AL177" i="42"/>
  <c r="AL139" i="42"/>
  <c r="AK139" i="42"/>
  <c r="AK56" i="42"/>
  <c r="AB74" i="42"/>
  <c r="BE253" i="1"/>
  <c r="AC14" i="42"/>
  <c r="AK183" i="41" s="1"/>
  <c r="AK184" i="41" s="1"/>
  <c r="BG10" i="42"/>
  <c r="BG251" i="1" s="1"/>
  <c r="BG253" i="1" s="1"/>
  <c r="BW17" i="42"/>
  <c r="CA17" i="42"/>
  <c r="CA27" i="42" s="1"/>
  <c r="Y17" i="42"/>
  <c r="Y27" i="42" s="1"/>
  <c r="AI27" i="42"/>
  <c r="AM17" i="42"/>
  <c r="AM27" i="42" s="1"/>
  <c r="BA17" i="42"/>
  <c r="BF17" i="42"/>
  <c r="CG17" i="42"/>
  <c r="CK17" i="42"/>
  <c r="N60" i="42"/>
  <c r="U30" i="42"/>
  <c r="U37" i="42" s="1"/>
  <c r="U46" i="42" s="1"/>
  <c r="W83" i="42"/>
  <c r="Y84" i="42"/>
  <c r="CY42" i="42"/>
  <c r="CZ42" i="42" s="1"/>
  <c r="DA42" i="42" s="1"/>
  <c r="DB42" i="42" s="1"/>
  <c r="CW42" i="42"/>
  <c r="CD45" i="42"/>
  <c r="CE44" i="42"/>
  <c r="DB48" i="42"/>
  <c r="CY53" i="42"/>
  <c r="CZ53" i="42" s="1"/>
  <c r="DA53" i="42" s="1"/>
  <c r="DB53" i="42" s="1"/>
  <c r="CW53" i="42"/>
  <c r="AF74" i="42"/>
  <c r="W14" i="42"/>
  <c r="Z17" i="42"/>
  <c r="Z27" i="42" s="1"/>
  <c r="AE17" i="42"/>
  <c r="AE27" i="42" s="1"/>
  <c r="BM27" i="42"/>
  <c r="AK122" i="42"/>
  <c r="AI120" i="42"/>
  <c r="AQ122" i="42"/>
  <c r="AO122" i="42"/>
  <c r="AO120" i="42"/>
  <c r="I37" i="42"/>
  <c r="O32" i="42"/>
  <c r="O37" i="42"/>
  <c r="O46" i="42" s="1"/>
  <c r="O59" i="42" s="1"/>
  <c r="O60" i="42" s="1"/>
  <c r="BK59" i="42"/>
  <c r="BK60" i="42" s="1"/>
  <c r="N31" i="42"/>
  <c r="D60" i="42"/>
  <c r="BG32" i="42"/>
  <c r="BF30" i="42"/>
  <c r="BW30" i="42"/>
  <c r="BW37" i="42" s="1"/>
  <c r="BW46" i="42" s="1"/>
  <c r="CC30" i="42"/>
  <c r="CC37" i="42" s="1"/>
  <c r="CC46" i="42" s="1"/>
  <c r="CI30" i="42"/>
  <c r="CI37" i="42" s="1"/>
  <c r="CI46" i="42" s="1"/>
  <c r="AN59" i="42"/>
  <c r="AI40" i="42"/>
  <c r="AI252" i="1" s="1"/>
  <c r="AI253" i="1" s="1"/>
  <c r="AK40" i="42"/>
  <c r="AI48" i="42"/>
  <c r="BG48" i="42"/>
  <c r="DH48" i="42"/>
  <c r="I51" i="42"/>
  <c r="BI133" i="42"/>
  <c r="BI57" i="42"/>
  <c r="BR30" i="42"/>
  <c r="BX30" i="42"/>
  <c r="CD30" i="42"/>
  <c r="CJ30" i="42"/>
  <c r="D32" i="42"/>
  <c r="S84" i="42"/>
  <c r="Q83" i="42"/>
  <c r="AI30" i="42"/>
  <c r="AI37" i="42" s="1"/>
  <c r="BA30" i="42"/>
  <c r="BA37" i="42" s="1"/>
  <c r="BY32" i="42"/>
  <c r="CE83" i="42"/>
  <c r="CG84" i="42"/>
  <c r="BY45" i="42"/>
  <c r="CQ45" i="42"/>
  <c r="AO48" i="42"/>
  <c r="BW48" i="42"/>
  <c r="N52" i="42"/>
  <c r="BO177" i="42"/>
  <c r="BL139" i="42"/>
  <c r="BO139" i="42"/>
  <c r="BV177" i="42"/>
  <c r="BU139" i="42"/>
  <c r="CB177" i="42"/>
  <c r="CA139" i="42"/>
  <c r="BI177" i="42"/>
  <c r="BF139" i="42"/>
  <c r="AC177" i="42"/>
  <c r="T57" i="42"/>
  <c r="T254" i="1" s="1"/>
  <c r="AC56" i="42"/>
  <c r="AC133" i="42" s="1"/>
  <c r="AB57" i="42"/>
  <c r="AB254" i="1" s="1"/>
  <c r="AZ57" i="42"/>
  <c r="BD57" i="42"/>
  <c r="BD254" i="1" s="1"/>
  <c r="BL57" i="42"/>
  <c r="BU56" i="42"/>
  <c r="CN57" i="42"/>
  <c r="CN254" i="1" s="1"/>
  <c r="AY71" i="42"/>
  <c r="AX70" i="42"/>
  <c r="BF70" i="42"/>
  <c r="AM74" i="42"/>
  <c r="BM73" i="42"/>
  <c r="AY73" i="42"/>
  <c r="Z74" i="42"/>
  <c r="AL74" i="42"/>
  <c r="BD71" i="42"/>
  <c r="CP71" i="42"/>
  <c r="BJ177" i="42"/>
  <c r="BI139" i="42"/>
  <c r="BQ177" i="42"/>
  <c r="BP139" i="42"/>
  <c r="BW177" i="42"/>
  <c r="BV139" i="42"/>
  <c r="CC177" i="42"/>
  <c r="CB139" i="42"/>
  <c r="BV56" i="42"/>
  <c r="BV133" i="42" s="1"/>
  <c r="CQ73" i="42"/>
  <c r="AN74" i="42"/>
  <c r="U112" i="42"/>
  <c r="U113" i="42" s="1"/>
  <c r="T110" i="42"/>
  <c r="U110" i="42"/>
  <c r="Q31" i="42"/>
  <c r="AC83" i="42"/>
  <c r="AE84" i="42"/>
  <c r="AU83" i="42"/>
  <c r="AW84" i="42"/>
  <c r="BO84" i="42"/>
  <c r="BM83" i="42"/>
  <c r="BS32" i="42"/>
  <c r="CK32" i="42"/>
  <c r="CQ83" i="42"/>
  <c r="CS84" i="42"/>
  <c r="AT37" i="42"/>
  <c r="AT46" i="42" s="1"/>
  <c r="BS48" i="42"/>
  <c r="BK177" i="42"/>
  <c r="BJ139" i="42"/>
  <c r="BR177" i="42"/>
  <c r="BQ139" i="42"/>
  <c r="BX177" i="42"/>
  <c r="BW139" i="42"/>
  <c r="CD177" i="42"/>
  <c r="CD139" i="42"/>
  <c r="CC139" i="42"/>
  <c r="AS177" i="42"/>
  <c r="AR139" i="42"/>
  <c r="AS139" i="42"/>
  <c r="AI177" i="42"/>
  <c r="J133" i="42"/>
  <c r="J135" i="42"/>
  <c r="K135" i="42" s="1"/>
  <c r="V57" i="42"/>
  <c r="V254" i="1" s="1"/>
  <c r="Z57" i="42"/>
  <c r="Z254" i="1" s="1"/>
  <c r="AU56" i="42"/>
  <c r="AU133" i="42" s="1"/>
  <c r="AT57" i="42"/>
  <c r="BJ57" i="42"/>
  <c r="BJ254" i="1" s="1"/>
  <c r="BS56" i="42"/>
  <c r="BS133" i="42" s="1"/>
  <c r="BW56" i="42"/>
  <c r="BW133" i="42" s="1"/>
  <c r="CE56" i="42"/>
  <c r="CE133" i="42" s="1"/>
  <c r="CD57" i="42"/>
  <c r="CQ56" i="42"/>
  <c r="CQ133" i="42" s="1"/>
  <c r="Q56" i="42"/>
  <c r="Q133" i="42" s="1"/>
  <c r="AT73" i="42"/>
  <c r="AU73" i="42" s="1"/>
  <c r="AG73" i="42"/>
  <c r="AR74" i="42"/>
  <c r="BK71" i="42"/>
  <c r="BR71" i="42"/>
  <c r="CB71" i="42"/>
  <c r="CI71" i="42"/>
  <c r="AQ84" i="42"/>
  <c r="AO83" i="42"/>
  <c r="BG83" i="42"/>
  <c r="BI84" i="42"/>
  <c r="K83" i="42"/>
  <c r="M84" i="42"/>
  <c r="AC30" i="42"/>
  <c r="AI83" i="42"/>
  <c r="AK84" i="42"/>
  <c r="BA83" i="42"/>
  <c r="BC84" i="42"/>
  <c r="BS83" i="42"/>
  <c r="BU84" i="42"/>
  <c r="AC36" i="42"/>
  <c r="CE32" i="42"/>
  <c r="CM84" i="42"/>
  <c r="CK83" i="42"/>
  <c r="M165" i="42"/>
  <c r="BL177" i="42"/>
  <c r="BK139" i="42"/>
  <c r="BU177" i="42"/>
  <c r="BR139" i="42"/>
  <c r="CA177" i="42"/>
  <c r="BX139" i="42"/>
  <c r="AK177" i="42"/>
  <c r="AH139" i="42"/>
  <c r="AI139" i="42" s="1"/>
  <c r="Q177" i="42"/>
  <c r="AI53" i="42"/>
  <c r="AO177" i="42" s="1"/>
  <c r="AU177" i="42"/>
  <c r="BG177" i="42"/>
  <c r="BS177" i="42"/>
  <c r="BY51" i="42"/>
  <c r="CE177" i="42" s="1"/>
  <c r="CQ177" i="42"/>
  <c r="S57" i="42"/>
  <c r="S254" i="1" s="1"/>
  <c r="AE57" i="42"/>
  <c r="AE254" i="1" s="1"/>
  <c r="AM57" i="42"/>
  <c r="AM254" i="1" s="1"/>
  <c r="AQ57" i="42"/>
  <c r="AQ254" i="1" s="1"/>
  <c r="BC57" i="42"/>
  <c r="BC254" i="1" s="1"/>
  <c r="BP56" i="42"/>
  <c r="BO57" i="42"/>
  <c r="BO254" i="1" s="1"/>
  <c r="BX56" i="42"/>
  <c r="BX133" i="42" s="1"/>
  <c r="CB56" i="42"/>
  <c r="CA57" i="42"/>
  <c r="CA254" i="1" s="1"/>
  <c r="CM57" i="42"/>
  <c r="CM254" i="1" s="1"/>
  <c r="AA74" i="42"/>
  <c r="BF112" i="42"/>
  <c r="BI113" i="42"/>
  <c r="Q79" i="42"/>
  <c r="J81" i="42"/>
  <c r="K81" i="42" s="1"/>
  <c r="O81" i="42"/>
  <c r="E101" i="42"/>
  <c r="AC109" i="42"/>
  <c r="BO110" i="42"/>
  <c r="BY109" i="42"/>
  <c r="BY110" i="42" s="1"/>
  <c r="S110" i="42"/>
  <c r="AQ110" i="42"/>
  <c r="T112" i="42"/>
  <c r="T113" i="42" s="1"/>
  <c r="AE112" i="42"/>
  <c r="AE113" i="42" s="1"/>
  <c r="AQ112" i="42"/>
  <c r="AQ113" i="42" s="1"/>
  <c r="W115" i="42"/>
  <c r="CQ115" i="42"/>
  <c r="K56" i="442" s="1"/>
  <c r="CC125" i="42"/>
  <c r="CC122" i="42" s="1"/>
  <c r="K79" i="42"/>
  <c r="P81" i="42"/>
  <c r="H85" i="42"/>
  <c r="N85" i="42"/>
  <c r="AO109" i="42"/>
  <c r="CK109" i="42"/>
  <c r="CK110" i="42" s="1"/>
  <c r="AR110" i="42"/>
  <c r="AF112" i="42"/>
  <c r="AF113" i="42" s="1"/>
  <c r="AR112" i="42"/>
  <c r="AR113" i="42" s="1"/>
  <c r="BS115" i="42"/>
  <c r="AY126" i="42"/>
  <c r="AZ126" i="42" s="1"/>
  <c r="BC126" i="42" s="1"/>
  <c r="BD126" i="42" s="1"/>
  <c r="BE126" i="42" s="1"/>
  <c r="BF126" i="42" s="1"/>
  <c r="BI126" i="42" s="1"/>
  <c r="BJ126" i="42" s="1"/>
  <c r="BK126" i="42" s="1"/>
  <c r="BL126" i="42" s="1"/>
  <c r="BO126" i="42" s="1"/>
  <c r="BP126" i="42" s="1"/>
  <c r="BQ126" i="42" s="1"/>
  <c r="BR126" i="42" s="1"/>
  <c r="BU126" i="42" s="1"/>
  <c r="BV126" i="42" s="1"/>
  <c r="BV125" i="42" s="1"/>
  <c r="BV122" i="42" s="1"/>
  <c r="BG139" i="42"/>
  <c r="I85" i="42"/>
  <c r="V110" i="42"/>
  <c r="AZ110" i="42"/>
  <c r="P115" i="42"/>
  <c r="CE115" i="42"/>
  <c r="I56" i="442" s="1"/>
  <c r="I57" i="442" s="1"/>
  <c r="C103" i="42"/>
  <c r="J115" i="42"/>
  <c r="J110" i="42"/>
  <c r="BA109" i="42"/>
  <c r="BA110" i="42" s="1"/>
  <c r="BM109" i="42"/>
  <c r="BM110" i="42" s="1"/>
  <c r="BD112" i="42"/>
  <c r="BD105" i="42" s="1"/>
  <c r="BD110" i="42" s="1"/>
  <c r="BA115" i="42"/>
  <c r="CK115" i="42"/>
  <c r="J56" i="442" s="1"/>
  <c r="BM115" i="42"/>
  <c r="BD125" i="42"/>
  <c r="BD122" i="42" s="1"/>
  <c r="CH126" i="42"/>
  <c r="CI126" i="42" s="1"/>
  <c r="CJ126" i="42" s="1"/>
  <c r="CM126" i="42" s="1"/>
  <c r="CG125" i="42"/>
  <c r="N135" i="42"/>
  <c r="AU115" i="42"/>
  <c r="AR126" i="42"/>
  <c r="CK139" i="42"/>
  <c r="AU146" i="42"/>
  <c r="AY145" i="42"/>
  <c r="AX126" i="42"/>
  <c r="AQ126" i="42"/>
  <c r="CQ139" i="42"/>
  <c r="AL145" i="42"/>
  <c r="AO146" i="42"/>
  <c r="AO152" i="42" s="1"/>
  <c r="CH145" i="42"/>
  <c r="CK146" i="42"/>
  <c r="CK152" i="42" s="1"/>
  <c r="DF144" i="42"/>
  <c r="AC146" i="42"/>
  <c r="AT125" i="42"/>
  <c r="U145" i="42"/>
  <c r="AY162" i="42"/>
  <c r="CD125" i="42"/>
  <c r="CD122" i="42" s="1"/>
  <c r="W139" i="42"/>
  <c r="BE171" i="42"/>
  <c r="BE175" i="42" s="1"/>
  <c r="BE162" i="42"/>
  <c r="BE169" i="42" s="1"/>
  <c r="AC139" i="42"/>
  <c r="BA139" i="42"/>
  <c r="CN169" i="42"/>
  <c r="CN172" i="42" s="1"/>
  <c r="CN178" i="42" s="1"/>
  <c r="CN179" i="42" s="1"/>
  <c r="BS144" i="42"/>
  <c r="BS147" i="42" s="1"/>
  <c r="BO145" i="42"/>
  <c r="BY144" i="42"/>
  <c r="BY147" i="42" s="1"/>
  <c r="BU145" i="42"/>
  <c r="CE144" i="42"/>
  <c r="CE147" i="42" s="1"/>
  <c r="CA145" i="42"/>
  <c r="CK144" i="42"/>
  <c r="CK147" i="42" s="1"/>
  <c r="CG145" i="42"/>
  <c r="CQ144" i="42"/>
  <c r="CQ147" i="42" s="1"/>
  <c r="CM145" i="42"/>
  <c r="CS145" i="42"/>
  <c r="AL155" i="42"/>
  <c r="AL157" i="42" s="1"/>
  <c r="AT155" i="42"/>
  <c r="AT157" i="42" s="1"/>
  <c r="M171" i="42"/>
  <c r="M175" i="42" s="1"/>
  <c r="M162" i="42"/>
  <c r="N160" i="42"/>
  <c r="AK171" i="42"/>
  <c r="AK175" i="42" s="1"/>
  <c r="AK162" i="42"/>
  <c r="AK46" i="3" s="1"/>
  <c r="AL160" i="42"/>
  <c r="BC162" i="42"/>
  <c r="AY168" i="42"/>
  <c r="AZ168" i="42" s="1"/>
  <c r="AC151" i="42"/>
  <c r="BG151" i="42"/>
  <c r="BY151" i="42"/>
  <c r="Y157" i="42"/>
  <c r="AA155" i="42"/>
  <c r="AW157" i="42"/>
  <c r="AY155" i="42"/>
  <c r="AY157" i="42" s="1"/>
  <c r="AS155" i="42"/>
  <c r="AS157" i="42" s="1"/>
  <c r="AU157" i="42" s="1"/>
  <c r="U155" i="42"/>
  <c r="U157" i="42" s="1"/>
  <c r="AX157" i="42"/>
  <c r="AE171" i="42"/>
  <c r="AF160" i="42"/>
  <c r="AS160" i="42"/>
  <c r="AU161" i="42" s="1"/>
  <c r="BK160" i="42"/>
  <c r="BQ160" i="42"/>
  <c r="BW160" i="42"/>
  <c r="CC160" i="42"/>
  <c r="CE161" i="42" s="1"/>
  <c r="CI160" i="42"/>
  <c r="CK161" i="42" s="1"/>
  <c r="CO171" i="42"/>
  <c r="CO175" i="42" s="1"/>
  <c r="CO162" i="42"/>
  <c r="DE171" i="42"/>
  <c r="DE162" i="42"/>
  <c r="DE46" i="3" s="1"/>
  <c r="DF160" i="42"/>
  <c r="BO162" i="42"/>
  <c r="BO46" i="3" s="1"/>
  <c r="AU151" i="42"/>
  <c r="BM151" i="42"/>
  <c r="BM152" i="42" s="1"/>
  <c r="CQ151" i="42"/>
  <c r="AF157" i="42"/>
  <c r="AI157" i="42" s="1"/>
  <c r="Y171" i="42"/>
  <c r="Y175" i="42" s="1"/>
  <c r="Y162" i="42"/>
  <c r="Z160" i="42"/>
  <c r="AA160" i="42" s="1"/>
  <c r="BF171" i="42"/>
  <c r="BF175" i="42" s="1"/>
  <c r="BR171" i="42"/>
  <c r="BR175" i="42" s="1"/>
  <c r="BX171" i="42"/>
  <c r="BX175" i="42" s="1"/>
  <c r="CD171" i="42"/>
  <c r="CD175" i="42" s="1"/>
  <c r="CJ171" i="42"/>
  <c r="CJ175" i="42" s="1"/>
  <c r="CY171" i="42"/>
  <c r="CZ160" i="42"/>
  <c r="DA160" i="42" s="1"/>
  <c r="BF162" i="42"/>
  <c r="CA162" i="42"/>
  <c r="CA46" i="3" s="1"/>
  <c r="Q151" i="42"/>
  <c r="AI151" i="42"/>
  <c r="CE151" i="42"/>
  <c r="AI156" i="42"/>
  <c r="BY157" i="42"/>
  <c r="S171" i="42"/>
  <c r="T160" i="42"/>
  <c r="U160" i="42" s="1"/>
  <c r="AQ171" i="42"/>
  <c r="AW171" i="42"/>
  <c r="AW175" i="42" s="1"/>
  <c r="AW162" i="42"/>
  <c r="BI162" i="42"/>
  <c r="BU171" i="42"/>
  <c r="BU175" i="42" s="1"/>
  <c r="BU162" i="42"/>
  <c r="BU46" i="3" s="1"/>
  <c r="CG171" i="42"/>
  <c r="CG175" i="42" s="1"/>
  <c r="CG162" i="42"/>
  <c r="CG46" i="3" s="1"/>
  <c r="CS171" i="42"/>
  <c r="CS175" i="42" s="1"/>
  <c r="CS162" i="42"/>
  <c r="CS169" i="42" s="1"/>
  <c r="AQ162" i="42"/>
  <c r="BG161" i="42"/>
  <c r="BL162" i="42"/>
  <c r="BR162" i="42"/>
  <c r="BR46" i="3" s="1"/>
  <c r="CM162" i="42"/>
  <c r="AT168" i="42"/>
  <c r="AR171" i="42"/>
  <c r="AR175" i="42" s="1"/>
  <c r="BP171" i="42"/>
  <c r="BP175" i="42" s="1"/>
  <c r="CB171" i="42"/>
  <c r="CB175" i="42" s="1"/>
  <c r="CN171" i="42"/>
  <c r="CN175" i="42" s="1"/>
  <c r="AS165" i="42"/>
  <c r="BV165" i="42"/>
  <c r="BY165" i="42" s="1"/>
  <c r="AU182" i="42"/>
  <c r="CQ182" i="42"/>
  <c r="P186" i="42"/>
  <c r="V186" i="42"/>
  <c r="V185" i="42" s="1"/>
  <c r="BY182" i="42"/>
  <c r="CE182" i="42"/>
  <c r="N185" i="42"/>
  <c r="CS266" i="42"/>
  <c r="AA186" i="42"/>
  <c r="AA185" i="42" s="1"/>
  <c r="M185" i="42"/>
  <c r="S185" i="42"/>
  <c r="Y185" i="42"/>
  <c r="BX268" i="42"/>
  <c r="CA268" i="42" s="1"/>
  <c r="BW269" i="42"/>
  <c r="CS276" i="42"/>
  <c r="S213" i="42"/>
  <c r="AA230" i="42"/>
  <c r="Z207" i="42"/>
  <c r="Z214" i="42" s="1"/>
  <c r="V207" i="42"/>
  <c r="V214" i="42" s="1"/>
  <c r="BV267" i="42"/>
  <c r="BW267" i="42" s="1"/>
  <c r="BX267" i="42" s="1"/>
  <c r="CA267" i="42" s="1"/>
  <c r="BV270" i="42"/>
  <c r="BW266" i="42"/>
  <c r="S215" i="42"/>
  <c r="S214" i="42"/>
  <c r="K246" i="42"/>
  <c r="Q229" i="42"/>
  <c r="Q233" i="42" s="1"/>
  <c r="W207" i="42"/>
  <c r="AB231" i="42"/>
  <c r="AB208" i="42" s="1"/>
  <c r="AB215" i="42" s="1"/>
  <c r="AA208" i="42"/>
  <c r="AA215" i="42" s="1"/>
  <c r="U243" i="42"/>
  <c r="U208" i="42"/>
  <c r="CU275" i="42"/>
  <c r="V231" i="42"/>
  <c r="V208" i="42" s="1"/>
  <c r="V215" i="42" s="1"/>
  <c r="BQ264" i="42"/>
  <c r="CB266" i="42"/>
  <c r="E209" i="42"/>
  <c r="BC264" i="42"/>
  <c r="BD263" i="42"/>
  <c r="BQ262" i="42"/>
  <c r="BU263" i="42"/>
  <c r="BJ262" i="42"/>
  <c r="BP262" i="42"/>
  <c r="BF264" i="42"/>
  <c r="BL264" i="42"/>
  <c r="BR264" i="42"/>
  <c r="DI150" i="1"/>
  <c r="BS154" i="1"/>
  <c r="AI160" i="1"/>
  <c r="AI152" i="1" s="1"/>
  <c r="K156" i="1"/>
  <c r="CE154" i="1"/>
  <c r="CK154" i="1"/>
  <c r="CQ154" i="1"/>
  <c r="CW154" i="1"/>
  <c r="AC156" i="1"/>
  <c r="DC150" i="1"/>
  <c r="W163" i="1"/>
  <c r="BX253" i="1"/>
  <c r="P264" i="1"/>
  <c r="BA269" i="1"/>
  <c r="N264" i="1"/>
  <c r="CE124" i="1"/>
  <c r="CD124" i="1"/>
  <c r="CC124" i="1"/>
  <c r="CB124" i="1"/>
  <c r="CA124" i="1"/>
  <c r="BY124" i="1"/>
  <c r="BX124" i="1"/>
  <c r="BW124" i="1"/>
  <c r="BV124" i="1"/>
  <c r="BU124" i="1"/>
  <c r="BS124" i="1"/>
  <c r="BR124" i="1"/>
  <c r="BQ124" i="1"/>
  <c r="BP124" i="1"/>
  <c r="BO124" i="1"/>
  <c r="BM124" i="1"/>
  <c r="BL124" i="1"/>
  <c r="BK124" i="1"/>
  <c r="BJ124" i="1"/>
  <c r="BI124" i="1"/>
  <c r="BG124" i="1"/>
  <c r="BF124" i="1"/>
  <c r="CI123" i="1"/>
  <c r="CM122" i="1"/>
  <c r="CI122" i="1"/>
  <c r="CN122" i="1"/>
  <c r="CJ122" i="1"/>
  <c r="CJ123" i="1"/>
  <c r="CP123" i="1"/>
  <c r="CO123" i="1"/>
  <c r="CK122" i="1"/>
  <c r="CN123" i="1"/>
  <c r="CK123" i="1"/>
  <c r="CQ122" i="1"/>
  <c r="CQ123" i="1"/>
  <c r="CO122" i="1"/>
  <c r="CM123" i="1"/>
  <c r="CP122" i="1"/>
  <c r="DG48" i="41" l="1"/>
  <c r="DH48" i="41" s="1"/>
  <c r="DI48" i="41" s="1"/>
  <c r="DJ48" i="41" s="1"/>
  <c r="DM48" i="41" s="1"/>
  <c r="DN48" i="41" s="1"/>
  <c r="DO48" i="41" s="1"/>
  <c r="DP48" i="41" s="1"/>
  <c r="DS48" i="41" s="1"/>
  <c r="DT48" i="41" s="1"/>
  <c r="DU48" i="41" s="1"/>
  <c r="DV48" i="41" s="1"/>
  <c r="DD48" i="41"/>
  <c r="BS57" i="42"/>
  <c r="BS254" i="1" s="1"/>
  <c r="CV56" i="1"/>
  <c r="CV50" i="1"/>
  <c r="K51" i="442"/>
  <c r="CQ257" i="1"/>
  <c r="AF262" i="1"/>
  <c r="AF263" i="1"/>
  <c r="Q262" i="1"/>
  <c r="Q256" i="1"/>
  <c r="Q243" i="1"/>
  <c r="AE262" i="1"/>
  <c r="AE263" i="1"/>
  <c r="AE256" i="1"/>
  <c r="DL268" i="42"/>
  <c r="DM268" i="42" s="1"/>
  <c r="DN268" i="42" s="1"/>
  <c r="BG187" i="41"/>
  <c r="AA60" i="42"/>
  <c r="BX193" i="41"/>
  <c r="AN324" i="41"/>
  <c r="I147" i="442"/>
  <c r="I148" i="442" s="1"/>
  <c r="E143" i="442"/>
  <c r="I145" i="442"/>
  <c r="I153" i="442"/>
  <c r="I151" i="442" s="1"/>
  <c r="I152" i="442" s="1"/>
  <c r="E145" i="442"/>
  <c r="K112" i="3"/>
  <c r="K115" i="3" s="1"/>
  <c r="CE108" i="3"/>
  <c r="CB115" i="3"/>
  <c r="BA97" i="3"/>
  <c r="BS114" i="3"/>
  <c r="BM96" i="3"/>
  <c r="BA91" i="3"/>
  <c r="CD102" i="3"/>
  <c r="CN102" i="3"/>
  <c r="AU91" i="3"/>
  <c r="CE92" i="3"/>
  <c r="AU90" i="3"/>
  <c r="BA90" i="3"/>
  <c r="BM124" i="3"/>
  <c r="BS121" i="3"/>
  <c r="AZ321" i="41"/>
  <c r="AB324" i="41"/>
  <c r="V321" i="41"/>
  <c r="AW106" i="41"/>
  <c r="BU106" i="41"/>
  <c r="AC27" i="41"/>
  <c r="AZ27" i="41"/>
  <c r="AN27" i="41"/>
  <c r="AB27" i="41"/>
  <c r="DK56" i="1"/>
  <c r="DO49" i="1"/>
  <c r="DN92" i="1"/>
  <c r="DN151" i="42"/>
  <c r="DL92" i="1"/>
  <c r="DL151" i="42"/>
  <c r="DM92" i="1"/>
  <c r="DM151" i="42"/>
  <c r="Q133" i="3"/>
  <c r="Q137" i="3" s="1"/>
  <c r="S135" i="3" s="1"/>
  <c r="W135" i="3" s="1"/>
  <c r="C60" i="3"/>
  <c r="C64" i="3" s="1"/>
  <c r="O110" i="442"/>
  <c r="D152" i="442"/>
  <c r="I163" i="442"/>
  <c r="I96" i="442"/>
  <c r="H135" i="442"/>
  <c r="D135" i="442"/>
  <c r="D96" i="442"/>
  <c r="C132" i="442"/>
  <c r="E163" i="442"/>
  <c r="G104" i="442"/>
  <c r="H94" i="442"/>
  <c r="P34" i="442"/>
  <c r="H96" i="442"/>
  <c r="G139" i="442"/>
  <c r="G94" i="442"/>
  <c r="D94" i="442"/>
  <c r="AC125" i="3"/>
  <c r="BS123" i="3"/>
  <c r="AI152" i="42"/>
  <c r="BG152" i="42"/>
  <c r="BS146" i="42"/>
  <c r="BS152" i="42" s="1"/>
  <c r="CO70" i="42"/>
  <c r="CC70" i="42"/>
  <c r="BY71" i="42"/>
  <c r="BG94" i="3"/>
  <c r="CE152" i="42"/>
  <c r="BU70" i="42"/>
  <c r="BW70" i="42"/>
  <c r="CA70" i="42"/>
  <c r="CD70" i="42"/>
  <c r="CN70" i="42"/>
  <c r="BR187" i="41"/>
  <c r="AP187" i="41"/>
  <c r="X187" i="41"/>
  <c r="CJ187" i="41"/>
  <c r="DA193" i="41"/>
  <c r="CC187" i="41"/>
  <c r="BL187" i="41"/>
  <c r="AN187" i="41"/>
  <c r="P187" i="41"/>
  <c r="BE187" i="41"/>
  <c r="BI163" i="41"/>
  <c r="O70" i="41"/>
  <c r="V187" i="41"/>
  <c r="AG263" i="1"/>
  <c r="AG262" i="1"/>
  <c r="AG256" i="1"/>
  <c r="P176" i="41"/>
  <c r="Y19" i="41"/>
  <c r="CE257" i="1"/>
  <c r="I51" i="442"/>
  <c r="CC42" i="3"/>
  <c r="CC111" i="3"/>
  <c r="CC115" i="3" s="1"/>
  <c r="DG121" i="3"/>
  <c r="DF121" i="3"/>
  <c r="BX269" i="42"/>
  <c r="CA269" i="42" s="1"/>
  <c r="CB269" i="42" s="1"/>
  <c r="CC269" i="42" s="1"/>
  <c r="CD269" i="42" s="1"/>
  <c r="CG269" i="42" s="1"/>
  <c r="CH269" i="42" s="1"/>
  <c r="CI269" i="42" s="1"/>
  <c r="CJ269" i="42" s="1"/>
  <c r="CM269" i="42" s="1"/>
  <c r="CN269" i="42" s="1"/>
  <c r="CO269" i="42" s="1"/>
  <c r="CP269" i="42" s="1"/>
  <c r="CS269" i="42" s="1"/>
  <c r="CT269" i="42" s="1"/>
  <c r="CU269" i="42" s="1"/>
  <c r="AT171" i="42"/>
  <c r="AT175" i="42" s="1"/>
  <c r="P145" i="3"/>
  <c r="N145" i="3"/>
  <c r="BO115" i="3"/>
  <c r="BA113" i="3"/>
  <c r="BA115" i="3" s="1"/>
  <c r="O145" i="3"/>
  <c r="BV115" i="3"/>
  <c r="BM112" i="3"/>
  <c r="CK88" i="3"/>
  <c r="CE91" i="3"/>
  <c r="W119" i="3"/>
  <c r="W129" i="3" s="1"/>
  <c r="CK24" i="3"/>
  <c r="CJ96" i="3"/>
  <c r="CU324" i="41"/>
  <c r="CK324" i="41"/>
  <c r="BR328" i="41"/>
  <c r="BL324" i="41"/>
  <c r="BM128" i="3"/>
  <c r="BE56" i="3"/>
  <c r="CW122" i="3"/>
  <c r="AC112" i="3"/>
  <c r="BA99" i="3"/>
  <c r="BD129" i="3"/>
  <c r="DB126" i="3"/>
  <c r="BM110" i="3"/>
  <c r="BM115" i="3" s="1"/>
  <c r="G60" i="3"/>
  <c r="BA122" i="3"/>
  <c r="CK110" i="3"/>
  <c r="CK108" i="3"/>
  <c r="BA100" i="3"/>
  <c r="BM99" i="3"/>
  <c r="AO97" i="3"/>
  <c r="BP112" i="3"/>
  <c r="BP115" i="3" s="1"/>
  <c r="CE88" i="3"/>
  <c r="BG99" i="3"/>
  <c r="CW89" i="3"/>
  <c r="CJ67" i="3"/>
  <c r="CW90" i="3"/>
  <c r="AO91" i="3"/>
  <c r="BF320" i="41"/>
  <c r="CW187" i="41"/>
  <c r="BT187" i="41"/>
  <c r="AZ187" i="41"/>
  <c r="AJ187" i="41"/>
  <c r="AG171" i="41"/>
  <c r="BI106" i="41"/>
  <c r="AO27" i="41"/>
  <c r="BL70" i="42"/>
  <c r="AU169" i="41"/>
  <c r="AN40" i="41"/>
  <c r="AL99" i="3"/>
  <c r="J51" i="442"/>
  <c r="CK257" i="1"/>
  <c r="AH115" i="42"/>
  <c r="AH255" i="1"/>
  <c r="AH257" i="1"/>
  <c r="AH109" i="42"/>
  <c r="AH102" i="42"/>
  <c r="AK102" i="42" s="1"/>
  <c r="AL102" i="42" s="1"/>
  <c r="AM102" i="42" s="1"/>
  <c r="AN102" i="42" s="1"/>
  <c r="AQ102" i="42" s="1"/>
  <c r="AR102" i="42" s="1"/>
  <c r="AS102" i="42" s="1"/>
  <c r="AT102" i="42" s="1"/>
  <c r="AW102" i="42" s="1"/>
  <c r="AX102" i="42" s="1"/>
  <c r="AY102" i="42" s="1"/>
  <c r="AZ102" i="42" s="1"/>
  <c r="BC102" i="42" s="1"/>
  <c r="BD102" i="42" s="1"/>
  <c r="BE102" i="42" s="1"/>
  <c r="BF102" i="42" s="1"/>
  <c r="BI102" i="42" s="1"/>
  <c r="BJ102" i="42" s="1"/>
  <c r="BK102" i="42" s="1"/>
  <c r="BL102" i="42" s="1"/>
  <c r="BO102" i="42" s="1"/>
  <c r="BP102" i="42" s="1"/>
  <c r="BQ102" i="42" s="1"/>
  <c r="BR102" i="42" s="1"/>
  <c r="BU102" i="42" s="1"/>
  <c r="BV102" i="42" s="1"/>
  <c r="BW102" i="42" s="1"/>
  <c r="BX102" i="42" s="1"/>
  <c r="CA102" i="42" s="1"/>
  <c r="CB102" i="42" s="1"/>
  <c r="CC102" i="42" s="1"/>
  <c r="CD102" i="42" s="1"/>
  <c r="CG102" i="42" s="1"/>
  <c r="CH102" i="42" s="1"/>
  <c r="CI102" i="42" s="1"/>
  <c r="CJ102" i="42" s="1"/>
  <c r="CM102" i="42" s="1"/>
  <c r="CN102" i="42" s="1"/>
  <c r="CO102" i="42" s="1"/>
  <c r="CP102" i="42" s="1"/>
  <c r="CS102" i="42" s="1"/>
  <c r="CP328" i="41"/>
  <c r="BR321" i="41"/>
  <c r="AT321" i="41"/>
  <c r="AT324" i="41"/>
  <c r="AN328" i="41"/>
  <c r="AH328" i="41"/>
  <c r="V328" i="41"/>
  <c r="BQ187" i="41"/>
  <c r="U187" i="41"/>
  <c r="P146" i="41"/>
  <c r="R67" i="41"/>
  <c r="M30" i="3"/>
  <c r="BX169" i="42"/>
  <c r="BX181" i="42" s="1"/>
  <c r="AR57" i="42"/>
  <c r="AR254" i="1" s="1"/>
  <c r="AR169" i="42"/>
  <c r="AR172" i="42" s="1"/>
  <c r="AR178" i="42" s="1"/>
  <c r="AR179" i="42" s="1"/>
  <c r="P155" i="42"/>
  <c r="AC152" i="42"/>
  <c r="CE165" i="42"/>
  <c r="AN41" i="41"/>
  <c r="BF125" i="42"/>
  <c r="BF122" i="42" s="1"/>
  <c r="BP125" i="42"/>
  <c r="BP122" i="42" s="1"/>
  <c r="BS128" i="3"/>
  <c r="AC128" i="3"/>
  <c r="AA129" i="3"/>
  <c r="DG170" i="41"/>
  <c r="DM170" i="41" s="1"/>
  <c r="DS170" i="41" s="1"/>
  <c r="CT274" i="1"/>
  <c r="CT276" i="1" s="1"/>
  <c r="AW59" i="42"/>
  <c r="CS59" i="42"/>
  <c r="CK182" i="42"/>
  <c r="CQ165" i="42"/>
  <c r="V213" i="42"/>
  <c r="E210" i="42"/>
  <c r="E217" i="42" s="1"/>
  <c r="AN45" i="41"/>
  <c r="AH46" i="41"/>
  <c r="O46" i="41"/>
  <c r="S44" i="41"/>
  <c r="O67" i="41"/>
  <c r="CZ47" i="3"/>
  <c r="CZ120" i="3" s="1"/>
  <c r="BY125" i="41"/>
  <c r="CP99" i="41"/>
  <c r="AQ12" i="41"/>
  <c r="AS125" i="41"/>
  <c r="AV125" i="41"/>
  <c r="AS54" i="41"/>
  <c r="AS37" i="41"/>
  <c r="AS32" i="41"/>
  <c r="AT36" i="41"/>
  <c r="AP58" i="41"/>
  <c r="AU125" i="41"/>
  <c r="BR9" i="41"/>
  <c r="BS8" i="41"/>
  <c r="M44" i="41"/>
  <c r="BO12" i="41"/>
  <c r="AT125" i="41"/>
  <c r="AI187" i="41"/>
  <c r="BL328" i="41"/>
  <c r="CM187" i="41"/>
  <c r="AK19" i="41"/>
  <c r="CG187" i="41"/>
  <c r="CN181" i="42"/>
  <c r="CK165" i="42"/>
  <c r="M135" i="42"/>
  <c r="BI125" i="42"/>
  <c r="BI122" i="42" s="1"/>
  <c r="BJ125" i="42"/>
  <c r="BJ122" i="42" s="1"/>
  <c r="CQ57" i="42"/>
  <c r="CQ254" i="1" s="1"/>
  <c r="CP254" i="1"/>
  <c r="AY182" i="42"/>
  <c r="AX165" i="42"/>
  <c r="AX169" i="42" s="1"/>
  <c r="AE181" i="42"/>
  <c r="CI59" i="42"/>
  <c r="CI60" i="42" s="1"/>
  <c r="BQ59" i="42"/>
  <c r="BQ60" i="42" s="1"/>
  <c r="V45" i="41"/>
  <c r="AM46" i="41"/>
  <c r="Y44" i="41"/>
  <c r="P41" i="41"/>
  <c r="P46" i="41"/>
  <c r="G44" i="41"/>
  <c r="G48" i="41" s="1"/>
  <c r="P45" i="41"/>
  <c r="AU171" i="41"/>
  <c r="BA171" i="41"/>
  <c r="AU170" i="41"/>
  <c r="R176" i="41"/>
  <c r="AV172" i="41"/>
  <c r="CH181" i="42"/>
  <c r="CH172" i="42"/>
  <c r="CH178" i="42" s="1"/>
  <c r="CH179" i="42" s="1"/>
  <c r="R146" i="41"/>
  <c r="CP276" i="1"/>
  <c r="CA270" i="42"/>
  <c r="W208" i="42"/>
  <c r="Q186" i="42"/>
  <c r="Q185" i="42" s="1"/>
  <c r="AM155" i="42"/>
  <c r="CQ152" i="42"/>
  <c r="AU152" i="42"/>
  <c r="AW46" i="3"/>
  <c r="AW56" i="3" s="1"/>
  <c r="CH70" i="42"/>
  <c r="AB71" i="42"/>
  <c r="AU139" i="42"/>
  <c r="CD169" i="42"/>
  <c r="CD181" i="42" s="1"/>
  <c r="CJ48" i="42"/>
  <c r="CJ57" i="42" s="1"/>
  <c r="BE70" i="42"/>
  <c r="CB169" i="42"/>
  <c r="CB172" i="42" s="1"/>
  <c r="CB178" i="42" s="1"/>
  <c r="CB179" i="42" s="1"/>
  <c r="BV70" i="42"/>
  <c r="AH57" i="42"/>
  <c r="AH59" i="42" s="1"/>
  <c r="AH60" i="42" s="1"/>
  <c r="K253" i="1"/>
  <c r="BC70" i="42"/>
  <c r="Y115" i="3"/>
  <c r="AU99" i="3"/>
  <c r="BP70" i="42"/>
  <c r="DA187" i="41"/>
  <c r="CD187" i="41"/>
  <c r="BF187" i="41"/>
  <c r="BA187" i="41"/>
  <c r="Y187" i="41"/>
  <c r="CI187" i="41"/>
  <c r="CW193" i="41"/>
  <c r="CM184" i="41"/>
  <c r="CO160" i="41"/>
  <c r="CO187" i="41" s="1"/>
  <c r="BH172" i="41"/>
  <c r="W153" i="41"/>
  <c r="BB187" i="41"/>
  <c r="CO59" i="42"/>
  <c r="CO60" i="42" s="1"/>
  <c r="CK253" i="1"/>
  <c r="CC324" i="41"/>
  <c r="BA324" i="41"/>
  <c r="CY106" i="41"/>
  <c r="CQ145" i="42"/>
  <c r="AB325" i="41"/>
  <c r="BE324" i="41"/>
  <c r="BZ324" i="41"/>
  <c r="AI321" i="41"/>
  <c r="U324" i="41"/>
  <c r="AB46" i="41"/>
  <c r="AB40" i="41"/>
  <c r="AN42" i="41"/>
  <c r="D42" i="41"/>
  <c r="D41" i="41"/>
  <c r="AG41" i="41"/>
  <c r="AH42" i="41"/>
  <c r="V42" i="41"/>
  <c r="Q24" i="3"/>
  <c r="DE119" i="3"/>
  <c r="AL119" i="3"/>
  <c r="AK119" i="3"/>
  <c r="AK56" i="3"/>
  <c r="BV46" i="3"/>
  <c r="BV119" i="3" s="1"/>
  <c r="BU119" i="3"/>
  <c r="AS75" i="42"/>
  <c r="AT74" i="42" s="1"/>
  <c r="AS74" i="42"/>
  <c r="BR119" i="3"/>
  <c r="BS46" i="3"/>
  <c r="BE172" i="42"/>
  <c r="BE178" i="42" s="1"/>
  <c r="BE179" i="42" s="1"/>
  <c r="BE181" i="42"/>
  <c r="CE125" i="42"/>
  <c r="AK252" i="1"/>
  <c r="AK253" i="1" s="1"/>
  <c r="AK46" i="42"/>
  <c r="W75" i="42"/>
  <c r="AE183" i="41"/>
  <c r="CZ22" i="42"/>
  <c r="BI254" i="1"/>
  <c r="BI59" i="42"/>
  <c r="BI60" i="42" s="1"/>
  <c r="BY101" i="3"/>
  <c r="BU102" i="3"/>
  <c r="BU160" i="3" s="1"/>
  <c r="BU186" i="41"/>
  <c r="BO184" i="41"/>
  <c r="BO186" i="41"/>
  <c r="CM169" i="42"/>
  <c r="CM181" i="42" s="1"/>
  <c r="CM46" i="3"/>
  <c r="CH46" i="3"/>
  <c r="CH119" i="3" s="1"/>
  <c r="CG119" i="3"/>
  <c r="BP46" i="3"/>
  <c r="BP119" i="3" s="1"/>
  <c r="BO119" i="3"/>
  <c r="DE44" i="42"/>
  <c r="DF44" i="42" s="1"/>
  <c r="DG44" i="42" s="1"/>
  <c r="DH44" i="42" s="1"/>
  <c r="DK44" i="42" s="1"/>
  <c r="DL44" i="42" s="1"/>
  <c r="DM44" i="42" s="1"/>
  <c r="DN44" i="42" s="1"/>
  <c r="DO44" i="42" s="1"/>
  <c r="DC44" i="42"/>
  <c r="AC174" i="41"/>
  <c r="AC175" i="41" s="1"/>
  <c r="CJ181" i="42"/>
  <c r="CJ172" i="42"/>
  <c r="CJ178" i="42" s="1"/>
  <c r="CJ179" i="42" s="1"/>
  <c r="CB46" i="3"/>
  <c r="CB119" i="3" s="1"/>
  <c r="CA119" i="3"/>
  <c r="AN71" i="42"/>
  <c r="BE59" i="42"/>
  <c r="BE60" i="42" s="1"/>
  <c r="BI70" i="42"/>
  <c r="BO70" i="42"/>
  <c r="W165" i="42"/>
  <c r="CM70" i="42"/>
  <c r="CQ71" i="42"/>
  <c r="CS70" i="42"/>
  <c r="AE29" i="3"/>
  <c r="AF27" i="3"/>
  <c r="AF99" i="3" s="1"/>
  <c r="AE99" i="3"/>
  <c r="CT110" i="3"/>
  <c r="AQ101" i="3"/>
  <c r="AQ102" i="3" s="1"/>
  <c r="AQ30" i="3"/>
  <c r="AQ60" i="3" s="1"/>
  <c r="S169" i="42"/>
  <c r="S181" i="42" s="1"/>
  <c r="AB99" i="3"/>
  <c r="AA99" i="3"/>
  <c r="BD181" i="42"/>
  <c r="BD172" i="42"/>
  <c r="BD178" i="42" s="1"/>
  <c r="BD179" i="42" s="1"/>
  <c r="AT71" i="42"/>
  <c r="BC186" i="41"/>
  <c r="BC184" i="41"/>
  <c r="BI186" i="41"/>
  <c r="CE145" i="42"/>
  <c r="BJ70" i="42"/>
  <c r="U59" i="42"/>
  <c r="U60" i="42" s="1"/>
  <c r="CZ11" i="42"/>
  <c r="AG98" i="3"/>
  <c r="AI98" i="3" s="1"/>
  <c r="BF52" i="42"/>
  <c r="BF165" i="42"/>
  <c r="BG165" i="42" s="1"/>
  <c r="BI160" i="41"/>
  <c r="CY37" i="3"/>
  <c r="AU165" i="42"/>
  <c r="Y169" i="42"/>
  <c r="Y172" i="42" s="1"/>
  <c r="BA145" i="42"/>
  <c r="BC125" i="42"/>
  <c r="BR125" i="42"/>
  <c r="BR122" i="42" s="1"/>
  <c r="S59" i="42"/>
  <c r="S60" i="42" s="1"/>
  <c r="AK186" i="41"/>
  <c r="AK187" i="41" s="1"/>
  <c r="AI97" i="3"/>
  <c r="CV187" i="41"/>
  <c r="BS187" i="41"/>
  <c r="AH71" i="42"/>
  <c r="BO160" i="41"/>
  <c r="AQ186" i="41"/>
  <c r="AQ187" i="41" s="1"/>
  <c r="CY38" i="3"/>
  <c r="AL59" i="42"/>
  <c r="AL60" i="42" s="1"/>
  <c r="AY46" i="3"/>
  <c r="AC37" i="42"/>
  <c r="U27" i="3"/>
  <c r="V27" i="3" s="1"/>
  <c r="W27" i="3" s="1"/>
  <c r="CP187" i="41"/>
  <c r="AI174" i="41"/>
  <c r="Q176" i="41"/>
  <c r="Y59" i="42"/>
  <c r="AG59" i="42"/>
  <c r="AG60" i="42" s="1"/>
  <c r="BQ182" i="42"/>
  <c r="BP165" i="42"/>
  <c r="BP169" i="42" s="1"/>
  <c r="BP181" i="42" s="1"/>
  <c r="CS46" i="3"/>
  <c r="CV182" i="42"/>
  <c r="AO321" i="41"/>
  <c r="W328" i="41"/>
  <c r="AV324" i="41"/>
  <c r="BQ321" i="41"/>
  <c r="AI159" i="1"/>
  <c r="CW324" i="41"/>
  <c r="X69" i="41"/>
  <c r="AP69" i="41"/>
  <c r="AJ69" i="41"/>
  <c r="AY27" i="41"/>
  <c r="AV69" i="41"/>
  <c r="V27" i="41"/>
  <c r="AB28" i="41" s="1"/>
  <c r="BC19" i="41"/>
  <c r="CA106" i="41"/>
  <c r="AW74" i="41"/>
  <c r="AQ74" i="41"/>
  <c r="S74" i="41"/>
  <c r="R69" i="41"/>
  <c r="AO145" i="42"/>
  <c r="CP324" i="41"/>
  <c r="BF328" i="41"/>
  <c r="DA324" i="41"/>
  <c r="DA325" i="41" s="1"/>
  <c r="CC328" i="41"/>
  <c r="CR324" i="41"/>
  <c r="BH328" i="41"/>
  <c r="R324" i="41"/>
  <c r="CG106" i="41"/>
  <c r="AK74" i="41"/>
  <c r="AD69" i="41"/>
  <c r="V153" i="41"/>
  <c r="BA27" i="41"/>
  <c r="R27" i="41"/>
  <c r="AW19" i="41"/>
  <c r="CV128" i="3"/>
  <c r="CW128" i="3" s="1"/>
  <c r="CK145" i="42"/>
  <c r="CJ128" i="3"/>
  <c r="CK128" i="3" s="1"/>
  <c r="I157" i="442"/>
  <c r="H143" i="442"/>
  <c r="C145" i="442"/>
  <c r="C153" i="442"/>
  <c r="C151" i="442" s="1"/>
  <c r="C152" i="442" s="1"/>
  <c r="C143" i="442"/>
  <c r="F143" i="442"/>
  <c r="F145" i="442"/>
  <c r="F153" i="442"/>
  <c r="F151" i="442" s="1"/>
  <c r="F152" i="442" s="1"/>
  <c r="E94" i="442"/>
  <c r="H101" i="442"/>
  <c r="H119" i="442"/>
  <c r="H104" i="442"/>
  <c r="G119" i="442"/>
  <c r="G153" i="442"/>
  <c r="G151" i="442" s="1"/>
  <c r="G152" i="442" s="1"/>
  <c r="G145" i="442"/>
  <c r="G143" i="442"/>
  <c r="B147" i="442"/>
  <c r="H137" i="442"/>
  <c r="D137" i="442"/>
  <c r="F137" i="442"/>
  <c r="E137" i="442"/>
  <c r="E138" i="442" s="1"/>
  <c r="I137" i="442"/>
  <c r="I138" i="442" s="1"/>
  <c r="C137" i="442"/>
  <c r="C138" i="442" s="1"/>
  <c r="G137" i="442"/>
  <c r="G138" i="442" s="1"/>
  <c r="I140" i="442"/>
  <c r="G113" i="442"/>
  <c r="D132" i="442"/>
  <c r="D139" i="442"/>
  <c r="D140" i="442" s="1"/>
  <c r="D147" i="442"/>
  <c r="E148" i="442" s="1"/>
  <c r="E96" i="442"/>
  <c r="G163" i="442"/>
  <c r="G162" i="442"/>
  <c r="F119" i="442"/>
  <c r="F104" i="442"/>
  <c r="F113" i="442"/>
  <c r="B153" i="442"/>
  <c r="B145" i="442"/>
  <c r="G157" i="442"/>
  <c r="I94" i="442"/>
  <c r="H148" i="442"/>
  <c r="P110" i="442"/>
  <c r="C157" i="442"/>
  <c r="C148" i="442"/>
  <c r="E104" i="442"/>
  <c r="E119" i="442"/>
  <c r="E113" i="442"/>
  <c r="F147" i="442"/>
  <c r="F139" i="442"/>
  <c r="F140" i="442" s="1"/>
  <c r="F132" i="442"/>
  <c r="H157" i="442"/>
  <c r="H151" i="442"/>
  <c r="H152" i="442" s="1"/>
  <c r="E140" i="442"/>
  <c r="D119" i="442"/>
  <c r="D104" i="442"/>
  <c r="I113" i="442"/>
  <c r="I101" i="442"/>
  <c r="I104" i="442"/>
  <c r="I119" i="442"/>
  <c r="H140" i="442"/>
  <c r="BF38" i="41"/>
  <c r="BF54" i="41"/>
  <c r="BF50" i="41"/>
  <c r="AP60" i="41"/>
  <c r="AP59" i="41"/>
  <c r="AP62" i="41"/>
  <c r="BF324" i="41"/>
  <c r="BL325" i="41" s="1"/>
  <c r="BQ328" i="41"/>
  <c r="BT324" i="41"/>
  <c r="AC324" i="41"/>
  <c r="CQ328" i="41"/>
  <c r="BY328" i="41"/>
  <c r="BM328" i="41"/>
  <c r="BA321" i="41"/>
  <c r="AU328" i="41"/>
  <c r="W321" i="41"/>
  <c r="BN324" i="41"/>
  <c r="AV321" i="41"/>
  <c r="AP321" i="41"/>
  <c r="AJ328" i="41"/>
  <c r="X324" i="41"/>
  <c r="AS328" i="41"/>
  <c r="AM324" i="41"/>
  <c r="AA321" i="41"/>
  <c r="CX193" i="41"/>
  <c r="CX192" i="41"/>
  <c r="CK192" i="41"/>
  <c r="CK193" i="41"/>
  <c r="E200" i="41"/>
  <c r="F202" i="41"/>
  <c r="F200" i="41"/>
  <c r="E202" i="41"/>
  <c r="CJ193" i="41"/>
  <c r="CJ192" i="41"/>
  <c r="BH187" i="41"/>
  <c r="BU163" i="41"/>
  <c r="BU160" i="41"/>
  <c r="CA160" i="41"/>
  <c r="BW160" i="41"/>
  <c r="BW187" i="41" s="1"/>
  <c r="DA100" i="41"/>
  <c r="DG94" i="41"/>
  <c r="DM94" i="41" s="1"/>
  <c r="DS94" i="41" s="1"/>
  <c r="DS95" i="41" s="1"/>
  <c r="CY99" i="41"/>
  <c r="CF167" i="41"/>
  <c r="CF153" i="41"/>
  <c r="CF152" i="41"/>
  <c r="CF151" i="41"/>
  <c r="CX101" i="41"/>
  <c r="CS92" i="41"/>
  <c r="CS98" i="41" s="1"/>
  <c r="BE54" i="41"/>
  <c r="BE50" i="41"/>
  <c r="BE38" i="41"/>
  <c r="CX100" i="41"/>
  <c r="CM95" i="41"/>
  <c r="AQ54" i="41"/>
  <c r="AQ55" i="41" s="1"/>
  <c r="AJ40" i="41"/>
  <c r="AJ46" i="41"/>
  <c r="AJ45" i="41"/>
  <c r="AP67" i="41"/>
  <c r="AM69" i="41"/>
  <c r="AA155" i="41"/>
  <c r="AA153" i="41"/>
  <c r="AA152" i="41"/>
  <c r="AA151" i="41"/>
  <c r="W69" i="41"/>
  <c r="W67" i="41"/>
  <c r="AC45" i="41"/>
  <c r="AC46" i="41"/>
  <c r="AC40" i="41"/>
  <c r="AH59" i="41"/>
  <c r="AH62" i="41"/>
  <c r="AH60" i="41"/>
  <c r="AD153" i="41"/>
  <c r="AD152" i="41"/>
  <c r="AD151" i="41"/>
  <c r="AD155" i="41"/>
  <c r="X40" i="41"/>
  <c r="X46" i="41"/>
  <c r="X45" i="41"/>
  <c r="BZ167" i="41"/>
  <c r="BZ153" i="41"/>
  <c r="BZ152" i="41"/>
  <c r="BZ151" i="41"/>
  <c r="BQ167" i="41"/>
  <c r="BQ155" i="41"/>
  <c r="BQ151" i="41"/>
  <c r="BQ153" i="41"/>
  <c r="BQ152" i="41"/>
  <c r="BA167" i="41"/>
  <c r="BA153" i="41"/>
  <c r="BA152" i="41"/>
  <c r="BA151" i="41"/>
  <c r="BA155" i="41"/>
  <c r="AV67" i="41"/>
  <c r="AS69" i="41"/>
  <c r="AK150" i="41"/>
  <c r="AK167" i="41" s="1"/>
  <c r="AK23" i="41"/>
  <c r="AK165" i="41" s="1"/>
  <c r="Q45" i="41"/>
  <c r="Q46" i="41"/>
  <c r="Q40" i="41"/>
  <c r="BY167" i="41"/>
  <c r="BY153" i="41"/>
  <c r="BY152" i="41"/>
  <c r="BY151" i="41"/>
  <c r="BH167" i="41"/>
  <c r="BH153" i="41"/>
  <c r="BH152" i="41"/>
  <c r="BH151" i="41"/>
  <c r="AS67" i="41"/>
  <c r="AN69" i="41"/>
  <c r="AN67" i="41"/>
  <c r="AJ62" i="41"/>
  <c r="AJ60" i="41"/>
  <c r="AJ59" i="41"/>
  <c r="AG67" i="41"/>
  <c r="AB69" i="41"/>
  <c r="AB67" i="41"/>
  <c r="AH27" i="41"/>
  <c r="AH28" i="41" s="1"/>
  <c r="U27" i="41"/>
  <c r="BN27" i="41"/>
  <c r="AJ27" i="41"/>
  <c r="AI27" i="41"/>
  <c r="AI28" i="41" s="1"/>
  <c r="BQ324" i="41"/>
  <c r="CR328" i="41"/>
  <c r="BT328" i="41"/>
  <c r="W324" i="41"/>
  <c r="AI328" i="41"/>
  <c r="BN328" i="41"/>
  <c r="BB321" i="41"/>
  <c r="AP328" i="41"/>
  <c r="AD324" i="41"/>
  <c r="X321" i="41"/>
  <c r="Y315" i="41"/>
  <c r="AA315" i="41"/>
  <c r="BE321" i="41"/>
  <c r="AY324" i="41"/>
  <c r="AG321" i="41"/>
  <c r="AA328" i="41"/>
  <c r="CL193" i="41"/>
  <c r="CL192" i="41"/>
  <c r="DG198" i="41"/>
  <c r="CV260" i="1"/>
  <c r="CW260" i="1" s="1"/>
  <c r="CW147" i="42" s="1"/>
  <c r="CW155" i="1"/>
  <c r="CC193" i="41"/>
  <c r="CC192" i="41"/>
  <c r="CV193" i="41"/>
  <c r="CV192" i="41"/>
  <c r="CI193" i="41"/>
  <c r="CI192" i="41"/>
  <c r="P148" i="41"/>
  <c r="BX171" i="41"/>
  <c r="BR173" i="41"/>
  <c r="BR172" i="41"/>
  <c r="BR171" i="41"/>
  <c r="BR170" i="41"/>
  <c r="BN173" i="41"/>
  <c r="BN172" i="41"/>
  <c r="BN171" i="41"/>
  <c r="BN170" i="41"/>
  <c r="BB173" i="41"/>
  <c r="BB172" i="41"/>
  <c r="BB171" i="41"/>
  <c r="BB170" i="41"/>
  <c r="AD174" i="41"/>
  <c r="AD173" i="41"/>
  <c r="AD172" i="41"/>
  <c r="AD171" i="41"/>
  <c r="V176" i="41"/>
  <c r="V175" i="41"/>
  <c r="CS160" i="41"/>
  <c r="CS187" i="41" s="1"/>
  <c r="CS163" i="41"/>
  <c r="CY160" i="41"/>
  <c r="CU160" i="41"/>
  <c r="BQ172" i="41"/>
  <c r="BE172" i="41"/>
  <c r="AG172" i="41"/>
  <c r="U176" i="41"/>
  <c r="U175" i="41"/>
  <c r="Y174" i="41"/>
  <c r="BT171" i="41"/>
  <c r="AB174" i="41"/>
  <c r="AB173" i="41"/>
  <c r="AB172" i="41"/>
  <c r="AB171" i="41"/>
  <c r="X176" i="41"/>
  <c r="X175" i="41"/>
  <c r="AA174" i="41"/>
  <c r="AA173" i="41"/>
  <c r="AA172" i="41"/>
  <c r="AA171" i="41"/>
  <c r="CV100" i="41"/>
  <c r="DH94" i="41"/>
  <c r="DN94" i="41" s="1"/>
  <c r="DT94" i="41" s="1"/>
  <c r="DT95" i="41" s="1"/>
  <c r="CV98" i="41"/>
  <c r="CJ167" i="41"/>
  <c r="CJ153" i="41"/>
  <c r="CJ152" i="41"/>
  <c r="CJ151" i="41"/>
  <c r="CS95" i="41"/>
  <c r="CS101" i="41" s="1"/>
  <c r="S45" i="41"/>
  <c r="S48" i="41"/>
  <c r="CQ167" i="41"/>
  <c r="CQ153" i="41"/>
  <c r="CQ152" i="41"/>
  <c r="CQ151" i="41"/>
  <c r="DM92" i="41"/>
  <c r="CM94" i="41"/>
  <c r="CM93" i="41"/>
  <c r="CS99" i="41" s="1"/>
  <c r="AP318" i="41"/>
  <c r="AP55" i="41"/>
  <c r="AP44" i="41"/>
  <c r="AP56" i="41"/>
  <c r="Y48" i="41"/>
  <c r="Y45" i="41"/>
  <c r="AI45" i="41"/>
  <c r="AI40" i="41"/>
  <c r="AI46" i="41"/>
  <c r="AS56" i="41"/>
  <c r="CD167" i="41"/>
  <c r="CD151" i="41"/>
  <c r="CD153" i="41"/>
  <c r="CD152" i="41"/>
  <c r="BS167" i="41"/>
  <c r="BS153" i="41"/>
  <c r="BS152" i="41"/>
  <c r="BS155" i="41"/>
  <c r="BS151" i="41"/>
  <c r="BC150" i="41"/>
  <c r="BC167" i="41" s="1"/>
  <c r="BC74" i="41"/>
  <c r="BC23" i="41"/>
  <c r="BC165" i="41" s="1"/>
  <c r="AY167" i="41"/>
  <c r="AY155" i="41"/>
  <c r="AY153" i="41"/>
  <c r="AY152" i="41"/>
  <c r="AY151" i="41"/>
  <c r="AU69" i="41"/>
  <c r="AU67" i="41"/>
  <c r="AQ150" i="41"/>
  <c r="AQ167" i="41" s="1"/>
  <c r="AQ23" i="41"/>
  <c r="AQ165" i="41" s="1"/>
  <c r="AM167" i="41"/>
  <c r="AM155" i="41"/>
  <c r="AM153" i="41"/>
  <c r="AM152" i="41"/>
  <c r="AM151" i="41"/>
  <c r="AI69" i="41"/>
  <c r="AI67" i="41"/>
  <c r="AE150" i="41"/>
  <c r="AE167" i="41" s="1"/>
  <c r="AE23" i="41"/>
  <c r="AE165" i="41" s="1"/>
  <c r="BM324" i="41"/>
  <c r="BG17" i="41"/>
  <c r="BG9" i="41"/>
  <c r="BG10" i="41"/>
  <c r="BM9" i="41"/>
  <c r="BH8" i="41"/>
  <c r="AD45" i="41"/>
  <c r="AD46" i="41"/>
  <c r="AD40" i="41"/>
  <c r="CO167" i="41"/>
  <c r="CO151" i="41"/>
  <c r="CO153" i="41"/>
  <c r="CO152" i="41"/>
  <c r="CL167" i="41"/>
  <c r="CL153" i="41"/>
  <c r="CL152" i="41"/>
  <c r="CL151" i="41"/>
  <c r="CC167" i="41"/>
  <c r="CC151" i="41"/>
  <c r="CC153" i="41"/>
  <c r="CC152" i="41"/>
  <c r="AM67" i="41"/>
  <c r="AH69" i="41"/>
  <c r="AH67" i="41"/>
  <c r="U67" i="41"/>
  <c r="P69" i="41"/>
  <c r="P67" i="41"/>
  <c r="W45" i="41"/>
  <c r="W40" i="41"/>
  <c r="W46" i="41"/>
  <c r="BU150" i="41"/>
  <c r="BU23" i="41"/>
  <c r="BU165" i="41" s="1"/>
  <c r="BM167" i="41"/>
  <c r="BM153" i="41"/>
  <c r="BM152" i="41"/>
  <c r="BM151" i="41"/>
  <c r="BM155" i="41"/>
  <c r="AS167" i="41"/>
  <c r="AS155" i="41"/>
  <c r="AS153" i="41"/>
  <c r="AS152" i="41"/>
  <c r="AS151" i="41"/>
  <c r="AO69" i="41"/>
  <c r="AO70" i="41" s="1"/>
  <c r="AO67" i="41"/>
  <c r="AG62" i="41"/>
  <c r="AG60" i="41"/>
  <c r="AG59" i="41"/>
  <c r="AK58" i="41"/>
  <c r="Y150" i="41"/>
  <c r="Y167" i="41" s="1"/>
  <c r="Y23" i="41"/>
  <c r="Y165" i="41" s="1"/>
  <c r="R45" i="41"/>
  <c r="R46" i="41"/>
  <c r="R40" i="41"/>
  <c r="BL167" i="41"/>
  <c r="BL153" i="41"/>
  <c r="BL152" i="41"/>
  <c r="BL151" i="41"/>
  <c r="BL155" i="41"/>
  <c r="AV167" i="41"/>
  <c r="AV153" i="41"/>
  <c r="AV152" i="41"/>
  <c r="AV151" i="41"/>
  <c r="AV155" i="41"/>
  <c r="AN62" i="41"/>
  <c r="AN60" i="41"/>
  <c r="AN59" i="41"/>
  <c r="AJ167" i="41"/>
  <c r="AJ168" i="41" s="1"/>
  <c r="AJ153" i="41"/>
  <c r="AJ152" i="41"/>
  <c r="AJ151" i="41"/>
  <c r="AJ155" i="41"/>
  <c r="AB153" i="41"/>
  <c r="AB152" i="41"/>
  <c r="AB151" i="41"/>
  <c r="AB155" i="41"/>
  <c r="BE27" i="41"/>
  <c r="BE28" i="41" s="1"/>
  <c r="AS27" i="41"/>
  <c r="AM27" i="41"/>
  <c r="AA27" i="41"/>
  <c r="AA28" i="41" s="1"/>
  <c r="AP27" i="41"/>
  <c r="X27" i="41"/>
  <c r="AU27" i="41"/>
  <c r="AU28" i="41" s="1"/>
  <c r="CV328" i="41"/>
  <c r="BX328" i="41"/>
  <c r="BR324" i="41"/>
  <c r="BR325" i="41" s="1"/>
  <c r="BS324" i="41"/>
  <c r="BF321" i="41"/>
  <c r="AZ328" i="41"/>
  <c r="AT325" i="41"/>
  <c r="AH324" i="41"/>
  <c r="AH325" i="41" s="1"/>
  <c r="AB321" i="41"/>
  <c r="CO328" i="41"/>
  <c r="BK324" i="41"/>
  <c r="BK325" i="41" s="1"/>
  <c r="CU328" i="41"/>
  <c r="CX324" i="41"/>
  <c r="CX325" i="41" s="1"/>
  <c r="CL324" i="41"/>
  <c r="BZ325" i="41"/>
  <c r="CQ324" i="41"/>
  <c r="CQ325" i="41" s="1"/>
  <c r="CW328" i="41"/>
  <c r="CK328" i="41"/>
  <c r="BS328" i="41"/>
  <c r="BG324" i="41"/>
  <c r="BA328" i="41"/>
  <c r="AO324" i="41"/>
  <c r="AC321" i="41"/>
  <c r="BB324" i="41"/>
  <c r="AV328" i="41"/>
  <c r="AJ321" i="41"/>
  <c r="AD321" i="41"/>
  <c r="X328" i="41"/>
  <c r="AN313" i="41"/>
  <c r="AT315" i="41"/>
  <c r="AY321" i="41"/>
  <c r="AS321" i="41"/>
  <c r="AM321" i="41"/>
  <c r="AG328" i="41"/>
  <c r="AA324" i="41"/>
  <c r="AA325" i="41" s="1"/>
  <c r="BX280" i="41"/>
  <c r="BZ193" i="41"/>
  <c r="BZ192" i="41"/>
  <c r="CP193" i="41"/>
  <c r="L202" i="41"/>
  <c r="L200" i="41"/>
  <c r="Q201" i="41"/>
  <c r="Q199" i="41"/>
  <c r="K202" i="41"/>
  <c r="K201" i="41"/>
  <c r="K200" i="41"/>
  <c r="K199" i="41"/>
  <c r="BY192" i="41"/>
  <c r="BY193" i="41"/>
  <c r="CF193" i="41"/>
  <c r="CE193" i="41"/>
  <c r="BF173" i="41"/>
  <c r="BF172" i="41"/>
  <c r="BF171" i="41"/>
  <c r="AH173" i="41"/>
  <c r="AH172" i="41"/>
  <c r="AH171" i="41"/>
  <c r="AH174" i="41"/>
  <c r="AW163" i="41"/>
  <c r="AW160" i="41"/>
  <c r="AW187" i="41" s="1"/>
  <c r="BH171" i="41"/>
  <c r="BL173" i="41"/>
  <c r="BL172" i="41"/>
  <c r="BL171" i="41"/>
  <c r="BL170" i="41"/>
  <c r="BC160" i="41"/>
  <c r="AN171" i="41"/>
  <c r="S174" i="41"/>
  <c r="Q146" i="41"/>
  <c r="S146" i="41" s="1"/>
  <c r="DA101" i="41"/>
  <c r="CW99" i="41"/>
  <c r="BO106" i="41"/>
  <c r="BC106" i="41"/>
  <c r="AQ106" i="41"/>
  <c r="AE106" i="41"/>
  <c r="CV99" i="41"/>
  <c r="DH93" i="41"/>
  <c r="DN93" i="41" s="1"/>
  <c r="CS106" i="41"/>
  <c r="DA99" i="41"/>
  <c r="DG93" i="41"/>
  <c r="DM93" i="41" s="1"/>
  <c r="CV167" i="41"/>
  <c r="CV153" i="41"/>
  <c r="CV152" i="41"/>
  <c r="CV151" i="41"/>
  <c r="CR167" i="41"/>
  <c r="CR153" i="41"/>
  <c r="CR152" i="41"/>
  <c r="CR151" i="41"/>
  <c r="BT167" i="41"/>
  <c r="BT153" i="41"/>
  <c r="BT152" i="41"/>
  <c r="BT151" i="41"/>
  <c r="CS94" i="41"/>
  <c r="CS100" i="41" s="1"/>
  <c r="CU167" i="41"/>
  <c r="CU153" i="41"/>
  <c r="CU152" i="41"/>
  <c r="CU151" i="41"/>
  <c r="CU100" i="41"/>
  <c r="L40" i="41"/>
  <c r="L46" i="41"/>
  <c r="L45" i="41"/>
  <c r="CP167" i="41"/>
  <c r="CP151" i="41"/>
  <c r="CP153" i="41"/>
  <c r="CP152" i="41"/>
  <c r="BK167" i="41"/>
  <c r="BK155" i="41"/>
  <c r="BK153" i="41"/>
  <c r="BK152" i="41"/>
  <c r="BK151" i="41"/>
  <c r="AI59" i="41"/>
  <c r="AI62" i="41"/>
  <c r="AI60" i="41"/>
  <c r="AI324" i="41"/>
  <c r="AI325" i="41" s="1"/>
  <c r="E45" i="41"/>
  <c r="E46" i="41"/>
  <c r="E40" i="41"/>
  <c r="CS150" i="41"/>
  <c r="CS23" i="41"/>
  <c r="CS165" i="41" s="1"/>
  <c r="CG150" i="41"/>
  <c r="CG23" i="41"/>
  <c r="CG165" i="41" s="1"/>
  <c r="CA150" i="41"/>
  <c r="CA23" i="41"/>
  <c r="CA165" i="41" s="1"/>
  <c r="BW167" i="41"/>
  <c r="BW153" i="41"/>
  <c r="BW152" i="41"/>
  <c r="BW151" i="41"/>
  <c r="BN167" i="41"/>
  <c r="BN153" i="41"/>
  <c r="BN152" i="41"/>
  <c r="BN151" i="41"/>
  <c r="BN155" i="41"/>
  <c r="AT69" i="41"/>
  <c r="AT67" i="41"/>
  <c r="AP167" i="41"/>
  <c r="AP168" i="41" s="1"/>
  <c r="AP153" i="41"/>
  <c r="AP152" i="41"/>
  <c r="AP151" i="41"/>
  <c r="AP155" i="41"/>
  <c r="AH167" i="41"/>
  <c r="AH168" i="41" s="1"/>
  <c r="AH153" i="41"/>
  <c r="AH152" i="41"/>
  <c r="AH151" i="41"/>
  <c r="AH155" i="41"/>
  <c r="AA67" i="41"/>
  <c r="V69" i="41"/>
  <c r="V67" i="41"/>
  <c r="BR26" i="41"/>
  <c r="BR27" i="41" s="1"/>
  <c r="BR20" i="41"/>
  <c r="BR19" i="41"/>
  <c r="AG46" i="41"/>
  <c r="CX167" i="41"/>
  <c r="CX153" i="41"/>
  <c r="CX152" i="41"/>
  <c r="CX151" i="41"/>
  <c r="BE167" i="41"/>
  <c r="BE155" i="41"/>
  <c r="BE151" i="41"/>
  <c r="BE153" i="41"/>
  <c r="BE152" i="41"/>
  <c r="AW150" i="41"/>
  <c r="AW167" i="41" s="1"/>
  <c r="AW168" i="41" s="1"/>
  <c r="AW23" i="41"/>
  <c r="AW165" i="41" s="1"/>
  <c r="AO167" i="41"/>
  <c r="AO153" i="41"/>
  <c r="AO152" i="41"/>
  <c r="AO151" i="41"/>
  <c r="AO155" i="41"/>
  <c r="AJ67" i="41"/>
  <c r="AG69" i="41"/>
  <c r="AC69" i="41"/>
  <c r="AC67" i="41"/>
  <c r="X67" i="41"/>
  <c r="U69" i="41"/>
  <c r="AO45" i="41"/>
  <c r="AO46" i="41"/>
  <c r="AO40" i="41"/>
  <c r="U46" i="41"/>
  <c r="DA167" i="41"/>
  <c r="DA151" i="41"/>
  <c r="DA153" i="41"/>
  <c r="DA152" i="41"/>
  <c r="CW167" i="41"/>
  <c r="CW153" i="41"/>
  <c r="CW152" i="41"/>
  <c r="CW151" i="41"/>
  <c r="AZ167" i="41"/>
  <c r="AZ153" i="41"/>
  <c r="AZ152" i="41"/>
  <c r="AZ151" i="41"/>
  <c r="AZ155" i="41"/>
  <c r="AN167" i="41"/>
  <c r="AN153" i="41"/>
  <c r="AN152" i="41"/>
  <c r="AN151" i="41"/>
  <c r="AN155" i="41"/>
  <c r="BU12" i="41"/>
  <c r="AT27" i="41"/>
  <c r="AT28" i="41" s="1"/>
  <c r="AQ19" i="41"/>
  <c r="AV27" i="41"/>
  <c r="AV28" i="41" s="1"/>
  <c r="W27" i="41"/>
  <c r="AC28" i="41" s="1"/>
  <c r="BK328" i="41"/>
  <c r="CV324" i="41"/>
  <c r="BX324" i="41"/>
  <c r="BX325" i="41" s="1"/>
  <c r="AZ324" i="41"/>
  <c r="AN321" i="41"/>
  <c r="AH321" i="41"/>
  <c r="AB328" i="41"/>
  <c r="DA328" i="41"/>
  <c r="CO324" i="41"/>
  <c r="BW324" i="41"/>
  <c r="BE328" i="41"/>
  <c r="BW328" i="41"/>
  <c r="CX328" i="41"/>
  <c r="CL328" i="41"/>
  <c r="BZ328" i="41"/>
  <c r="AU324" i="41"/>
  <c r="AU325" i="41" s="1"/>
  <c r="BY324" i="41"/>
  <c r="BY325" i="41" s="1"/>
  <c r="BG328" i="41"/>
  <c r="AU321" i="41"/>
  <c r="AO328" i="41"/>
  <c r="AC328" i="41"/>
  <c r="BH324" i="41"/>
  <c r="BH325" i="41" s="1"/>
  <c r="BB328" i="41"/>
  <c r="AP324" i="41"/>
  <c r="AV325" i="41" s="1"/>
  <c r="AJ324" i="41"/>
  <c r="AD328" i="41"/>
  <c r="R321" i="41"/>
  <c r="AV315" i="41"/>
  <c r="AP313" i="41"/>
  <c r="AY328" i="41"/>
  <c r="AS324" i="41"/>
  <c r="AS325" i="41" s="1"/>
  <c r="AM328" i="41"/>
  <c r="AG324" i="41"/>
  <c r="AG325" i="41" s="1"/>
  <c r="U321" i="41"/>
  <c r="CO193" i="41"/>
  <c r="CO192" i="41"/>
  <c r="CR193" i="41"/>
  <c r="CU187" i="41"/>
  <c r="CU193" i="41"/>
  <c r="CU192" i="41"/>
  <c r="BW193" i="41"/>
  <c r="BW192" i="41"/>
  <c r="CQ193" i="41"/>
  <c r="AG174" i="41"/>
  <c r="AY160" i="41"/>
  <c r="AJ171" i="41"/>
  <c r="AJ175" i="41"/>
  <c r="BS172" i="41"/>
  <c r="AM173" i="41"/>
  <c r="AM172" i="41"/>
  <c r="AM171" i="41"/>
  <c r="AM170" i="41"/>
  <c r="AI172" i="41"/>
  <c r="W176" i="41"/>
  <c r="W175" i="41"/>
  <c r="CM106" i="41"/>
  <c r="CY101" i="41"/>
  <c r="CX98" i="41"/>
  <c r="CW98" i="41"/>
  <c r="CU99" i="41"/>
  <c r="BG32" i="41"/>
  <c r="BX167" i="41"/>
  <c r="BX153" i="41"/>
  <c r="BX152" i="41"/>
  <c r="BX151" i="41"/>
  <c r="CY98" i="41"/>
  <c r="AE45" i="41"/>
  <c r="AE48" i="41"/>
  <c r="CY150" i="41"/>
  <c r="CY23" i="41"/>
  <c r="CY165" i="41" s="1"/>
  <c r="AK44" i="41"/>
  <c r="M48" i="41"/>
  <c r="K45" i="41"/>
  <c r="K40" i="41"/>
  <c r="K46" i="41"/>
  <c r="CM150" i="41"/>
  <c r="CM23" i="41"/>
  <c r="CM165" i="41" s="1"/>
  <c r="CI167" i="41"/>
  <c r="CI153" i="41"/>
  <c r="CI152" i="41"/>
  <c r="CI151" i="41"/>
  <c r="BO150" i="41"/>
  <c r="BO23" i="41"/>
  <c r="BO165" i="41" s="1"/>
  <c r="BG167" i="41"/>
  <c r="BG153" i="41"/>
  <c r="BG152" i="41"/>
  <c r="BG155" i="41"/>
  <c r="BG151" i="41"/>
  <c r="AY66" i="41"/>
  <c r="AU167" i="41"/>
  <c r="AU153" i="41"/>
  <c r="AU152" i="41"/>
  <c r="AU151" i="41"/>
  <c r="AU155" i="41"/>
  <c r="AM60" i="41"/>
  <c r="AM59" i="41"/>
  <c r="AQ58" i="41"/>
  <c r="AM62" i="41"/>
  <c r="AI167" i="41"/>
  <c r="AI168" i="41" s="1"/>
  <c r="AI153" i="41"/>
  <c r="AI152" i="41"/>
  <c r="AI151" i="41"/>
  <c r="AI155" i="41"/>
  <c r="AD67" i="41"/>
  <c r="AA69" i="41"/>
  <c r="Q69" i="41"/>
  <c r="Q67" i="41"/>
  <c r="F45" i="41"/>
  <c r="F46" i="41"/>
  <c r="F40" i="41"/>
  <c r="BR167" i="41"/>
  <c r="BR151" i="41"/>
  <c r="BR153" i="41"/>
  <c r="BR152" i="41"/>
  <c r="BR155" i="41"/>
  <c r="BF167" i="41"/>
  <c r="BF151" i="41"/>
  <c r="BF153" i="41"/>
  <c r="BF152" i="41"/>
  <c r="BF155" i="41"/>
  <c r="BB167" i="41"/>
  <c r="BB153" i="41"/>
  <c r="BB152" i="41"/>
  <c r="BB151" i="41"/>
  <c r="BB155" i="41"/>
  <c r="AT167" i="41"/>
  <c r="AT153" i="41"/>
  <c r="AT152" i="41"/>
  <c r="AT151" i="41"/>
  <c r="AT155" i="41"/>
  <c r="BF26" i="41"/>
  <c r="BF27" i="41" s="1"/>
  <c r="BF28" i="41" s="1"/>
  <c r="BF20" i="41"/>
  <c r="BF19" i="41"/>
  <c r="CK167" i="41"/>
  <c r="CK153" i="41"/>
  <c r="CK152" i="41"/>
  <c r="CK151" i="41"/>
  <c r="BI150" i="41"/>
  <c r="BI23" i="41"/>
  <c r="BI165" i="41" s="1"/>
  <c r="AO62" i="41"/>
  <c r="AO59" i="41"/>
  <c r="AO60" i="41"/>
  <c r="AG167" i="41"/>
  <c r="AG168" i="41" s="1"/>
  <c r="AG155" i="41"/>
  <c r="AG153" i="41"/>
  <c r="AG152" i="41"/>
  <c r="AG151" i="41"/>
  <c r="AC153" i="41"/>
  <c r="AC152" i="41"/>
  <c r="AC151" i="41"/>
  <c r="AC155" i="41"/>
  <c r="AK33" i="41"/>
  <c r="AQ33" i="41"/>
  <c r="CE167" i="41"/>
  <c r="CE153" i="41"/>
  <c r="CE152" i="41"/>
  <c r="CE151" i="41"/>
  <c r="AZ69" i="41"/>
  <c r="X153" i="41"/>
  <c r="BL19" i="41"/>
  <c r="AN28" i="41"/>
  <c r="AG27" i="41"/>
  <c r="BB27" i="41"/>
  <c r="AD27" i="41"/>
  <c r="K160" i="3"/>
  <c r="K144" i="3"/>
  <c r="K133" i="3"/>
  <c r="K137" i="3" s="1"/>
  <c r="K256" i="1"/>
  <c r="K263" i="1"/>
  <c r="K262" i="1"/>
  <c r="K243" i="1"/>
  <c r="J62" i="3"/>
  <c r="K62" i="3" s="1"/>
  <c r="I62" i="3"/>
  <c r="G62" i="3"/>
  <c r="H62" i="3"/>
  <c r="Z66" i="3"/>
  <c r="Z67" i="3" s="1"/>
  <c r="Z31" i="3"/>
  <c r="Z69" i="3" s="1"/>
  <c r="T30" i="3"/>
  <c r="T101" i="3"/>
  <c r="G64" i="3"/>
  <c r="BS145" i="42"/>
  <c r="CQ255" i="1"/>
  <c r="BM255" i="1"/>
  <c r="J115" i="3"/>
  <c r="J133" i="3" s="1"/>
  <c r="J137" i="3" s="1"/>
  <c r="BG115" i="3"/>
  <c r="BG255" i="1"/>
  <c r="CP160" i="3"/>
  <c r="CP156" i="3"/>
  <c r="CP144" i="3"/>
  <c r="CP139" i="3"/>
  <c r="CP104" i="3"/>
  <c r="CP103" i="3"/>
  <c r="CP263" i="1"/>
  <c r="CP262" i="1"/>
  <c r="CP256" i="1"/>
  <c r="CP243" i="1"/>
  <c r="BW160" i="3"/>
  <c r="BW156" i="3"/>
  <c r="BW144" i="3"/>
  <c r="BW139" i="3"/>
  <c r="BW104" i="3"/>
  <c r="BW103" i="3"/>
  <c r="BW263" i="1"/>
  <c r="BW262" i="1"/>
  <c r="BW256" i="1"/>
  <c r="BC156" i="3"/>
  <c r="BC160" i="3"/>
  <c r="BC144" i="3"/>
  <c r="BC139" i="3"/>
  <c r="BC133" i="3"/>
  <c r="BC103" i="3"/>
  <c r="BC263" i="1"/>
  <c r="BC262" i="1"/>
  <c r="BC256" i="1"/>
  <c r="BK160" i="3"/>
  <c r="BK156" i="3"/>
  <c r="BK144" i="3"/>
  <c r="BK139" i="3"/>
  <c r="BK103" i="3"/>
  <c r="BK263" i="1"/>
  <c r="BK262" i="1"/>
  <c r="BK256" i="1"/>
  <c r="CN160" i="3"/>
  <c r="CN156" i="3"/>
  <c r="CN144" i="3"/>
  <c r="CN139" i="3"/>
  <c r="CN104" i="3"/>
  <c r="CN103" i="3"/>
  <c r="CN262" i="1"/>
  <c r="CN256" i="1"/>
  <c r="CN243" i="1"/>
  <c r="CN263" i="1"/>
  <c r="BU103" i="3"/>
  <c r="CC160" i="3"/>
  <c r="CC156" i="3"/>
  <c r="CC144" i="3"/>
  <c r="CC139" i="3"/>
  <c r="CC104" i="3"/>
  <c r="CC103" i="3"/>
  <c r="CC263" i="1"/>
  <c r="CC262" i="1"/>
  <c r="CC256" i="1"/>
  <c r="BI160" i="3"/>
  <c r="BI156" i="3"/>
  <c r="BI144" i="3"/>
  <c r="BI145" i="3" s="1"/>
  <c r="BI139" i="3"/>
  <c r="BI104" i="3"/>
  <c r="BI103" i="3"/>
  <c r="BI256" i="1"/>
  <c r="BI263" i="1"/>
  <c r="BI262" i="1"/>
  <c r="CD55" i="3"/>
  <c r="CE55" i="3" s="1"/>
  <c r="BG52" i="3"/>
  <c r="BI52" i="3"/>
  <c r="AL122" i="3"/>
  <c r="AK122" i="3"/>
  <c r="N56" i="3"/>
  <c r="O45" i="3"/>
  <c r="U40" i="3"/>
  <c r="V113" i="3" s="1"/>
  <c r="V255" i="1" s="1"/>
  <c r="BC60" i="3"/>
  <c r="BC66" i="3"/>
  <c r="BC31" i="3"/>
  <c r="BC69" i="3" s="1"/>
  <c r="BG98" i="3"/>
  <c r="AC98" i="3"/>
  <c r="BA127" i="3"/>
  <c r="DG55" i="3"/>
  <c r="CC51" i="3"/>
  <c r="CC124" i="3" s="1"/>
  <c r="BV66" i="3"/>
  <c r="BV31" i="3"/>
  <c r="BV69" i="3" s="1"/>
  <c r="BM101" i="3"/>
  <c r="AL100" i="3"/>
  <c r="DF128" i="3"/>
  <c r="BY110" i="3"/>
  <c r="AX101" i="3"/>
  <c r="AW101" i="3"/>
  <c r="AW102" i="3" s="1"/>
  <c r="AZ128" i="3"/>
  <c r="BA128" i="3" s="1"/>
  <c r="AC127" i="3"/>
  <c r="CQ110" i="3"/>
  <c r="CQ115" i="3" s="1"/>
  <c r="AN60" i="3"/>
  <c r="AN66" i="3"/>
  <c r="AN31" i="3"/>
  <c r="AN69" i="3" s="1"/>
  <c r="AO30" i="3"/>
  <c r="AC97" i="3"/>
  <c r="BM66" i="3"/>
  <c r="BM31" i="3"/>
  <c r="BM69" i="3" s="1"/>
  <c r="BG96" i="3"/>
  <c r="AK101" i="3"/>
  <c r="CM66" i="3"/>
  <c r="CM31" i="3"/>
  <c r="CM69" i="3" s="1"/>
  <c r="H69" i="3"/>
  <c r="H60" i="3"/>
  <c r="H64" i="3" s="1"/>
  <c r="CV126" i="3"/>
  <c r="CW126" i="3" s="1"/>
  <c r="CQ98" i="3"/>
  <c r="BY98" i="3"/>
  <c r="BO66" i="3"/>
  <c r="BO67" i="3" s="1"/>
  <c r="BO31" i="3"/>
  <c r="BO69" i="3" s="1"/>
  <c r="BO70" i="3" s="1"/>
  <c r="V28" i="3"/>
  <c r="W28" i="3" s="1"/>
  <c r="O25" i="3"/>
  <c r="CV92" i="3"/>
  <c r="CW49" i="3"/>
  <c r="CY49" i="3"/>
  <c r="AA100" i="3"/>
  <c r="AX98" i="3"/>
  <c r="AW98" i="3"/>
  <c r="AR100" i="3"/>
  <c r="AU100" i="3" s="1"/>
  <c r="CK66" i="3"/>
  <c r="CK31" i="3"/>
  <c r="CK69" i="3" s="1"/>
  <c r="BE30" i="3"/>
  <c r="BF18" i="3"/>
  <c r="J45" i="3"/>
  <c r="I56" i="3"/>
  <c r="BA94" i="3"/>
  <c r="AL92" i="3"/>
  <c r="AK92" i="3"/>
  <c r="CB66" i="3"/>
  <c r="CB31" i="3"/>
  <c r="CB69" i="3" s="1"/>
  <c r="DA121" i="3"/>
  <c r="N30" i="3"/>
  <c r="O10" i="3"/>
  <c r="CY18" i="3"/>
  <c r="CW18" i="3"/>
  <c r="CY91" i="3"/>
  <c r="CZ19" i="3"/>
  <c r="BS255" i="1"/>
  <c r="AC255" i="1"/>
  <c r="S145" i="3"/>
  <c r="BQ156" i="3"/>
  <c r="BQ160" i="3"/>
  <c r="BQ144" i="3"/>
  <c r="BQ139" i="3"/>
  <c r="BQ103" i="3"/>
  <c r="BQ104" i="3"/>
  <c r="BQ256" i="1"/>
  <c r="BQ263" i="1"/>
  <c r="BQ262" i="1"/>
  <c r="BQ243" i="1"/>
  <c r="CA156" i="3"/>
  <c r="CA160" i="3"/>
  <c r="CA144" i="3"/>
  <c r="CA139" i="3"/>
  <c r="CA103" i="3"/>
  <c r="CA263" i="1"/>
  <c r="CA243" i="1"/>
  <c r="CA262" i="1"/>
  <c r="CA256" i="1"/>
  <c r="CI160" i="3"/>
  <c r="CI144" i="3"/>
  <c r="CI156" i="3"/>
  <c r="CI139" i="3"/>
  <c r="CI1" i="42" s="1"/>
  <c r="CI104" i="3"/>
  <c r="CI103" i="3"/>
  <c r="CI263" i="1"/>
  <c r="CI262" i="1"/>
  <c r="CI256" i="1"/>
  <c r="BO160" i="3"/>
  <c r="BO156" i="3"/>
  <c r="BO144" i="3"/>
  <c r="BO139" i="3"/>
  <c r="BO104" i="3"/>
  <c r="BO103" i="3"/>
  <c r="BO263" i="1"/>
  <c r="BO262" i="1"/>
  <c r="BO243" i="1"/>
  <c r="BO256" i="1"/>
  <c r="BX160" i="3"/>
  <c r="BX156" i="3"/>
  <c r="BX139" i="3"/>
  <c r="BX144" i="3"/>
  <c r="BX104" i="3"/>
  <c r="BX103" i="3"/>
  <c r="BX262" i="1"/>
  <c r="BX256" i="1"/>
  <c r="BX263" i="1"/>
  <c r="BD156" i="3"/>
  <c r="BD160" i="3"/>
  <c r="BD144" i="3"/>
  <c r="BD139" i="3"/>
  <c r="BD133" i="3"/>
  <c r="BD103" i="3"/>
  <c r="BD262" i="1"/>
  <c r="BD256" i="1"/>
  <c r="BD263" i="1"/>
  <c r="BA118" i="3"/>
  <c r="CE39" i="3"/>
  <c r="CG39" i="3"/>
  <c r="AC39" i="3"/>
  <c r="AB42" i="3"/>
  <c r="AC42" i="3" s="1"/>
  <c r="CI66" i="3"/>
  <c r="CO67" i="3" s="1"/>
  <c r="CI31" i="3"/>
  <c r="CI69" i="3" s="1"/>
  <c r="AM28" i="3"/>
  <c r="AN100" i="3" s="1"/>
  <c r="DA55" i="3"/>
  <c r="DA128" i="3" s="1"/>
  <c r="AZ56" i="3"/>
  <c r="BA51" i="3"/>
  <c r="T129" i="3"/>
  <c r="CW38" i="3"/>
  <c r="BI70" i="3"/>
  <c r="BW54" i="3"/>
  <c r="BX127" i="3" s="1"/>
  <c r="DC126" i="3"/>
  <c r="T255" i="1"/>
  <c r="DC113" i="3"/>
  <c r="CC66" i="3"/>
  <c r="CC67" i="3" s="1"/>
  <c r="CC31" i="3"/>
  <c r="CC69" i="3" s="1"/>
  <c r="CC70" i="3" s="1"/>
  <c r="AK113" i="3"/>
  <c r="AL113" i="3"/>
  <c r="AL255" i="1" s="1"/>
  <c r="Z38" i="3"/>
  <c r="Z42" i="3" s="1"/>
  <c r="Z60" i="3" s="1"/>
  <c r="AA37" i="3"/>
  <c r="AA110" i="3" s="1"/>
  <c r="BE115" i="3"/>
  <c r="BE115" i="42"/>
  <c r="BE255" i="1"/>
  <c r="T115" i="3"/>
  <c r="AS97" i="3"/>
  <c r="AR29" i="3"/>
  <c r="AR30" i="3" s="1"/>
  <c r="J34" i="3"/>
  <c r="I42" i="3"/>
  <c r="CK98" i="3"/>
  <c r="CK102" i="3" s="1"/>
  <c r="BU96" i="3"/>
  <c r="BV96" i="3"/>
  <c r="BQ66" i="3"/>
  <c r="BQ31" i="3"/>
  <c r="BQ69" i="3" s="1"/>
  <c r="BS99" i="3"/>
  <c r="DA22" i="3"/>
  <c r="DA94" i="3" s="1"/>
  <c r="CE66" i="3"/>
  <c r="CE31" i="3"/>
  <c r="CE69" i="3" s="1"/>
  <c r="BF20" i="3"/>
  <c r="BG20" i="3" s="1"/>
  <c r="CP66" i="3"/>
  <c r="CP67" i="3" s="1"/>
  <c r="CP31" i="3"/>
  <c r="CP69" i="3" s="1"/>
  <c r="CP70" i="3" s="1"/>
  <c r="CQ30" i="3"/>
  <c r="K54" i="442" s="1"/>
  <c r="BR66" i="3"/>
  <c r="BR67" i="3" s="1"/>
  <c r="BR31" i="3"/>
  <c r="BR69" i="3" s="1"/>
  <c r="BR70" i="3" s="1"/>
  <c r="BS30" i="3"/>
  <c r="BJ66" i="3"/>
  <c r="BJ31" i="3"/>
  <c r="BJ69" i="3" s="1"/>
  <c r="AX60" i="3"/>
  <c r="AX66" i="3"/>
  <c r="AX31" i="3"/>
  <c r="AX69" i="3" s="1"/>
  <c r="CJ70" i="3"/>
  <c r="BD66" i="3"/>
  <c r="BD60" i="3"/>
  <c r="BD31" i="3"/>
  <c r="BD69" i="3" s="1"/>
  <c r="BY146" i="42"/>
  <c r="BY152" i="42" s="1"/>
  <c r="O101" i="3"/>
  <c r="DH48" i="3"/>
  <c r="DI48" i="3" s="1"/>
  <c r="DI17" i="3"/>
  <c r="BY255" i="1"/>
  <c r="AU115" i="3"/>
  <c r="AU255" i="1"/>
  <c r="CG160" i="3"/>
  <c r="CG156" i="3"/>
  <c r="CG144" i="3"/>
  <c r="CG145" i="3" s="1"/>
  <c r="CG139" i="3"/>
  <c r="CG104" i="3"/>
  <c r="CG103" i="3"/>
  <c r="CG256" i="1"/>
  <c r="CG263" i="1"/>
  <c r="CG262" i="1"/>
  <c r="BL160" i="3"/>
  <c r="BL156" i="3"/>
  <c r="BL139" i="3"/>
  <c r="BL144" i="3"/>
  <c r="BL103" i="3"/>
  <c r="BL262" i="1"/>
  <c r="BL256" i="1"/>
  <c r="BL243" i="1"/>
  <c r="BL263" i="1"/>
  <c r="Q145" i="3"/>
  <c r="CO156" i="3"/>
  <c r="CO160" i="3"/>
  <c r="CO144" i="3"/>
  <c r="CO145" i="3" s="1"/>
  <c r="CO139" i="3"/>
  <c r="CO103" i="3"/>
  <c r="CO104" i="3"/>
  <c r="CO243" i="1"/>
  <c r="CO263" i="1"/>
  <c r="CO262" i="1"/>
  <c r="CO256" i="1"/>
  <c r="BV156" i="3"/>
  <c r="BV144" i="3"/>
  <c r="BV160" i="3"/>
  <c r="BV139" i="3"/>
  <c r="BV103" i="3"/>
  <c r="BV104" i="3"/>
  <c r="BV256" i="1"/>
  <c r="BV263" i="1"/>
  <c r="BV262" i="1"/>
  <c r="AT158" i="3"/>
  <c r="AT156" i="3"/>
  <c r="AT160" i="3"/>
  <c r="AT144" i="3"/>
  <c r="AT133" i="3"/>
  <c r="AT139" i="3"/>
  <c r="AT103" i="3"/>
  <c r="AT263" i="1"/>
  <c r="AT262" i="1"/>
  <c r="AT256" i="1"/>
  <c r="CD139" i="3"/>
  <c r="CD243" i="1"/>
  <c r="BJ156" i="3"/>
  <c r="BJ144" i="3"/>
  <c r="BJ145" i="3" s="1"/>
  <c r="BJ160" i="3"/>
  <c r="BJ139" i="3"/>
  <c r="BJ104" i="3"/>
  <c r="BJ103" i="3"/>
  <c r="BJ263" i="1"/>
  <c r="BJ262" i="1"/>
  <c r="BJ256" i="1"/>
  <c r="CM160" i="3"/>
  <c r="CM156" i="3"/>
  <c r="CM144" i="3"/>
  <c r="CM145" i="3" s="1"/>
  <c r="CM139" i="3"/>
  <c r="CM104" i="3"/>
  <c r="CM103" i="3"/>
  <c r="CM263" i="1"/>
  <c r="CP264" i="1" s="1"/>
  <c r="CM262" i="1"/>
  <c r="CM256" i="1"/>
  <c r="CM243" i="1"/>
  <c r="BR160" i="3"/>
  <c r="BR156" i="3"/>
  <c r="BR139" i="3"/>
  <c r="BR144" i="3"/>
  <c r="BR145" i="3" s="1"/>
  <c r="BR104" i="3"/>
  <c r="BR103" i="3"/>
  <c r="BR263" i="1"/>
  <c r="BR262" i="1"/>
  <c r="BR243" i="1"/>
  <c r="BR256" i="1"/>
  <c r="BA126" i="3"/>
  <c r="CO55" i="3"/>
  <c r="BF55" i="3"/>
  <c r="BG55" i="3" s="1"/>
  <c r="BF54" i="3"/>
  <c r="BG54" i="3" s="1"/>
  <c r="CW50" i="3"/>
  <c r="DE40" i="3"/>
  <c r="DC40" i="3"/>
  <c r="Y66" i="3"/>
  <c r="Y67" i="3" s="1"/>
  <c r="Y60" i="3"/>
  <c r="Y31" i="3"/>
  <c r="Y69" i="3" s="1"/>
  <c r="Z101" i="3"/>
  <c r="Z102" i="3" s="1"/>
  <c r="Y101" i="3"/>
  <c r="CZ128" i="3"/>
  <c r="CU123" i="3"/>
  <c r="CD112" i="3"/>
  <c r="CE112" i="3" s="1"/>
  <c r="CW37" i="3"/>
  <c r="V37" i="3"/>
  <c r="V110" i="3" s="1"/>
  <c r="U38" i="3"/>
  <c r="CO70" i="3"/>
  <c r="AT66" i="3"/>
  <c r="AT67" i="3" s="1"/>
  <c r="AT60" i="3"/>
  <c r="AT31" i="3"/>
  <c r="AT69" i="3" s="1"/>
  <c r="AU30" i="3"/>
  <c r="BJ126" i="3"/>
  <c r="BM126" i="3" s="1"/>
  <c r="CU111" i="3"/>
  <c r="U110" i="3"/>
  <c r="BA125" i="3"/>
  <c r="BY126" i="3"/>
  <c r="CS124" i="3"/>
  <c r="CT51" i="3"/>
  <c r="BL45" i="3"/>
  <c r="BF115" i="3"/>
  <c r="BF115" i="42"/>
  <c r="BF255" i="1"/>
  <c r="N42" i="3"/>
  <c r="O34" i="3"/>
  <c r="BS112" i="3"/>
  <c r="BS115" i="3" s="1"/>
  <c r="BA66" i="3"/>
  <c r="BA31" i="3"/>
  <c r="BA69" i="3" s="1"/>
  <c r="CQ94" i="3"/>
  <c r="AB66" i="3"/>
  <c r="AB67" i="3" s="1"/>
  <c r="AB31" i="3"/>
  <c r="AB69" i="3" s="1"/>
  <c r="AC30" i="3"/>
  <c r="CA66" i="3"/>
  <c r="CA31" i="3"/>
  <c r="CA69" i="3" s="1"/>
  <c r="CH96" i="3"/>
  <c r="CG96" i="3"/>
  <c r="CB96" i="3"/>
  <c r="CA96" i="3"/>
  <c r="BU66" i="3"/>
  <c r="BU67" i="3" s="1"/>
  <c r="BU31" i="3"/>
  <c r="BU69" i="3" s="1"/>
  <c r="BU70" i="3" s="1"/>
  <c r="U26" i="3"/>
  <c r="U98" i="3" s="1"/>
  <c r="AS66" i="3"/>
  <c r="AS60" i="3"/>
  <c r="AS31" i="3"/>
  <c r="AS69" i="3" s="1"/>
  <c r="DB48" i="3"/>
  <c r="DC48" i="3" s="1"/>
  <c r="DC17" i="3"/>
  <c r="CZ94" i="3"/>
  <c r="BE92" i="3"/>
  <c r="BE102" i="3" s="1"/>
  <c r="V25" i="3"/>
  <c r="V97" i="3" s="1"/>
  <c r="AL90" i="3"/>
  <c r="AK90" i="3"/>
  <c r="AO90" i="3" s="1"/>
  <c r="AW30" i="3"/>
  <c r="J30" i="3"/>
  <c r="K10" i="3"/>
  <c r="AM98" i="3"/>
  <c r="AO98" i="3" s="1"/>
  <c r="N28" i="3"/>
  <c r="DH121" i="3"/>
  <c r="DI121" i="3" s="1"/>
  <c r="AI115" i="3"/>
  <c r="AI255" i="1"/>
  <c r="AU129" i="3"/>
  <c r="CK255" i="1"/>
  <c r="CE255" i="1"/>
  <c r="Q147" i="3"/>
  <c r="M145" i="3"/>
  <c r="CB156" i="3"/>
  <c r="CB160" i="3"/>
  <c r="CB144" i="3"/>
  <c r="CB139" i="3"/>
  <c r="CB104" i="3"/>
  <c r="CB103" i="3"/>
  <c r="CB262" i="1"/>
  <c r="CB256" i="1"/>
  <c r="CB263" i="1"/>
  <c r="CB243" i="1"/>
  <c r="CJ160" i="3"/>
  <c r="CJ156" i="3"/>
  <c r="CJ144" i="3"/>
  <c r="CJ139" i="3"/>
  <c r="CJ103" i="3"/>
  <c r="CJ262" i="1"/>
  <c r="CJ243" i="1"/>
  <c r="CJ256" i="1"/>
  <c r="CJ263" i="1"/>
  <c r="BP144" i="3"/>
  <c r="BP156" i="3"/>
  <c r="BP160" i="3"/>
  <c r="BP139" i="3"/>
  <c r="BP104" i="3"/>
  <c r="BP103" i="3"/>
  <c r="BP262" i="1"/>
  <c r="BP243" i="1"/>
  <c r="BP256" i="1"/>
  <c r="BP263" i="1"/>
  <c r="CH156" i="3"/>
  <c r="CH160" i="3"/>
  <c r="CH139" i="3"/>
  <c r="CH144" i="3"/>
  <c r="CH104" i="3"/>
  <c r="CH103" i="3"/>
  <c r="CH256" i="1"/>
  <c r="CH263" i="1"/>
  <c r="CH262" i="1"/>
  <c r="BM102" i="3"/>
  <c r="AM160" i="3"/>
  <c r="AM144" i="3"/>
  <c r="AM156" i="3"/>
  <c r="AM158" i="3"/>
  <c r="AM139" i="3"/>
  <c r="AM140" i="3" s="1"/>
  <c r="AM133" i="3"/>
  <c r="AM103" i="3"/>
  <c r="AM263" i="1"/>
  <c r="AM262" i="1"/>
  <c r="AM256" i="1"/>
  <c r="BE128" i="3"/>
  <c r="BE129" i="3" s="1"/>
  <c r="DE123" i="3"/>
  <c r="DF50" i="3"/>
  <c r="CV54" i="3"/>
  <c r="CV127" i="3" s="1"/>
  <c r="CW127" i="3" s="1"/>
  <c r="BW42" i="3"/>
  <c r="AL112" i="3"/>
  <c r="AL115" i="3" s="1"/>
  <c r="AK112" i="3"/>
  <c r="AK42" i="3"/>
  <c r="CS115" i="3"/>
  <c r="CS115" i="42"/>
  <c r="CS255" i="1"/>
  <c r="BW67" i="3"/>
  <c r="AZ124" i="3"/>
  <c r="BF125" i="3"/>
  <c r="BR51" i="3"/>
  <c r="BW112" i="3"/>
  <c r="BW115" i="3" s="1"/>
  <c r="CV113" i="3"/>
  <c r="CW113" i="3" s="1"/>
  <c r="CD38" i="3"/>
  <c r="CH66" i="3"/>
  <c r="CH67" i="3" s="1"/>
  <c r="CH31" i="3"/>
  <c r="CH69" i="3" s="1"/>
  <c r="CH70" i="3" s="1"/>
  <c r="CW58" i="3"/>
  <c r="BV127" i="3"/>
  <c r="T42" i="3"/>
  <c r="CU112" i="3"/>
  <c r="CU110" i="3"/>
  <c r="CE110" i="3"/>
  <c r="BI67" i="3"/>
  <c r="CN66" i="3"/>
  <c r="CN67" i="3" s="1"/>
  <c r="CN31" i="3"/>
  <c r="CN69" i="3" s="1"/>
  <c r="BS98" i="3"/>
  <c r="BS102" i="3" s="1"/>
  <c r="BP42" i="3"/>
  <c r="AZ70" i="3"/>
  <c r="AM99" i="3"/>
  <c r="AO99" i="3" s="1"/>
  <c r="AL29" i="3"/>
  <c r="CV94" i="3"/>
  <c r="CW94" i="3" s="1"/>
  <c r="CN96" i="3"/>
  <c r="CM96" i="3"/>
  <c r="CG66" i="3"/>
  <c r="CG31" i="3"/>
  <c r="CG69" i="3" s="1"/>
  <c r="CE98" i="3"/>
  <c r="CE102" i="3" s="1"/>
  <c r="BP96" i="3"/>
  <c r="BO96" i="3"/>
  <c r="BS96" i="3" s="1"/>
  <c r="BK66" i="3"/>
  <c r="BK31" i="3"/>
  <c r="BK69" i="3" s="1"/>
  <c r="AU98" i="3"/>
  <c r="S60" i="3"/>
  <c r="S31" i="3"/>
  <c r="S69" i="3" s="1"/>
  <c r="T98" i="3"/>
  <c r="T102" i="3" s="1"/>
  <c r="CW48" i="3"/>
  <c r="CW17" i="3"/>
  <c r="BX128" i="3"/>
  <c r="BY128" i="3" s="1"/>
  <c r="BX66" i="3"/>
  <c r="BX67" i="3" s="1"/>
  <c r="BX31" i="3"/>
  <c r="BX69" i="3" s="1"/>
  <c r="BX70" i="3" s="1"/>
  <c r="BY30" i="3"/>
  <c r="BP66" i="3"/>
  <c r="BP31" i="3"/>
  <c r="BP69" i="3" s="1"/>
  <c r="BP70" i="3" s="1"/>
  <c r="AH28" i="3"/>
  <c r="AH100" i="3" s="1"/>
  <c r="AI100" i="3" s="1"/>
  <c r="DG22" i="3"/>
  <c r="DG94" i="3" s="1"/>
  <c r="CU92" i="3"/>
  <c r="AA29" i="3"/>
  <c r="AB101" i="3" s="1"/>
  <c r="CU121" i="3"/>
  <c r="CT121" i="3"/>
  <c r="AX102" i="3"/>
  <c r="I69" i="3"/>
  <c r="I60" i="3"/>
  <c r="BF91" i="3"/>
  <c r="BG91" i="3" s="1"/>
  <c r="O98" i="3"/>
  <c r="DH89" i="3"/>
  <c r="DI89" i="3" s="1"/>
  <c r="CS181" i="42"/>
  <c r="U171" i="42"/>
  <c r="U162" i="42"/>
  <c r="U169" i="42" s="1"/>
  <c r="V160" i="42"/>
  <c r="W161" i="42" s="1"/>
  <c r="AI59" i="42"/>
  <c r="AI60" i="42" s="1"/>
  <c r="CG270" i="42"/>
  <c r="CP160" i="42"/>
  <c r="BU264" i="42"/>
  <c r="BV263" i="42"/>
  <c r="E216" i="42"/>
  <c r="K159" i="1"/>
  <c r="K248" i="42"/>
  <c r="K210" i="42"/>
  <c r="BW171" i="42"/>
  <c r="BW175" i="42" s="1"/>
  <c r="BW162" i="42"/>
  <c r="BY162" i="42" s="1"/>
  <c r="AF162" i="42"/>
  <c r="AF169" i="42" s="1"/>
  <c r="AG160" i="42"/>
  <c r="M172" i="42"/>
  <c r="V155" i="42"/>
  <c r="V157" i="42" s="1"/>
  <c r="W157" i="42" s="1"/>
  <c r="CH266" i="42"/>
  <c r="CB270" i="42"/>
  <c r="CB267" i="42"/>
  <c r="CC267" i="42" s="1"/>
  <c r="CD267" i="42" s="1"/>
  <c r="CG267" i="42" s="1"/>
  <c r="CH267" i="42" s="1"/>
  <c r="CI267" i="42" s="1"/>
  <c r="CJ267" i="42" s="1"/>
  <c r="CM267" i="42" s="1"/>
  <c r="CN267" i="42" s="1"/>
  <c r="CO267" i="42" s="1"/>
  <c r="CP267" i="42" s="1"/>
  <c r="CS267" i="42" s="1"/>
  <c r="P185" i="42"/>
  <c r="CM270" i="42"/>
  <c r="S175" i="42"/>
  <c r="M181" i="42"/>
  <c r="AE178" i="42"/>
  <c r="DF171" i="42"/>
  <c r="DG160" i="42"/>
  <c r="DF162" i="42"/>
  <c r="DF46" i="3" s="1"/>
  <c r="BQ171" i="42"/>
  <c r="BQ162" i="42"/>
  <c r="BS162" i="42" s="1"/>
  <c r="AE175" i="42"/>
  <c r="AA157" i="42"/>
  <c r="AB155" i="42"/>
  <c r="BS161" i="42"/>
  <c r="BY145" i="42"/>
  <c r="AZ162" i="42"/>
  <c r="BA162" i="42" s="1"/>
  <c r="AT126" i="42"/>
  <c r="AT122" i="42"/>
  <c r="AU122" i="42" s="1"/>
  <c r="BY161" i="42"/>
  <c r="AQ169" i="42"/>
  <c r="AQ172" i="42" s="1"/>
  <c r="BU125" i="42"/>
  <c r="CH125" i="42"/>
  <c r="CH122" i="42" s="1"/>
  <c r="BO125" i="42"/>
  <c r="BG110" i="42"/>
  <c r="AZ125" i="42"/>
  <c r="AU125" i="42"/>
  <c r="BQ125" i="42"/>
  <c r="BQ122" i="42" s="1"/>
  <c r="CB133" i="42"/>
  <c r="CB57" i="42"/>
  <c r="BR70" i="42"/>
  <c r="BX70" i="42"/>
  <c r="AU57" i="42"/>
  <c r="AU254" i="1" s="1"/>
  <c r="AT254" i="1"/>
  <c r="CK48" i="42"/>
  <c r="CP70" i="42"/>
  <c r="BA73" i="42"/>
  <c r="BW57" i="42"/>
  <c r="BW254" i="1" s="1"/>
  <c r="BX48" i="42"/>
  <c r="CK30" i="42"/>
  <c r="CK37" i="42" s="1"/>
  <c r="CJ37" i="42"/>
  <c r="CJ46" i="42" s="1"/>
  <c r="DI48" i="42"/>
  <c r="CC59" i="42"/>
  <c r="CC60" i="42" s="1"/>
  <c r="BF37" i="42"/>
  <c r="BF46" i="42" s="1"/>
  <c r="BG30" i="42"/>
  <c r="BG37" i="42" s="1"/>
  <c r="N32" i="42"/>
  <c r="BD59" i="42"/>
  <c r="BD60" i="42" s="1"/>
  <c r="DE42" i="42"/>
  <c r="DF42" i="42" s="1"/>
  <c r="DG42" i="42" s="1"/>
  <c r="DH42" i="42" s="1"/>
  <c r="DC42" i="42"/>
  <c r="BJ59" i="42"/>
  <c r="BJ60" i="42" s="1"/>
  <c r="CG27" i="42"/>
  <c r="CG60" i="42" s="1"/>
  <c r="BW27" i="42"/>
  <c r="AK133" i="42"/>
  <c r="AK57" i="42"/>
  <c r="AK254" i="1" s="1"/>
  <c r="CY45" i="42"/>
  <c r="CZ45" i="42" s="1"/>
  <c r="DA45" i="42" s="1"/>
  <c r="DB45" i="42" s="1"/>
  <c r="CW45" i="42"/>
  <c r="BO59" i="42"/>
  <c r="V59" i="42"/>
  <c r="W59" i="42" s="1"/>
  <c r="CJ27" i="42"/>
  <c r="BS71" i="42"/>
  <c r="AM59" i="42"/>
  <c r="AM60" i="42" s="1"/>
  <c r="K46" i="42"/>
  <c r="J59" i="42"/>
  <c r="CS27" i="42"/>
  <c r="DE24" i="42"/>
  <c r="DF24" i="42" s="1"/>
  <c r="DG24" i="42" s="1"/>
  <c r="DH24" i="42" s="1"/>
  <c r="DC24" i="42"/>
  <c r="DA171" i="42"/>
  <c r="DA162" i="42"/>
  <c r="DB160" i="42"/>
  <c r="AQ175" i="42"/>
  <c r="CZ171" i="42"/>
  <c r="CZ162" i="42"/>
  <c r="CZ46" i="3" s="1"/>
  <c r="CI171" i="42"/>
  <c r="CI175" i="42" s="1"/>
  <c r="CI162" i="42"/>
  <c r="CK162" i="42" s="1"/>
  <c r="BK162" i="42"/>
  <c r="BM161" i="42"/>
  <c r="AW169" i="42"/>
  <c r="AT169" i="42"/>
  <c r="AT181" i="42" s="1"/>
  <c r="AY171" i="42"/>
  <c r="AY175" i="42" s="1"/>
  <c r="DA146" i="42"/>
  <c r="CJ125" i="42"/>
  <c r="CJ122" i="42" s="1"/>
  <c r="BK125" i="42"/>
  <c r="BK122" i="42" s="1"/>
  <c r="BK70" i="42"/>
  <c r="BQ70" i="42"/>
  <c r="BD70" i="42"/>
  <c r="AY70" i="42"/>
  <c r="BA71" i="42"/>
  <c r="BA57" i="42"/>
  <c r="BA254" i="1" s="1"/>
  <c r="AZ254" i="1"/>
  <c r="BU169" i="42"/>
  <c r="BU172" i="42" s="1"/>
  <c r="BU178" i="42" s="1"/>
  <c r="BU179" i="42" s="1"/>
  <c r="BY139" i="42"/>
  <c r="CD37" i="42"/>
  <c r="CD46" i="42" s="1"/>
  <c r="CE30" i="42"/>
  <c r="CE37" i="42" s="1"/>
  <c r="AR59" i="42"/>
  <c r="DE53" i="42"/>
  <c r="DF53" i="42" s="1"/>
  <c r="DG53" i="42" s="1"/>
  <c r="DH53" i="42" s="1"/>
  <c r="DC53" i="42"/>
  <c r="CE45" i="42"/>
  <c r="CM59" i="42"/>
  <c r="CM60" i="42" s="1"/>
  <c r="AQ59" i="42"/>
  <c r="AQ60" i="42" s="1"/>
  <c r="CE122" i="42"/>
  <c r="BG17" i="42"/>
  <c r="BF27" i="42"/>
  <c r="AK169" i="42"/>
  <c r="AK172" i="42" s="1"/>
  <c r="AO139" i="42"/>
  <c r="CW48" i="42"/>
  <c r="CP60" i="42"/>
  <c r="CQ59" i="42"/>
  <c r="CQ60" i="42" s="1"/>
  <c r="AC17" i="42"/>
  <c r="AB27" i="42"/>
  <c r="BG71" i="42"/>
  <c r="G45" i="42"/>
  <c r="G46" i="42" s="1"/>
  <c r="G59" i="42" s="1"/>
  <c r="G60" i="42" s="1"/>
  <c r="H39" i="42"/>
  <c r="G252" i="1"/>
  <c r="G253" i="1" s="1"/>
  <c r="V27" i="42"/>
  <c r="W27" i="42" s="1"/>
  <c r="W17" i="42"/>
  <c r="BU27" i="42"/>
  <c r="BD264" i="42"/>
  <c r="BE263" i="42"/>
  <c r="W152" i="1"/>
  <c r="CC266" i="42"/>
  <c r="BX266" i="42"/>
  <c r="BW270" i="42"/>
  <c r="CY266" i="42"/>
  <c r="CS270" i="42"/>
  <c r="S229" i="42"/>
  <c r="S233" i="42" s="1"/>
  <c r="Q209" i="42"/>
  <c r="W229" i="42"/>
  <c r="W233" i="42" s="1"/>
  <c r="Q246" i="42"/>
  <c r="Z162" i="42"/>
  <c r="CC171" i="42"/>
  <c r="CC175" i="42" s="1"/>
  <c r="CC162" i="42"/>
  <c r="CE162" i="42" s="1"/>
  <c r="AS171" i="42"/>
  <c r="AS175" i="42" s="1"/>
  <c r="AS162" i="42"/>
  <c r="AS169" i="42" s="1"/>
  <c r="BG162" i="42"/>
  <c r="AL171" i="42"/>
  <c r="AL175" i="42" s="1"/>
  <c r="AL162" i="42"/>
  <c r="AL169" i="42" s="1"/>
  <c r="AM160" i="42"/>
  <c r="N171" i="42"/>
  <c r="N175" i="42" s="1"/>
  <c r="N162" i="42"/>
  <c r="O160" i="42"/>
  <c r="CO169" i="42"/>
  <c r="CO181" i="42" s="1"/>
  <c r="DF146" i="42"/>
  <c r="DF47" i="3" s="1"/>
  <c r="DG144" i="42"/>
  <c r="CG169" i="42"/>
  <c r="CN126" i="42"/>
  <c r="CM125" i="42"/>
  <c r="CI125" i="42"/>
  <c r="CI122" i="42" s="1"/>
  <c r="BE125" i="42"/>
  <c r="BE122" i="42" s="1"/>
  <c r="CI70" i="42"/>
  <c r="CE57" i="42"/>
  <c r="CE254" i="1" s="1"/>
  <c r="CD254" i="1"/>
  <c r="AI56" i="42"/>
  <c r="AI133" i="42" s="1"/>
  <c r="AT59" i="42"/>
  <c r="AU59" i="42" s="1"/>
  <c r="AU46" i="42"/>
  <c r="CK71" i="42"/>
  <c r="BU133" i="42"/>
  <c r="BU57" i="42"/>
  <c r="N182" i="42"/>
  <c r="O52" i="42"/>
  <c r="BX37" i="42"/>
  <c r="BX46" i="42" s="1"/>
  <c r="BY30" i="42"/>
  <c r="BY37" i="42" s="1"/>
  <c r="BV57" i="42"/>
  <c r="AI57" i="42"/>
  <c r="AI254" i="1" s="1"/>
  <c r="CN59" i="42"/>
  <c r="CN60" i="42" s="1"/>
  <c r="BW59" i="42"/>
  <c r="BW60" i="42" s="1"/>
  <c r="DC48" i="42"/>
  <c r="AB59" i="42"/>
  <c r="CG122" i="42"/>
  <c r="CE27" i="42"/>
  <c r="AL124" i="42"/>
  <c r="CY20" i="42"/>
  <c r="CZ20" i="42" s="1"/>
  <c r="DA20" i="42" s="1"/>
  <c r="DB20" i="42" s="1"/>
  <c r="CW20" i="42"/>
  <c r="CA59" i="42"/>
  <c r="CA60" i="42" s="1"/>
  <c r="CH27" i="42"/>
  <c r="BC59" i="42"/>
  <c r="DE15" i="42"/>
  <c r="DF15" i="42" s="1"/>
  <c r="DG15" i="42" s="1"/>
  <c r="DH15" i="42" s="1"/>
  <c r="DC15" i="42"/>
  <c r="W186" i="42"/>
  <c r="W185" i="42" s="1"/>
  <c r="CM172" i="42"/>
  <c r="AA171" i="42"/>
  <c r="AA175" i="42" s="1"/>
  <c r="AA162" i="42"/>
  <c r="AB160" i="42"/>
  <c r="AC161" i="42" s="1"/>
  <c r="CU276" i="42"/>
  <c r="CV275" i="42"/>
  <c r="AB230" i="42"/>
  <c r="AA207" i="42"/>
  <c r="AA214" i="42" s="1"/>
  <c r="AA206" i="42"/>
  <c r="AA213" i="42" s="1"/>
  <c r="CS172" i="42"/>
  <c r="T171" i="42"/>
  <c r="T175" i="42" s="1"/>
  <c r="T162" i="42"/>
  <c r="AM157" i="42"/>
  <c r="AN155" i="42"/>
  <c r="AN157" i="42" s="1"/>
  <c r="AU156" i="42"/>
  <c r="AZ155" i="42"/>
  <c r="AZ171" i="42" s="1"/>
  <c r="AZ175" i="42" s="1"/>
  <c r="BC169" i="42"/>
  <c r="P132" i="42"/>
  <c r="O135" i="42"/>
  <c r="BE110" i="42"/>
  <c r="BD107" i="42"/>
  <c r="BE112" i="42"/>
  <c r="Q115" i="42"/>
  <c r="BL125" i="42"/>
  <c r="BL122" i="42" s="1"/>
  <c r="G101" i="42"/>
  <c r="E103" i="42"/>
  <c r="E108" i="42" s="1"/>
  <c r="BJ113" i="42"/>
  <c r="BI112" i="42"/>
  <c r="BP133" i="42"/>
  <c r="BP57" i="42"/>
  <c r="CB70" i="42"/>
  <c r="AG74" i="42"/>
  <c r="AH73" i="42"/>
  <c r="AH74" i="42" s="1"/>
  <c r="BW169" i="42"/>
  <c r="BV169" i="42"/>
  <c r="BV181" i="42" s="1"/>
  <c r="BM139" i="42"/>
  <c r="CE71" i="42"/>
  <c r="BM57" i="42"/>
  <c r="BM254" i="1" s="1"/>
  <c r="BL254" i="1"/>
  <c r="CA169" i="42"/>
  <c r="CE139" i="42"/>
  <c r="BO169" i="42"/>
  <c r="BS139" i="42"/>
  <c r="BR37" i="42"/>
  <c r="BR46" i="42" s="1"/>
  <c r="BS30" i="42"/>
  <c r="BS37" i="42" s="1"/>
  <c r="T59" i="42"/>
  <c r="AN60" i="42"/>
  <c r="AO59" i="42"/>
  <c r="AO60" i="42" s="1"/>
  <c r="BC122" i="42"/>
  <c r="AK124" i="42"/>
  <c r="BY56" i="42"/>
  <c r="BY133" i="42" s="1"/>
  <c r="Q59" i="42"/>
  <c r="P60" i="42"/>
  <c r="AZ59" i="42"/>
  <c r="BA59" i="42" s="1"/>
  <c r="AT75" i="42"/>
  <c r="BM71" i="42"/>
  <c r="DE43" i="42"/>
  <c r="DF43" i="42" s="1"/>
  <c r="DG43" i="42" s="1"/>
  <c r="DH43" i="42" s="1"/>
  <c r="DC43" i="42"/>
  <c r="BL59" i="42"/>
  <c r="I31" i="42"/>
  <c r="H32" i="42"/>
  <c r="AM124" i="42"/>
  <c r="BS27" i="42"/>
  <c r="AE59" i="42"/>
  <c r="AE60" i="42" s="1"/>
  <c r="BV27" i="42"/>
  <c r="Z59" i="42"/>
  <c r="Z60" i="42" s="1"/>
  <c r="DI119" i="1"/>
  <c r="DC119" i="1"/>
  <c r="CW119" i="1"/>
  <c r="CQ119" i="1"/>
  <c r="CK119" i="1"/>
  <c r="CE119" i="1"/>
  <c r="BY119" i="1"/>
  <c r="BS119" i="1"/>
  <c r="BM119" i="1"/>
  <c r="BG119" i="1"/>
  <c r="BA119" i="1"/>
  <c r="AU119" i="1"/>
  <c r="AO119" i="1"/>
  <c r="AI119" i="1"/>
  <c r="AC119" i="1"/>
  <c r="W119" i="1"/>
  <c r="Q119" i="1"/>
  <c r="K119" i="1"/>
  <c r="E118" i="1"/>
  <c r="D118" i="1"/>
  <c r="C118" i="1"/>
  <c r="DH117" i="1"/>
  <c r="DG117" i="1"/>
  <c r="DF117" i="1"/>
  <c r="DE117" i="1"/>
  <c r="DB117" i="1"/>
  <c r="DA117" i="1"/>
  <c r="CZ117" i="1"/>
  <c r="CY117" i="1"/>
  <c r="CS118" i="1"/>
  <c r="CS117" i="1"/>
  <c r="CP118" i="1"/>
  <c r="CO118" i="1"/>
  <c r="CN118" i="1"/>
  <c r="CM118" i="1"/>
  <c r="CP117" i="1"/>
  <c r="CO117" i="1"/>
  <c r="CN117" i="1"/>
  <c r="CM117" i="1"/>
  <c r="CJ118" i="1"/>
  <c r="CI118" i="1"/>
  <c r="CH118" i="1"/>
  <c r="CG118" i="1"/>
  <c r="CJ117" i="1"/>
  <c r="CI117" i="1"/>
  <c r="CH117" i="1"/>
  <c r="CG117" i="1"/>
  <c r="CD118" i="1"/>
  <c r="CC118" i="1"/>
  <c r="CB118" i="1"/>
  <c r="CA118" i="1"/>
  <c r="CD117" i="1"/>
  <c r="CC117" i="1"/>
  <c r="CB117" i="1"/>
  <c r="CA117" i="1"/>
  <c r="BX118" i="1"/>
  <c r="BW118" i="1"/>
  <c r="BV118" i="1"/>
  <c r="BU118" i="1"/>
  <c r="BX117" i="1"/>
  <c r="BW117" i="1"/>
  <c r="BV117" i="1"/>
  <c r="BU117" i="1"/>
  <c r="BR118" i="1"/>
  <c r="BQ118" i="1"/>
  <c r="BP118" i="1"/>
  <c r="BO118" i="1"/>
  <c r="BR117" i="1"/>
  <c r="BQ117" i="1"/>
  <c r="BP117" i="1"/>
  <c r="BO117" i="1"/>
  <c r="BL118" i="1"/>
  <c r="BK118" i="1"/>
  <c r="BJ118" i="1"/>
  <c r="BI118" i="1"/>
  <c r="BL117" i="1"/>
  <c r="BK117" i="1"/>
  <c r="BJ117" i="1"/>
  <c r="BI117" i="1"/>
  <c r="BF118" i="1"/>
  <c r="BE118" i="1"/>
  <c r="BD118" i="1"/>
  <c r="BC118" i="1"/>
  <c r="BF117" i="1"/>
  <c r="BE117" i="1"/>
  <c r="BD117" i="1"/>
  <c r="BC117" i="1"/>
  <c r="AZ118" i="1"/>
  <c r="AY118" i="1"/>
  <c r="AX118" i="1"/>
  <c r="AW118" i="1"/>
  <c r="AZ117" i="1"/>
  <c r="AY117" i="1"/>
  <c r="AX117" i="1"/>
  <c r="AW117" i="1"/>
  <c r="AT118" i="1"/>
  <c r="AS118" i="1"/>
  <c r="AT117" i="1"/>
  <c r="AS117" i="1"/>
  <c r="AR117" i="1"/>
  <c r="AQ117" i="1"/>
  <c r="AL118" i="1"/>
  <c r="AK118" i="1"/>
  <c r="AN117" i="1"/>
  <c r="AM117" i="1"/>
  <c r="AL117" i="1"/>
  <c r="AK117" i="1"/>
  <c r="AH118" i="1"/>
  <c r="AG118" i="1"/>
  <c r="AF118" i="1"/>
  <c r="AE118" i="1"/>
  <c r="AH117" i="1"/>
  <c r="AG117" i="1"/>
  <c r="AF117" i="1"/>
  <c r="AE117" i="1"/>
  <c r="AB118" i="1"/>
  <c r="AA118" i="1"/>
  <c r="Z118" i="1"/>
  <c r="Y118" i="1"/>
  <c r="V118" i="1"/>
  <c r="U118" i="1"/>
  <c r="T118" i="1"/>
  <c r="S118" i="1"/>
  <c r="V117" i="1"/>
  <c r="U117" i="1"/>
  <c r="T117" i="1"/>
  <c r="S117" i="1"/>
  <c r="P118" i="1"/>
  <c r="O118" i="1"/>
  <c r="N118" i="1"/>
  <c r="M118" i="1"/>
  <c r="G118" i="1"/>
  <c r="CS115" i="1"/>
  <c r="CP115" i="1"/>
  <c r="CO115" i="1"/>
  <c r="CN115" i="1"/>
  <c r="CM115" i="1"/>
  <c r="CJ115" i="1"/>
  <c r="CI115" i="1"/>
  <c r="CH115" i="1"/>
  <c r="CG115" i="1"/>
  <c r="CD115" i="1"/>
  <c r="CC115" i="1"/>
  <c r="CB115" i="1"/>
  <c r="CA115" i="1"/>
  <c r="BW115" i="1"/>
  <c r="BV115" i="1"/>
  <c r="BU115" i="1"/>
  <c r="BL115" i="1"/>
  <c r="BF115" i="1"/>
  <c r="BE115" i="1"/>
  <c r="BD115" i="1"/>
  <c r="AZ115" i="1"/>
  <c r="AY115" i="1"/>
  <c r="AX115" i="1"/>
  <c r="AW115" i="1"/>
  <c r="AT115" i="1"/>
  <c r="AS115" i="1"/>
  <c r="AR115" i="1"/>
  <c r="AQ115" i="1"/>
  <c r="AN115" i="1"/>
  <c r="AM115" i="1"/>
  <c r="AL115" i="1"/>
  <c r="AH115" i="1"/>
  <c r="AG115" i="1"/>
  <c r="AF115" i="1"/>
  <c r="CQ114" i="1"/>
  <c r="CQ157" i="1" s="1"/>
  <c r="CK114" i="1"/>
  <c r="CK157" i="1" s="1"/>
  <c r="CE114" i="1"/>
  <c r="CE157" i="1" s="1"/>
  <c r="BY114" i="1"/>
  <c r="BY157" i="1" s="1"/>
  <c r="BR114" i="1"/>
  <c r="BS114" i="1" s="1"/>
  <c r="BM114" i="1"/>
  <c r="BM157" i="1" s="1"/>
  <c r="BK114" i="1"/>
  <c r="BK115" i="1" s="1"/>
  <c r="BJ114" i="1"/>
  <c r="BI114" i="1"/>
  <c r="BG114" i="1"/>
  <c r="BG157" i="1" s="1"/>
  <c r="BC114" i="1"/>
  <c r="BA114" i="1"/>
  <c r="BA157" i="1" s="1"/>
  <c r="AU114" i="1"/>
  <c r="AU157" i="1" s="1"/>
  <c r="AO114" i="1"/>
  <c r="AO157" i="1" s="1"/>
  <c r="AI114" i="1"/>
  <c r="AI157" i="1" s="1"/>
  <c r="AE114" i="1"/>
  <c r="AC114" i="1"/>
  <c r="Y114" i="1"/>
  <c r="W114" i="1"/>
  <c r="Q114" i="1"/>
  <c r="K114" i="1"/>
  <c r="CQ112" i="1"/>
  <c r="CQ111" i="1"/>
  <c r="K73" i="442" s="1"/>
  <c r="CK112" i="1"/>
  <c r="CK111" i="1"/>
  <c r="J73" i="442" s="1"/>
  <c r="CE112" i="1"/>
  <c r="CE111" i="1"/>
  <c r="BY112" i="1"/>
  <c r="BY111" i="1"/>
  <c r="BS112" i="1"/>
  <c r="BS111" i="1"/>
  <c r="BM112" i="1"/>
  <c r="BG112" i="1"/>
  <c r="BG111" i="1"/>
  <c r="BG149" i="3" s="1"/>
  <c r="BA112" i="1"/>
  <c r="AU111" i="1"/>
  <c r="AU149" i="3" s="1"/>
  <c r="AR112" i="1"/>
  <c r="AR118" i="1" s="1"/>
  <c r="AQ112" i="1"/>
  <c r="AQ118" i="1" s="1"/>
  <c r="AN112" i="1"/>
  <c r="AN118" i="1" s="1"/>
  <c r="AM112" i="1"/>
  <c r="AM118" i="1" s="1"/>
  <c r="AI112" i="1"/>
  <c r="AI111" i="1"/>
  <c r="Q112" i="1"/>
  <c r="J112" i="1"/>
  <c r="J118" i="1" s="1"/>
  <c r="I112" i="1"/>
  <c r="I118" i="1" s="1"/>
  <c r="H112" i="1"/>
  <c r="H118" i="1" s="1"/>
  <c r="AO111" i="1"/>
  <c r="P111" i="1"/>
  <c r="K111" i="1"/>
  <c r="CQ105" i="1"/>
  <c r="CQ103" i="1"/>
  <c r="CK105" i="1"/>
  <c r="CK103" i="1"/>
  <c r="AE105" i="1"/>
  <c r="N105" i="1"/>
  <c r="M105" i="1"/>
  <c r="CS103" i="1"/>
  <c r="CD105" i="1"/>
  <c r="CC105" i="1"/>
  <c r="CB105" i="1"/>
  <c r="BL105" i="1"/>
  <c r="BK105" i="1"/>
  <c r="BJ105" i="1"/>
  <c r="BI105" i="1"/>
  <c r="BF105" i="1"/>
  <c r="BE105" i="1"/>
  <c r="BD105" i="1"/>
  <c r="BC105" i="1"/>
  <c r="AZ105" i="1"/>
  <c r="AY105" i="1"/>
  <c r="AX105" i="1"/>
  <c r="AW105" i="1"/>
  <c r="AT105" i="1"/>
  <c r="AS105" i="1"/>
  <c r="AR105" i="1"/>
  <c r="AN105" i="1"/>
  <c r="AM105" i="1"/>
  <c r="AL105" i="1"/>
  <c r="AK105" i="1"/>
  <c r="AH105" i="1"/>
  <c r="AG105" i="1"/>
  <c r="AB105" i="1"/>
  <c r="AA105" i="1"/>
  <c r="Z105" i="1"/>
  <c r="Y105" i="1"/>
  <c r="E105" i="1"/>
  <c r="D105" i="1"/>
  <c r="CE103" i="1"/>
  <c r="BY103" i="1"/>
  <c r="BS103" i="1"/>
  <c r="BM103" i="1"/>
  <c r="BG103" i="1"/>
  <c r="BA103" i="1"/>
  <c r="AU103" i="1"/>
  <c r="AO103" i="1"/>
  <c r="AI103" i="1"/>
  <c r="Z103" i="1"/>
  <c r="N103" i="1"/>
  <c r="M103" i="1"/>
  <c r="D103" i="1"/>
  <c r="D101" i="1"/>
  <c r="E101" i="1"/>
  <c r="C101" i="1"/>
  <c r="AB103" i="1"/>
  <c r="V105" i="1"/>
  <c r="U105" i="1"/>
  <c r="T105" i="1"/>
  <c r="S105" i="1"/>
  <c r="V103" i="1"/>
  <c r="U103" i="1"/>
  <c r="T103" i="1"/>
  <c r="S103" i="1"/>
  <c r="P101" i="1"/>
  <c r="O101" i="1"/>
  <c r="N101" i="1"/>
  <c r="M101" i="1"/>
  <c r="J105" i="1"/>
  <c r="I105" i="1"/>
  <c r="H105" i="1"/>
  <c r="G105" i="1"/>
  <c r="J103" i="1"/>
  <c r="I103" i="1"/>
  <c r="H103" i="1"/>
  <c r="G103" i="1"/>
  <c r="J101" i="1"/>
  <c r="I101" i="1"/>
  <c r="H101" i="1"/>
  <c r="G101" i="1"/>
  <c r="DA82" i="1"/>
  <c r="DA105" i="1" s="1"/>
  <c r="CY82" i="1"/>
  <c r="CY105" i="1" s="1"/>
  <c r="CQ82" i="1"/>
  <c r="CK82" i="1"/>
  <c r="BR82" i="1"/>
  <c r="BQ82" i="1"/>
  <c r="BQ105" i="1" s="1"/>
  <c r="BP82" i="1"/>
  <c r="BP105" i="1" s="1"/>
  <c r="BO82" i="1"/>
  <c r="BO105" i="1" s="1"/>
  <c r="BM82" i="1"/>
  <c r="BG82" i="1"/>
  <c r="BC358" i="1" s="1"/>
  <c r="BA82" i="1"/>
  <c r="AW358" i="1" s="1"/>
  <c r="AQ82" i="1"/>
  <c r="AU82" i="1" s="1"/>
  <c r="AO82" i="1"/>
  <c r="AI82" i="1"/>
  <c r="AC82" i="1"/>
  <c r="W82" i="1"/>
  <c r="Q82" i="1"/>
  <c r="K82" i="1"/>
  <c r="CS79" i="1"/>
  <c r="CP79" i="1"/>
  <c r="CO79" i="1"/>
  <c r="CN79" i="1"/>
  <c r="CM79" i="1"/>
  <c r="CJ79" i="1"/>
  <c r="CI79" i="1"/>
  <c r="CH79" i="1"/>
  <c r="CG79" i="1"/>
  <c r="CK79" i="1" s="1"/>
  <c r="CD79" i="1"/>
  <c r="CC79" i="1"/>
  <c r="CC84" i="1" s="1"/>
  <c r="CB79" i="1"/>
  <c r="CA79" i="1"/>
  <c r="BX79" i="1"/>
  <c r="BW79" i="1"/>
  <c r="BV79" i="1"/>
  <c r="BU79" i="1"/>
  <c r="BY79" i="1" s="1"/>
  <c r="BR79" i="1"/>
  <c r="BQ79" i="1"/>
  <c r="BP79" i="1"/>
  <c r="BO79" i="1"/>
  <c r="BL79" i="1"/>
  <c r="BK79" i="1"/>
  <c r="BJ79" i="1"/>
  <c r="BI79" i="1"/>
  <c r="BF79" i="1"/>
  <c r="BE79" i="1"/>
  <c r="BD79" i="1"/>
  <c r="BC79" i="1"/>
  <c r="BG79" i="1" s="1"/>
  <c r="Y79" i="1"/>
  <c r="W79" i="1"/>
  <c r="K79" i="1"/>
  <c r="BD78" i="1"/>
  <c r="DI75" i="1"/>
  <c r="DC75" i="1"/>
  <c r="CS75" i="1"/>
  <c r="CW75" i="1" s="1"/>
  <c r="CS74" i="1"/>
  <c r="CP75" i="1"/>
  <c r="CO75" i="1"/>
  <c r="CN75" i="1"/>
  <c r="CM75" i="1"/>
  <c r="CQ75" i="1" s="1"/>
  <c r="CK72" i="1"/>
  <c r="CI75" i="1"/>
  <c r="CK75" i="1" s="1"/>
  <c r="CH75" i="1"/>
  <c r="CG75" i="1"/>
  <c r="CE74" i="1"/>
  <c r="CE72" i="1"/>
  <c r="CC75" i="1"/>
  <c r="CE75" i="1" s="1"/>
  <c r="CB75" i="1"/>
  <c r="CA75" i="1"/>
  <c r="BY75" i="1"/>
  <c r="BY72" i="1"/>
  <c r="BS75" i="1"/>
  <c r="BS74" i="1"/>
  <c r="BS72" i="1"/>
  <c r="BM72" i="1"/>
  <c r="BJ75" i="1"/>
  <c r="BM75" i="1" s="1"/>
  <c r="BJ74" i="1"/>
  <c r="BM74" i="1" s="1"/>
  <c r="BJ73" i="1"/>
  <c r="BJ71" i="1" s="1"/>
  <c r="BJ101" i="1" s="1"/>
  <c r="BG75" i="1"/>
  <c r="BG74" i="1"/>
  <c r="BG72" i="1"/>
  <c r="BA75" i="1"/>
  <c r="AU75" i="1"/>
  <c r="AO75" i="1"/>
  <c r="AM75" i="1"/>
  <c r="AH75" i="1"/>
  <c r="AI75" i="1" s="1"/>
  <c r="AC75" i="1"/>
  <c r="W75" i="1"/>
  <c r="CQ74" i="1"/>
  <c r="CQ72" i="1"/>
  <c r="CJ74" i="1"/>
  <c r="CK74" i="1" s="1"/>
  <c r="CD74" i="1"/>
  <c r="CD73" i="1"/>
  <c r="CD71" i="1" s="1"/>
  <c r="CD101" i="1" s="1"/>
  <c r="BX74" i="1"/>
  <c r="BY74" i="1" s="1"/>
  <c r="BK74" i="1"/>
  <c r="BK73" i="1"/>
  <c r="CP73" i="1"/>
  <c r="CP71" i="1" s="1"/>
  <c r="CP101" i="1" s="1"/>
  <c r="CO73" i="1"/>
  <c r="CN73" i="1"/>
  <c r="CM73" i="1"/>
  <c r="CI73" i="1"/>
  <c r="CI71" i="1" s="1"/>
  <c r="CI101" i="1" s="1"/>
  <c r="CH73" i="1"/>
  <c r="CH71" i="1" s="1"/>
  <c r="CH101" i="1" s="1"/>
  <c r="CG73" i="1"/>
  <c r="CG71" i="1" s="1"/>
  <c r="CG101" i="1" s="1"/>
  <c r="CC73" i="1"/>
  <c r="CC71" i="1" s="1"/>
  <c r="CC101" i="1" s="1"/>
  <c r="CB73" i="1"/>
  <c r="CB71" i="1" s="1"/>
  <c r="CB101" i="1" s="1"/>
  <c r="CA73" i="1"/>
  <c r="CA71" i="1" s="1"/>
  <c r="CA101" i="1" s="1"/>
  <c r="BW73" i="1"/>
  <c r="BW71" i="1" s="1"/>
  <c r="BW101" i="1" s="1"/>
  <c r="BV73" i="1"/>
  <c r="BV71" i="1" s="1"/>
  <c r="BV101" i="1" s="1"/>
  <c r="BU73" i="1"/>
  <c r="BU71" i="1" s="1"/>
  <c r="BU101" i="1" s="1"/>
  <c r="BR73" i="1"/>
  <c r="BR261" i="42" s="1"/>
  <c r="BU261" i="42" s="1"/>
  <c r="BV261" i="42" s="1"/>
  <c r="BW261" i="42" s="1"/>
  <c r="BX261" i="42" s="1"/>
  <c r="CA261" i="42" s="1"/>
  <c r="CB261" i="42" s="1"/>
  <c r="CC261" i="42" s="1"/>
  <c r="CD261" i="42" s="1"/>
  <c r="CG261" i="42" s="1"/>
  <c r="CH261" i="42" s="1"/>
  <c r="BQ73" i="1"/>
  <c r="BP73" i="1"/>
  <c r="BP261" i="42" s="1"/>
  <c r="BO73" i="1"/>
  <c r="BL73" i="1"/>
  <c r="BL261" i="42" s="1"/>
  <c r="BI73" i="1"/>
  <c r="BI261" i="42" s="1"/>
  <c r="BF73" i="1"/>
  <c r="BF261" i="42" s="1"/>
  <c r="BE73" i="1"/>
  <c r="BD73" i="1"/>
  <c r="BD71" i="1" s="1"/>
  <c r="BD101" i="1" s="1"/>
  <c r="BC73" i="1"/>
  <c r="BC71" i="1" s="1"/>
  <c r="BC101" i="1" s="1"/>
  <c r="BA73" i="1"/>
  <c r="BA72" i="1"/>
  <c r="AU73" i="1"/>
  <c r="AU72" i="1"/>
  <c r="AO73" i="1"/>
  <c r="AO72" i="1"/>
  <c r="AH73" i="1"/>
  <c r="AH71" i="1" s="1"/>
  <c r="AH101" i="1" s="1"/>
  <c r="AG73" i="1"/>
  <c r="AG71" i="1" s="1"/>
  <c r="AG101" i="1" s="1"/>
  <c r="AC73" i="1"/>
  <c r="AC72" i="1"/>
  <c r="W73" i="1"/>
  <c r="W72" i="1"/>
  <c r="AI72" i="1"/>
  <c r="O73" i="1"/>
  <c r="O276" i="1" s="1"/>
  <c r="O72" i="1"/>
  <c r="O274" i="1" s="1"/>
  <c r="O273" i="1" s="1"/>
  <c r="G73" i="1"/>
  <c r="G276" i="1" s="1"/>
  <c r="G72" i="1"/>
  <c r="G274" i="1" s="1"/>
  <c r="G273" i="1" s="1"/>
  <c r="DH74" i="1"/>
  <c r="DG74" i="1"/>
  <c r="DF74" i="1"/>
  <c r="DE74" i="1"/>
  <c r="DB74" i="1"/>
  <c r="DA74" i="1"/>
  <c r="CZ74" i="1"/>
  <c r="CY74" i="1"/>
  <c r="CN71" i="1"/>
  <c r="CN101" i="1" s="1"/>
  <c r="CM71" i="1"/>
  <c r="CM101" i="1" s="1"/>
  <c r="BL71" i="1"/>
  <c r="BL101" i="1" s="1"/>
  <c r="BI71" i="1"/>
  <c r="BI101" i="1" s="1"/>
  <c r="AZ71" i="1"/>
  <c r="AZ101" i="1" s="1"/>
  <c r="AY71" i="1"/>
  <c r="AY101" i="1" s="1"/>
  <c r="AX71" i="1"/>
  <c r="AX101" i="1" s="1"/>
  <c r="AW71" i="1"/>
  <c r="AW101" i="1" s="1"/>
  <c r="AT71" i="1"/>
  <c r="AT101" i="1" s="1"/>
  <c r="AS71" i="1"/>
  <c r="AS101" i="1" s="1"/>
  <c r="AR71" i="1"/>
  <c r="AR101" i="1" s="1"/>
  <c r="AQ71" i="1"/>
  <c r="AQ101" i="1" s="1"/>
  <c r="AN71" i="1"/>
  <c r="AN101" i="1" s="1"/>
  <c r="AM71" i="1"/>
  <c r="AM101" i="1" s="1"/>
  <c r="AL71" i="1"/>
  <c r="AL101" i="1" s="1"/>
  <c r="AK71" i="1"/>
  <c r="AK101" i="1" s="1"/>
  <c r="AF71" i="1"/>
  <c r="AF101" i="1" s="1"/>
  <c r="AE71" i="1"/>
  <c r="AE101" i="1" s="1"/>
  <c r="AB71" i="1"/>
  <c r="AB101" i="1" s="1"/>
  <c r="AA71" i="1"/>
  <c r="AA101" i="1" s="1"/>
  <c r="Z71" i="1"/>
  <c r="Z101" i="1" s="1"/>
  <c r="Y71" i="1"/>
  <c r="Y101" i="1" s="1"/>
  <c r="V71" i="1"/>
  <c r="V101" i="1" s="1"/>
  <c r="U71" i="1"/>
  <c r="U101" i="1" s="1"/>
  <c r="T71" i="1"/>
  <c r="T101" i="1" s="1"/>
  <c r="S71" i="1"/>
  <c r="S101" i="1" s="1"/>
  <c r="Q71" i="1"/>
  <c r="K71" i="1"/>
  <c r="E58" i="1"/>
  <c r="AF58" i="1"/>
  <c r="AB58" i="1"/>
  <c r="AA58" i="1"/>
  <c r="Z58" i="1"/>
  <c r="Y58" i="1"/>
  <c r="V58" i="1"/>
  <c r="U58" i="1"/>
  <c r="T58" i="1"/>
  <c r="S58" i="1"/>
  <c r="P58" i="1"/>
  <c r="O58" i="1"/>
  <c r="N58" i="1"/>
  <c r="M58" i="1"/>
  <c r="J58" i="1"/>
  <c r="I58" i="1"/>
  <c r="H58" i="1"/>
  <c r="G58" i="1"/>
  <c r="AW56" i="1"/>
  <c r="AT56" i="1"/>
  <c r="AT312" i="1" s="1"/>
  <c r="AS56" i="1"/>
  <c r="AS312" i="1" s="1"/>
  <c r="AR56" i="1"/>
  <c r="AR312" i="1" s="1"/>
  <c r="AQ56" i="1"/>
  <c r="AQ312" i="1" s="1"/>
  <c r="AM56" i="1"/>
  <c r="AM312" i="1" s="1"/>
  <c r="AL56" i="1"/>
  <c r="AL312" i="1" s="1"/>
  <c r="AG56" i="1"/>
  <c r="AF56" i="1"/>
  <c r="CQ55" i="1"/>
  <c r="CQ54" i="1"/>
  <c r="CK55" i="1"/>
  <c r="CK54" i="1"/>
  <c r="CE55" i="1"/>
  <c r="CE54" i="1"/>
  <c r="BY55" i="1"/>
  <c r="BY54" i="1"/>
  <c r="BS54" i="1"/>
  <c r="BQ55" i="1"/>
  <c r="BQ53" i="1" s="1"/>
  <c r="BP55" i="1"/>
  <c r="BS55" i="1" s="1"/>
  <c r="BK55" i="1"/>
  <c r="BK53" i="1" s="1"/>
  <c r="BG55" i="1"/>
  <c r="BG54" i="1"/>
  <c r="BE55" i="1"/>
  <c r="BE315" i="1" s="1"/>
  <c r="BA55" i="1"/>
  <c r="BA54" i="1"/>
  <c r="AU55" i="1"/>
  <c r="AU54" i="1"/>
  <c r="AO55" i="1"/>
  <c r="AO54" i="1"/>
  <c r="AI55" i="1"/>
  <c r="AI54" i="1"/>
  <c r="AF55" i="1"/>
  <c r="AF53" i="1" s="1"/>
  <c r="DI54" i="1"/>
  <c r="DC54" i="1"/>
  <c r="CW54" i="1"/>
  <c r="BM54" i="1"/>
  <c r="AC54" i="1"/>
  <c r="W54" i="1"/>
  <c r="Q54" i="1"/>
  <c r="K54" i="1"/>
  <c r="CS53" i="1"/>
  <c r="CP53" i="1"/>
  <c r="CO53" i="1"/>
  <c r="CN53" i="1"/>
  <c r="CM53" i="1"/>
  <c r="CJ53" i="1"/>
  <c r="CI53" i="1"/>
  <c r="CH53" i="1"/>
  <c r="CG53" i="1"/>
  <c r="CD53" i="1"/>
  <c r="CC53" i="1"/>
  <c r="CB53" i="1"/>
  <c r="CA53" i="1"/>
  <c r="BX53" i="1"/>
  <c r="BW53" i="1"/>
  <c r="BV53" i="1"/>
  <c r="BU53" i="1"/>
  <c r="BR53" i="1"/>
  <c r="BP53" i="1"/>
  <c r="BO53" i="1"/>
  <c r="BL53" i="1"/>
  <c r="BJ53" i="1"/>
  <c r="BI53" i="1"/>
  <c r="BF53" i="1"/>
  <c r="BD53" i="1"/>
  <c r="BC53" i="1"/>
  <c r="AZ53" i="1"/>
  <c r="AY53" i="1"/>
  <c r="AX53" i="1"/>
  <c r="AW53" i="1"/>
  <c r="AT53" i="1"/>
  <c r="AS53" i="1"/>
  <c r="AR53" i="1"/>
  <c r="AQ53" i="1"/>
  <c r="AN53" i="1"/>
  <c r="AM53" i="1"/>
  <c r="AL53" i="1"/>
  <c r="AK53" i="1"/>
  <c r="AH53" i="1"/>
  <c r="AG53" i="1"/>
  <c r="AE53" i="1"/>
  <c r="AB53" i="1"/>
  <c r="AA53" i="1"/>
  <c r="Z53" i="1"/>
  <c r="Y53" i="1"/>
  <c r="V53" i="1"/>
  <c r="U53" i="1"/>
  <c r="T53" i="1"/>
  <c r="S53" i="1"/>
  <c r="P53" i="1"/>
  <c r="O53" i="1"/>
  <c r="N53" i="1"/>
  <c r="M53" i="1"/>
  <c r="J53" i="1"/>
  <c r="I53" i="1"/>
  <c r="H53" i="1"/>
  <c r="G53" i="1"/>
  <c r="E53" i="1"/>
  <c r="D53" i="1"/>
  <c r="C53" i="1"/>
  <c r="C58" i="1" s="1"/>
  <c r="AZ51" i="1"/>
  <c r="AW51" i="1"/>
  <c r="AS51" i="1"/>
  <c r="AR51" i="1"/>
  <c r="AM51" i="1"/>
  <c r="AL51" i="1"/>
  <c r="DH49" i="1"/>
  <c r="DN51" i="1" s="1"/>
  <c r="DG49" i="1"/>
  <c r="DM51" i="1" s="1"/>
  <c r="DF49" i="1"/>
  <c r="DL51" i="1" s="1"/>
  <c r="DE49" i="1"/>
  <c r="DE56" i="1" s="1"/>
  <c r="DB49" i="1"/>
  <c r="DB56" i="1" s="1"/>
  <c r="DA49" i="1"/>
  <c r="DA56" i="1" s="1"/>
  <c r="CZ49" i="1"/>
  <c r="CZ56" i="1" s="1"/>
  <c r="CY49" i="1"/>
  <c r="CS49" i="1"/>
  <c r="CP49" i="1"/>
  <c r="CV51" i="1" s="1"/>
  <c r="CO49" i="1"/>
  <c r="CU51" i="1" s="1"/>
  <c r="CN49" i="1"/>
  <c r="CM49" i="1"/>
  <c r="CM56" i="1" s="1"/>
  <c r="CJ49" i="1"/>
  <c r="CJ56" i="1" s="1"/>
  <c r="CJ92" i="1" s="1"/>
  <c r="CI49" i="1"/>
  <c r="CH49" i="1"/>
  <c r="CH56" i="1" s="1"/>
  <c r="CH92" i="1" s="1"/>
  <c r="CG49" i="1"/>
  <c r="CD49" i="1"/>
  <c r="CD56" i="1" s="1"/>
  <c r="CD92" i="1" s="1"/>
  <c r="CC49" i="1"/>
  <c r="CB49" i="1"/>
  <c r="CA49" i="1"/>
  <c r="BX49" i="1"/>
  <c r="BX56" i="1" s="1"/>
  <c r="BX92" i="1" s="1"/>
  <c r="BW49" i="1"/>
  <c r="BW56" i="1" s="1"/>
  <c r="BW92" i="1" s="1"/>
  <c r="BV49" i="1"/>
  <c r="BV56" i="1" s="1"/>
  <c r="BV92" i="1" s="1"/>
  <c r="BU49" i="1"/>
  <c r="BR49" i="1"/>
  <c r="BQ49" i="1"/>
  <c r="BP49" i="1"/>
  <c r="BP56" i="1" s="1"/>
  <c r="BP92" i="1" s="1"/>
  <c r="BO49" i="1"/>
  <c r="BO56" i="1" s="1"/>
  <c r="BL49" i="1"/>
  <c r="BL56" i="1" s="1"/>
  <c r="BL92" i="1" s="1"/>
  <c r="BK49" i="1"/>
  <c r="BJ49" i="1"/>
  <c r="BJ56" i="1" s="1"/>
  <c r="BJ92" i="1" s="1"/>
  <c r="BI49" i="1"/>
  <c r="BF51" i="1"/>
  <c r="BE51" i="1"/>
  <c r="BF49" i="1"/>
  <c r="BF56" i="1" s="1"/>
  <c r="BF92" i="1" s="1"/>
  <c r="BE49" i="1"/>
  <c r="BE150" i="1" s="1"/>
  <c r="BD49" i="1"/>
  <c r="BD150" i="1" s="1"/>
  <c r="BC49" i="1"/>
  <c r="BC150" i="1" s="1"/>
  <c r="AZ49" i="1"/>
  <c r="AZ150" i="1" s="1"/>
  <c r="AY49" i="1"/>
  <c r="AY150" i="1" s="1"/>
  <c r="AX49" i="1"/>
  <c r="AX150" i="1" s="1"/>
  <c r="AU49" i="1"/>
  <c r="AN49" i="1"/>
  <c r="AN150" i="1" s="1"/>
  <c r="AK49" i="1"/>
  <c r="AK150" i="1" s="1"/>
  <c r="AK45" i="1"/>
  <c r="AK41" i="1"/>
  <c r="AK44" i="1" s="1"/>
  <c r="AK37" i="1"/>
  <c r="AK40" i="1" s="1"/>
  <c r="AH49" i="1"/>
  <c r="AH56" i="1" s="1"/>
  <c r="AE49" i="1"/>
  <c r="AE56" i="1" s="1"/>
  <c r="AE48" i="1"/>
  <c r="AE45" i="1"/>
  <c r="AE47" i="1" s="1"/>
  <c r="AE44" i="1"/>
  <c r="AE41" i="1"/>
  <c r="AE58" i="1" s="1"/>
  <c r="AE40" i="1"/>
  <c r="AE37" i="1"/>
  <c r="AE39" i="1" s="1"/>
  <c r="CM48" i="1"/>
  <c r="CJ48" i="1"/>
  <c r="CG48" i="1"/>
  <c r="CD48" i="1"/>
  <c r="BO48" i="1"/>
  <c r="BI48" i="1"/>
  <c r="BF48" i="1"/>
  <c r="AG48" i="1"/>
  <c r="AB48" i="1"/>
  <c r="AA48" i="1"/>
  <c r="Z48" i="1"/>
  <c r="Y48" i="1"/>
  <c r="V48" i="1"/>
  <c r="U48" i="1"/>
  <c r="T48" i="1"/>
  <c r="S48" i="1"/>
  <c r="P48" i="1"/>
  <c r="O48" i="1"/>
  <c r="N48" i="1"/>
  <c r="M48" i="1"/>
  <c r="CS45" i="1"/>
  <c r="CS41" i="1"/>
  <c r="CS37" i="1"/>
  <c r="CS40" i="1" s="1"/>
  <c r="AG47" i="1"/>
  <c r="AF47" i="1"/>
  <c r="AB47" i="1"/>
  <c r="AA47" i="1"/>
  <c r="Z47" i="1"/>
  <c r="Y47" i="1"/>
  <c r="V47" i="1"/>
  <c r="U47" i="1"/>
  <c r="T47" i="1"/>
  <c r="S47" i="1"/>
  <c r="P47" i="1"/>
  <c r="O47" i="1"/>
  <c r="N47" i="1"/>
  <c r="M47" i="1"/>
  <c r="E47" i="1"/>
  <c r="D47" i="1"/>
  <c r="CM47" i="1"/>
  <c r="CP45" i="1"/>
  <c r="CP47" i="1" s="1"/>
  <c r="CO45" i="1"/>
  <c r="CO48" i="1" s="1"/>
  <c r="CN45" i="1"/>
  <c r="CM45" i="1"/>
  <c r="CJ47" i="1"/>
  <c r="CJ45" i="1"/>
  <c r="CI45" i="1"/>
  <c r="CI48" i="1" s="1"/>
  <c r="CH45" i="1"/>
  <c r="CG45" i="1"/>
  <c r="CC47" i="1"/>
  <c r="CD45" i="1"/>
  <c r="CC45" i="1"/>
  <c r="CC48" i="1" s="1"/>
  <c r="CB45" i="1"/>
  <c r="CB47" i="1" s="1"/>
  <c r="CA45" i="1"/>
  <c r="BV47" i="1"/>
  <c r="BX45" i="1"/>
  <c r="BW45" i="1"/>
  <c r="BV45" i="1"/>
  <c r="BU45" i="1"/>
  <c r="BU47" i="1" s="1"/>
  <c r="BO47" i="1"/>
  <c r="BR45" i="1"/>
  <c r="BQ45" i="1"/>
  <c r="BP45" i="1"/>
  <c r="BO45" i="1"/>
  <c r="BL47" i="1"/>
  <c r="BL45" i="1"/>
  <c r="BK45" i="1"/>
  <c r="BL48" i="1" s="1"/>
  <c r="BJ45" i="1"/>
  <c r="BI45" i="1"/>
  <c r="BE47" i="1"/>
  <c r="BF45" i="1"/>
  <c r="BE45" i="1"/>
  <c r="BE48" i="1" s="1"/>
  <c r="BD45" i="1"/>
  <c r="BD47" i="1" s="1"/>
  <c r="BC45" i="1"/>
  <c r="AX47" i="1"/>
  <c r="AZ45" i="1"/>
  <c r="AY45" i="1"/>
  <c r="AX45" i="1"/>
  <c r="AW45" i="1"/>
  <c r="AW47" i="1" s="1"/>
  <c r="AR47" i="1"/>
  <c r="AQ47" i="1"/>
  <c r="AT45" i="1"/>
  <c r="AS45" i="1"/>
  <c r="AR45" i="1"/>
  <c r="AQ45" i="1"/>
  <c r="AN45" i="1"/>
  <c r="AM45" i="1"/>
  <c r="AL45" i="1"/>
  <c r="AH45" i="1"/>
  <c r="AG45" i="1"/>
  <c r="AC45" i="1"/>
  <c r="W45" i="1"/>
  <c r="Q45" i="1"/>
  <c r="K45" i="1"/>
  <c r="CJ44" i="1"/>
  <c r="CG44" i="1"/>
  <c r="CA44" i="1"/>
  <c r="BX44" i="1"/>
  <c r="BI44" i="1"/>
  <c r="BF44" i="1"/>
  <c r="BC44" i="1"/>
  <c r="AZ44" i="1"/>
  <c r="AN44" i="1"/>
  <c r="AH44" i="1"/>
  <c r="AG44" i="1"/>
  <c r="AB44" i="1"/>
  <c r="AA44" i="1"/>
  <c r="Z44" i="1"/>
  <c r="Y44" i="1"/>
  <c r="V44" i="1"/>
  <c r="U44" i="1"/>
  <c r="T44" i="1"/>
  <c r="S44" i="1"/>
  <c r="P44" i="1"/>
  <c r="O44" i="1"/>
  <c r="N44" i="1"/>
  <c r="M44" i="1"/>
  <c r="AH43" i="1"/>
  <c r="AG43" i="1"/>
  <c r="AF43" i="1"/>
  <c r="AB43" i="1"/>
  <c r="AA43" i="1"/>
  <c r="Z43" i="1"/>
  <c r="Y43" i="1"/>
  <c r="V43" i="1"/>
  <c r="U43" i="1"/>
  <c r="T43" i="1"/>
  <c r="S43" i="1"/>
  <c r="P43" i="1"/>
  <c r="O43" i="1"/>
  <c r="N43" i="1"/>
  <c r="M43" i="1"/>
  <c r="E43" i="1"/>
  <c r="D43" i="1"/>
  <c r="CO43" i="1"/>
  <c r="CN43" i="1"/>
  <c r="CP41" i="1"/>
  <c r="CO41" i="1"/>
  <c r="CN41" i="1"/>
  <c r="CM41" i="1"/>
  <c r="CG43" i="1"/>
  <c r="CJ41" i="1"/>
  <c r="CI41" i="1"/>
  <c r="CH41" i="1"/>
  <c r="CG41" i="1"/>
  <c r="CD43" i="1"/>
  <c r="CD41" i="1"/>
  <c r="CD58" i="1" s="1"/>
  <c r="CC41" i="1"/>
  <c r="CB41" i="1"/>
  <c r="CA41" i="1"/>
  <c r="BX43" i="1"/>
  <c r="BW43" i="1"/>
  <c r="BX41" i="1"/>
  <c r="BW41" i="1"/>
  <c r="BV41" i="1"/>
  <c r="BU41" i="1"/>
  <c r="BP43" i="1"/>
  <c r="BR41" i="1"/>
  <c r="BR44" i="1" s="1"/>
  <c r="BQ41" i="1"/>
  <c r="BP41" i="1"/>
  <c r="BP58" i="1" s="1"/>
  <c r="BO41" i="1"/>
  <c r="BI43" i="1"/>
  <c r="BL41" i="1"/>
  <c r="BK41" i="1"/>
  <c r="BQ43" i="1" s="1"/>
  <c r="BJ41" i="1"/>
  <c r="BI41" i="1"/>
  <c r="BF43" i="1"/>
  <c r="BF41" i="1"/>
  <c r="BE41" i="1"/>
  <c r="BD41" i="1"/>
  <c r="BC41" i="1"/>
  <c r="AY43" i="1"/>
  <c r="AZ41" i="1"/>
  <c r="AY41" i="1"/>
  <c r="AY58" i="1" s="1"/>
  <c r="AX41" i="1"/>
  <c r="AW41" i="1"/>
  <c r="BC43" i="1" s="1"/>
  <c r="AS43" i="1"/>
  <c r="AR43" i="1"/>
  <c r="AT41" i="1"/>
  <c r="AZ43" i="1" s="1"/>
  <c r="AS41" i="1"/>
  <c r="AR41" i="1"/>
  <c r="AQ41" i="1"/>
  <c r="AO41" i="1"/>
  <c r="AO127" i="42" s="1"/>
  <c r="AN41" i="1"/>
  <c r="AM41" i="1"/>
  <c r="AL41" i="1"/>
  <c r="AL43" i="1" s="1"/>
  <c r="AI41" i="1"/>
  <c r="AH41" i="1"/>
  <c r="AG41" i="1"/>
  <c r="AC41" i="1"/>
  <c r="W41" i="1"/>
  <c r="Q41" i="1"/>
  <c r="K41" i="1"/>
  <c r="CM40" i="1"/>
  <c r="CA40" i="1"/>
  <c r="BP40" i="1"/>
  <c r="BD40" i="1"/>
  <c r="BC40" i="1"/>
  <c r="AF40" i="1"/>
  <c r="AB40" i="1"/>
  <c r="AA40" i="1"/>
  <c r="Z40" i="1"/>
  <c r="Y40" i="1"/>
  <c r="V40" i="1"/>
  <c r="U40" i="1"/>
  <c r="T40" i="1"/>
  <c r="S40" i="1"/>
  <c r="P40" i="1"/>
  <c r="O40" i="1"/>
  <c r="N40" i="1"/>
  <c r="M40" i="1"/>
  <c r="AH39" i="1"/>
  <c r="AF39" i="1"/>
  <c r="AB39" i="1"/>
  <c r="AA39" i="1"/>
  <c r="Z39" i="1"/>
  <c r="Y39" i="1"/>
  <c r="V39" i="1"/>
  <c r="U39" i="1"/>
  <c r="T39" i="1"/>
  <c r="S39" i="1"/>
  <c r="P39" i="1"/>
  <c r="O39" i="1"/>
  <c r="N39" i="1"/>
  <c r="M39" i="1"/>
  <c r="E39" i="1"/>
  <c r="D39" i="1"/>
  <c r="CP37" i="1"/>
  <c r="CO37" i="1"/>
  <c r="CN37" i="1"/>
  <c r="CM37" i="1"/>
  <c r="CJ37" i="1"/>
  <c r="CI37" i="1"/>
  <c r="CH37" i="1"/>
  <c r="CG37" i="1"/>
  <c r="CD39" i="1"/>
  <c r="CD37" i="1"/>
  <c r="CC37" i="1"/>
  <c r="CB37" i="1"/>
  <c r="CA37" i="1"/>
  <c r="BX37" i="1"/>
  <c r="BW37" i="1"/>
  <c r="BV37" i="1"/>
  <c r="BU37" i="1"/>
  <c r="CA39" i="1" s="1"/>
  <c r="BR37" i="1"/>
  <c r="BQ37" i="1"/>
  <c r="BP37" i="1"/>
  <c r="BO37" i="1"/>
  <c r="BL37" i="1"/>
  <c r="BO40" i="1" s="1"/>
  <c r="BK37" i="1"/>
  <c r="BJ37" i="1"/>
  <c r="BI37" i="1"/>
  <c r="BJ40" i="1" s="1"/>
  <c r="BF39" i="1"/>
  <c r="BF37" i="1"/>
  <c r="BE37" i="1"/>
  <c r="BD37" i="1"/>
  <c r="BC37" i="1"/>
  <c r="AZ37" i="1"/>
  <c r="AY37" i="1"/>
  <c r="AX37" i="1"/>
  <c r="AX40" i="1" s="1"/>
  <c r="AW37" i="1"/>
  <c r="AT37" i="1"/>
  <c r="AS37" i="1"/>
  <c r="AR37" i="1"/>
  <c r="AQ37" i="1"/>
  <c r="AQ40" i="1" s="1"/>
  <c r="AL39" i="1"/>
  <c r="AN37" i="1"/>
  <c r="AM37" i="1"/>
  <c r="AS39" i="1" s="1"/>
  <c r="AL37" i="1"/>
  <c r="AH37" i="1"/>
  <c r="AG37" i="1"/>
  <c r="AC37" i="1"/>
  <c r="W37" i="1"/>
  <c r="Q37" i="1"/>
  <c r="K37" i="1"/>
  <c r="C31" i="1"/>
  <c r="CO31" i="1"/>
  <c r="CO32" i="1" s="1"/>
  <c r="CH31" i="1"/>
  <c r="CH32" i="1" s="1"/>
  <c r="CG31" i="1"/>
  <c r="CG32" i="1" s="1"/>
  <c r="CI29" i="1"/>
  <c r="CI30" i="1" s="1"/>
  <c r="CD31" i="1"/>
  <c r="CD32" i="1" s="1"/>
  <c r="CB29" i="1"/>
  <c r="CB30" i="1" s="1"/>
  <c r="CA29" i="1"/>
  <c r="CA30" i="1" s="1"/>
  <c r="BX29" i="1"/>
  <c r="BX30" i="1" s="1"/>
  <c r="BQ31" i="1"/>
  <c r="BQ32" i="1" s="1"/>
  <c r="BJ31" i="1"/>
  <c r="BJ32" i="1" s="1"/>
  <c r="BI31" i="1"/>
  <c r="BI32" i="1" s="1"/>
  <c r="BF31" i="1"/>
  <c r="BF32" i="1" s="1"/>
  <c r="BD29" i="1"/>
  <c r="BD30" i="1" s="1"/>
  <c r="BC29" i="1"/>
  <c r="BC30" i="1" s="1"/>
  <c r="AZ29" i="1"/>
  <c r="AZ30" i="1" s="1"/>
  <c r="AS31" i="1"/>
  <c r="AS32" i="1" s="1"/>
  <c r="AL31" i="1"/>
  <c r="AL32" i="1" s="1"/>
  <c r="AK31" i="1"/>
  <c r="AK32" i="1" s="1"/>
  <c r="AM29" i="1"/>
  <c r="AM30" i="1" s="1"/>
  <c r="AH31" i="1"/>
  <c r="AH32" i="1" s="1"/>
  <c r="AF29" i="1"/>
  <c r="AF30" i="1" s="1"/>
  <c r="AE29" i="1"/>
  <c r="AE30" i="1" s="1"/>
  <c r="AB31" i="1"/>
  <c r="AB32" i="1" s="1"/>
  <c r="AA31" i="1"/>
  <c r="AA32" i="1" s="1"/>
  <c r="Z31" i="1"/>
  <c r="Z32" i="1" s="1"/>
  <c r="Y31" i="1"/>
  <c r="AB29" i="1"/>
  <c r="AB30" i="1" s="1"/>
  <c r="AA29" i="1"/>
  <c r="AA30" i="1" s="1"/>
  <c r="Z29" i="1"/>
  <c r="Y29" i="1"/>
  <c r="T32" i="1"/>
  <c r="V31" i="1"/>
  <c r="V32" i="1" s="1"/>
  <c r="U31" i="1"/>
  <c r="T31" i="1"/>
  <c r="S31" i="1"/>
  <c r="V29" i="1"/>
  <c r="V30" i="1" s="1"/>
  <c r="U29" i="1"/>
  <c r="U30" i="1" s="1"/>
  <c r="T29" i="1"/>
  <c r="T30" i="1" s="1"/>
  <c r="S29" i="1"/>
  <c r="S30" i="1" s="1"/>
  <c r="P31" i="1"/>
  <c r="P32" i="1" s="1"/>
  <c r="O31" i="1"/>
  <c r="O32" i="1" s="1"/>
  <c r="N31" i="1"/>
  <c r="N32" i="1" s="1"/>
  <c r="M31" i="1"/>
  <c r="M32" i="1" s="1"/>
  <c r="P29" i="1"/>
  <c r="P30" i="1" s="1"/>
  <c r="O29" i="1"/>
  <c r="O30" i="1" s="1"/>
  <c r="N29" i="1"/>
  <c r="M29" i="1"/>
  <c r="J31" i="1"/>
  <c r="J32" i="1" s="1"/>
  <c r="I31" i="1"/>
  <c r="I32" i="1" s="1"/>
  <c r="H31" i="1"/>
  <c r="H32" i="1" s="1"/>
  <c r="G31" i="1"/>
  <c r="J29" i="1"/>
  <c r="I29" i="1"/>
  <c r="H29" i="1"/>
  <c r="H30" i="1" s="1"/>
  <c r="G29" i="1"/>
  <c r="G30" i="1" s="1"/>
  <c r="E31" i="1"/>
  <c r="E32" i="1" s="1"/>
  <c r="D31" i="1"/>
  <c r="D32" i="1" s="1"/>
  <c r="E29" i="1"/>
  <c r="D29" i="1"/>
  <c r="D30" i="1" s="1"/>
  <c r="C29" i="1"/>
  <c r="C33" i="1" s="1"/>
  <c r="AB26" i="1"/>
  <c r="AA26" i="1"/>
  <c r="Z26" i="1"/>
  <c r="Y26" i="1"/>
  <c r="V26" i="1"/>
  <c r="U26" i="1"/>
  <c r="T26" i="1"/>
  <c r="S26" i="1"/>
  <c r="P26" i="1"/>
  <c r="O26" i="1"/>
  <c r="N26" i="1"/>
  <c r="M26" i="1"/>
  <c r="J26" i="1"/>
  <c r="I26" i="1"/>
  <c r="H26" i="1"/>
  <c r="G26" i="1"/>
  <c r="E26" i="1"/>
  <c r="D26" i="1"/>
  <c r="C26" i="1"/>
  <c r="AC25" i="1"/>
  <c r="AC24" i="1"/>
  <c r="W25" i="1"/>
  <c r="W24" i="1"/>
  <c r="Q25" i="1"/>
  <c r="Q24" i="1"/>
  <c r="K25" i="1"/>
  <c r="K24" i="1"/>
  <c r="CS25" i="1"/>
  <c r="CS24" i="1"/>
  <c r="CO26" i="1"/>
  <c r="CP25" i="1"/>
  <c r="CO25" i="1"/>
  <c r="CN25" i="1"/>
  <c r="CN31" i="1" s="1"/>
  <c r="CN32" i="1" s="1"/>
  <c r="CM25" i="1"/>
  <c r="CP24" i="1"/>
  <c r="CO24" i="1"/>
  <c r="CN24" i="1"/>
  <c r="CN26" i="1" s="1"/>
  <c r="CM24" i="1"/>
  <c r="CH26" i="1"/>
  <c r="CJ25" i="1"/>
  <c r="CJ31" i="1" s="1"/>
  <c r="CJ32" i="1" s="1"/>
  <c r="CI25" i="1"/>
  <c r="CH25" i="1"/>
  <c r="CG25" i="1"/>
  <c r="CJ24" i="1"/>
  <c r="CI24" i="1"/>
  <c r="CH24" i="1"/>
  <c r="CH29" i="1" s="1"/>
  <c r="CG24" i="1"/>
  <c r="CG26" i="1" s="1"/>
  <c r="CA26" i="1"/>
  <c r="CD25" i="1"/>
  <c r="CC25" i="1"/>
  <c r="CC31" i="1" s="1"/>
  <c r="CC32" i="1" s="1"/>
  <c r="CB25" i="1"/>
  <c r="CB31" i="1" s="1"/>
  <c r="CB32" i="1" s="1"/>
  <c r="CA25" i="1"/>
  <c r="CD24" i="1"/>
  <c r="CD29" i="1" s="1"/>
  <c r="CC24" i="1"/>
  <c r="CB24" i="1"/>
  <c r="CA24" i="1"/>
  <c r="BX26" i="1"/>
  <c r="BX25" i="1"/>
  <c r="BW25" i="1"/>
  <c r="BV25" i="1"/>
  <c r="BU25" i="1"/>
  <c r="BX24" i="1"/>
  <c r="BW24" i="1"/>
  <c r="BW29" i="1" s="1"/>
  <c r="BV24" i="1"/>
  <c r="BV29" i="1" s="1"/>
  <c r="BU24" i="1"/>
  <c r="BQ26" i="1"/>
  <c r="BR25" i="1"/>
  <c r="BQ25" i="1"/>
  <c r="BP25" i="1"/>
  <c r="BP31" i="1" s="1"/>
  <c r="BP32" i="1" s="1"/>
  <c r="BO25" i="1"/>
  <c r="BR24" i="1"/>
  <c r="BQ24" i="1"/>
  <c r="BP24" i="1"/>
  <c r="BP26" i="1" s="1"/>
  <c r="BO24" i="1"/>
  <c r="BJ26" i="1"/>
  <c r="BL25" i="1"/>
  <c r="BL31" i="1" s="1"/>
  <c r="BL32" i="1" s="1"/>
  <c r="BK25" i="1"/>
  <c r="BJ25" i="1"/>
  <c r="BI25" i="1"/>
  <c r="BL24" i="1"/>
  <c r="BK24" i="1"/>
  <c r="BJ24" i="1"/>
  <c r="BJ29" i="1" s="1"/>
  <c r="BI24" i="1"/>
  <c r="BI26" i="1" s="1"/>
  <c r="BC26" i="1"/>
  <c r="BF25" i="1"/>
  <c r="BE25" i="1"/>
  <c r="BE31" i="1" s="1"/>
  <c r="BE32" i="1" s="1"/>
  <c r="BD25" i="1"/>
  <c r="BD31" i="1" s="1"/>
  <c r="BD32" i="1" s="1"/>
  <c r="BC25" i="1"/>
  <c r="BF24" i="1"/>
  <c r="BF29" i="1" s="1"/>
  <c r="BE24" i="1"/>
  <c r="BD24" i="1"/>
  <c r="BC24" i="1"/>
  <c r="AZ26" i="1"/>
  <c r="AZ25" i="1"/>
  <c r="AY25" i="1"/>
  <c r="AX25" i="1"/>
  <c r="AW25" i="1"/>
  <c r="AZ24" i="1"/>
  <c r="AY24" i="1"/>
  <c r="AY29" i="1" s="1"/>
  <c r="AX24" i="1"/>
  <c r="AX29" i="1" s="1"/>
  <c r="AW24" i="1"/>
  <c r="AS26" i="1"/>
  <c r="AT25" i="1"/>
  <c r="AS25" i="1"/>
  <c r="AR25" i="1"/>
  <c r="AR31" i="1" s="1"/>
  <c r="AR32" i="1" s="1"/>
  <c r="AQ25" i="1"/>
  <c r="AT24" i="1"/>
  <c r="AS24" i="1"/>
  <c r="AR24" i="1"/>
  <c r="AR26" i="1" s="1"/>
  <c r="AQ24" i="1"/>
  <c r="AL26" i="1"/>
  <c r="AN25" i="1"/>
  <c r="AN31" i="1" s="1"/>
  <c r="AN32" i="1" s="1"/>
  <c r="AM25" i="1"/>
  <c r="AL25" i="1"/>
  <c r="AK25" i="1"/>
  <c r="AN24" i="1"/>
  <c r="AM24" i="1"/>
  <c r="AL24" i="1"/>
  <c r="AL29" i="1" s="1"/>
  <c r="AK24" i="1"/>
  <c r="AK26" i="1" s="1"/>
  <c r="AE26" i="1"/>
  <c r="AH25" i="1"/>
  <c r="AG25" i="1"/>
  <c r="AG31" i="1" s="1"/>
  <c r="AG32" i="1" s="1"/>
  <c r="AF25" i="1"/>
  <c r="AF31" i="1" s="1"/>
  <c r="AF32" i="1" s="1"/>
  <c r="AE25" i="1"/>
  <c r="AH24" i="1"/>
  <c r="AH29" i="1" s="1"/>
  <c r="AG24" i="1"/>
  <c r="AF24" i="1"/>
  <c r="AE24" i="1"/>
  <c r="E19" i="1"/>
  <c r="CS19" i="1"/>
  <c r="CP19" i="1"/>
  <c r="CO19" i="1"/>
  <c r="CU20" i="1" s="1"/>
  <c r="CN19" i="1"/>
  <c r="CT20" i="1" s="1"/>
  <c r="CM19" i="1"/>
  <c r="CU139" i="41" s="1"/>
  <c r="CJ19" i="1"/>
  <c r="CI19" i="1"/>
  <c r="CH19" i="1"/>
  <c r="CG19" i="1"/>
  <c r="CD19" i="1"/>
  <c r="CC19" i="1"/>
  <c r="CC123" i="42" s="1"/>
  <c r="CB19" i="1"/>
  <c r="CA19" i="1"/>
  <c r="BX19" i="1"/>
  <c r="BX68" i="42" s="1"/>
  <c r="BW19" i="1"/>
  <c r="BV19" i="1"/>
  <c r="BU19" i="1"/>
  <c r="BU68" i="42" s="1"/>
  <c r="BR19" i="1"/>
  <c r="BQ19" i="1"/>
  <c r="BP19" i="1"/>
  <c r="BO19" i="1"/>
  <c r="BL19" i="1"/>
  <c r="BJ19" i="1"/>
  <c r="BI19" i="1"/>
  <c r="BI68" i="42" s="1"/>
  <c r="BF19" i="1"/>
  <c r="BE19" i="1"/>
  <c r="BD19" i="1"/>
  <c r="BC19" i="1"/>
  <c r="AZ19" i="1"/>
  <c r="AY19" i="1"/>
  <c r="AY68" i="42" s="1"/>
  <c r="AX19" i="1"/>
  <c r="BF174" i="41" s="1"/>
  <c r="AW19" i="1"/>
  <c r="AW68" i="42" s="1"/>
  <c r="AT19" i="1"/>
  <c r="BB174" i="41" s="1"/>
  <c r="AS19" i="1"/>
  <c r="AS68" i="42" s="1"/>
  <c r="AR19" i="1"/>
  <c r="AR68" i="42" s="1"/>
  <c r="AQ19" i="1"/>
  <c r="AN19" i="1"/>
  <c r="AN68" i="42" s="1"/>
  <c r="AM19" i="1"/>
  <c r="AM123" i="42" s="1"/>
  <c r="AL19" i="1"/>
  <c r="AK19" i="1"/>
  <c r="AH19" i="1"/>
  <c r="AP217" i="41" s="1"/>
  <c r="AG19" i="1"/>
  <c r="AF19" i="1"/>
  <c r="AF162" i="3" s="1"/>
  <c r="AE19" i="1"/>
  <c r="AE162" i="3" s="1"/>
  <c r="AB19" i="1"/>
  <c r="AA19" i="1"/>
  <c r="Z19" i="1"/>
  <c r="Y19" i="1"/>
  <c r="V19" i="1"/>
  <c r="U19" i="1"/>
  <c r="T19" i="1"/>
  <c r="T68" i="42" s="1"/>
  <c r="S19" i="1"/>
  <c r="P19" i="1"/>
  <c r="O19" i="1"/>
  <c r="N19" i="1"/>
  <c r="M19" i="1"/>
  <c r="J19" i="1"/>
  <c r="I19" i="1"/>
  <c r="H19" i="1"/>
  <c r="G19" i="1"/>
  <c r="D19" i="1"/>
  <c r="C19" i="1"/>
  <c r="CS18" i="1"/>
  <c r="CP18" i="1"/>
  <c r="CO18" i="1"/>
  <c r="CN18" i="1"/>
  <c r="CM18" i="1"/>
  <c r="CJ18" i="1"/>
  <c r="CI18" i="1"/>
  <c r="CH18" i="1"/>
  <c r="CG18" i="1"/>
  <c r="CD18" i="1"/>
  <c r="CC18" i="1"/>
  <c r="CB18" i="1"/>
  <c r="CA18" i="1"/>
  <c r="BX18" i="1"/>
  <c r="BW18" i="1"/>
  <c r="BV18" i="1"/>
  <c r="BU18" i="1"/>
  <c r="BR18" i="1"/>
  <c r="BQ18" i="1"/>
  <c r="BP18" i="1"/>
  <c r="BO18" i="1"/>
  <c r="BK18" i="1"/>
  <c r="BJ18" i="1"/>
  <c r="BI18" i="1"/>
  <c r="BF18" i="1"/>
  <c r="BE18" i="1"/>
  <c r="BD18" i="1"/>
  <c r="BC18" i="1"/>
  <c r="AZ18" i="1"/>
  <c r="AY18" i="1"/>
  <c r="AX18" i="1"/>
  <c r="AW18" i="1"/>
  <c r="AT18" i="1"/>
  <c r="AS18" i="1"/>
  <c r="AR18" i="1"/>
  <c r="AQ18" i="1"/>
  <c r="AN18" i="1"/>
  <c r="AM18" i="1"/>
  <c r="AL18" i="1"/>
  <c r="AK18" i="1"/>
  <c r="AH18" i="1"/>
  <c r="AG18" i="1"/>
  <c r="AF18" i="1"/>
  <c r="AE18" i="1"/>
  <c r="AB18" i="1"/>
  <c r="AA18" i="1"/>
  <c r="Z18" i="1"/>
  <c r="Y18" i="1"/>
  <c r="V18" i="1"/>
  <c r="U18" i="1"/>
  <c r="T18" i="1"/>
  <c r="S18" i="1"/>
  <c r="P18" i="1"/>
  <c r="O18" i="1"/>
  <c r="N18" i="1"/>
  <c r="M18" i="1"/>
  <c r="J18" i="1"/>
  <c r="I18" i="1"/>
  <c r="H18" i="1"/>
  <c r="CS17" i="1"/>
  <c r="CP17" i="1"/>
  <c r="CO17" i="1"/>
  <c r="CN17" i="1"/>
  <c r="CM17" i="1"/>
  <c r="CJ17" i="1"/>
  <c r="CI17" i="1"/>
  <c r="CH17" i="1"/>
  <c r="CG17" i="1"/>
  <c r="CD17" i="1"/>
  <c r="CC17" i="1"/>
  <c r="CB17" i="1"/>
  <c r="CA17" i="1"/>
  <c r="BX17" i="1"/>
  <c r="BW17" i="1"/>
  <c r="BV17" i="1"/>
  <c r="BU17" i="1"/>
  <c r="BR17" i="1"/>
  <c r="BQ17" i="1"/>
  <c r="BP17" i="1"/>
  <c r="BO17" i="1"/>
  <c r="BL17" i="1"/>
  <c r="BJ17" i="1"/>
  <c r="BI17" i="1"/>
  <c r="BF17" i="1"/>
  <c r="BE17" i="1"/>
  <c r="BD17" i="1"/>
  <c r="BC17" i="1"/>
  <c r="AZ17" i="1"/>
  <c r="AY17" i="1"/>
  <c r="AX17" i="1"/>
  <c r="AW17" i="1"/>
  <c r="AT17" i="1"/>
  <c r="AS17" i="1"/>
  <c r="AR17" i="1"/>
  <c r="AQ17" i="1"/>
  <c r="AN17" i="1"/>
  <c r="AM17" i="1"/>
  <c r="AL17" i="1"/>
  <c r="AK17" i="1"/>
  <c r="AH17" i="1"/>
  <c r="AG17" i="1"/>
  <c r="AF17" i="1"/>
  <c r="AE17" i="1"/>
  <c r="AB17" i="1"/>
  <c r="AA17" i="1"/>
  <c r="Z17" i="1"/>
  <c r="Y17" i="1"/>
  <c r="V17" i="1"/>
  <c r="U17" i="1"/>
  <c r="T17" i="1"/>
  <c r="S17" i="1"/>
  <c r="P17" i="1"/>
  <c r="O17" i="1"/>
  <c r="N17" i="1"/>
  <c r="M17" i="1"/>
  <c r="K16" i="1"/>
  <c r="K17" i="1" s="1"/>
  <c r="E17" i="1"/>
  <c r="CQ16" i="1"/>
  <c r="K22" i="442" s="1"/>
  <c r="CK16" i="1"/>
  <c r="J22" i="442" s="1"/>
  <c r="CE16" i="1"/>
  <c r="BY16" i="1"/>
  <c r="BS16" i="1"/>
  <c r="BM16" i="1"/>
  <c r="BK16" i="1"/>
  <c r="BK13" i="1"/>
  <c r="BK29" i="1" s="1"/>
  <c r="BG16" i="1"/>
  <c r="BA16" i="1"/>
  <c r="AU16" i="1"/>
  <c r="AO16" i="1"/>
  <c r="AI16" i="1"/>
  <c r="AC16" i="1"/>
  <c r="W16" i="1"/>
  <c r="Q16" i="1"/>
  <c r="CS15" i="1"/>
  <c r="CP15" i="1"/>
  <c r="CO15" i="1"/>
  <c r="CN15" i="1"/>
  <c r="CM15" i="1"/>
  <c r="CJ15" i="1"/>
  <c r="CI15" i="1"/>
  <c r="CH15" i="1"/>
  <c r="CG15" i="1"/>
  <c r="CD15" i="1"/>
  <c r="CC15" i="1"/>
  <c r="CB15" i="1"/>
  <c r="CA15" i="1"/>
  <c r="BX15" i="1"/>
  <c r="BW15" i="1"/>
  <c r="BV15" i="1"/>
  <c r="BU15" i="1"/>
  <c r="BR15" i="1"/>
  <c r="BQ15" i="1"/>
  <c r="BP15" i="1"/>
  <c r="BO15" i="1"/>
  <c r="BL14" i="1"/>
  <c r="BF15" i="1"/>
  <c r="BE15" i="1"/>
  <c r="BD15" i="1"/>
  <c r="BC15" i="1"/>
  <c r="AZ15" i="1"/>
  <c r="AY15" i="1"/>
  <c r="AX15" i="1"/>
  <c r="AW15" i="1"/>
  <c r="AT15" i="1"/>
  <c r="AS15" i="1"/>
  <c r="AR15" i="1"/>
  <c r="AQ15" i="1"/>
  <c r="AN15" i="1"/>
  <c r="AM15" i="1"/>
  <c r="AL15" i="1"/>
  <c r="AK15" i="1"/>
  <c r="AH15" i="1"/>
  <c r="AG15" i="1"/>
  <c r="AF15" i="1"/>
  <c r="AE15" i="1"/>
  <c r="AB15" i="1"/>
  <c r="AA15" i="1"/>
  <c r="Z15" i="1"/>
  <c r="Y15" i="1"/>
  <c r="V15" i="1"/>
  <c r="U15" i="1"/>
  <c r="T15" i="1"/>
  <c r="S15" i="1"/>
  <c r="P15" i="1"/>
  <c r="O15" i="1"/>
  <c r="N15" i="1"/>
  <c r="M15" i="1"/>
  <c r="J15" i="1"/>
  <c r="I15" i="1"/>
  <c r="H15" i="1"/>
  <c r="CS14" i="1"/>
  <c r="CP14" i="1"/>
  <c r="CO14" i="1"/>
  <c r="CN14" i="1"/>
  <c r="CM14" i="1"/>
  <c r="CJ14" i="1"/>
  <c r="CI14" i="1"/>
  <c r="CH14" i="1"/>
  <c r="CG14" i="1"/>
  <c r="CD14" i="1"/>
  <c r="CC14" i="1"/>
  <c r="CB14" i="1"/>
  <c r="CA14" i="1"/>
  <c r="BX14" i="1"/>
  <c r="BW14" i="1"/>
  <c r="BV14" i="1"/>
  <c r="BU14" i="1"/>
  <c r="BR14" i="1"/>
  <c r="BP14" i="1"/>
  <c r="BO14" i="1"/>
  <c r="BJ15" i="1"/>
  <c r="BI15" i="1"/>
  <c r="BJ14" i="1"/>
  <c r="BI14" i="1"/>
  <c r="BF14" i="1"/>
  <c r="BE14" i="1"/>
  <c r="BD14" i="1"/>
  <c r="BC14" i="1"/>
  <c r="AZ14" i="1"/>
  <c r="AY14" i="1"/>
  <c r="AX14" i="1"/>
  <c r="AW14" i="1"/>
  <c r="AT14" i="1"/>
  <c r="AS14" i="1"/>
  <c r="AR14" i="1"/>
  <c r="AQ14" i="1"/>
  <c r="AN14" i="1"/>
  <c r="AM14" i="1"/>
  <c r="AL14" i="1"/>
  <c r="AK14" i="1"/>
  <c r="AH14" i="1"/>
  <c r="AG14" i="1"/>
  <c r="AF14" i="1"/>
  <c r="AE14" i="1"/>
  <c r="AB14" i="1"/>
  <c r="AA14" i="1"/>
  <c r="Z14" i="1"/>
  <c r="Y14" i="1"/>
  <c r="V14" i="1"/>
  <c r="U14" i="1"/>
  <c r="T14" i="1"/>
  <c r="S14" i="1"/>
  <c r="P14" i="1"/>
  <c r="O14" i="1"/>
  <c r="N14" i="1"/>
  <c r="M14" i="1"/>
  <c r="K13" i="1"/>
  <c r="E14" i="1"/>
  <c r="CQ13" i="1"/>
  <c r="CK13" i="1"/>
  <c r="CE13" i="1"/>
  <c r="BY13" i="1"/>
  <c r="BS13" i="1"/>
  <c r="BG13" i="1"/>
  <c r="BA13" i="1"/>
  <c r="AU13" i="1"/>
  <c r="AO13" i="1"/>
  <c r="AI13" i="1"/>
  <c r="AI19" i="1" s="1"/>
  <c r="AC13" i="1"/>
  <c r="W13" i="1"/>
  <c r="W19" i="1" s="1"/>
  <c r="Q13" i="1"/>
  <c r="BY11" i="1"/>
  <c r="BY10" i="1"/>
  <c r="BY9" i="1"/>
  <c r="BS11" i="1"/>
  <c r="BS10" i="1"/>
  <c r="BS9" i="1"/>
  <c r="BM11" i="1"/>
  <c r="BM10" i="1"/>
  <c r="BM9" i="1"/>
  <c r="BG11" i="1"/>
  <c r="BG10" i="1"/>
  <c r="BG9" i="1"/>
  <c r="AO11" i="1"/>
  <c r="AO10" i="1"/>
  <c r="AO9" i="1"/>
  <c r="AI11" i="1"/>
  <c r="AI10" i="1"/>
  <c r="AI9" i="1"/>
  <c r="AY2" i="1"/>
  <c r="BR71" i="1" l="1"/>
  <c r="BR101" i="1" s="1"/>
  <c r="T114" i="1"/>
  <c r="T205" i="42" s="1"/>
  <c r="AK59" i="42"/>
  <c r="AK60" i="42" s="1"/>
  <c r="CV92" i="1"/>
  <c r="CV99" i="1"/>
  <c r="CV93" i="1"/>
  <c r="BP67" i="3"/>
  <c r="CG70" i="3"/>
  <c r="CJ1" i="42"/>
  <c r="CD263" i="1"/>
  <c r="CD156" i="3"/>
  <c r="CG1" i="42"/>
  <c r="CB70" i="3"/>
  <c r="S137" i="3"/>
  <c r="T135" i="3" s="1"/>
  <c r="DA47" i="3"/>
  <c r="DA120" i="3" s="1"/>
  <c r="CG67" i="3"/>
  <c r="CH1" i="42"/>
  <c r="BP145" i="3"/>
  <c r="BA255" i="1"/>
  <c r="CD256" i="1"/>
  <c r="CD103" i="3"/>
  <c r="CD144" i="3"/>
  <c r="CD145" i="3" s="1"/>
  <c r="CI243" i="1"/>
  <c r="I64" i="3"/>
  <c r="CH243" i="1"/>
  <c r="CJ104" i="3"/>
  <c r="AB60" i="3"/>
  <c r="AT70" i="3"/>
  <c r="CD262" i="1"/>
  <c r="CD104" i="3"/>
  <c r="CD160" i="3"/>
  <c r="CG243" i="1"/>
  <c r="BJ70" i="3"/>
  <c r="CC145" i="3"/>
  <c r="DI15" i="42"/>
  <c r="DK15" i="42"/>
  <c r="DL15" i="42" s="1"/>
  <c r="DM15" i="42" s="1"/>
  <c r="DN15" i="42" s="1"/>
  <c r="DO15" i="42" s="1"/>
  <c r="DI24" i="42"/>
  <c r="DK24" i="42"/>
  <c r="DL24" i="42" s="1"/>
  <c r="DM24" i="42" s="1"/>
  <c r="DN24" i="42" s="1"/>
  <c r="DO24" i="42" s="1"/>
  <c r="CS60" i="42"/>
  <c r="DI43" i="42"/>
  <c r="DK43" i="42"/>
  <c r="DL43" i="42" s="1"/>
  <c r="DM43" i="42" s="1"/>
  <c r="DN43" i="42" s="1"/>
  <c r="DO43" i="42" s="1"/>
  <c r="DI53" i="42"/>
  <c r="DK53" i="42"/>
  <c r="DL53" i="42" s="1"/>
  <c r="DM53" i="42" s="1"/>
  <c r="DN53" i="42" s="1"/>
  <c r="DO53" i="42" s="1"/>
  <c r="DI42" i="42"/>
  <c r="DK42" i="42"/>
  <c r="DL42" i="42" s="1"/>
  <c r="DM42" i="42" s="1"/>
  <c r="DN42" i="42" s="1"/>
  <c r="DO42" i="42" s="1"/>
  <c r="AD325" i="41"/>
  <c r="BG17" i="1"/>
  <c r="AC105" i="1"/>
  <c r="AI105" i="1"/>
  <c r="J84" i="442"/>
  <c r="G140" i="442"/>
  <c r="U113" i="3"/>
  <c r="DM181" i="42"/>
  <c r="DL181" i="42"/>
  <c r="DN181" i="42"/>
  <c r="DK51" i="1"/>
  <c r="CE17" i="1"/>
  <c r="O63" i="442"/>
  <c r="DK14" i="3"/>
  <c r="DK151" i="42"/>
  <c r="DK92" i="1"/>
  <c r="DO56" i="1"/>
  <c r="DO92" i="1" s="1"/>
  <c r="BY167" i="1"/>
  <c r="Q34" i="442"/>
  <c r="F138" i="442"/>
  <c r="BS119" i="3"/>
  <c r="Y181" i="42"/>
  <c r="CA264" i="1"/>
  <c r="AQ66" i="3"/>
  <c r="BU262" i="1"/>
  <c r="BU156" i="3"/>
  <c r="DI44" i="42"/>
  <c r="AB102" i="3"/>
  <c r="AB144" i="3" s="1"/>
  <c r="BV243" i="1"/>
  <c r="AQ31" i="3"/>
  <c r="AQ69" i="3" s="1"/>
  <c r="BU256" i="1"/>
  <c r="BU139" i="3"/>
  <c r="CA140" i="3" s="1"/>
  <c r="BW243" i="1"/>
  <c r="CT21" i="1"/>
  <c r="DA139" i="41"/>
  <c r="Q39" i="1"/>
  <c r="BG150" i="1"/>
  <c r="V59" i="1"/>
  <c r="CD67" i="3"/>
  <c r="CN70" i="3"/>
  <c r="CK96" i="3"/>
  <c r="W110" i="3"/>
  <c r="BD67" i="3"/>
  <c r="BF92" i="3"/>
  <c r="BG92" i="3" s="1"/>
  <c r="CI70" i="3"/>
  <c r="BA28" i="41"/>
  <c r="AL129" i="3"/>
  <c r="AH112" i="42"/>
  <c r="AH113" i="42" s="1"/>
  <c r="AI115" i="42"/>
  <c r="AI117" i="42" s="1"/>
  <c r="AU172" i="41"/>
  <c r="AU173" i="41"/>
  <c r="BL68" i="42"/>
  <c r="BT139" i="41"/>
  <c r="CT267" i="42"/>
  <c r="CU267" i="42" s="1"/>
  <c r="CV267" i="42" s="1"/>
  <c r="CY267" i="42" s="1"/>
  <c r="CZ267" i="42" s="1"/>
  <c r="DA267" i="42" s="1"/>
  <c r="DB267" i="42" s="1"/>
  <c r="DE267" i="42" s="1"/>
  <c r="DF267" i="42" s="1"/>
  <c r="DG267" i="42" s="1"/>
  <c r="DH267" i="42" s="1"/>
  <c r="DK267" i="42" s="1"/>
  <c r="DL267" i="42" s="1"/>
  <c r="DM267" i="42" s="1"/>
  <c r="DN267" i="42" s="1"/>
  <c r="AM145" i="3"/>
  <c r="AH110" i="42"/>
  <c r="AI109" i="42"/>
  <c r="AD28" i="41"/>
  <c r="BW325" i="41"/>
  <c r="AZ325" i="41"/>
  <c r="BG325" i="41"/>
  <c r="BE325" i="41"/>
  <c r="BX172" i="42"/>
  <c r="BX178" i="42" s="1"/>
  <c r="BX179" i="42" s="1"/>
  <c r="AC129" i="3"/>
  <c r="M60" i="3"/>
  <c r="M31" i="3"/>
  <c r="M69" i="3" s="1"/>
  <c r="M70" i="3" s="1"/>
  <c r="CO264" i="1"/>
  <c r="CI145" i="3"/>
  <c r="AR181" i="42"/>
  <c r="P157" i="42"/>
  <c r="Q157" i="42" s="1"/>
  <c r="Q156" i="42"/>
  <c r="CD172" i="42"/>
  <c r="CD178" i="42" s="1"/>
  <c r="CD179" i="42" s="1"/>
  <c r="CB181" i="42"/>
  <c r="C64" i="1"/>
  <c r="C99" i="1" s="1"/>
  <c r="C102" i="1" s="1"/>
  <c r="C106" i="1" s="1"/>
  <c r="BF128" i="3"/>
  <c r="BG128" i="3" s="1"/>
  <c r="CU274" i="1"/>
  <c r="CV274" i="1" s="1"/>
  <c r="CY274" i="1" s="1"/>
  <c r="AW119" i="3"/>
  <c r="AW129" i="3" s="1"/>
  <c r="AW133" i="3" s="1"/>
  <c r="AX119" i="3"/>
  <c r="AX129" i="3" s="1"/>
  <c r="AX133" i="3" s="1"/>
  <c r="BF71" i="1"/>
  <c r="BF101" i="1" s="1"/>
  <c r="BP71" i="1"/>
  <c r="BP101" i="1" s="1"/>
  <c r="BY102" i="3"/>
  <c r="AG28" i="41"/>
  <c r="AC176" i="41"/>
  <c r="AI175" i="41"/>
  <c r="DC145" i="42"/>
  <c r="AS33" i="41"/>
  <c r="AS34" i="41"/>
  <c r="BX125" i="41"/>
  <c r="AZ125" i="41"/>
  <c r="BS10" i="41"/>
  <c r="BT8" i="41"/>
  <c r="BS9" i="41"/>
  <c r="BS17" i="41"/>
  <c r="BA125" i="41"/>
  <c r="AT38" i="41"/>
  <c r="AU36" i="41"/>
  <c r="AT37" i="41"/>
  <c r="AT32" i="41"/>
  <c r="AT54" i="41"/>
  <c r="AS318" i="41"/>
  <c r="AS58" i="41"/>
  <c r="AS55" i="41"/>
  <c r="AS44" i="41"/>
  <c r="AY125" i="41"/>
  <c r="S172" i="42"/>
  <c r="S178" i="42" s="1"/>
  <c r="AX172" i="42"/>
  <c r="AX178" i="42" s="1"/>
  <c r="AX179" i="42" s="1"/>
  <c r="AX181" i="42"/>
  <c r="AZ182" i="42"/>
  <c r="AZ165" i="42" s="1"/>
  <c r="AY165" i="42"/>
  <c r="G45" i="41"/>
  <c r="M45" i="41"/>
  <c r="CN56" i="1"/>
  <c r="CN92" i="1" s="1"/>
  <c r="CT51" i="1"/>
  <c r="BS53" i="1"/>
  <c r="CJ145" i="3"/>
  <c r="CG264" i="1"/>
  <c r="BQ145" i="3"/>
  <c r="CM264" i="1"/>
  <c r="CQ102" i="3"/>
  <c r="BO145" i="3"/>
  <c r="AH254" i="1"/>
  <c r="BF169" i="42"/>
  <c r="BF181" i="42" s="1"/>
  <c r="AM29" i="3"/>
  <c r="AN101" i="3" s="1"/>
  <c r="U99" i="3"/>
  <c r="AM100" i="3"/>
  <c r="AO100" i="3" s="1"/>
  <c r="BX243" i="1"/>
  <c r="CA104" i="3"/>
  <c r="BU263" i="1"/>
  <c r="BU264" i="1" s="1"/>
  <c r="BU243" i="1"/>
  <c r="BU104" i="3"/>
  <c r="BU144" i="3"/>
  <c r="CA145" i="3" s="1"/>
  <c r="AJ176" i="41"/>
  <c r="AJ70" i="41"/>
  <c r="AC99" i="3"/>
  <c r="AI17" i="1"/>
  <c r="N20" i="1"/>
  <c r="AM21" i="1"/>
  <c r="U33" i="1"/>
  <c r="AC39" i="1"/>
  <c r="AI56" i="1"/>
  <c r="Z59" i="1"/>
  <c r="Q105" i="1"/>
  <c r="AC118" i="1"/>
  <c r="BL123" i="42"/>
  <c r="BB28" i="41"/>
  <c r="AC157" i="41"/>
  <c r="BG174" i="41"/>
  <c r="BG176" i="41" s="1"/>
  <c r="BS325" i="41"/>
  <c r="AO124" i="42"/>
  <c r="BM17" i="1"/>
  <c r="O20" i="1"/>
  <c r="Y33" i="1"/>
  <c r="AU105" i="1"/>
  <c r="CM68" i="42"/>
  <c r="BD124" i="1"/>
  <c r="BC124" i="1"/>
  <c r="BE124" i="1"/>
  <c r="AO28" i="41"/>
  <c r="AY28" i="41"/>
  <c r="AB42" i="41"/>
  <c r="AB41" i="41"/>
  <c r="AH41" i="41"/>
  <c r="V100" i="3"/>
  <c r="W100" i="3" s="1"/>
  <c r="DF119" i="3"/>
  <c r="CY182" i="42"/>
  <c r="CY52" i="42" s="1"/>
  <c r="CW52" i="42"/>
  <c r="AQ156" i="3"/>
  <c r="AQ133" i="3"/>
  <c r="AQ139" i="3"/>
  <c r="AQ146" i="3" s="1"/>
  <c r="AQ144" i="3"/>
  <c r="AQ103" i="3"/>
  <c r="AQ160" i="3"/>
  <c r="AQ162" i="3" s="1"/>
  <c r="AQ158" i="3"/>
  <c r="CU125" i="3"/>
  <c r="DA11" i="42"/>
  <c r="DA22" i="42"/>
  <c r="AZ70" i="42"/>
  <c r="AO157" i="42"/>
  <c r="DA46" i="3"/>
  <c r="DA119" i="3" s="1"/>
  <c r="CZ119" i="3"/>
  <c r="CB145" i="3"/>
  <c r="U29" i="3"/>
  <c r="CT46" i="3"/>
  <c r="CU46" i="3" s="1"/>
  <c r="CS119" i="3"/>
  <c r="AY56" i="3"/>
  <c r="AZ119" i="3"/>
  <c r="AZ129" i="3" s="1"/>
  <c r="AY119" i="3"/>
  <c r="AY129" i="3" s="1"/>
  <c r="CY111" i="3"/>
  <c r="BI187" i="41"/>
  <c r="CN46" i="3"/>
  <c r="CN119" i="3" s="1"/>
  <c r="CM119" i="3"/>
  <c r="AE186" i="41"/>
  <c r="AE187" i="41" s="1"/>
  <c r="AE184" i="41"/>
  <c r="BW46" i="3"/>
  <c r="CT252" i="1"/>
  <c r="AI73" i="1"/>
  <c r="BM162" i="42"/>
  <c r="BK46" i="3"/>
  <c r="CV111" i="3"/>
  <c r="CW111" i="3" s="1"/>
  <c r="Q70" i="41"/>
  <c r="BP172" i="42"/>
  <c r="BP178" i="42" s="1"/>
  <c r="BP179" i="42" s="1"/>
  <c r="AF29" i="3"/>
  <c r="AG27" i="3"/>
  <c r="AO71" i="42"/>
  <c r="CC46" i="3"/>
  <c r="CC119" i="3" s="1"/>
  <c r="CI46" i="3"/>
  <c r="CI119" i="3" s="1"/>
  <c r="DI74" i="1"/>
  <c r="DF120" i="3"/>
  <c r="AU71" i="42"/>
  <c r="AA30" i="3"/>
  <c r="AA31" i="3" s="1"/>
  <c r="AA69" i="3" s="1"/>
  <c r="CV165" i="42"/>
  <c r="CW165" i="42" s="1"/>
  <c r="CW182" i="42"/>
  <c r="BQ165" i="42"/>
  <c r="BQ169" i="42" s="1"/>
  <c r="BQ181" i="42" s="1"/>
  <c r="BR182" i="42"/>
  <c r="CY110" i="3"/>
  <c r="BI182" i="42"/>
  <c r="BG52" i="42"/>
  <c r="BG56" i="42" s="1"/>
  <c r="BG133" i="42" s="1"/>
  <c r="BF56" i="42"/>
  <c r="CZ38" i="3"/>
  <c r="AE101" i="3"/>
  <c r="BO187" i="41"/>
  <c r="CZ37" i="3"/>
  <c r="CZ110" i="3" s="1"/>
  <c r="AO119" i="3"/>
  <c r="W117" i="42"/>
  <c r="BX85" i="42"/>
  <c r="BW85" i="42"/>
  <c r="BF20" i="1"/>
  <c r="BH139" i="41"/>
  <c r="BH146" i="41"/>
  <c r="AZ67" i="42"/>
  <c r="BA67" i="42" s="1"/>
  <c r="AZ66" i="42"/>
  <c r="BA66" i="42" s="1"/>
  <c r="BH174" i="41"/>
  <c r="BH175" i="41" s="1"/>
  <c r="AZ117" i="42"/>
  <c r="AZ68" i="42"/>
  <c r="CP20" i="1"/>
  <c r="CR181" i="41"/>
  <c r="CR146" i="41"/>
  <c r="CJ66" i="42"/>
  <c r="CK66" i="42" s="1"/>
  <c r="CJ67" i="42"/>
  <c r="CK67" i="42" s="1"/>
  <c r="CR139" i="41"/>
  <c r="CJ117" i="42"/>
  <c r="CR174" i="41"/>
  <c r="CJ68" i="42"/>
  <c r="AE61" i="1"/>
  <c r="AM211" i="41"/>
  <c r="K26" i="1"/>
  <c r="S61" i="1"/>
  <c r="AA211" i="41"/>
  <c r="BY231" i="1"/>
  <c r="BA19" i="1"/>
  <c r="AZ85" i="42"/>
  <c r="CD85" i="42"/>
  <c r="CC85" i="42"/>
  <c r="BY17" i="1"/>
  <c r="K23" i="442"/>
  <c r="K98" i="442"/>
  <c r="K33" i="442"/>
  <c r="O181" i="41"/>
  <c r="O139" i="41"/>
  <c r="G66" i="42"/>
  <c r="O217" i="41"/>
  <c r="G67" i="42"/>
  <c r="M38" i="1"/>
  <c r="U181" i="41"/>
  <c r="U139" i="41"/>
  <c r="U217" i="41"/>
  <c r="U146" i="41"/>
  <c r="M66" i="42"/>
  <c r="M67" i="42"/>
  <c r="U38" i="1"/>
  <c r="AC217" i="41"/>
  <c r="AC146" i="41"/>
  <c r="AC139" i="41"/>
  <c r="U66" i="42"/>
  <c r="U117" i="42"/>
  <c r="U67" i="42"/>
  <c r="U68" i="42"/>
  <c r="AL21" i="1"/>
  <c r="AT139" i="41"/>
  <c r="AT146" i="41"/>
  <c r="AL68" i="42"/>
  <c r="AL67" i="42"/>
  <c r="AL66" i="42"/>
  <c r="AT174" i="41"/>
  <c r="AL117" i="42"/>
  <c r="AT217" i="41"/>
  <c r="AL123" i="42"/>
  <c r="BV38" i="1"/>
  <c r="CD181" i="41"/>
  <c r="CD146" i="41"/>
  <c r="BV67" i="42"/>
  <c r="BV66" i="42"/>
  <c r="CD139" i="41"/>
  <c r="CD174" i="41"/>
  <c r="BV117" i="42"/>
  <c r="BV123" i="42"/>
  <c r="BV68" i="42"/>
  <c r="Z33" i="1"/>
  <c r="Z30" i="1"/>
  <c r="CC56" i="1"/>
  <c r="CC92" i="1" s="1"/>
  <c r="CC51" i="1"/>
  <c r="AA214" i="41"/>
  <c r="AJ214" i="41"/>
  <c r="AU14" i="1"/>
  <c r="AS85" i="42"/>
  <c r="L181" i="41"/>
  <c r="D66" i="42"/>
  <c r="D67" i="42"/>
  <c r="J21" i="1"/>
  <c r="R139" i="41"/>
  <c r="R181" i="41"/>
  <c r="R217" i="41"/>
  <c r="J66" i="42"/>
  <c r="K66" i="42" s="1"/>
  <c r="J67" i="42"/>
  <c r="K67" i="42" s="1"/>
  <c r="J68" i="42"/>
  <c r="K68" i="42" s="1"/>
  <c r="J117" i="42"/>
  <c r="AY139" i="41"/>
  <c r="AQ67" i="42"/>
  <c r="AQ66" i="42"/>
  <c r="AY181" i="41"/>
  <c r="AY146" i="41"/>
  <c r="AQ117" i="42"/>
  <c r="AY174" i="41"/>
  <c r="CI181" i="41"/>
  <c r="CI146" i="41"/>
  <c r="CA66" i="42"/>
  <c r="CI139" i="41"/>
  <c r="CA67" i="42"/>
  <c r="CA117" i="42"/>
  <c r="CA123" i="42"/>
  <c r="CI174" i="41"/>
  <c r="CA68" i="42"/>
  <c r="AT168" i="41"/>
  <c r="AU168" i="41"/>
  <c r="BS231" i="1"/>
  <c r="BG19" i="1"/>
  <c r="BF85" i="42"/>
  <c r="BE85" i="42"/>
  <c r="J11" i="442"/>
  <c r="J9" i="442" s="1"/>
  <c r="CJ85" i="42"/>
  <c r="CI85" i="42"/>
  <c r="CK14" i="1"/>
  <c r="Q17" i="1"/>
  <c r="H42" i="1"/>
  <c r="P217" i="41"/>
  <c r="P181" i="41"/>
  <c r="P139" i="41"/>
  <c r="H66" i="42"/>
  <c r="H68" i="42"/>
  <c r="H67" i="42"/>
  <c r="N38" i="1"/>
  <c r="V217" i="41"/>
  <c r="V146" i="41"/>
  <c r="V181" i="41"/>
  <c r="N68" i="42"/>
  <c r="N66" i="42"/>
  <c r="V139" i="41"/>
  <c r="N67" i="42"/>
  <c r="V38" i="1"/>
  <c r="AD139" i="41"/>
  <c r="AD217" i="41"/>
  <c r="AD146" i="41"/>
  <c r="V66" i="42"/>
  <c r="W66" i="42" s="1"/>
  <c r="V67" i="42"/>
  <c r="W67" i="42" s="1"/>
  <c r="V68" i="42"/>
  <c r="W68" i="42" s="1"/>
  <c r="V117" i="42"/>
  <c r="AO139" i="41"/>
  <c r="AG117" i="42"/>
  <c r="AO181" i="41"/>
  <c r="AO146" i="41"/>
  <c r="AG67" i="42"/>
  <c r="AG66" i="42"/>
  <c r="AO217" i="41"/>
  <c r="AO174" i="41"/>
  <c r="AG162" i="3"/>
  <c r="AG68" i="42"/>
  <c r="AM20" i="1"/>
  <c r="BJ38" i="1"/>
  <c r="BR139" i="41"/>
  <c r="BJ67" i="42"/>
  <c r="BJ68" i="42"/>
  <c r="BJ66" i="42"/>
  <c r="BR181" i="41"/>
  <c r="BR146" i="41"/>
  <c r="BJ117" i="42"/>
  <c r="BR174" i="41"/>
  <c r="BQ42" i="1"/>
  <c r="BY181" i="41"/>
  <c r="BY146" i="41"/>
  <c r="BQ67" i="42"/>
  <c r="BQ66" i="42"/>
  <c r="BY139" i="41"/>
  <c r="BQ117" i="42"/>
  <c r="BY174" i="41"/>
  <c r="BW20" i="1"/>
  <c r="M181" i="41"/>
  <c r="E67" i="42"/>
  <c r="E66" i="42"/>
  <c r="BO51" i="1"/>
  <c r="P214" i="41"/>
  <c r="V214" i="41"/>
  <c r="N59" i="1"/>
  <c r="BR105" i="1"/>
  <c r="BX82" i="1"/>
  <c r="BX105" i="1" s="1"/>
  <c r="G68" i="42"/>
  <c r="BJ123" i="42"/>
  <c r="J23" i="442"/>
  <c r="J33" i="442"/>
  <c r="J98" i="442"/>
  <c r="X139" i="41"/>
  <c r="X181" i="41"/>
  <c r="X217" i="41"/>
  <c r="X146" i="41"/>
  <c r="P66" i="42"/>
  <c r="Q66" i="42" s="1"/>
  <c r="P67" i="42"/>
  <c r="Q67" i="42" s="1"/>
  <c r="P68" i="42"/>
  <c r="Q68" i="42" s="1"/>
  <c r="P117" i="42"/>
  <c r="AQ20" i="1"/>
  <c r="CA20" i="1"/>
  <c r="Q26" i="1"/>
  <c r="U211" i="41"/>
  <c r="Y61" i="1"/>
  <c r="AG211" i="41"/>
  <c r="J33" i="1"/>
  <c r="J30" i="1"/>
  <c r="BR85" i="42"/>
  <c r="BQ85" i="42"/>
  <c r="K11" i="442"/>
  <c r="K9" i="442" s="1"/>
  <c r="CQ14" i="1"/>
  <c r="BA17" i="1"/>
  <c r="K181" i="41"/>
  <c r="Q217" i="41"/>
  <c r="Q139" i="41"/>
  <c r="Q181" i="41"/>
  <c r="I66" i="42"/>
  <c r="I68" i="42"/>
  <c r="I21" i="1"/>
  <c r="W217" i="41"/>
  <c r="W146" i="41"/>
  <c r="W139" i="41"/>
  <c r="O67" i="42"/>
  <c r="W181" i="41"/>
  <c r="O66" i="42"/>
  <c r="O21" i="1"/>
  <c r="O68" i="42"/>
  <c r="S117" i="42"/>
  <c r="AA181" i="41"/>
  <c r="AA139" i="41"/>
  <c r="AA146" i="41"/>
  <c r="AA217" i="41"/>
  <c r="S66" i="42"/>
  <c r="S67" i="42"/>
  <c r="S162" i="3"/>
  <c r="S20" i="1"/>
  <c r="AJ181" i="41"/>
  <c r="AJ139" i="41"/>
  <c r="AB66" i="42"/>
  <c r="AC66" i="42" s="1"/>
  <c r="AJ146" i="41"/>
  <c r="AB67" i="42"/>
  <c r="AC67" i="42" s="1"/>
  <c r="AB117" i="42"/>
  <c r="AJ217" i="41"/>
  <c r="AB68" i="42"/>
  <c r="BM139" i="41"/>
  <c r="BM180" i="41" s="1"/>
  <c r="BM146" i="41"/>
  <c r="BE67" i="42"/>
  <c r="BE66" i="42"/>
  <c r="BM174" i="41"/>
  <c r="BE68" i="42"/>
  <c r="CW181" i="41"/>
  <c r="CW146" i="41"/>
  <c r="CO67" i="42"/>
  <c r="CO66" i="42"/>
  <c r="CW139" i="41"/>
  <c r="CO117" i="42"/>
  <c r="CW174" i="41"/>
  <c r="CO68" i="42"/>
  <c r="N33" i="1"/>
  <c r="N30" i="1"/>
  <c r="CM51" i="1"/>
  <c r="DB92" i="1"/>
  <c r="DB151" i="42"/>
  <c r="DH56" i="1"/>
  <c r="DH51" i="1"/>
  <c r="BG73" i="1"/>
  <c r="BE261" i="42"/>
  <c r="BS73" i="1"/>
  <c r="BO261" i="42"/>
  <c r="BO71" i="1"/>
  <c r="BO101" i="1" s="1"/>
  <c r="AQ123" i="42"/>
  <c r="BQ175" i="42"/>
  <c r="BS171" i="42"/>
  <c r="BS175" i="42" s="1"/>
  <c r="BE168" i="41"/>
  <c r="AO163" i="1"/>
  <c r="AO160" i="1"/>
  <c r="AI139" i="41"/>
  <c r="AI146" i="41"/>
  <c r="AA67" i="42"/>
  <c r="AA66" i="42"/>
  <c r="AI217" i="41"/>
  <c r="AA117" i="42"/>
  <c r="AF21" i="1"/>
  <c r="AN139" i="41"/>
  <c r="AN181" i="41"/>
  <c r="AN146" i="41"/>
  <c r="AF67" i="42"/>
  <c r="AF66" i="42"/>
  <c r="AN174" i="41"/>
  <c r="AF117" i="42"/>
  <c r="AN217" i="41"/>
  <c r="AS146" i="41"/>
  <c r="AS139" i="41"/>
  <c r="AK66" i="42"/>
  <c r="AK67" i="42"/>
  <c r="AS174" i="41"/>
  <c r="AS217" i="41"/>
  <c r="AK117" i="42"/>
  <c r="BH244" i="41"/>
  <c r="BH240" i="41" s="1"/>
  <c r="BB181" i="41"/>
  <c r="BB146" i="41"/>
  <c r="BB139" i="41"/>
  <c r="AT68" i="42"/>
  <c r="AT67" i="42"/>
  <c r="AU67" i="42" s="1"/>
  <c r="AT66" i="42"/>
  <c r="AU66" i="42" s="1"/>
  <c r="AT117" i="42"/>
  <c r="BG139" i="41"/>
  <c r="BG146" i="41"/>
  <c r="AY66" i="42"/>
  <c r="AY67" i="42"/>
  <c r="AY123" i="42"/>
  <c r="AY117" i="42"/>
  <c r="BD21" i="1"/>
  <c r="BL139" i="41"/>
  <c r="BL181" i="41"/>
  <c r="BL146" i="41"/>
  <c r="BD67" i="42"/>
  <c r="BD66" i="42"/>
  <c r="BD117" i="42"/>
  <c r="BI46" i="1"/>
  <c r="BQ139" i="41"/>
  <c r="BI67" i="42"/>
  <c r="BQ181" i="41"/>
  <c r="BQ146" i="41"/>
  <c r="BI66" i="42"/>
  <c r="BI117" i="42"/>
  <c r="BX181" i="41"/>
  <c r="BX146" i="41"/>
  <c r="BP117" i="42"/>
  <c r="BX139" i="41"/>
  <c r="BP66" i="42"/>
  <c r="BP67" i="42"/>
  <c r="BX174" i="41"/>
  <c r="CC181" i="41"/>
  <c r="CC146" i="41"/>
  <c r="BU67" i="42"/>
  <c r="BU66" i="42"/>
  <c r="CC139" i="41"/>
  <c r="BU117" i="42"/>
  <c r="CC174" i="41"/>
  <c r="CD46" i="1"/>
  <c r="CD67" i="42"/>
  <c r="CE67" i="42" s="1"/>
  <c r="CL181" i="41"/>
  <c r="CL146" i="41"/>
  <c r="CD66" i="42"/>
  <c r="CD68" i="42"/>
  <c r="CL139" i="41"/>
  <c r="CD117" i="42"/>
  <c r="CL174" i="41"/>
  <c r="CI68" i="42"/>
  <c r="CI66" i="42"/>
  <c r="CQ181" i="41"/>
  <c r="CQ146" i="41"/>
  <c r="CQ139" i="41"/>
  <c r="CI67" i="42"/>
  <c r="CI117" i="42"/>
  <c r="CQ174" i="41"/>
  <c r="CN21" i="1"/>
  <c r="CN117" i="42"/>
  <c r="CV181" i="41"/>
  <c r="CV146" i="41"/>
  <c r="CV139" i="41"/>
  <c r="CN67" i="42"/>
  <c r="CN66" i="42"/>
  <c r="CV174" i="41"/>
  <c r="DA146" i="41"/>
  <c r="CS67" i="42"/>
  <c r="CY67" i="42" s="1"/>
  <c r="DE67" i="42" s="1"/>
  <c r="DK67" i="42" s="1"/>
  <c r="CS66" i="42"/>
  <c r="DA174" i="41"/>
  <c r="AA21" i="1"/>
  <c r="CI21" i="1"/>
  <c r="BP61" i="1"/>
  <c r="BX211" i="41"/>
  <c r="X211" i="41"/>
  <c r="V61" i="1"/>
  <c r="AD211" i="41"/>
  <c r="AB61" i="1"/>
  <c r="AJ211" i="41"/>
  <c r="I33" i="1"/>
  <c r="M33" i="1"/>
  <c r="AC29" i="1"/>
  <c r="AC30" i="1" s="1"/>
  <c r="BO38" i="1"/>
  <c r="CP42" i="1"/>
  <c r="BM49" i="1"/>
  <c r="BL51" i="1"/>
  <c r="CK49" i="1"/>
  <c r="J63" i="442" s="1"/>
  <c r="CJ51" i="1"/>
  <c r="K53" i="1"/>
  <c r="Q53" i="1"/>
  <c r="Q153" i="1" s="1"/>
  <c r="W53" i="1"/>
  <c r="W153" i="1" s="1"/>
  <c r="AC53" i="1"/>
  <c r="AC153" i="1" s="1"/>
  <c r="AI53" i="1"/>
  <c r="AI153" i="1" s="1"/>
  <c r="BY53" i="1"/>
  <c r="CE53" i="1"/>
  <c r="CK53" i="1"/>
  <c r="CQ53" i="1"/>
  <c r="BI56" i="1"/>
  <c r="BI92" i="1" s="1"/>
  <c r="O214" i="41"/>
  <c r="M59" i="1"/>
  <c r="U214" i="41"/>
  <c r="AD214" i="41"/>
  <c r="AI214" i="41"/>
  <c r="CE73" i="1"/>
  <c r="BM73" i="1"/>
  <c r="BJ261" i="42"/>
  <c r="CO71" i="1"/>
  <c r="CO101" i="1" s="1"/>
  <c r="K74" i="442"/>
  <c r="K84" i="442"/>
  <c r="AK123" i="42"/>
  <c r="CJ123" i="42"/>
  <c r="CH123" i="42"/>
  <c r="AT123" i="42"/>
  <c r="AF164" i="3"/>
  <c r="AM174" i="41"/>
  <c r="AM176" i="41" s="1"/>
  <c r="BE174" i="41"/>
  <c r="BF176" i="41" s="1"/>
  <c r="AJ325" i="41"/>
  <c r="X70" i="41"/>
  <c r="BL174" i="41"/>
  <c r="BL175" i="41" s="1"/>
  <c r="AN175" i="41"/>
  <c r="AP28" i="41"/>
  <c r="BQ174" i="41"/>
  <c r="BP68" i="42"/>
  <c r="CN68" i="42"/>
  <c r="BD123" i="42"/>
  <c r="T20" i="1"/>
  <c r="AB217" i="41"/>
  <c r="AB146" i="41"/>
  <c r="AB139" i="41"/>
  <c r="T66" i="42"/>
  <c r="AB181" i="41"/>
  <c r="T67" i="42"/>
  <c r="T117" i="42"/>
  <c r="Y42" i="1"/>
  <c r="AG146" i="41"/>
  <c r="Y67" i="42"/>
  <c r="Y66" i="42"/>
  <c r="AG139" i="41"/>
  <c r="AG217" i="41"/>
  <c r="Y117" i="42"/>
  <c r="AA20" i="1"/>
  <c r="AH42" i="1"/>
  <c r="AP146" i="41"/>
  <c r="AP139" i="41"/>
  <c r="AH67" i="42"/>
  <c r="AI67" i="42" s="1"/>
  <c r="AH66" i="42"/>
  <c r="AI66" i="42" s="1"/>
  <c r="AH68" i="42"/>
  <c r="AP174" i="41"/>
  <c r="AU139" i="41"/>
  <c r="AU181" i="41"/>
  <c r="AU146" i="41"/>
  <c r="AM67" i="42"/>
  <c r="AM66" i="42"/>
  <c r="AM117" i="42"/>
  <c r="AU174" i="41"/>
  <c r="AR21" i="1"/>
  <c r="AZ146" i="41"/>
  <c r="AZ139" i="41"/>
  <c r="AR123" i="42"/>
  <c r="AR67" i="42"/>
  <c r="AR66" i="42"/>
  <c r="AR117" i="42"/>
  <c r="AZ174" i="41"/>
  <c r="BF175" i="41" s="1"/>
  <c r="AW67" i="42"/>
  <c r="BE181" i="41"/>
  <c r="BE146" i="41"/>
  <c r="AW66" i="42"/>
  <c r="BE139" i="41"/>
  <c r="AW117" i="42"/>
  <c r="AW123" i="42"/>
  <c r="AY20" i="1"/>
  <c r="BF46" i="1"/>
  <c r="BN146" i="41"/>
  <c r="BN139" i="41"/>
  <c r="BF68" i="42"/>
  <c r="BF67" i="42"/>
  <c r="BG67" i="42" s="1"/>
  <c r="BF66" i="42"/>
  <c r="BG66" i="42" s="1"/>
  <c r="BR20" i="1"/>
  <c r="BT181" i="41"/>
  <c r="BT146" i="41"/>
  <c r="BL66" i="42"/>
  <c r="BM66" i="42" s="1"/>
  <c r="BL67" i="42"/>
  <c r="BM67" i="42" s="1"/>
  <c r="BL117" i="42"/>
  <c r="BT174" i="41"/>
  <c r="BR42" i="1"/>
  <c r="BR67" i="42"/>
  <c r="BS67" i="42" s="1"/>
  <c r="BR66" i="42"/>
  <c r="BS66" i="42" s="1"/>
  <c r="BZ139" i="41"/>
  <c r="BZ181" i="41"/>
  <c r="BZ146" i="41"/>
  <c r="BR68" i="42"/>
  <c r="BZ174" i="41"/>
  <c r="BR117" i="42"/>
  <c r="CE139" i="41"/>
  <c r="BW68" i="42"/>
  <c r="CE181" i="41"/>
  <c r="CE146" i="41"/>
  <c r="BW67" i="42"/>
  <c r="BW66" i="42"/>
  <c r="BW117" i="42"/>
  <c r="CE174" i="41"/>
  <c r="BW123" i="42"/>
  <c r="CB21" i="1"/>
  <c r="CJ139" i="41"/>
  <c r="CJ181" i="41"/>
  <c r="CJ146" i="41"/>
  <c r="CB66" i="42"/>
  <c r="CB67" i="42"/>
  <c r="CB117" i="42"/>
  <c r="CJ174" i="41"/>
  <c r="CB123" i="42"/>
  <c r="CO139" i="41"/>
  <c r="CG67" i="42"/>
  <c r="CO181" i="41"/>
  <c r="CO146" i="41"/>
  <c r="CG66" i="42"/>
  <c r="CG117" i="42"/>
  <c r="CO174" i="41"/>
  <c r="CI20" i="1"/>
  <c r="CP67" i="42"/>
  <c r="DB67" i="42" s="1"/>
  <c r="CP66" i="42"/>
  <c r="CQ66" i="42" s="1"/>
  <c r="CX139" i="41"/>
  <c r="CX120" i="41" s="1"/>
  <c r="CX181" i="41"/>
  <c r="CX146" i="41"/>
  <c r="DD147" i="41" s="1"/>
  <c r="CP68" i="42"/>
  <c r="CP117" i="42"/>
  <c r="CX174" i="41"/>
  <c r="AY21" i="1"/>
  <c r="V211" i="41"/>
  <c r="T61" i="1"/>
  <c r="AB211" i="41"/>
  <c r="Z61" i="1"/>
  <c r="AH211" i="41"/>
  <c r="AC47" i="1"/>
  <c r="BV51" i="1"/>
  <c r="CY51" i="1"/>
  <c r="DE14" i="3"/>
  <c r="DE86" i="3" s="1"/>
  <c r="DE151" i="42"/>
  <c r="DE181" i="42" s="1"/>
  <c r="CG56" i="1"/>
  <c r="CG92" i="1" s="1"/>
  <c r="Q214" i="41"/>
  <c r="W214" i="41"/>
  <c r="AB214" i="41"/>
  <c r="AB215" i="41" s="1"/>
  <c r="Y59" i="1"/>
  <c r="AG214" i="41"/>
  <c r="AG215" i="41" s="1"/>
  <c r="CQ73" i="1"/>
  <c r="BK71" i="1"/>
  <c r="BK101" i="1" s="1"/>
  <c r="BK261" i="42"/>
  <c r="BS105" i="1"/>
  <c r="K101" i="1"/>
  <c r="K105" i="1"/>
  <c r="Q101" i="1"/>
  <c r="W105" i="1"/>
  <c r="BA105" i="1"/>
  <c r="BG105" i="1"/>
  <c r="BM105" i="1"/>
  <c r="BE123" i="42"/>
  <c r="BQ123" i="42"/>
  <c r="AM162" i="3"/>
  <c r="BB168" i="41"/>
  <c r="AD70" i="41"/>
  <c r="AZ67" i="41"/>
  <c r="AN168" i="41"/>
  <c r="BB325" i="41"/>
  <c r="AB157" i="41"/>
  <c r="BN174" i="41"/>
  <c r="BO68" i="42"/>
  <c r="CG68" i="42"/>
  <c r="CB68" i="42"/>
  <c r="CS68" i="42"/>
  <c r="BR123" i="42"/>
  <c r="BF123" i="42"/>
  <c r="Z38" i="1"/>
  <c r="AH146" i="41"/>
  <c r="AH181" i="41"/>
  <c r="AH139" i="41"/>
  <c r="Z67" i="42"/>
  <c r="Z66" i="42"/>
  <c r="Z68" i="42"/>
  <c r="Z117" i="42"/>
  <c r="AH217" i="41"/>
  <c r="AM181" i="41"/>
  <c r="AM146" i="41"/>
  <c r="AE66" i="42"/>
  <c r="AM139" i="41"/>
  <c r="AE67" i="42"/>
  <c r="AM217" i="41"/>
  <c r="AE117" i="42"/>
  <c r="AE20" i="1"/>
  <c r="AT20" i="1"/>
  <c r="AV146" i="41"/>
  <c r="AN123" i="42"/>
  <c r="AV139" i="41"/>
  <c r="AN67" i="42"/>
  <c r="AO67" i="42" s="1"/>
  <c r="AN66" i="42"/>
  <c r="AO66" i="42" s="1"/>
  <c r="AN117" i="42"/>
  <c r="AV174" i="41"/>
  <c r="BB175" i="41" s="1"/>
  <c r="AS38" i="1"/>
  <c r="BA146" i="41"/>
  <c r="BA139" i="41"/>
  <c r="AS123" i="42"/>
  <c r="AS66" i="42"/>
  <c r="AS67" i="42"/>
  <c r="AS117" i="42"/>
  <c r="BA174" i="41"/>
  <c r="BB176" i="41" s="1"/>
  <c r="AX21" i="1"/>
  <c r="BF181" i="41"/>
  <c r="BF146" i="41"/>
  <c r="BF139" i="41"/>
  <c r="AX117" i="42"/>
  <c r="AX68" i="42"/>
  <c r="AX67" i="42"/>
  <c r="AX66" i="42"/>
  <c r="AX123" i="42"/>
  <c r="BK181" i="41"/>
  <c r="BK146" i="41"/>
  <c r="BC68" i="42"/>
  <c r="BC66" i="42"/>
  <c r="BK139" i="41"/>
  <c r="BC67" i="42"/>
  <c r="BC117" i="42"/>
  <c r="BK174" i="41"/>
  <c r="BC20" i="1"/>
  <c r="BW139" i="41"/>
  <c r="BO67" i="42"/>
  <c r="BO66" i="42"/>
  <c r="BW181" i="41"/>
  <c r="BW146" i="41"/>
  <c r="BO117" i="42"/>
  <c r="BW174" i="41"/>
  <c r="BO20" i="1"/>
  <c r="CD20" i="1"/>
  <c r="CF139" i="41"/>
  <c r="CF181" i="41"/>
  <c r="CF146" i="41"/>
  <c r="BX66" i="42"/>
  <c r="BY66" i="42" s="1"/>
  <c r="BX67" i="42"/>
  <c r="BY67" i="42" s="1"/>
  <c r="BX117" i="42"/>
  <c r="BX123" i="42"/>
  <c r="CF174" i="41"/>
  <c r="CC67" i="42"/>
  <c r="CK139" i="41"/>
  <c r="CC66" i="42"/>
  <c r="CK181" i="41"/>
  <c r="CK146" i="41"/>
  <c r="CC117" i="42"/>
  <c r="CK174" i="41"/>
  <c r="CH42" i="1"/>
  <c r="CP139" i="41"/>
  <c r="CH67" i="42"/>
  <c r="CH68" i="42"/>
  <c r="CH66" i="42"/>
  <c r="CP181" i="41"/>
  <c r="CP146" i="41"/>
  <c r="CH117" i="42"/>
  <c r="CP174" i="41"/>
  <c r="CM67" i="42"/>
  <c r="CM66" i="42"/>
  <c r="CU181" i="41"/>
  <c r="CU146" i="41"/>
  <c r="CM117" i="42"/>
  <c r="CU174" i="41"/>
  <c r="CM20" i="1"/>
  <c r="BW21" i="1"/>
  <c r="W211" i="41"/>
  <c r="U61" i="1"/>
  <c r="AC211" i="41"/>
  <c r="AA61" i="1"/>
  <c r="AI211" i="41"/>
  <c r="E33" i="1"/>
  <c r="K31" i="1"/>
  <c r="K32" i="1" s="1"/>
  <c r="W31" i="1"/>
  <c r="W32" i="1" s="1"/>
  <c r="AM214" i="41"/>
  <c r="AM215" i="41" s="1"/>
  <c r="BA150" i="1"/>
  <c r="BQ51" i="1"/>
  <c r="CA51" i="1"/>
  <c r="CO51" i="1"/>
  <c r="DF51" i="1"/>
  <c r="AO53" i="1"/>
  <c r="AU53" i="1"/>
  <c r="BA53" i="1"/>
  <c r="R214" i="41"/>
  <c r="X214" i="41"/>
  <c r="U59" i="1"/>
  <c r="AC214" i="41"/>
  <c r="AC215" i="41" s="1"/>
  <c r="AH214" i="41"/>
  <c r="AH215" i="41" s="1"/>
  <c r="BQ71" i="1"/>
  <c r="BQ101" i="1" s="1"/>
  <c r="BQ261" i="42"/>
  <c r="AO105" i="1"/>
  <c r="CI123" i="42"/>
  <c r="CS117" i="42"/>
  <c r="CY117" i="42" s="1"/>
  <c r="DE117" i="42" s="1"/>
  <c r="DK117" i="42" s="1"/>
  <c r="BM181" i="41"/>
  <c r="BF117" i="42"/>
  <c r="AT162" i="3"/>
  <c r="BF168" i="41"/>
  <c r="BG168" i="41"/>
  <c r="AQ68" i="42"/>
  <c r="CV325" i="41"/>
  <c r="AS168" i="41"/>
  <c r="AQ168" i="41"/>
  <c r="BP123" i="42"/>
  <c r="AA68" i="42"/>
  <c r="AF68" i="42"/>
  <c r="CC68" i="42"/>
  <c r="BD68" i="42"/>
  <c r="AM68" i="42"/>
  <c r="CD123" i="42"/>
  <c r="DA51" i="1"/>
  <c r="DA92" i="1"/>
  <c r="DA151" i="42"/>
  <c r="DA181" i="42" s="1"/>
  <c r="K157" i="1"/>
  <c r="K205" i="42"/>
  <c r="K217" i="42" s="1"/>
  <c r="BA118" i="1"/>
  <c r="BM118" i="1"/>
  <c r="BY118" i="1"/>
  <c r="CK118" i="1"/>
  <c r="CE171" i="42"/>
  <c r="CE175" i="42" s="1"/>
  <c r="Q157" i="1"/>
  <c r="Q205" i="42"/>
  <c r="Q216" i="42" s="1"/>
  <c r="AC157" i="1"/>
  <c r="AC205" i="42"/>
  <c r="BO115" i="1"/>
  <c r="BJ174" i="42"/>
  <c r="BI144" i="42"/>
  <c r="Q118" i="1"/>
  <c r="W118" i="1"/>
  <c r="AI118" i="1"/>
  <c r="BG118" i="1"/>
  <c r="BS118" i="1"/>
  <c r="CE118" i="1"/>
  <c r="CQ118" i="1"/>
  <c r="BP115" i="1"/>
  <c r="BK174" i="42"/>
  <c r="BJ144" i="42"/>
  <c r="BY171" i="42"/>
  <c r="BY175" i="42" s="1"/>
  <c r="W157" i="1"/>
  <c r="W205" i="42"/>
  <c r="BC115" i="1"/>
  <c r="BC144" i="42"/>
  <c r="BD174" i="42"/>
  <c r="BD144" i="42"/>
  <c r="BQ115" i="1"/>
  <c r="BL144" i="42"/>
  <c r="BK144" i="42"/>
  <c r="BL174" i="42"/>
  <c r="CK171" i="42"/>
  <c r="CK175" i="42" s="1"/>
  <c r="CZ92" i="1"/>
  <c r="CZ151" i="42"/>
  <c r="CZ181" i="42" s="1"/>
  <c r="F148" i="442"/>
  <c r="F163" i="442"/>
  <c r="H138" i="442"/>
  <c r="G148" i="442"/>
  <c r="Q110" i="442"/>
  <c r="R34" i="442"/>
  <c r="P154" i="442"/>
  <c r="D148" i="442"/>
  <c r="D157" i="442"/>
  <c r="D163" i="442"/>
  <c r="D138" i="442"/>
  <c r="F157" i="442"/>
  <c r="CK241" i="41"/>
  <c r="CK240" i="41"/>
  <c r="CK168" i="41"/>
  <c r="CK239" i="41" s="1"/>
  <c r="BR157" i="41"/>
  <c r="BR156" i="41"/>
  <c r="BR241" i="41"/>
  <c r="BR240" i="41"/>
  <c r="BR168" i="41"/>
  <c r="BR239" i="41" s="1"/>
  <c r="AI157" i="41"/>
  <c r="AI156" i="41"/>
  <c r="BG157" i="41"/>
  <c r="BG156" i="41"/>
  <c r="CM167" i="41"/>
  <c r="CM151" i="41"/>
  <c r="BX240" i="41"/>
  <c r="BX241" i="41"/>
  <c r="BX168" i="41"/>
  <c r="BX239" i="41" s="1"/>
  <c r="AZ157" i="41"/>
  <c r="AZ156" i="41"/>
  <c r="AZ168" i="41"/>
  <c r="AO41" i="41"/>
  <c r="AO42" i="41"/>
  <c r="V70" i="41"/>
  <c r="AA70" i="41"/>
  <c r="BW241" i="41"/>
  <c r="BW240" i="41"/>
  <c r="BW168" i="41"/>
  <c r="BW239" i="41" s="1"/>
  <c r="CG167" i="41"/>
  <c r="CG151" i="41"/>
  <c r="AI64" i="41"/>
  <c r="AI63" i="41"/>
  <c r="BY280" i="41"/>
  <c r="AS28" i="41"/>
  <c r="AJ157" i="41"/>
  <c r="AJ156" i="41"/>
  <c r="AV157" i="41"/>
  <c r="AV156" i="41"/>
  <c r="AV168" i="41"/>
  <c r="AS157" i="41"/>
  <c r="AS156" i="41"/>
  <c r="BU167" i="41"/>
  <c r="BU151" i="41"/>
  <c r="CC240" i="41"/>
  <c r="CC241" i="41"/>
  <c r="CC168" i="41"/>
  <c r="CC239" i="41" s="1"/>
  <c r="BM325" i="41"/>
  <c r="AI70" i="41"/>
  <c r="AM157" i="41"/>
  <c r="AM156" i="41"/>
  <c r="CJ240" i="41"/>
  <c r="CJ241" i="41"/>
  <c r="CJ168" i="41"/>
  <c r="CJ239" i="41" s="1"/>
  <c r="CW325" i="41"/>
  <c r="CU325" i="41"/>
  <c r="AK168" i="41"/>
  <c r="BQ241" i="41"/>
  <c r="BQ240" i="41"/>
  <c r="BQ168" i="41"/>
  <c r="BQ239" i="41" s="1"/>
  <c r="X42" i="41"/>
  <c r="X41" i="41"/>
  <c r="AA42" i="41"/>
  <c r="AC325" i="41"/>
  <c r="AG157" i="41"/>
  <c r="AG156" i="41"/>
  <c r="AO64" i="41"/>
  <c r="AO63" i="41"/>
  <c r="AT157" i="41"/>
  <c r="AT156" i="41"/>
  <c r="F41" i="41"/>
  <c r="F42" i="41"/>
  <c r="I42" i="41"/>
  <c r="AM63" i="41"/>
  <c r="AM64" i="41"/>
  <c r="AU157" i="41"/>
  <c r="AU156" i="41"/>
  <c r="BO167" i="41"/>
  <c r="BO151" i="41"/>
  <c r="BG33" i="41"/>
  <c r="BH32" i="41"/>
  <c r="AG176" i="41"/>
  <c r="AG175" i="41"/>
  <c r="AK174" i="41"/>
  <c r="CW241" i="41"/>
  <c r="CW240" i="41"/>
  <c r="CW168" i="41"/>
  <c r="CW239" i="41" s="1"/>
  <c r="AO157" i="41"/>
  <c r="AO156" i="41"/>
  <c r="AO168" i="41"/>
  <c r="CX240" i="41"/>
  <c r="CX241" i="41"/>
  <c r="CX168" i="41"/>
  <c r="CX239" i="41" s="1"/>
  <c r="AT70" i="41"/>
  <c r="BK156" i="41"/>
  <c r="BT240" i="41"/>
  <c r="BT241" i="41"/>
  <c r="BT168" i="41"/>
  <c r="BT239" i="41" s="1"/>
  <c r="Q148" i="41"/>
  <c r="W147" i="41"/>
  <c r="AH176" i="41"/>
  <c r="AH175" i="41"/>
  <c r="BL157" i="41"/>
  <c r="BL156" i="41"/>
  <c r="BL240" i="41"/>
  <c r="BL241" i="41"/>
  <c r="BL168" i="41"/>
  <c r="BL239" i="41" s="1"/>
  <c r="AH70" i="41"/>
  <c r="AM70" i="41"/>
  <c r="CL240" i="41"/>
  <c r="CL241" i="41"/>
  <c r="CL168" i="41"/>
  <c r="CL239" i="41" s="1"/>
  <c r="AM168" i="41"/>
  <c r="AU70" i="41"/>
  <c r="AY157" i="41"/>
  <c r="AY156" i="41"/>
  <c r="BC168" i="41"/>
  <c r="DH92" i="41"/>
  <c r="CY100" i="41"/>
  <c r="AA176" i="41"/>
  <c r="AA175" i="41"/>
  <c r="AE174" i="41"/>
  <c r="AE175" i="41" s="1"/>
  <c r="Y175" i="41"/>
  <c r="CY187" i="41"/>
  <c r="DC154" i="1"/>
  <c r="AE315" i="41"/>
  <c r="AG315" i="41"/>
  <c r="AN325" i="41"/>
  <c r="AJ28" i="41"/>
  <c r="AB70" i="41"/>
  <c r="AG70" i="41"/>
  <c r="AJ64" i="41"/>
  <c r="AJ63" i="41"/>
  <c r="BH241" i="41"/>
  <c r="BH168" i="41"/>
  <c r="BH239" i="41" s="1"/>
  <c r="AV70" i="41"/>
  <c r="BZ240" i="41"/>
  <c r="BZ241" i="41"/>
  <c r="BZ168" i="41"/>
  <c r="BZ239" i="41" s="1"/>
  <c r="W70" i="41"/>
  <c r="BE312" i="41"/>
  <c r="BE51" i="41"/>
  <c r="BE66" i="41"/>
  <c r="CF241" i="41"/>
  <c r="CF240" i="41"/>
  <c r="CF168" i="41"/>
  <c r="CF239" i="41" s="1"/>
  <c r="CA187" i="41"/>
  <c r="BN325" i="41"/>
  <c r="BT325" i="41"/>
  <c r="AP64" i="41"/>
  <c r="AP63" i="41"/>
  <c r="CN85" i="42"/>
  <c r="BB157" i="41"/>
  <c r="BB156" i="41"/>
  <c r="AQ59" i="41"/>
  <c r="AQ62" i="41"/>
  <c r="AY69" i="41"/>
  <c r="AZ70" i="41" s="1"/>
  <c r="CI241" i="41"/>
  <c r="CI240" i="41"/>
  <c r="CI168" i="41"/>
  <c r="CI239" i="41" s="1"/>
  <c r="K41" i="41"/>
  <c r="K42" i="41"/>
  <c r="M40" i="41"/>
  <c r="AK48" i="41"/>
  <c r="AK45" i="41"/>
  <c r="CY167" i="41"/>
  <c r="CY151" i="41"/>
  <c r="DJ92" i="41"/>
  <c r="DA240" i="41"/>
  <c r="DA241" i="41"/>
  <c r="DA168" i="41"/>
  <c r="DA239" i="41" s="1"/>
  <c r="AC70" i="41"/>
  <c r="AH157" i="41"/>
  <c r="AH156" i="41"/>
  <c r="AY67" i="41"/>
  <c r="CA167" i="41"/>
  <c r="CA151" i="41"/>
  <c r="CS167" i="41"/>
  <c r="CS151" i="41"/>
  <c r="BK241" i="41"/>
  <c r="BK240" i="41"/>
  <c r="BK168" i="41"/>
  <c r="BK239" i="41" s="1"/>
  <c r="CU241" i="41"/>
  <c r="CU240" i="41"/>
  <c r="CU168" i="41"/>
  <c r="CU239" i="41" s="1"/>
  <c r="CR241" i="41"/>
  <c r="CR240" i="41"/>
  <c r="CR168" i="41"/>
  <c r="CR239" i="41" s="1"/>
  <c r="AZ315" i="41"/>
  <c r="AT313" i="41"/>
  <c r="AO325" i="41"/>
  <c r="CC325" i="41"/>
  <c r="R41" i="41"/>
  <c r="R42" i="41"/>
  <c r="U42" i="41"/>
  <c r="AG64" i="41"/>
  <c r="AG63" i="41"/>
  <c r="BM157" i="41"/>
  <c r="BM156" i="41"/>
  <c r="BM240" i="41"/>
  <c r="BM241" i="41"/>
  <c r="BM168" i="41"/>
  <c r="BM239" i="41" s="1"/>
  <c r="W41" i="41"/>
  <c r="W42" i="41"/>
  <c r="Y40" i="41"/>
  <c r="P70" i="41"/>
  <c r="U70" i="41"/>
  <c r="CO241" i="41"/>
  <c r="CO240" i="41"/>
  <c r="CO168" i="41"/>
  <c r="CO239" i="41" s="1"/>
  <c r="BH36" i="41"/>
  <c r="BK17" i="41"/>
  <c r="BH10" i="41"/>
  <c r="BN9" i="41"/>
  <c r="BI8" i="41"/>
  <c r="BH17" i="41"/>
  <c r="BH9" i="41"/>
  <c r="BG18" i="41"/>
  <c r="BG320" i="41"/>
  <c r="BG321" i="41" s="1"/>
  <c r="AY168" i="41"/>
  <c r="BS240" i="41"/>
  <c r="BS241" i="41"/>
  <c r="BS168" i="41"/>
  <c r="BS239" i="41" s="1"/>
  <c r="AI41" i="41"/>
  <c r="AI42" i="41"/>
  <c r="AK40" i="41"/>
  <c r="DG95" i="41"/>
  <c r="DG101" i="41" s="1"/>
  <c r="BA325" i="41"/>
  <c r="BH155" i="41"/>
  <c r="BN156" i="41" s="1"/>
  <c r="BY241" i="41"/>
  <c r="BY240" i="41"/>
  <c r="BY168" i="41"/>
  <c r="BY239" i="41" s="1"/>
  <c r="AD157" i="41"/>
  <c r="AC41" i="41"/>
  <c r="AC42" i="41"/>
  <c r="AE40" i="41"/>
  <c r="AE41" i="41" s="1"/>
  <c r="AP70" i="41"/>
  <c r="BE318" i="41"/>
  <c r="BE217" i="41"/>
  <c r="BE44" i="41"/>
  <c r="BE58" i="41"/>
  <c r="R148" i="41"/>
  <c r="BU187" i="41"/>
  <c r="AY187" i="41"/>
  <c r="BF325" i="41"/>
  <c r="BF312" i="41"/>
  <c r="BF52" i="41"/>
  <c r="BF51" i="41"/>
  <c r="BF66" i="41"/>
  <c r="AI176" i="41"/>
  <c r="CE241" i="41"/>
  <c r="CE240" i="41"/>
  <c r="CE168" i="41"/>
  <c r="CE239" i="41" s="1"/>
  <c r="BI167" i="41"/>
  <c r="BI168" i="41" s="1"/>
  <c r="BI151" i="41"/>
  <c r="BF157" i="41"/>
  <c r="BF156" i="41"/>
  <c r="BB315" i="41"/>
  <c r="AV313" i="41"/>
  <c r="AP325" i="41"/>
  <c r="AN157" i="41"/>
  <c r="AN156" i="41"/>
  <c r="BE157" i="41"/>
  <c r="BE156" i="41"/>
  <c r="AP157" i="41"/>
  <c r="AP156" i="41"/>
  <c r="BN157" i="41"/>
  <c r="BN240" i="41"/>
  <c r="BN241" i="41"/>
  <c r="BN168" i="41"/>
  <c r="BN239" i="41" s="1"/>
  <c r="E41" i="41"/>
  <c r="E42" i="41"/>
  <c r="G40" i="41"/>
  <c r="G41" i="41" s="1"/>
  <c r="CP241" i="41"/>
  <c r="CP240" i="41"/>
  <c r="CP168" i="41"/>
  <c r="CP239" i="41" s="1"/>
  <c r="L42" i="41"/>
  <c r="L41" i="41"/>
  <c r="O42" i="41"/>
  <c r="CV241" i="41"/>
  <c r="CV240" i="41"/>
  <c r="CV168" i="41"/>
  <c r="CV239" i="41" s="1"/>
  <c r="BC187" i="41"/>
  <c r="AM28" i="41"/>
  <c r="AZ28" i="41"/>
  <c r="AN63" i="41"/>
  <c r="AN64" i="41"/>
  <c r="AK62" i="41"/>
  <c r="AK63" i="41" s="1"/>
  <c r="AK59" i="41"/>
  <c r="AD41" i="41"/>
  <c r="AD42" i="41"/>
  <c r="AG42" i="41"/>
  <c r="BG36" i="41"/>
  <c r="BS157" i="41"/>
  <c r="BS156" i="41"/>
  <c r="CD241" i="41"/>
  <c r="CD240" i="41"/>
  <c r="CD168" i="41"/>
  <c r="CD239" i="41" s="1"/>
  <c r="AP45" i="41"/>
  <c r="AP46" i="41"/>
  <c r="AP40" i="41"/>
  <c r="AQ44" i="41"/>
  <c r="DM95" i="41"/>
  <c r="DM101" i="41" s="1"/>
  <c r="CQ240" i="41"/>
  <c r="CQ241" i="41"/>
  <c r="CQ168" i="41"/>
  <c r="CQ239" i="41" s="1"/>
  <c r="AB176" i="41"/>
  <c r="AB175" i="41"/>
  <c r="AD175" i="41"/>
  <c r="AD176" i="41"/>
  <c r="DG202" i="41"/>
  <c r="DG201" i="41"/>
  <c r="DH198" i="41"/>
  <c r="DG199" i="41"/>
  <c r="CY260" i="1"/>
  <c r="AY325" i="41"/>
  <c r="BQ325" i="41"/>
  <c r="AN70" i="41"/>
  <c r="AS70" i="41"/>
  <c r="Q41" i="41"/>
  <c r="Q42" i="41"/>
  <c r="S40" i="41"/>
  <c r="S41" i="41" s="1"/>
  <c r="BA157" i="41"/>
  <c r="BA156" i="41"/>
  <c r="BA168" i="41"/>
  <c r="BQ157" i="41"/>
  <c r="BQ156" i="41"/>
  <c r="AH64" i="41"/>
  <c r="AH63" i="41"/>
  <c r="AJ42" i="41"/>
  <c r="AJ41" i="41"/>
  <c r="AM42" i="41"/>
  <c r="AM325" i="41"/>
  <c r="CR325" i="41"/>
  <c r="BF318" i="41"/>
  <c r="BF217" i="41"/>
  <c r="BF56" i="41"/>
  <c r="BF44" i="41"/>
  <c r="BF58" i="41"/>
  <c r="CK160" i="3"/>
  <c r="CK161" i="3" s="1"/>
  <c r="CK158" i="3"/>
  <c r="CK156" i="3"/>
  <c r="CK144" i="3"/>
  <c r="CK139" i="3"/>
  <c r="CK104" i="3"/>
  <c r="CK103" i="3"/>
  <c r="CK256" i="1"/>
  <c r="CK263" i="1"/>
  <c r="CK262" i="1"/>
  <c r="CK243" i="1"/>
  <c r="CE158" i="3"/>
  <c r="CE156" i="3"/>
  <c r="CE160" i="3"/>
  <c r="CE161" i="3" s="1"/>
  <c r="CE144" i="3"/>
  <c r="CE139" i="3"/>
  <c r="CE103" i="3"/>
  <c r="CE263" i="1"/>
  <c r="CE243" i="1"/>
  <c r="CE262" i="1"/>
  <c r="CE256" i="1"/>
  <c r="BS160" i="3"/>
  <c r="BS161" i="3" s="1"/>
  <c r="BS156" i="3"/>
  <c r="BS158" i="3"/>
  <c r="BS139" i="3"/>
  <c r="BS144" i="3"/>
  <c r="BS104" i="3"/>
  <c r="BS103" i="3"/>
  <c r="BS263" i="1"/>
  <c r="BS262" i="1"/>
  <c r="BS243" i="1"/>
  <c r="BS256" i="1"/>
  <c r="AR66" i="3"/>
  <c r="AX67" i="3" s="1"/>
  <c r="AR60" i="3"/>
  <c r="AR31" i="3"/>
  <c r="AR69" i="3" s="1"/>
  <c r="AX70" i="3" s="1"/>
  <c r="W97" i="3"/>
  <c r="Z160" i="3"/>
  <c r="Z162" i="3" s="1"/>
  <c r="Z144" i="3"/>
  <c r="Z139" i="3"/>
  <c r="Z103" i="3"/>
  <c r="CQ160" i="3"/>
  <c r="CQ161" i="3" s="1"/>
  <c r="CQ158" i="3"/>
  <c r="CQ144" i="3"/>
  <c r="CQ145" i="3" s="1"/>
  <c r="CQ156" i="3"/>
  <c r="CQ139" i="3"/>
  <c r="CQ104" i="3"/>
  <c r="CQ103" i="3"/>
  <c r="CQ263" i="1"/>
  <c r="CQ262" i="1"/>
  <c r="CQ256" i="1"/>
  <c r="CQ243" i="1"/>
  <c r="CT120" i="3"/>
  <c r="CT146" i="42" s="1"/>
  <c r="AX156" i="3"/>
  <c r="AX160" i="3"/>
  <c r="AX162" i="3" s="1"/>
  <c r="AX144" i="3"/>
  <c r="AX139" i="3"/>
  <c r="AX103" i="3"/>
  <c r="AX262" i="1"/>
  <c r="AX263" i="1"/>
  <c r="AX256" i="1"/>
  <c r="AA101" i="3"/>
  <c r="AA102" i="3" s="1"/>
  <c r="AI181" i="41" s="1"/>
  <c r="BY66" i="3"/>
  <c r="CE67" i="3" s="1"/>
  <c r="BY31" i="3"/>
  <c r="BY69" i="3" s="1"/>
  <c r="CQ96" i="3"/>
  <c r="CV131" i="3"/>
  <c r="CW131" i="3" s="1"/>
  <c r="BA124" i="3"/>
  <c r="BM160" i="3"/>
  <c r="BM161" i="3" s="1"/>
  <c r="BM158" i="3"/>
  <c r="BM154" i="3" s="1"/>
  <c r="BM156" i="3"/>
  <c r="BM144" i="3"/>
  <c r="BM139" i="3"/>
  <c r="BM103" i="3"/>
  <c r="BM256" i="1"/>
  <c r="BM243" i="1"/>
  <c r="BM263" i="1"/>
  <c r="BM262" i="1"/>
  <c r="CH145" i="3"/>
  <c r="BP165" i="3"/>
  <c r="BP140" i="3"/>
  <c r="CB165" i="3"/>
  <c r="CB140" i="3"/>
  <c r="J69" i="3"/>
  <c r="K30" i="3"/>
  <c r="BE160" i="3"/>
  <c r="BE156" i="3"/>
  <c r="BE144" i="3"/>
  <c r="BE139" i="3"/>
  <c r="BK140" i="3" s="1"/>
  <c r="BE133" i="3"/>
  <c r="BE103" i="3"/>
  <c r="BE256" i="1"/>
  <c r="BE263" i="1"/>
  <c r="BE262" i="1"/>
  <c r="CE96" i="3"/>
  <c r="AC60" i="3"/>
  <c r="W37" i="3"/>
  <c r="V38" i="3"/>
  <c r="W38" i="3" s="1"/>
  <c r="AE67" i="3"/>
  <c r="BO264" i="1"/>
  <c r="BJ165" i="3"/>
  <c r="BJ140" i="3"/>
  <c r="CO165" i="3"/>
  <c r="CO140" i="3"/>
  <c r="V99" i="3"/>
  <c r="AB110" i="3"/>
  <c r="AC110" i="3" s="1"/>
  <c r="AA38" i="3"/>
  <c r="AB111" i="3" s="1"/>
  <c r="BW127" i="3"/>
  <c r="BY127" i="3" s="1"/>
  <c r="BX145" i="3"/>
  <c r="CN264" i="1"/>
  <c r="CI165" i="3"/>
  <c r="CI140" i="3"/>
  <c r="CD264" i="1"/>
  <c r="CA165" i="3"/>
  <c r="AM30" i="3"/>
  <c r="AW160" i="3"/>
  <c r="AW162" i="3" s="1"/>
  <c r="AW156" i="3"/>
  <c r="AW144" i="3"/>
  <c r="AW139" i="3"/>
  <c r="AW103" i="3"/>
  <c r="AW256" i="1"/>
  <c r="AW262" i="1"/>
  <c r="AW263" i="1"/>
  <c r="CB67" i="3"/>
  <c r="DB121" i="3"/>
  <c r="DC121" i="3" s="1"/>
  <c r="CK70" i="3"/>
  <c r="BA98" i="3"/>
  <c r="AL101" i="3"/>
  <c r="BA101" i="3"/>
  <c r="BL264" i="1"/>
  <c r="CN165" i="3"/>
  <c r="CN140" i="3"/>
  <c r="BP264" i="1"/>
  <c r="T60" i="3"/>
  <c r="T31" i="3"/>
  <c r="T69" i="3" s="1"/>
  <c r="Z70" i="3" s="1"/>
  <c r="CE38" i="3"/>
  <c r="CD42" i="3"/>
  <c r="BU51" i="3"/>
  <c r="BS51" i="3"/>
  <c r="DG50" i="3"/>
  <c r="CH165" i="3"/>
  <c r="CH140" i="3"/>
  <c r="N100" i="3"/>
  <c r="W25" i="3"/>
  <c r="BO45" i="3"/>
  <c r="BM45" i="3"/>
  <c r="AU66" i="3"/>
  <c r="AU31" i="3"/>
  <c r="AU69" i="3" s="1"/>
  <c r="BA70" i="3" s="1"/>
  <c r="Y102" i="3"/>
  <c r="AG181" i="41" s="1"/>
  <c r="CM165" i="3"/>
  <c r="CM140" i="3"/>
  <c r="BV165" i="3"/>
  <c r="BV140" i="3"/>
  <c r="BQ264" i="1"/>
  <c r="BL165" i="3"/>
  <c r="BL146" i="3"/>
  <c r="BL148" i="3" s="1"/>
  <c r="DB22" i="3"/>
  <c r="DC22" i="3" s="1"/>
  <c r="BQ67" i="3"/>
  <c r="AO113" i="3"/>
  <c r="AO255" i="1" s="1"/>
  <c r="AK255" i="1"/>
  <c r="AN102" i="3"/>
  <c r="AV181" i="41" s="1"/>
  <c r="BD165" i="3"/>
  <c r="BD140" i="3"/>
  <c r="CB264" i="1"/>
  <c r="BX165" i="3"/>
  <c r="BX140" i="3"/>
  <c r="BR264" i="1"/>
  <c r="BO165" i="3"/>
  <c r="BO140" i="3"/>
  <c r="DA19" i="3"/>
  <c r="DA91" i="3" s="1"/>
  <c r="O30" i="3"/>
  <c r="P10" i="3"/>
  <c r="AO92" i="3"/>
  <c r="K45" i="3"/>
  <c r="J56" i="3"/>
  <c r="K56" i="3" s="1"/>
  <c r="BF30" i="3"/>
  <c r="BG18" i="3"/>
  <c r="CK67" i="3"/>
  <c r="P97" i="3"/>
  <c r="O28" i="3"/>
  <c r="P100" i="3" s="1"/>
  <c r="CM67" i="3"/>
  <c r="CH264" i="1"/>
  <c r="CC165" i="3"/>
  <c r="CC140" i="3"/>
  <c r="BU165" i="3"/>
  <c r="CN145" i="3"/>
  <c r="CP165" i="3"/>
  <c r="CP140" i="3"/>
  <c r="BY112" i="3"/>
  <c r="BY115" i="3" s="1"/>
  <c r="CD111" i="3"/>
  <c r="BR124" i="3"/>
  <c r="BS124" i="3" s="1"/>
  <c r="AO112" i="3"/>
  <c r="AO115" i="3" s="1"/>
  <c r="AK115" i="3"/>
  <c r="DF123" i="3"/>
  <c r="BY263" i="1"/>
  <c r="CC264" i="1" s="1"/>
  <c r="AW66" i="3"/>
  <c r="AW31" i="3"/>
  <c r="AW69" i="3" s="1"/>
  <c r="AW70" i="3" s="1"/>
  <c r="AW60" i="3"/>
  <c r="CD70" i="3"/>
  <c r="CA70" i="3"/>
  <c r="AC66" i="3"/>
  <c r="AC67" i="3" s="1"/>
  <c r="AC31" i="3"/>
  <c r="AC69" i="3" s="1"/>
  <c r="O42" i="3"/>
  <c r="P34" i="3"/>
  <c r="U111" i="3"/>
  <c r="CP55" i="3"/>
  <c r="CQ55" i="3" s="1"/>
  <c r="CI264" i="1"/>
  <c r="CJ264" i="1"/>
  <c r="BJ67" i="3"/>
  <c r="CE70" i="3"/>
  <c r="K34" i="3"/>
  <c r="J42" i="3"/>
  <c r="K42" i="3" s="1"/>
  <c r="AS101" i="3"/>
  <c r="AR101" i="3"/>
  <c r="BE117" i="42"/>
  <c r="BG115" i="42"/>
  <c r="Z111" i="3"/>
  <c r="BA56" i="3"/>
  <c r="AZ60" i="3"/>
  <c r="CG112" i="3"/>
  <c r="CG42" i="3"/>
  <c r="CH39" i="3"/>
  <c r="CH112" i="3" s="1"/>
  <c r="CH115" i="3" s="1"/>
  <c r="BD145" i="3"/>
  <c r="CY90" i="3"/>
  <c r="CZ18" i="3"/>
  <c r="CZ90" i="3" s="1"/>
  <c r="N60" i="3"/>
  <c r="N31" i="3"/>
  <c r="N69" i="3" s="1"/>
  <c r="N70" i="3" s="1"/>
  <c r="BE66" i="3"/>
  <c r="BE60" i="3"/>
  <c r="BE31" i="3"/>
  <c r="BE69" i="3" s="1"/>
  <c r="BK70" i="3" s="1"/>
  <c r="O97" i="3"/>
  <c r="AC100" i="3"/>
  <c r="AO60" i="3"/>
  <c r="BV70" i="3"/>
  <c r="CY39" i="3"/>
  <c r="CW39" i="3"/>
  <c r="DH55" i="3"/>
  <c r="DI55" i="3" s="1"/>
  <c r="BI125" i="3"/>
  <c r="BI56" i="3"/>
  <c r="BI60" i="3" s="1"/>
  <c r="BJ52" i="3"/>
  <c r="BJ125" i="3" s="1"/>
  <c r="BJ129" i="3" s="1"/>
  <c r="BJ133" i="3" s="1"/>
  <c r="BI165" i="3"/>
  <c r="BI140" i="3"/>
  <c r="BU145" i="3"/>
  <c r="BK104" i="3"/>
  <c r="BW165" i="3"/>
  <c r="BW140" i="3"/>
  <c r="CP145" i="3"/>
  <c r="CO172" i="42"/>
  <c r="CO178" i="42" s="1"/>
  <c r="CO179" i="42" s="1"/>
  <c r="T160" i="3"/>
  <c r="T162" i="3" s="1"/>
  <c r="T144" i="3"/>
  <c r="T133" i="3"/>
  <c r="T103" i="3"/>
  <c r="AB160" i="3"/>
  <c r="AB162" i="3" s="1"/>
  <c r="AB139" i="3"/>
  <c r="AB140" i="3" s="1"/>
  <c r="CW92" i="3"/>
  <c r="DH22" i="3"/>
  <c r="DI22" i="3" s="1"/>
  <c r="AI28" i="3"/>
  <c r="AH29" i="3"/>
  <c r="BG125" i="3"/>
  <c r="CW54" i="3"/>
  <c r="CY54" i="3"/>
  <c r="CJ165" i="3"/>
  <c r="CJ140" i="3"/>
  <c r="V26" i="3"/>
  <c r="W26" i="3" s="1"/>
  <c r="CA67" i="3"/>
  <c r="BL118" i="3"/>
  <c r="CT124" i="3"/>
  <c r="AU60" i="3"/>
  <c r="U42" i="3"/>
  <c r="CV110" i="3"/>
  <c r="CW110" i="3" s="1"/>
  <c r="Y70" i="3"/>
  <c r="AE70" i="3"/>
  <c r="DE113" i="3"/>
  <c r="DF40" i="3"/>
  <c r="DF113" i="3" s="1"/>
  <c r="CV123" i="3"/>
  <c r="CW123" i="3" s="1"/>
  <c r="BF127" i="3"/>
  <c r="BG127" i="3" s="1"/>
  <c r="CO128" i="3"/>
  <c r="BR165" i="3"/>
  <c r="BR140" i="3"/>
  <c r="CD165" i="3"/>
  <c r="CD140" i="3"/>
  <c r="BV145" i="3"/>
  <c r="CG165" i="3"/>
  <c r="CG140" i="3"/>
  <c r="BD70" i="3"/>
  <c r="BS66" i="3"/>
  <c r="BS67" i="3" s="1"/>
  <c r="BS31" i="3"/>
  <c r="BS69" i="3" s="1"/>
  <c r="BS70" i="3" s="1"/>
  <c r="CQ66" i="3"/>
  <c r="CQ67" i="3" s="1"/>
  <c r="CQ31" i="3"/>
  <c r="CQ69" i="3" s="1"/>
  <c r="CQ70" i="3" s="1"/>
  <c r="CE33" i="3"/>
  <c r="BQ70" i="3"/>
  <c r="BW70" i="3"/>
  <c r="BY96" i="3"/>
  <c r="AZ67" i="3"/>
  <c r="AS102" i="3"/>
  <c r="BA181" i="41" s="1"/>
  <c r="DB55" i="3"/>
  <c r="DC55" i="3" s="1"/>
  <c r="CI67" i="3"/>
  <c r="BQ165" i="3"/>
  <c r="BQ140" i="3"/>
  <c r="CZ91" i="3"/>
  <c r="CV121" i="3"/>
  <c r="CW121" i="3" s="1"/>
  <c r="BF90" i="3"/>
  <c r="CY122" i="3"/>
  <c r="CZ49" i="3"/>
  <c r="CY39" i="42"/>
  <c r="CZ39" i="42" s="1"/>
  <c r="DA39" i="42" s="1"/>
  <c r="DB39" i="42" s="1"/>
  <c r="CY20" i="3"/>
  <c r="CW20" i="3"/>
  <c r="CM70" i="3"/>
  <c r="AO66" i="3"/>
  <c r="AO31" i="3"/>
  <c r="AO69" i="3" s="1"/>
  <c r="BV67" i="3"/>
  <c r="CV112" i="3"/>
  <c r="CW112" i="3" s="1"/>
  <c r="CD51" i="3"/>
  <c r="DG128" i="3"/>
  <c r="AU97" i="3"/>
  <c r="P45" i="3"/>
  <c r="O56" i="3"/>
  <c r="AO122" i="3"/>
  <c r="AO129" i="3" s="1"/>
  <c r="AK129" i="3"/>
  <c r="BF56" i="3"/>
  <c r="BG56" i="3" s="1"/>
  <c r="CD128" i="3"/>
  <c r="CE128" i="3" s="1"/>
  <c r="BC165" i="3"/>
  <c r="BC140" i="3"/>
  <c r="BW145" i="3"/>
  <c r="AL30" i="3"/>
  <c r="CW74" i="1"/>
  <c r="BP254" i="1"/>
  <c r="BP59" i="42"/>
  <c r="CY275" i="42"/>
  <c r="CV276" i="42"/>
  <c r="CW41" i="42"/>
  <c r="BY46" i="42"/>
  <c r="BG125" i="42"/>
  <c r="N181" i="42"/>
  <c r="AL172" i="42"/>
  <c r="AL178" i="42" s="1"/>
  <c r="AL179" i="42" s="1"/>
  <c r="AL181" i="42"/>
  <c r="S246" i="42"/>
  <c r="T229" i="42"/>
  <c r="T233" i="42" s="1"/>
  <c r="S209" i="42"/>
  <c r="S216" i="42" s="1"/>
  <c r="BX270" i="42"/>
  <c r="CD266" i="42"/>
  <c r="BF262" i="42"/>
  <c r="BE264" i="42"/>
  <c r="H45" i="42"/>
  <c r="H46" i="42" s="1"/>
  <c r="H59" i="42" s="1"/>
  <c r="H60" i="42" s="1"/>
  <c r="I39" i="42"/>
  <c r="H252" i="1"/>
  <c r="H253" i="1" s="1"/>
  <c r="AB186" i="42"/>
  <c r="AC27" i="42"/>
  <c r="BG27" i="42"/>
  <c r="BY169" i="42"/>
  <c r="BU181" i="42"/>
  <c r="CK125" i="42"/>
  <c r="CJ59" i="42"/>
  <c r="CK46" i="42"/>
  <c r="CJ47" i="42"/>
  <c r="CK47" i="42" s="1"/>
  <c r="AZ122" i="42"/>
  <c r="BA125" i="42"/>
  <c r="AU169" i="42"/>
  <c r="AQ181" i="42"/>
  <c r="W156" i="42"/>
  <c r="AE179" i="42"/>
  <c r="AE167" i="42"/>
  <c r="BA171" i="42"/>
  <c r="BA175" i="42" s="1"/>
  <c r="M178" i="42"/>
  <c r="AG171" i="42"/>
  <c r="AG175" i="42" s="1"/>
  <c r="AG162" i="42"/>
  <c r="AH160" i="42"/>
  <c r="AI161" i="42" s="1"/>
  <c r="Y178" i="42"/>
  <c r="CP171" i="42"/>
  <c r="CP162" i="42"/>
  <c r="CQ161" i="42"/>
  <c r="U172" i="42"/>
  <c r="U178" i="42" s="1"/>
  <c r="U181" i="42"/>
  <c r="Y205" i="42"/>
  <c r="Z174" i="42"/>
  <c r="Z144" i="42"/>
  <c r="BL60" i="42"/>
  <c r="BM59" i="42"/>
  <c r="BM60" i="42" s="1"/>
  <c r="BR59" i="42"/>
  <c r="BS46" i="42"/>
  <c r="BO181" i="42"/>
  <c r="CY50" i="42"/>
  <c r="CW50" i="42"/>
  <c r="H101" i="42"/>
  <c r="G103" i="42"/>
  <c r="BC181" i="42"/>
  <c r="CG123" i="42"/>
  <c r="CK122" i="42"/>
  <c r="BI123" i="42"/>
  <c r="BM122" i="42"/>
  <c r="CM122" i="42"/>
  <c r="DH144" i="42"/>
  <c r="DI145" i="42" s="1"/>
  <c r="DG146" i="42"/>
  <c r="DG47" i="3" s="1"/>
  <c r="S179" i="42"/>
  <c r="S167" i="42"/>
  <c r="AS172" i="42"/>
  <c r="AS178" i="42" s="1"/>
  <c r="AS179" i="42" s="1"/>
  <c r="Q248" i="42"/>
  <c r="Q210" i="42"/>
  <c r="CI266" i="42"/>
  <c r="CC270" i="42"/>
  <c r="CE46" i="42"/>
  <c r="CD59" i="42"/>
  <c r="DB146" i="42"/>
  <c r="DB47" i="3" s="1"/>
  <c r="DC47" i="3" s="1"/>
  <c r="BV172" i="42"/>
  <c r="BV178" i="42" s="1"/>
  <c r="BV179" i="42" s="1"/>
  <c r="K59" i="42"/>
  <c r="J60" i="42"/>
  <c r="CK57" i="42"/>
  <c r="CK254" i="1" s="1"/>
  <c r="CJ254" i="1"/>
  <c r="CC169" i="42"/>
  <c r="CE169" i="42" s="1"/>
  <c r="BO172" i="42"/>
  <c r="AU162" i="42"/>
  <c r="CN266" i="42"/>
  <c r="CT266" i="42" s="1"/>
  <c r="CT270" i="42" s="1"/>
  <c r="CH270" i="42"/>
  <c r="AF172" i="42"/>
  <c r="BV264" i="42"/>
  <c r="BW263" i="42"/>
  <c r="T169" i="42"/>
  <c r="T181" i="42" s="1"/>
  <c r="AB206" i="42"/>
  <c r="AB213" i="42" s="1"/>
  <c r="AB207" i="42"/>
  <c r="AB214" i="42" s="1"/>
  <c r="AB162" i="42"/>
  <c r="AC162" i="42" s="1"/>
  <c r="CM178" i="42"/>
  <c r="CM179" i="42" s="1"/>
  <c r="CV269" i="42"/>
  <c r="CU252" i="1"/>
  <c r="CH60" i="42"/>
  <c r="AC59" i="42"/>
  <c r="AC60" i="42" s="1"/>
  <c r="AB60" i="42"/>
  <c r="BV254" i="1"/>
  <c r="BV59" i="42"/>
  <c r="BV60" i="42" s="1"/>
  <c r="P182" i="42"/>
  <c r="P165" i="42" s="1"/>
  <c r="O182" i="42"/>
  <c r="O165" i="42" s="1"/>
  <c r="BU254" i="1"/>
  <c r="BU59" i="42"/>
  <c r="BU60" i="42" s="1"/>
  <c r="AK178" i="42"/>
  <c r="AK179" i="42" s="1"/>
  <c r="CO126" i="42"/>
  <c r="CN125" i="42"/>
  <c r="CN122" i="42" s="1"/>
  <c r="CN123" i="42" s="1"/>
  <c r="AM171" i="42"/>
  <c r="AM175" i="42" s="1"/>
  <c r="AN160" i="42"/>
  <c r="AM162" i="42"/>
  <c r="AM169" i="42" s="1"/>
  <c r="Z169" i="42"/>
  <c r="Z172" i="42" s="1"/>
  <c r="Z178" i="42" s="1"/>
  <c r="W246" i="42"/>
  <c r="W248" i="42" s="1"/>
  <c r="AC229" i="42"/>
  <c r="AC233" i="42" s="1"/>
  <c r="Y229" i="42"/>
  <c r="Y233" i="42" s="1"/>
  <c r="DE266" i="42"/>
  <c r="DK266" i="42" s="1"/>
  <c r="AW181" i="42"/>
  <c r="AU171" i="42"/>
  <c r="AU175" i="42" s="1"/>
  <c r="DB171" i="42"/>
  <c r="DC171" i="42" s="1"/>
  <c r="DB162" i="42"/>
  <c r="DC162" i="42" s="1"/>
  <c r="BG46" i="42"/>
  <c r="BY48" i="42"/>
  <c r="BX57" i="42"/>
  <c r="AB157" i="42"/>
  <c r="AC156" i="42"/>
  <c r="DG171" i="42"/>
  <c r="DH160" i="42"/>
  <c r="DI161" i="42" s="1"/>
  <c r="DG162" i="42"/>
  <c r="DG46" i="3" s="1"/>
  <c r="AQ178" i="42"/>
  <c r="AQ179" i="42" s="1"/>
  <c r="AF181" i="42"/>
  <c r="AS181" i="42"/>
  <c r="AO156" i="42"/>
  <c r="DC74" i="1"/>
  <c r="U174" i="42"/>
  <c r="U175" i="42" s="1"/>
  <c r="AE115" i="1"/>
  <c r="AF174" i="42"/>
  <c r="AF144" i="42"/>
  <c r="I67" i="42"/>
  <c r="I32" i="42"/>
  <c r="AW74" i="42"/>
  <c r="AW75" i="42"/>
  <c r="BC123" i="42"/>
  <c r="BG122" i="42"/>
  <c r="CA181" i="42"/>
  <c r="BK113" i="42"/>
  <c r="BJ112" i="42"/>
  <c r="Q132" i="42"/>
  <c r="P135" i="42"/>
  <c r="Q135" i="42" s="1"/>
  <c r="S132" i="42"/>
  <c r="AZ157" i="42"/>
  <c r="BA156" i="42"/>
  <c r="CS178" i="42"/>
  <c r="CS179" i="42" s="1"/>
  <c r="DE20" i="42"/>
  <c r="DF20" i="42" s="1"/>
  <c r="DG20" i="42" s="1"/>
  <c r="DH20" i="42" s="1"/>
  <c r="DC20" i="42"/>
  <c r="N165" i="42"/>
  <c r="CG181" i="42"/>
  <c r="CV160" i="42"/>
  <c r="O171" i="42"/>
  <c r="O175" i="42" s="1"/>
  <c r="O162" i="42"/>
  <c r="P160" i="42"/>
  <c r="BC172" i="42"/>
  <c r="AK181" i="42"/>
  <c r="BM125" i="42"/>
  <c r="CI169" i="42"/>
  <c r="CK169" i="42" s="1"/>
  <c r="CK27" i="42"/>
  <c r="DE45" i="42"/>
  <c r="DF45" i="42" s="1"/>
  <c r="DG45" i="42" s="1"/>
  <c r="DH45" i="42" s="1"/>
  <c r="DC45" i="42"/>
  <c r="CB254" i="1"/>
  <c r="CB59" i="42"/>
  <c r="CB60" i="42" s="1"/>
  <c r="BS125" i="42"/>
  <c r="BO122" i="42"/>
  <c r="BY125" i="42"/>
  <c r="BU122" i="42"/>
  <c r="AA169" i="42"/>
  <c r="AA172" i="42" s="1"/>
  <c r="CA172" i="42"/>
  <c r="BW172" i="42"/>
  <c r="BW178" i="42" s="1"/>
  <c r="BW179" i="42" s="1"/>
  <c r="BW181" i="42"/>
  <c r="AW172" i="42"/>
  <c r="CG172" i="42"/>
  <c r="Q161" i="1"/>
  <c r="Q164" i="1"/>
  <c r="V171" i="42"/>
  <c r="W171" i="42" s="1"/>
  <c r="W175" i="42" s="1"/>
  <c r="V162" i="42"/>
  <c r="V169" i="42" s="1"/>
  <c r="AT172" i="42"/>
  <c r="AT178" i="42" s="1"/>
  <c r="AT179" i="42" s="1"/>
  <c r="DC161" i="42"/>
  <c r="AL30" i="1"/>
  <c r="AL33" i="1"/>
  <c r="BJ30" i="1"/>
  <c r="BJ33" i="1"/>
  <c r="AY367" i="1"/>
  <c r="AY368" i="1" s="1"/>
  <c r="BC327" i="1"/>
  <c r="BD327" i="1"/>
  <c r="BD328" i="1" s="1"/>
  <c r="BE327" i="1"/>
  <c r="BE328" i="1" s="1"/>
  <c r="BG237" i="1"/>
  <c r="BG184" i="1"/>
  <c r="BG20" i="1"/>
  <c r="AH30" i="1"/>
  <c r="AH33" i="1"/>
  <c r="BF30" i="1"/>
  <c r="BF33" i="1"/>
  <c r="CD30" i="1"/>
  <c r="CD33" i="1"/>
  <c r="I64" i="1"/>
  <c r="I34" i="1"/>
  <c r="M64" i="1"/>
  <c r="M34" i="1"/>
  <c r="AX30" i="1"/>
  <c r="BV30" i="1"/>
  <c r="J64" i="1"/>
  <c r="J34" i="1"/>
  <c r="N64" i="1"/>
  <c r="N34" i="1"/>
  <c r="U64" i="1"/>
  <c r="U34" i="1"/>
  <c r="Z64" i="1"/>
  <c r="Z34" i="1"/>
  <c r="Y64" i="1"/>
  <c r="Y34" i="1"/>
  <c r="U327" i="1"/>
  <c r="U328" i="1" s="1"/>
  <c r="V327" i="1"/>
  <c r="V328" i="1" s="1"/>
  <c r="T327" i="1"/>
  <c r="T328" i="1" s="1"/>
  <c r="W237" i="1"/>
  <c r="W221" i="1"/>
  <c r="W46" i="1"/>
  <c r="AY30" i="1"/>
  <c r="BW30" i="1"/>
  <c r="CH30" i="1"/>
  <c r="CH33" i="1"/>
  <c r="E64" i="1"/>
  <c r="E34" i="1"/>
  <c r="DA32" i="1"/>
  <c r="AZ327" i="1"/>
  <c r="AZ328" i="1" s="1"/>
  <c r="AT367" i="1"/>
  <c r="AT368" i="1" s="1"/>
  <c r="AW327" i="1"/>
  <c r="AW328" i="1" s="1"/>
  <c r="BC325" i="1"/>
  <c r="AX327" i="1"/>
  <c r="AX328" i="1" s="1"/>
  <c r="BC326" i="1"/>
  <c r="AY327" i="1"/>
  <c r="AY328" i="1" s="1"/>
  <c r="BA237" i="1"/>
  <c r="BA10" i="1"/>
  <c r="BA11" i="1"/>
  <c r="AB367" i="1"/>
  <c r="AB368" i="1" s="1"/>
  <c r="AH327" i="1"/>
  <c r="AH328" i="1" s="1"/>
  <c r="AE327" i="1"/>
  <c r="AE328" i="1" s="1"/>
  <c r="AF327" i="1"/>
  <c r="AF328" i="1" s="1"/>
  <c r="AG327" i="1"/>
  <c r="AG328" i="1" s="1"/>
  <c r="AI237" i="1"/>
  <c r="BK30" i="1"/>
  <c r="BY236" i="1"/>
  <c r="CC236" i="1"/>
  <c r="BY182" i="1"/>
  <c r="AO183" i="1"/>
  <c r="P237" i="1"/>
  <c r="P223" i="1"/>
  <c r="P219" i="1"/>
  <c r="P222" i="1"/>
  <c r="P221" i="1"/>
  <c r="P220" i="1"/>
  <c r="P217" i="1"/>
  <c r="P216" i="1"/>
  <c r="P224" i="1"/>
  <c r="P201" i="1"/>
  <c r="P184" i="1"/>
  <c r="P46" i="1"/>
  <c r="P38" i="1"/>
  <c r="AB284" i="1"/>
  <c r="AB285" i="1" s="1"/>
  <c r="AB237" i="1"/>
  <c r="AB221" i="1"/>
  <c r="AB220" i="1"/>
  <c r="AB219" i="1"/>
  <c r="AB224" i="1"/>
  <c r="AB223" i="1"/>
  <c r="AB222" i="1"/>
  <c r="AB217" i="1"/>
  <c r="AB216" i="1"/>
  <c r="AB201" i="1"/>
  <c r="AB184" i="1"/>
  <c r="AB46" i="1"/>
  <c r="AB38" i="1"/>
  <c r="BP221" i="1"/>
  <c r="BP217" i="1"/>
  <c r="BP216" i="1"/>
  <c r="BP201" i="1"/>
  <c r="BP184" i="1"/>
  <c r="BP50" i="1"/>
  <c r="AC236" i="1"/>
  <c r="AC182" i="1"/>
  <c r="CE236" i="1"/>
  <c r="CE182" i="1"/>
  <c r="K236" i="1"/>
  <c r="K182" i="1"/>
  <c r="K153" i="1"/>
  <c r="AC14" i="1"/>
  <c r="W217" i="1"/>
  <c r="W183" i="1"/>
  <c r="BK14" i="1"/>
  <c r="AI231" i="1"/>
  <c r="BG231" i="1"/>
  <c r="Q236" i="1"/>
  <c r="Q182" i="1"/>
  <c r="AO236" i="1"/>
  <c r="AO182" i="1"/>
  <c r="BS236" i="1"/>
  <c r="CQ236" i="1"/>
  <c r="CQ182" i="1"/>
  <c r="Q14" i="1"/>
  <c r="AO14" i="1"/>
  <c r="BM13" i="1"/>
  <c r="BQ14" i="1"/>
  <c r="CE14" i="1"/>
  <c r="BL15" i="1"/>
  <c r="AI217" i="1"/>
  <c r="AI183" i="1"/>
  <c r="BG217" i="1"/>
  <c r="BG183" i="1"/>
  <c r="BK200" i="1"/>
  <c r="BL200" i="1"/>
  <c r="BK183" i="1"/>
  <c r="BQ183" i="1"/>
  <c r="CE183" i="1"/>
  <c r="K183" i="1"/>
  <c r="AC17" i="1"/>
  <c r="BK17" i="1"/>
  <c r="I223" i="1"/>
  <c r="I219" i="1"/>
  <c r="I222" i="1"/>
  <c r="I221" i="1"/>
  <c r="I220" i="1"/>
  <c r="I224" i="1"/>
  <c r="I217" i="1"/>
  <c r="I216" i="1"/>
  <c r="I201" i="1"/>
  <c r="I42" i="1"/>
  <c r="I46" i="1"/>
  <c r="O237" i="1"/>
  <c r="O224" i="1"/>
  <c r="O220" i="1"/>
  <c r="O216" i="1"/>
  <c r="O219" i="1"/>
  <c r="O223" i="1"/>
  <c r="O222" i="1"/>
  <c r="O221" i="1"/>
  <c r="O217" i="1"/>
  <c r="O201" i="1"/>
  <c r="O184" i="1"/>
  <c r="O38" i="1"/>
  <c r="O46" i="1"/>
  <c r="O42" i="1"/>
  <c r="S237" i="1"/>
  <c r="S223" i="1"/>
  <c r="S219" i="1"/>
  <c r="S216" i="1"/>
  <c r="S217" i="1"/>
  <c r="S222" i="1"/>
  <c r="S221" i="1"/>
  <c r="S220" i="1"/>
  <c r="S224" i="1"/>
  <c r="S201" i="1"/>
  <c r="S184" i="1"/>
  <c r="S38" i="1"/>
  <c r="S46" i="1"/>
  <c r="S42" i="1"/>
  <c r="V20" i="1"/>
  <c r="AA284" i="1"/>
  <c r="AA285" i="1" s="1"/>
  <c r="AA237" i="1"/>
  <c r="AA222" i="1"/>
  <c r="AA216" i="1"/>
  <c r="AA221" i="1"/>
  <c r="AA220" i="1"/>
  <c r="AA219" i="1"/>
  <c r="AA224" i="1"/>
  <c r="AA223" i="1"/>
  <c r="AA217" i="1"/>
  <c r="AA201" i="1"/>
  <c r="AA184" i="1"/>
  <c r="AA38" i="1"/>
  <c r="AA46" i="1"/>
  <c r="AA42" i="1"/>
  <c r="Z20" i="1"/>
  <c r="AE284" i="1"/>
  <c r="AE285" i="1" s="1"/>
  <c r="AE237" i="1"/>
  <c r="AE221" i="1"/>
  <c r="AE216" i="1"/>
  <c r="AE217" i="1"/>
  <c r="AE201" i="1"/>
  <c r="AE184" i="1"/>
  <c r="AH20" i="1"/>
  <c r="AM284" i="1"/>
  <c r="AM285" i="1" s="1"/>
  <c r="AM237" i="1"/>
  <c r="AM216" i="1"/>
  <c r="AM217" i="1"/>
  <c r="AM221" i="1"/>
  <c r="AM201" i="1"/>
  <c r="AM184" i="1"/>
  <c r="AM50" i="1"/>
  <c r="AL20" i="1"/>
  <c r="AQ284" i="1"/>
  <c r="AQ285" i="1" s="1"/>
  <c r="AQ237" i="1"/>
  <c r="AQ216" i="1"/>
  <c r="AQ221" i="1"/>
  <c r="AQ217" i="1"/>
  <c r="AQ201" i="1"/>
  <c r="AQ184" i="1"/>
  <c r="AQ50" i="1"/>
  <c r="AU19" i="1"/>
  <c r="AY284" i="1"/>
  <c r="AY285" i="1" s="1"/>
  <c r="AY237" i="1"/>
  <c r="AY221" i="1"/>
  <c r="AY216" i="1"/>
  <c r="AY217" i="1"/>
  <c r="AY201" i="1"/>
  <c r="AY184" i="1"/>
  <c r="AX20" i="1"/>
  <c r="BC284" i="1"/>
  <c r="BC285" i="1" s="1"/>
  <c r="BC237" i="1"/>
  <c r="BC221" i="1"/>
  <c r="BC216" i="1"/>
  <c r="BC217" i="1"/>
  <c r="BC201" i="1"/>
  <c r="BC184" i="1"/>
  <c r="BK19" i="1"/>
  <c r="BJ20" i="1"/>
  <c r="BO221" i="1"/>
  <c r="BO216" i="1"/>
  <c r="BO217" i="1"/>
  <c r="BO201" i="1"/>
  <c r="BO184" i="1"/>
  <c r="BS19" i="1"/>
  <c r="BW237" i="1"/>
  <c r="BW221" i="1"/>
  <c r="BW216" i="1"/>
  <c r="BW217" i="1"/>
  <c r="BW201" i="1"/>
  <c r="BW184" i="1"/>
  <c r="BW50" i="1"/>
  <c r="BV20" i="1"/>
  <c r="CA237" i="1"/>
  <c r="CA221" i="1"/>
  <c r="CA216" i="1"/>
  <c r="CA217" i="1"/>
  <c r="CA201" i="1"/>
  <c r="CA184" i="1"/>
  <c r="CE19" i="1"/>
  <c r="CI237" i="1"/>
  <c r="CI221" i="1"/>
  <c r="CI216" i="1"/>
  <c r="CI217" i="1"/>
  <c r="CI201" i="1"/>
  <c r="CI184" i="1"/>
  <c r="CH20" i="1"/>
  <c r="CM237" i="1"/>
  <c r="CM221" i="1"/>
  <c r="CM216" i="1"/>
  <c r="CM217" i="1"/>
  <c r="CM201" i="1"/>
  <c r="CM184" i="1"/>
  <c r="CQ19" i="1"/>
  <c r="E237" i="1"/>
  <c r="E221" i="1"/>
  <c r="E223" i="1"/>
  <c r="E220" i="1"/>
  <c r="E216" i="1"/>
  <c r="E222" i="1"/>
  <c r="E224" i="1"/>
  <c r="E219" i="1"/>
  <c r="E217" i="1"/>
  <c r="E184" i="1"/>
  <c r="E46" i="1"/>
  <c r="H21" i="1"/>
  <c r="N21" i="1"/>
  <c r="T21" i="1"/>
  <c r="Z21" i="1"/>
  <c r="BJ21" i="1"/>
  <c r="BP21" i="1"/>
  <c r="BV21" i="1"/>
  <c r="CH21" i="1"/>
  <c r="AF238" i="1"/>
  <c r="AF219" i="1"/>
  <c r="AF203" i="1"/>
  <c r="AF186" i="1"/>
  <c r="AF188" i="1"/>
  <c r="AE220" i="1"/>
  <c r="AE204" i="1"/>
  <c r="AE187" i="1"/>
  <c r="AI25" i="1"/>
  <c r="AH26" i="1"/>
  <c r="AM219" i="1"/>
  <c r="AM203" i="1"/>
  <c r="AM186" i="1"/>
  <c r="AM188" i="1"/>
  <c r="AL220" i="1"/>
  <c r="AL204" i="1"/>
  <c r="AL187" i="1"/>
  <c r="AT219" i="1"/>
  <c r="AT203" i="1"/>
  <c r="AT186" i="1"/>
  <c r="AT188" i="1"/>
  <c r="AS220" i="1"/>
  <c r="AS204" i="1"/>
  <c r="AS187" i="1"/>
  <c r="AW219" i="1"/>
  <c r="AW203" i="1"/>
  <c r="AW186" i="1"/>
  <c r="AW188" i="1"/>
  <c r="BA24" i="1"/>
  <c r="AZ220" i="1"/>
  <c r="AZ204" i="1"/>
  <c r="AZ187" i="1"/>
  <c r="AY26" i="1"/>
  <c r="BD219" i="1"/>
  <c r="BD188" i="1"/>
  <c r="BD203" i="1"/>
  <c r="BD186" i="1"/>
  <c r="BC220" i="1"/>
  <c r="BC204" i="1"/>
  <c r="BC187" i="1"/>
  <c r="BG25" i="1"/>
  <c r="BF26" i="1"/>
  <c r="BK219" i="1"/>
  <c r="BK188" i="1"/>
  <c r="BK203" i="1"/>
  <c r="BK186" i="1"/>
  <c r="BJ220" i="1"/>
  <c r="BJ204" i="1"/>
  <c r="BJ187" i="1"/>
  <c r="BR219" i="1"/>
  <c r="BR203" i="1"/>
  <c r="BR188" i="1"/>
  <c r="BR186" i="1"/>
  <c r="BQ220" i="1"/>
  <c r="BQ204" i="1"/>
  <c r="BQ187" i="1"/>
  <c r="BU219" i="1"/>
  <c r="BU203" i="1"/>
  <c r="BU188" i="1"/>
  <c r="BU186" i="1"/>
  <c r="BY24" i="1"/>
  <c r="BX220" i="1"/>
  <c r="BX204" i="1"/>
  <c r="BX187" i="1"/>
  <c r="BW26" i="1"/>
  <c r="CB219" i="1"/>
  <c r="CB188" i="1"/>
  <c r="CB203" i="1"/>
  <c r="CB186" i="1"/>
  <c r="CA220" i="1"/>
  <c r="CA204" i="1"/>
  <c r="CA187" i="1"/>
  <c r="CE25" i="1"/>
  <c r="CD26" i="1"/>
  <c r="CI219" i="1"/>
  <c r="CI188" i="1"/>
  <c r="CI203" i="1"/>
  <c r="CI186" i="1"/>
  <c r="CH220" i="1"/>
  <c r="CH204" i="1"/>
  <c r="CH187" i="1"/>
  <c r="CP219" i="1"/>
  <c r="CP203" i="1"/>
  <c r="CP188" i="1"/>
  <c r="CP186" i="1"/>
  <c r="CO220" i="1"/>
  <c r="CO204" i="1"/>
  <c r="CO187" i="1"/>
  <c r="CS219" i="1"/>
  <c r="CS203" i="1"/>
  <c r="CS188" i="1"/>
  <c r="CS186" i="1"/>
  <c r="Q187" i="1"/>
  <c r="AC187" i="1"/>
  <c r="E30" i="1"/>
  <c r="I30" i="1"/>
  <c r="G32" i="1"/>
  <c r="M30" i="1"/>
  <c r="S32" i="1"/>
  <c r="V33" i="1"/>
  <c r="Y30" i="1"/>
  <c r="AT29" i="1"/>
  <c r="AZ31" i="1"/>
  <c r="AZ32" i="1" s="1"/>
  <c r="BR29" i="1"/>
  <c r="BX31" i="1"/>
  <c r="BX32" i="1" s="1"/>
  <c r="CP29" i="1"/>
  <c r="AC189" i="1"/>
  <c r="AL222" i="1"/>
  <c r="AL206" i="1"/>
  <c r="AL189" i="1"/>
  <c r="AL38" i="1"/>
  <c r="AM39" i="1"/>
  <c r="AY222" i="1"/>
  <c r="AY206" i="1"/>
  <c r="AY189" i="1"/>
  <c r="AY40" i="1"/>
  <c r="AY38" i="1"/>
  <c r="AX38" i="1"/>
  <c r="AY39" i="1"/>
  <c r="BD206" i="1"/>
  <c r="BD222" i="1"/>
  <c r="BD189" i="1"/>
  <c r="BD38" i="1"/>
  <c r="BD39" i="1"/>
  <c r="BJ39" i="1"/>
  <c r="BP222" i="1"/>
  <c r="BP206" i="1"/>
  <c r="BP189" i="1"/>
  <c r="BQ40" i="1"/>
  <c r="BP38" i="1"/>
  <c r="BP39" i="1"/>
  <c r="BV222" i="1"/>
  <c r="BV206" i="1"/>
  <c r="BV189" i="1"/>
  <c r="BV39" i="1"/>
  <c r="BU38" i="1"/>
  <c r="BU39" i="1"/>
  <c r="CA38" i="1"/>
  <c r="CG222" i="1"/>
  <c r="CG206" i="1"/>
  <c r="CG189" i="1"/>
  <c r="CG38" i="1"/>
  <c r="CK37" i="1"/>
  <c r="CG39" i="1"/>
  <c r="CM222" i="1"/>
  <c r="CM206" i="1"/>
  <c r="CM189" i="1"/>
  <c r="CM39" i="1"/>
  <c r="CQ37" i="1"/>
  <c r="E38" i="1"/>
  <c r="I38" i="1"/>
  <c r="AL40" i="1"/>
  <c r="BV40" i="1"/>
  <c r="CH40" i="1"/>
  <c r="AT42" i="1"/>
  <c r="AX241" i="1"/>
  <c r="AX223" i="1"/>
  <c r="AX207" i="1"/>
  <c r="AX190" i="1"/>
  <c r="AX44" i="1"/>
  <c r="AX42" i="1"/>
  <c r="AX58" i="1"/>
  <c r="AX43" i="1"/>
  <c r="AW42" i="1"/>
  <c r="BF58" i="1"/>
  <c r="BO241" i="1"/>
  <c r="BO223" i="1"/>
  <c r="BO207" i="1"/>
  <c r="BO190" i="1"/>
  <c r="BO42" i="1"/>
  <c r="BO44" i="1"/>
  <c r="BO58" i="1"/>
  <c r="BO43" i="1"/>
  <c r="BS41" i="1"/>
  <c r="CB241" i="1"/>
  <c r="CB223" i="1"/>
  <c r="CB207" i="1"/>
  <c r="CB190" i="1"/>
  <c r="CB44" i="1"/>
  <c r="CB43" i="1"/>
  <c r="CB58" i="1"/>
  <c r="CB42" i="1"/>
  <c r="CJ241" i="1"/>
  <c r="CJ223" i="1"/>
  <c r="CJ207" i="1"/>
  <c r="CJ190" i="1"/>
  <c r="CJ42" i="1"/>
  <c r="CJ58" i="1"/>
  <c r="CJ43" i="1"/>
  <c r="CH43" i="1"/>
  <c r="E42" i="1"/>
  <c r="AN224" i="1"/>
  <c r="AN208" i="1"/>
  <c r="AN191" i="1"/>
  <c r="AQ48" i="1"/>
  <c r="AO45" i="1"/>
  <c r="AN48" i="1"/>
  <c r="AX46" i="1"/>
  <c r="CA224" i="1"/>
  <c r="CA208" i="1"/>
  <c r="CA191" i="1"/>
  <c r="CA47" i="1"/>
  <c r="CA48" i="1"/>
  <c r="CG47" i="1"/>
  <c r="CA46" i="1"/>
  <c r="CE45" i="1"/>
  <c r="CM46" i="1"/>
  <c r="BO92" i="1"/>
  <c r="CM92" i="1"/>
  <c r="CT236" i="1"/>
  <c r="CT199" i="1"/>
  <c r="CT182" i="1"/>
  <c r="CK183" i="1"/>
  <c r="D237" i="1"/>
  <c r="D223" i="1"/>
  <c r="D221" i="1"/>
  <c r="D219" i="1"/>
  <c r="D216" i="1"/>
  <c r="D224" i="1"/>
  <c r="D217" i="1"/>
  <c r="D220" i="1"/>
  <c r="D222" i="1"/>
  <c r="D46" i="1"/>
  <c r="D38" i="1"/>
  <c r="AF284" i="1"/>
  <c r="AF285" i="1" s="1"/>
  <c r="AF237" i="1"/>
  <c r="AF224" i="1"/>
  <c r="AF223" i="1"/>
  <c r="AF222" i="1"/>
  <c r="AF221" i="1"/>
  <c r="AF217" i="1"/>
  <c r="AF216" i="1"/>
  <c r="AF201" i="1"/>
  <c r="AF184" i="1"/>
  <c r="AF38" i="1"/>
  <c r="AF46" i="1"/>
  <c r="AF50" i="1"/>
  <c r="AF42" i="1"/>
  <c r="AN284" i="1"/>
  <c r="AN285" i="1" s="1"/>
  <c r="AN237" i="1"/>
  <c r="AN221" i="1"/>
  <c r="AN217" i="1"/>
  <c r="AN216" i="1"/>
  <c r="AN201" i="1"/>
  <c r="AN184" i="1"/>
  <c r="AR284" i="1"/>
  <c r="AR285" i="1" s="1"/>
  <c r="AR237" i="1"/>
  <c r="AR217" i="1"/>
  <c r="AR216" i="1"/>
  <c r="AR221" i="1"/>
  <c r="AR201" i="1"/>
  <c r="AR184" i="1"/>
  <c r="AR50" i="1"/>
  <c r="AZ284" i="1"/>
  <c r="AZ285" i="1" s="1"/>
  <c r="AZ237" i="1"/>
  <c r="AZ221" i="1"/>
  <c r="AZ217" i="1"/>
  <c r="AZ216" i="1"/>
  <c r="AZ201" i="1"/>
  <c r="AZ184" i="1"/>
  <c r="BD284" i="1"/>
  <c r="BD285" i="1" s="1"/>
  <c r="BD237" i="1"/>
  <c r="BD221" i="1"/>
  <c r="BD217" i="1"/>
  <c r="BD216" i="1"/>
  <c r="BD201" i="1"/>
  <c r="BD184" i="1"/>
  <c r="BL221" i="1"/>
  <c r="BL217" i="1"/>
  <c r="BL216" i="1"/>
  <c r="BL184" i="1"/>
  <c r="BX237" i="1"/>
  <c r="BX221" i="1"/>
  <c r="BX217" i="1"/>
  <c r="BX216" i="1"/>
  <c r="BX201" i="1"/>
  <c r="BX184" i="1"/>
  <c r="CB237" i="1"/>
  <c r="CB221" i="1"/>
  <c r="CB217" i="1"/>
  <c r="CB216" i="1"/>
  <c r="CB201" i="1"/>
  <c r="CB184" i="1"/>
  <c r="CJ237" i="1"/>
  <c r="CJ221" i="1"/>
  <c r="CJ217" i="1"/>
  <c r="CJ216" i="1"/>
  <c r="CJ201" i="1"/>
  <c r="CJ184" i="1"/>
  <c r="CN237" i="1"/>
  <c r="CN221" i="1"/>
  <c r="CN217" i="1"/>
  <c r="CN216" i="1"/>
  <c r="CN201" i="1"/>
  <c r="CN184" i="1"/>
  <c r="CN50" i="1"/>
  <c r="CN46" i="1"/>
  <c r="E20" i="1"/>
  <c r="U21" i="1"/>
  <c r="AG21" i="1"/>
  <c r="AS21" i="1"/>
  <c r="BE21" i="1"/>
  <c r="BQ21" i="1"/>
  <c r="CC21" i="1"/>
  <c r="CO21" i="1"/>
  <c r="AG219" i="1"/>
  <c r="AG203" i="1"/>
  <c r="AG188" i="1"/>
  <c r="AG186" i="1"/>
  <c r="AF220" i="1"/>
  <c r="AF204" i="1"/>
  <c r="AF187" i="1"/>
  <c r="AE62" i="1"/>
  <c r="AN219" i="1"/>
  <c r="AN203" i="1"/>
  <c r="AN188" i="1"/>
  <c r="AN186" i="1"/>
  <c r="AM220" i="1"/>
  <c r="AM204" i="1"/>
  <c r="AM187" i="1"/>
  <c r="AQ219" i="1"/>
  <c r="AQ188" i="1"/>
  <c r="AQ203" i="1"/>
  <c r="AQ186" i="1"/>
  <c r="AU24" i="1"/>
  <c r="AT220" i="1"/>
  <c r="AT204" i="1"/>
  <c r="AT187" i="1"/>
  <c r="AX219" i="1"/>
  <c r="AX203" i="1"/>
  <c r="AX188" i="1"/>
  <c r="AX186" i="1"/>
  <c r="AW220" i="1"/>
  <c r="AW204" i="1"/>
  <c r="AW187" i="1"/>
  <c r="BA25" i="1"/>
  <c r="BE219" i="1"/>
  <c r="BE188" i="1"/>
  <c r="BE203" i="1"/>
  <c r="BE186" i="1"/>
  <c r="BD220" i="1"/>
  <c r="BD204" i="1"/>
  <c r="BD187" i="1"/>
  <c r="BL219" i="1"/>
  <c r="BL203" i="1"/>
  <c r="BL188" i="1"/>
  <c r="BL186" i="1"/>
  <c r="BK220" i="1"/>
  <c r="BK204" i="1"/>
  <c r="BK187" i="1"/>
  <c r="BO219" i="1"/>
  <c r="BO188" i="1"/>
  <c r="BO186" i="1"/>
  <c r="BO203" i="1"/>
  <c r="BS24" i="1"/>
  <c r="BR220" i="1"/>
  <c r="BR204" i="1"/>
  <c r="BR187" i="1"/>
  <c r="BV219" i="1"/>
  <c r="BV203" i="1"/>
  <c r="BV188" i="1"/>
  <c r="BV186" i="1"/>
  <c r="BU220" i="1"/>
  <c r="BU204" i="1"/>
  <c r="BU187" i="1"/>
  <c r="BY25" i="1"/>
  <c r="CC219" i="1"/>
  <c r="CC188" i="1"/>
  <c r="CC203" i="1"/>
  <c r="CC186" i="1"/>
  <c r="CB220" i="1"/>
  <c r="CB187" i="1"/>
  <c r="CB204" i="1"/>
  <c r="CJ219" i="1"/>
  <c r="CJ203" i="1"/>
  <c r="CJ188" i="1"/>
  <c r="CJ186" i="1"/>
  <c r="CI220" i="1"/>
  <c r="CI204" i="1"/>
  <c r="CI187" i="1"/>
  <c r="CM219" i="1"/>
  <c r="CM188" i="1"/>
  <c r="CM186" i="1"/>
  <c r="CM203" i="1"/>
  <c r="CQ24" i="1"/>
  <c r="CP220" i="1"/>
  <c r="CP204" i="1"/>
  <c r="CP187" i="1"/>
  <c r="CS220" i="1"/>
  <c r="CS204" i="1"/>
  <c r="CS187" i="1"/>
  <c r="K188" i="1"/>
  <c r="K186" i="1"/>
  <c r="W219" i="1"/>
  <c r="W188" i="1"/>
  <c r="W186" i="1"/>
  <c r="D33" i="1"/>
  <c r="K29" i="1"/>
  <c r="K30" i="1" s="1"/>
  <c r="G33" i="1"/>
  <c r="Q31" i="1"/>
  <c r="Q32" i="1" s="1"/>
  <c r="O33" i="1"/>
  <c r="W29" i="1"/>
  <c r="W30" i="1" s="1"/>
  <c r="S33" i="1"/>
  <c r="AC31" i="1"/>
  <c r="AC32" i="1" s="1"/>
  <c r="AA33" i="1"/>
  <c r="AQ29" i="1"/>
  <c r="AW31" i="1"/>
  <c r="BO29" i="1"/>
  <c r="BU31" i="1"/>
  <c r="CM29" i="1"/>
  <c r="CS31" i="1"/>
  <c r="K189" i="1"/>
  <c r="AG222" i="1"/>
  <c r="AG206" i="1"/>
  <c r="AG189" i="1"/>
  <c r="AG40" i="1"/>
  <c r="AG39" i="1"/>
  <c r="AG38" i="1"/>
  <c r="AM206" i="1"/>
  <c r="AM222" i="1"/>
  <c r="AM189" i="1"/>
  <c r="AM40" i="1"/>
  <c r="AM38" i="1"/>
  <c r="AT222" i="1"/>
  <c r="AT206" i="1"/>
  <c r="AT189" i="1"/>
  <c r="AT40" i="1"/>
  <c r="AT38" i="1"/>
  <c r="AT39" i="1"/>
  <c r="AZ38" i="1"/>
  <c r="AZ39" i="1"/>
  <c r="BE222" i="1"/>
  <c r="BE206" i="1"/>
  <c r="BE189" i="1"/>
  <c r="BE40" i="1"/>
  <c r="BE39" i="1"/>
  <c r="BE38" i="1"/>
  <c r="BK222" i="1"/>
  <c r="BK206" i="1"/>
  <c r="BK189" i="1"/>
  <c r="BK40" i="1"/>
  <c r="BK38" i="1"/>
  <c r="BK39" i="1"/>
  <c r="BQ38" i="1"/>
  <c r="BQ39" i="1"/>
  <c r="BW222" i="1"/>
  <c r="BW206" i="1"/>
  <c r="BW189" i="1"/>
  <c r="BW40" i="1"/>
  <c r="BW38" i="1"/>
  <c r="BW39" i="1"/>
  <c r="CB222" i="1"/>
  <c r="CB206" i="1"/>
  <c r="CB189" i="1"/>
  <c r="CB38" i="1"/>
  <c r="CB39" i="1"/>
  <c r="CH38" i="1"/>
  <c r="CH39" i="1"/>
  <c r="CN222" i="1"/>
  <c r="CN206" i="1"/>
  <c r="CN189" i="1"/>
  <c r="CO40" i="1"/>
  <c r="CN38" i="1"/>
  <c r="CM38" i="1"/>
  <c r="CN39" i="1"/>
  <c r="W241" i="1"/>
  <c r="W223" i="1"/>
  <c r="W190" i="1"/>
  <c r="W42" i="1"/>
  <c r="AI241" i="1"/>
  <c r="AI223" i="1"/>
  <c r="AI190" i="1"/>
  <c r="AI43" i="1"/>
  <c r="AI42" i="1"/>
  <c r="AO241" i="1"/>
  <c r="AO190" i="1"/>
  <c r="AO43" i="1"/>
  <c r="AT241" i="1"/>
  <c r="AT223" i="1"/>
  <c r="AT207" i="1"/>
  <c r="AT190" i="1"/>
  <c r="AT43" i="1"/>
  <c r="AT58" i="1"/>
  <c r="AY225" i="1"/>
  <c r="AZ42" i="1"/>
  <c r="BC42" i="1"/>
  <c r="BK241" i="1"/>
  <c r="BK223" i="1"/>
  <c r="BK207" i="1"/>
  <c r="BK190" i="1"/>
  <c r="BK43" i="1"/>
  <c r="BK58" i="1"/>
  <c r="BK44" i="1"/>
  <c r="BP225" i="1"/>
  <c r="BP209" i="1"/>
  <c r="BU241" i="1"/>
  <c r="BU223" i="1"/>
  <c r="BU207" i="1"/>
  <c r="BU190" i="1"/>
  <c r="BU58" i="1"/>
  <c r="BU43" i="1"/>
  <c r="BU44" i="1"/>
  <c r="BY41" i="1"/>
  <c r="CC241" i="1" s="1"/>
  <c r="CC223" i="1"/>
  <c r="CC207" i="1"/>
  <c r="CC190" i="1"/>
  <c r="CC58" i="1"/>
  <c r="CD209" i="1" s="1"/>
  <c r="CC42" i="1"/>
  <c r="CC44" i="1"/>
  <c r="CC43" i="1"/>
  <c r="CG42" i="1"/>
  <c r="CP241" i="1"/>
  <c r="CP223" i="1"/>
  <c r="CP207" i="1"/>
  <c r="CP190" i="1"/>
  <c r="CP43" i="1"/>
  <c r="CP58" i="1"/>
  <c r="T42" i="1"/>
  <c r="AB42" i="1"/>
  <c r="Q191" i="1"/>
  <c r="Q47" i="1"/>
  <c r="AH224" i="1"/>
  <c r="AH208" i="1"/>
  <c r="AH191" i="1"/>
  <c r="AH47" i="1"/>
  <c r="AH46" i="1"/>
  <c r="AH48" i="1"/>
  <c r="AI45" i="1"/>
  <c r="AN46" i="1"/>
  <c r="AS224" i="1"/>
  <c r="AS208" i="1"/>
  <c r="AS191" i="1"/>
  <c r="AS47" i="1"/>
  <c r="AY47" i="1"/>
  <c r="AS46" i="1"/>
  <c r="AS48" i="1"/>
  <c r="BC224" i="1"/>
  <c r="BC208" i="1"/>
  <c r="BC191" i="1"/>
  <c r="BC47" i="1"/>
  <c r="BC48" i="1"/>
  <c r="BI47" i="1"/>
  <c r="BC46" i="1"/>
  <c r="BG45" i="1"/>
  <c r="BJ224" i="1"/>
  <c r="BJ208" i="1"/>
  <c r="BJ191" i="1"/>
  <c r="BJ48" i="1"/>
  <c r="BJ47" i="1"/>
  <c r="BP47" i="1"/>
  <c r="BJ46" i="1"/>
  <c r="BQ224" i="1"/>
  <c r="BQ208" i="1"/>
  <c r="BQ191" i="1"/>
  <c r="BQ47" i="1"/>
  <c r="BW47" i="1"/>
  <c r="BQ46" i="1"/>
  <c r="BQ48" i="1"/>
  <c r="BX224" i="1"/>
  <c r="BX208" i="1"/>
  <c r="BX191" i="1"/>
  <c r="BX47" i="1"/>
  <c r="CD47" i="1"/>
  <c r="BX46" i="1"/>
  <c r="BX48" i="1"/>
  <c r="BK50" i="1"/>
  <c r="BU50" i="1"/>
  <c r="CI50" i="1"/>
  <c r="CS50" i="1"/>
  <c r="W236" i="1"/>
  <c r="W216" i="1"/>
  <c r="W182" i="1"/>
  <c r="W14" i="1"/>
  <c r="BO236" i="1"/>
  <c r="BL236" i="1"/>
  <c r="BK236" i="1"/>
  <c r="BP236" i="1"/>
  <c r="BK216" i="1"/>
  <c r="BK199" i="1"/>
  <c r="BL199" i="1"/>
  <c r="BK182" i="1"/>
  <c r="BQ182" i="1"/>
  <c r="BS217" i="1"/>
  <c r="BS183" i="1"/>
  <c r="CK17" i="1"/>
  <c r="G221" i="1"/>
  <c r="G216" i="1"/>
  <c r="G220" i="1"/>
  <c r="G219" i="1"/>
  <c r="G224" i="1"/>
  <c r="G223" i="1"/>
  <c r="G222" i="1"/>
  <c r="G217" i="1"/>
  <c r="G46" i="1"/>
  <c r="G38" i="1"/>
  <c r="M237" i="1"/>
  <c r="M222" i="1"/>
  <c r="M224" i="1"/>
  <c r="M223" i="1"/>
  <c r="M221" i="1"/>
  <c r="M220" i="1"/>
  <c r="M219" i="1"/>
  <c r="M217" i="1"/>
  <c r="M216" i="1"/>
  <c r="M201" i="1"/>
  <c r="M184" i="1"/>
  <c r="M46" i="1"/>
  <c r="Q19" i="1"/>
  <c r="Q219" i="1" s="1"/>
  <c r="P20" i="1"/>
  <c r="V283" i="1"/>
  <c r="V282" i="1"/>
  <c r="U284" i="1"/>
  <c r="U285" i="1" s="1"/>
  <c r="U237" i="1"/>
  <c r="U221" i="1"/>
  <c r="U224" i="1"/>
  <c r="U223" i="1"/>
  <c r="U222" i="1"/>
  <c r="U217" i="1"/>
  <c r="U216" i="1"/>
  <c r="U220" i="1"/>
  <c r="U219" i="1"/>
  <c r="U201" i="1"/>
  <c r="U184" i="1"/>
  <c r="U46" i="1"/>
  <c r="AC19" i="1"/>
  <c r="AC42" i="1" s="1"/>
  <c r="AB20" i="1"/>
  <c r="AG284" i="1"/>
  <c r="AG285" i="1" s="1"/>
  <c r="AG237" i="1"/>
  <c r="AG221" i="1"/>
  <c r="AG217" i="1"/>
  <c r="AG216" i="1"/>
  <c r="AG201" i="1"/>
  <c r="AG184" i="1"/>
  <c r="AG46" i="1"/>
  <c r="AG50" i="1"/>
  <c r="AF20" i="1"/>
  <c r="AK284" i="1"/>
  <c r="AK285" i="1" s="1"/>
  <c r="AK237" i="1"/>
  <c r="AK217" i="1"/>
  <c r="AK216" i="1"/>
  <c r="AK221" i="1"/>
  <c r="AK201" i="1"/>
  <c r="AK184" i="1"/>
  <c r="AO19" i="1"/>
  <c r="AN20" i="1"/>
  <c r="AS284" i="1"/>
  <c r="AS285" i="1" s="1"/>
  <c r="AS237" i="1"/>
  <c r="AS221" i="1"/>
  <c r="AS217" i="1"/>
  <c r="AS216" i="1"/>
  <c r="AS201" i="1"/>
  <c r="AS184" i="1"/>
  <c r="AS50" i="1"/>
  <c r="AR20" i="1"/>
  <c r="AW284" i="1"/>
  <c r="AW285" i="1" s="1"/>
  <c r="AW237" i="1"/>
  <c r="AW217" i="1"/>
  <c r="AW216" i="1"/>
  <c r="AW221" i="1"/>
  <c r="AW201" i="1"/>
  <c r="AW184" i="1"/>
  <c r="AW50" i="1"/>
  <c r="AZ20" i="1"/>
  <c r="BE284" i="1"/>
  <c r="BE285" i="1" s="1"/>
  <c r="BE237" i="1"/>
  <c r="BE221" i="1"/>
  <c r="BE217" i="1"/>
  <c r="BE216" i="1"/>
  <c r="BE201" i="1"/>
  <c r="BE184" i="1"/>
  <c r="BD20" i="1"/>
  <c r="BI284" i="1"/>
  <c r="BI285" i="1" s="1"/>
  <c r="BI237" i="1"/>
  <c r="BI221" i="1"/>
  <c r="BI217" i="1"/>
  <c r="BI216" i="1"/>
  <c r="BI201" i="1"/>
  <c r="BI184" i="1"/>
  <c r="BI50" i="1"/>
  <c r="BL20" i="1"/>
  <c r="BQ237" i="1"/>
  <c r="BQ221" i="1"/>
  <c r="BQ217" i="1"/>
  <c r="BQ216" i="1"/>
  <c r="BQ201" i="1"/>
  <c r="BQ184" i="1"/>
  <c r="BP20" i="1"/>
  <c r="BU237" i="1"/>
  <c r="BU221" i="1"/>
  <c r="BU217" i="1"/>
  <c r="BU216" i="1"/>
  <c r="BU201" i="1"/>
  <c r="BU184" i="1"/>
  <c r="BY19" i="1"/>
  <c r="BX20" i="1"/>
  <c r="CC221" i="1"/>
  <c r="CC217" i="1"/>
  <c r="CC216" i="1"/>
  <c r="CC201" i="1"/>
  <c r="CC184" i="1"/>
  <c r="CB20" i="1"/>
  <c r="CG237" i="1"/>
  <c r="CG221" i="1"/>
  <c r="CG217" i="1"/>
  <c r="CG216" i="1"/>
  <c r="CG201" i="1"/>
  <c r="CG184" i="1"/>
  <c r="CG50" i="1"/>
  <c r="CG46" i="1"/>
  <c r="CK19" i="1"/>
  <c r="CJ20" i="1"/>
  <c r="CO237" i="1"/>
  <c r="CO221" i="1"/>
  <c r="CO217" i="1"/>
  <c r="CO216" i="1"/>
  <c r="CO201" i="1"/>
  <c r="CO184" i="1"/>
  <c r="CN20" i="1"/>
  <c r="CS237" i="1"/>
  <c r="CS221" i="1"/>
  <c r="CS217" i="1"/>
  <c r="CS216" i="1"/>
  <c r="CS201" i="1"/>
  <c r="CS184" i="1"/>
  <c r="K19" i="1"/>
  <c r="K224" i="1" s="1"/>
  <c r="P21" i="1"/>
  <c r="V21" i="1"/>
  <c r="AB21" i="1"/>
  <c r="AH21" i="1"/>
  <c r="AN21" i="1"/>
  <c r="AT21" i="1"/>
  <c r="AZ21" i="1"/>
  <c r="BF21" i="1"/>
  <c r="BL21" i="1"/>
  <c r="BR21" i="1"/>
  <c r="BX21" i="1"/>
  <c r="CD21" i="1"/>
  <c r="CJ21" i="1"/>
  <c r="CP21" i="1"/>
  <c r="AH219" i="1"/>
  <c r="AH203" i="1"/>
  <c r="AH188" i="1"/>
  <c r="AH186" i="1"/>
  <c r="AG220" i="1"/>
  <c r="AG204" i="1"/>
  <c r="AG187" i="1"/>
  <c r="AF26" i="1"/>
  <c r="AK219" i="1"/>
  <c r="AK203" i="1"/>
  <c r="AK188" i="1"/>
  <c r="AK186" i="1"/>
  <c r="AO24" i="1"/>
  <c r="AN220" i="1"/>
  <c r="AN204" i="1"/>
  <c r="AN187" i="1"/>
  <c r="AM26" i="1"/>
  <c r="AR219" i="1"/>
  <c r="AR203" i="1"/>
  <c r="AR188" i="1"/>
  <c r="AR186" i="1"/>
  <c r="AQ220" i="1"/>
  <c r="AQ204" i="1"/>
  <c r="AQ187" i="1"/>
  <c r="AU25" i="1"/>
  <c r="AT26" i="1"/>
  <c r="AY219" i="1"/>
  <c r="AY203" i="1"/>
  <c r="AY188" i="1"/>
  <c r="AY186" i="1"/>
  <c r="AX220" i="1"/>
  <c r="AX204" i="1"/>
  <c r="AX187" i="1"/>
  <c r="AW26" i="1"/>
  <c r="BF219" i="1"/>
  <c r="BF203" i="1"/>
  <c r="BF186" i="1"/>
  <c r="BF188" i="1"/>
  <c r="BE220" i="1"/>
  <c r="BE187" i="1"/>
  <c r="BE204" i="1"/>
  <c r="BD26" i="1"/>
  <c r="BI219" i="1"/>
  <c r="BI203" i="1"/>
  <c r="BI186" i="1"/>
  <c r="BI188" i="1"/>
  <c r="BM24" i="1"/>
  <c r="BL220" i="1"/>
  <c r="BL204" i="1"/>
  <c r="BL187" i="1"/>
  <c r="BK26" i="1"/>
  <c r="BP219" i="1"/>
  <c r="BP186" i="1"/>
  <c r="BP203" i="1"/>
  <c r="BP188" i="1"/>
  <c r="BO220" i="1"/>
  <c r="BO204" i="1"/>
  <c r="BO187" i="1"/>
  <c r="BS25" i="1"/>
  <c r="BR26" i="1"/>
  <c r="BW219" i="1"/>
  <c r="BW186" i="1"/>
  <c r="BW203" i="1"/>
  <c r="BW188" i="1"/>
  <c r="BV220" i="1"/>
  <c r="BV204" i="1"/>
  <c r="BV187" i="1"/>
  <c r="BU26" i="1"/>
  <c r="CD219" i="1"/>
  <c r="CD203" i="1"/>
  <c r="CD186" i="1"/>
  <c r="CD188" i="1"/>
  <c r="CC220" i="1"/>
  <c r="CC187" i="1"/>
  <c r="CC204" i="1"/>
  <c r="CB26" i="1"/>
  <c r="CG219" i="1"/>
  <c r="CG203" i="1"/>
  <c r="CG186" i="1"/>
  <c r="CG188" i="1"/>
  <c r="CK24" i="1"/>
  <c r="CJ220" i="1"/>
  <c r="CJ204" i="1"/>
  <c r="CJ187" i="1"/>
  <c r="CI26" i="1"/>
  <c r="CN219" i="1"/>
  <c r="CN186" i="1"/>
  <c r="CN203" i="1"/>
  <c r="CN188" i="1"/>
  <c r="CM220" i="1"/>
  <c r="CM204" i="1"/>
  <c r="CM187" i="1"/>
  <c r="CQ25" i="1"/>
  <c r="CP26" i="1"/>
  <c r="CS26" i="1"/>
  <c r="K220" i="1"/>
  <c r="K187" i="1"/>
  <c r="W220" i="1"/>
  <c r="W187" i="1"/>
  <c r="W61" i="1"/>
  <c r="W26" i="1"/>
  <c r="H33" i="1"/>
  <c r="P33" i="1"/>
  <c r="U32" i="1"/>
  <c r="T33" i="1"/>
  <c r="Y32" i="1"/>
  <c r="AB33" i="1"/>
  <c r="AF33" i="1"/>
  <c r="AN29" i="1"/>
  <c r="AR29" i="1"/>
  <c r="AT31" i="1"/>
  <c r="AT32" i="1" s="1"/>
  <c r="AX31" i="1"/>
  <c r="AX32" i="1" s="1"/>
  <c r="AZ33" i="1"/>
  <c r="BD33" i="1"/>
  <c r="BL29" i="1"/>
  <c r="BP29" i="1"/>
  <c r="BR31" i="1"/>
  <c r="BR32" i="1" s="1"/>
  <c r="BV31" i="1"/>
  <c r="BV32" i="1" s="1"/>
  <c r="BX33" i="1"/>
  <c r="CB33" i="1"/>
  <c r="CJ29" i="1"/>
  <c r="CN29" i="1"/>
  <c r="CP31" i="1"/>
  <c r="CP32" i="1" s="1"/>
  <c r="AQ222" i="1"/>
  <c r="AQ206" i="1"/>
  <c r="AQ189" i="1"/>
  <c r="AQ39" i="1"/>
  <c r="AU37" i="1"/>
  <c r="AW222" i="1"/>
  <c r="AW189" i="1"/>
  <c r="AW206" i="1"/>
  <c r="BA37" i="1"/>
  <c r="BF222" i="1"/>
  <c r="BF206" i="1"/>
  <c r="BF189" i="1"/>
  <c r="BF40" i="1"/>
  <c r="BF38" i="1"/>
  <c r="BL222" i="1"/>
  <c r="BL206" i="1"/>
  <c r="BL189" i="1"/>
  <c r="BL40" i="1"/>
  <c r="BL39" i="1"/>
  <c r="BL38" i="1"/>
  <c r="BR222" i="1"/>
  <c r="BR206" i="1"/>
  <c r="BR189" i="1"/>
  <c r="BR40" i="1"/>
  <c r="BR38" i="1"/>
  <c r="BR39" i="1"/>
  <c r="BX38" i="1"/>
  <c r="BX39" i="1"/>
  <c r="CC222" i="1"/>
  <c r="CC206" i="1"/>
  <c r="CC189" i="1"/>
  <c r="CC40" i="1"/>
  <c r="CC39" i="1"/>
  <c r="CC38" i="1"/>
  <c r="CI222" i="1"/>
  <c r="CI206" i="1"/>
  <c r="CI189" i="1"/>
  <c r="CI40" i="1"/>
  <c r="CI38" i="1"/>
  <c r="CI39" i="1"/>
  <c r="CO38" i="1"/>
  <c r="CO39" i="1"/>
  <c r="AR40" i="1"/>
  <c r="CB40" i="1"/>
  <c r="CN40" i="1"/>
  <c r="AC241" i="1"/>
  <c r="AC223" i="1"/>
  <c r="AC190" i="1"/>
  <c r="AC43" i="1"/>
  <c r="AL241" i="1"/>
  <c r="AL223" i="1"/>
  <c r="AL190" i="1"/>
  <c r="AL207" i="1"/>
  <c r="AL44" i="1"/>
  <c r="AL58" i="1"/>
  <c r="AL42" i="1"/>
  <c r="AQ241" i="1"/>
  <c r="AQ223" i="1"/>
  <c r="AQ207" i="1"/>
  <c r="AQ190" i="1"/>
  <c r="AQ42" i="1"/>
  <c r="AQ44" i="1"/>
  <c r="AQ58" i="1"/>
  <c r="AQ43" i="1"/>
  <c r="AU41" i="1"/>
  <c r="AU127" i="42" s="1"/>
  <c r="BD241" i="1"/>
  <c r="BD223" i="1"/>
  <c r="BD207" i="1"/>
  <c r="BD190" i="1"/>
  <c r="BD44" i="1"/>
  <c r="BD43" i="1"/>
  <c r="BD58" i="1"/>
  <c r="BD42" i="1"/>
  <c r="BL241" i="1"/>
  <c r="BL223" i="1"/>
  <c r="BL207" i="1"/>
  <c r="BL190" i="1"/>
  <c r="BL42" i="1"/>
  <c r="BL58" i="1"/>
  <c r="BL43" i="1"/>
  <c r="BJ43" i="1"/>
  <c r="BV241" i="1"/>
  <c r="BV223" i="1"/>
  <c r="BV207" i="1"/>
  <c r="BV190" i="1"/>
  <c r="BV44" i="1"/>
  <c r="BV42" i="1"/>
  <c r="BV58" i="1"/>
  <c r="BV43" i="1"/>
  <c r="BU42" i="1"/>
  <c r="CD225" i="1"/>
  <c r="CA43" i="1"/>
  <c r="CI42" i="1"/>
  <c r="CM241" i="1"/>
  <c r="CM223" i="1"/>
  <c r="CM207" i="1"/>
  <c r="CM190" i="1"/>
  <c r="CM42" i="1"/>
  <c r="CM44" i="1"/>
  <c r="CM58" i="1"/>
  <c r="CM43" i="1"/>
  <c r="CQ41" i="1"/>
  <c r="M42" i="1"/>
  <c r="U42" i="1"/>
  <c r="AT44" i="1"/>
  <c r="CP44" i="1"/>
  <c r="AN47" i="1"/>
  <c r="AT48" i="1"/>
  <c r="AZ224" i="1"/>
  <c r="AZ208" i="1"/>
  <c r="AZ191" i="1"/>
  <c r="AZ47" i="1"/>
  <c r="BF47" i="1"/>
  <c r="AZ46" i="1"/>
  <c r="AZ48" i="1"/>
  <c r="BR48" i="1"/>
  <c r="BW46" i="1"/>
  <c r="CJ46" i="1"/>
  <c r="CS44" i="1"/>
  <c r="AE225" i="1"/>
  <c r="AE209" i="1"/>
  <c r="AE192" i="1"/>
  <c r="AE59" i="1"/>
  <c r="AK48" i="1"/>
  <c r="AU236" i="1"/>
  <c r="AU216" i="1"/>
  <c r="AU182" i="1"/>
  <c r="Q217" i="1"/>
  <c r="Q183" i="1"/>
  <c r="BM183" i="1"/>
  <c r="J237" i="1"/>
  <c r="J222" i="1"/>
  <c r="J217" i="1"/>
  <c r="J224" i="1"/>
  <c r="J223" i="1"/>
  <c r="J216" i="1"/>
  <c r="J221" i="1"/>
  <c r="J220" i="1"/>
  <c r="J219" i="1"/>
  <c r="J201" i="1"/>
  <c r="J38" i="1"/>
  <c r="J46" i="1"/>
  <c r="J42" i="1"/>
  <c r="T284" i="1"/>
  <c r="T237" i="1"/>
  <c r="T222" i="1"/>
  <c r="T221" i="1"/>
  <c r="T220" i="1"/>
  <c r="T219" i="1"/>
  <c r="T224" i="1"/>
  <c r="T223" i="1"/>
  <c r="T217" i="1"/>
  <c r="T216" i="1"/>
  <c r="T201" i="1"/>
  <c r="T184" i="1"/>
  <c r="T46" i="1"/>
  <c r="T38" i="1"/>
  <c r="BA236" i="1"/>
  <c r="BA216" i="1"/>
  <c r="BA182" i="1"/>
  <c r="BA14" i="1"/>
  <c r="AU217" i="1"/>
  <c r="AU183" i="1"/>
  <c r="CQ217" i="1"/>
  <c r="CQ183" i="1"/>
  <c r="AO17" i="1"/>
  <c r="Y284" i="1"/>
  <c r="Y285" i="1" s="1"/>
  <c r="Y237" i="1"/>
  <c r="Y224" i="1"/>
  <c r="Y220" i="1"/>
  <c r="Y217" i="1"/>
  <c r="Y216" i="1"/>
  <c r="Y219" i="1"/>
  <c r="Y223" i="1"/>
  <c r="Y222" i="1"/>
  <c r="Y221" i="1"/>
  <c r="Y201" i="1"/>
  <c r="Y184" i="1"/>
  <c r="Y46" i="1"/>
  <c r="AO231" i="1"/>
  <c r="BM231" i="1"/>
  <c r="AI236" i="1"/>
  <c r="AI216" i="1"/>
  <c r="AI182" i="1"/>
  <c r="BG236" i="1"/>
  <c r="BG216" i="1"/>
  <c r="BG182" i="1"/>
  <c r="CK236" i="1"/>
  <c r="CK216" i="1"/>
  <c r="CK182" i="1"/>
  <c r="K14" i="1"/>
  <c r="AI14" i="1"/>
  <c r="BG14" i="1"/>
  <c r="BY14" i="1"/>
  <c r="AC183" i="1"/>
  <c r="BA217" i="1"/>
  <c r="BA183" i="1"/>
  <c r="BK15" i="1"/>
  <c r="BY183" i="1"/>
  <c r="W17" i="1"/>
  <c r="AU17" i="1"/>
  <c r="BS17" i="1"/>
  <c r="CQ17" i="1"/>
  <c r="BL18" i="1"/>
  <c r="H224" i="1"/>
  <c r="H220" i="1"/>
  <c r="H219" i="1"/>
  <c r="H223" i="1"/>
  <c r="H222" i="1"/>
  <c r="H221" i="1"/>
  <c r="H217" i="1"/>
  <c r="H216" i="1"/>
  <c r="H201" i="1"/>
  <c r="H46" i="1"/>
  <c r="N237" i="1"/>
  <c r="N221" i="1"/>
  <c r="N217" i="1"/>
  <c r="N220" i="1"/>
  <c r="N219" i="1"/>
  <c r="N216" i="1"/>
  <c r="N224" i="1"/>
  <c r="N223" i="1"/>
  <c r="N222" i="1"/>
  <c r="N201" i="1"/>
  <c r="N184" i="1"/>
  <c r="N42" i="1"/>
  <c r="N46" i="1"/>
  <c r="M20" i="1"/>
  <c r="V284" i="1"/>
  <c r="V237" i="1"/>
  <c r="V224" i="1"/>
  <c r="V220" i="1"/>
  <c r="V217" i="1"/>
  <c r="V216" i="1"/>
  <c r="V219" i="1"/>
  <c r="V223" i="1"/>
  <c r="V222" i="1"/>
  <c r="V221" i="1"/>
  <c r="V201" i="1"/>
  <c r="V184" i="1"/>
  <c r="V42" i="1"/>
  <c r="V46" i="1"/>
  <c r="U20" i="1"/>
  <c r="Z284" i="1"/>
  <c r="Z285" i="1" s="1"/>
  <c r="Z237" i="1"/>
  <c r="Z223" i="1"/>
  <c r="Z219" i="1"/>
  <c r="Z217" i="1"/>
  <c r="Z222" i="1"/>
  <c r="Z221" i="1"/>
  <c r="Z220" i="1"/>
  <c r="Z224" i="1"/>
  <c r="Z216" i="1"/>
  <c r="Z201" i="1"/>
  <c r="Z184" i="1"/>
  <c r="Z42" i="1"/>
  <c r="Z46" i="1"/>
  <c r="Y20" i="1"/>
  <c r="AH284" i="1"/>
  <c r="AH285" i="1" s="1"/>
  <c r="AH237" i="1"/>
  <c r="AH217" i="1"/>
  <c r="AH221" i="1"/>
  <c r="AH216" i="1"/>
  <c r="AH201" i="1"/>
  <c r="AH184" i="1"/>
  <c r="AH50" i="1"/>
  <c r="AG20" i="1"/>
  <c r="AL284" i="1"/>
  <c r="AL285" i="1" s="1"/>
  <c r="AL237" i="1"/>
  <c r="AL221" i="1"/>
  <c r="AL217" i="1"/>
  <c r="AL216" i="1"/>
  <c r="AL201" i="1"/>
  <c r="AL184" i="1"/>
  <c r="AL50" i="1"/>
  <c r="AK20" i="1"/>
  <c r="AT284" i="1"/>
  <c r="AT285" i="1" s="1"/>
  <c r="AT237" i="1"/>
  <c r="AT217" i="1"/>
  <c r="AT221" i="1"/>
  <c r="AT216" i="1"/>
  <c r="AT201" i="1"/>
  <c r="AT184" i="1"/>
  <c r="AT50" i="1"/>
  <c r="AS20" i="1"/>
  <c r="AX284" i="1"/>
  <c r="AX285" i="1" s="1"/>
  <c r="AX237" i="1"/>
  <c r="AX217" i="1"/>
  <c r="AX216" i="1"/>
  <c r="AX221" i="1"/>
  <c r="AX201" i="1"/>
  <c r="AX184" i="1"/>
  <c r="AW20" i="1"/>
  <c r="BF284" i="1"/>
  <c r="BF285" i="1" s="1"/>
  <c r="BF237" i="1"/>
  <c r="BF221" i="1"/>
  <c r="BF217" i="1"/>
  <c r="BF216" i="1"/>
  <c r="BF201" i="1"/>
  <c r="BF184" i="1"/>
  <c r="BF50" i="1"/>
  <c r="BE20" i="1"/>
  <c r="BJ284" i="1"/>
  <c r="BJ285" i="1" s="1"/>
  <c r="BJ237" i="1"/>
  <c r="BJ221" i="1"/>
  <c r="BJ217" i="1"/>
  <c r="BJ216" i="1"/>
  <c r="BJ201" i="1"/>
  <c r="BJ184" i="1"/>
  <c r="BI20" i="1"/>
  <c r="BR237" i="1"/>
  <c r="BR221" i="1"/>
  <c r="BR217" i="1"/>
  <c r="BR216" i="1"/>
  <c r="BR201" i="1"/>
  <c r="BR184" i="1"/>
  <c r="BQ20" i="1"/>
  <c r="BV237" i="1"/>
  <c r="BV221" i="1"/>
  <c r="BV217" i="1"/>
  <c r="BV216" i="1"/>
  <c r="BV201" i="1"/>
  <c r="BV184" i="1"/>
  <c r="BU20" i="1"/>
  <c r="CD237" i="1"/>
  <c r="CD221" i="1"/>
  <c r="CD217" i="1"/>
  <c r="CD216" i="1"/>
  <c r="CD201" i="1"/>
  <c r="CD184" i="1"/>
  <c r="CD50" i="1"/>
  <c r="CC20" i="1"/>
  <c r="CH237" i="1"/>
  <c r="CH221" i="1"/>
  <c r="CH217" i="1"/>
  <c r="CH216" i="1"/>
  <c r="CH201" i="1"/>
  <c r="CH184" i="1"/>
  <c r="CG20" i="1"/>
  <c r="CP237" i="1"/>
  <c r="CP221" i="1"/>
  <c r="CP217" i="1"/>
  <c r="CP216" i="1"/>
  <c r="CP201" i="1"/>
  <c r="CP184" i="1"/>
  <c r="CO20" i="1"/>
  <c r="CS20" i="1"/>
  <c r="M21" i="1"/>
  <c r="S21" i="1"/>
  <c r="Y21" i="1"/>
  <c r="AE21" i="1"/>
  <c r="AK21" i="1"/>
  <c r="AQ21" i="1"/>
  <c r="AW21" i="1"/>
  <c r="BC21" i="1"/>
  <c r="BI21" i="1"/>
  <c r="BO21" i="1"/>
  <c r="BU21" i="1"/>
  <c r="CA21" i="1"/>
  <c r="CG21" i="1"/>
  <c r="CM21" i="1"/>
  <c r="CS21" i="1"/>
  <c r="AE238" i="1"/>
  <c r="AE219" i="1"/>
  <c r="AE203" i="1"/>
  <c r="AE186" i="1"/>
  <c r="AE188" i="1"/>
  <c r="AI24" i="1"/>
  <c r="AH220" i="1"/>
  <c r="AH204" i="1"/>
  <c r="AH187" i="1"/>
  <c r="AG26" i="1"/>
  <c r="AL219" i="1"/>
  <c r="AL203" i="1"/>
  <c r="AL186" i="1"/>
  <c r="AL188" i="1"/>
  <c r="AK220" i="1"/>
  <c r="AK187" i="1"/>
  <c r="AK204" i="1"/>
  <c r="AO25" i="1"/>
  <c r="AN26" i="1"/>
  <c r="AS219" i="1"/>
  <c r="AS186" i="1"/>
  <c r="AS203" i="1"/>
  <c r="AS188" i="1"/>
  <c r="AR220" i="1"/>
  <c r="AR187" i="1"/>
  <c r="AR204" i="1"/>
  <c r="AQ26" i="1"/>
  <c r="AZ219" i="1"/>
  <c r="AZ203" i="1"/>
  <c r="AZ186" i="1"/>
  <c r="AZ188" i="1"/>
  <c r="AY220" i="1"/>
  <c r="AY204" i="1"/>
  <c r="AY187" i="1"/>
  <c r="AX26" i="1"/>
  <c r="BC219" i="1"/>
  <c r="BC186" i="1"/>
  <c r="BC203" i="1"/>
  <c r="BC188" i="1"/>
  <c r="BG24" i="1"/>
  <c r="BF220" i="1"/>
  <c r="BF204" i="1"/>
  <c r="BF187" i="1"/>
  <c r="BE26" i="1"/>
  <c r="BJ219" i="1"/>
  <c r="BJ203" i="1"/>
  <c r="BJ186" i="1"/>
  <c r="BJ188" i="1"/>
  <c r="BI220" i="1"/>
  <c r="BI187" i="1"/>
  <c r="BI204" i="1"/>
  <c r="BM25" i="1"/>
  <c r="BL26" i="1"/>
  <c r="BQ219" i="1"/>
  <c r="BQ186" i="1"/>
  <c r="BQ203" i="1"/>
  <c r="BQ188" i="1"/>
  <c r="BP220" i="1"/>
  <c r="BP187" i="1"/>
  <c r="BP204" i="1"/>
  <c r="BO26" i="1"/>
  <c r="BX219" i="1"/>
  <c r="BX203" i="1"/>
  <c r="BX186" i="1"/>
  <c r="BX188" i="1"/>
  <c r="BW220" i="1"/>
  <c r="BW204" i="1"/>
  <c r="BW187" i="1"/>
  <c r="BV26" i="1"/>
  <c r="CA219" i="1"/>
  <c r="CA186" i="1"/>
  <c r="CA188" i="1"/>
  <c r="CA203" i="1"/>
  <c r="CE24" i="1"/>
  <c r="CD220" i="1"/>
  <c r="CD204" i="1"/>
  <c r="CD187" i="1"/>
  <c r="CC26" i="1"/>
  <c r="CH219" i="1"/>
  <c r="CH203" i="1"/>
  <c r="CH186" i="1"/>
  <c r="CH188" i="1"/>
  <c r="CG220" i="1"/>
  <c r="CG187" i="1"/>
  <c r="CG204" i="1"/>
  <c r="CK25" i="1"/>
  <c r="CJ26" i="1"/>
  <c r="CO219" i="1"/>
  <c r="CO186" i="1"/>
  <c r="CO203" i="1"/>
  <c r="CO188" i="1"/>
  <c r="CN220" i="1"/>
  <c r="CN187" i="1"/>
  <c r="CN204" i="1"/>
  <c r="CM26" i="1"/>
  <c r="CU211" i="41" s="1"/>
  <c r="Q188" i="1"/>
  <c r="Q186" i="1"/>
  <c r="AC186" i="1"/>
  <c r="AC188" i="1"/>
  <c r="AC61" i="1"/>
  <c r="AC26" i="1"/>
  <c r="Q29" i="1"/>
  <c r="Q30" i="1" s="1"/>
  <c r="AG29" i="1"/>
  <c r="AE31" i="1"/>
  <c r="AK29" i="1"/>
  <c r="AM31" i="1"/>
  <c r="AM32" i="1" s="1"/>
  <c r="AS29" i="1"/>
  <c r="AQ31" i="1"/>
  <c r="AW29" i="1"/>
  <c r="AY31" i="1"/>
  <c r="AY32" i="1" s="1"/>
  <c r="BE29" i="1"/>
  <c r="BC31" i="1"/>
  <c r="BI29" i="1"/>
  <c r="BK31" i="1"/>
  <c r="BK32" i="1" s="1"/>
  <c r="BQ29" i="1"/>
  <c r="BO31" i="1"/>
  <c r="BU29" i="1"/>
  <c r="BW31" i="1"/>
  <c r="BW32" i="1" s="1"/>
  <c r="CC29" i="1"/>
  <c r="CE29" i="1" s="1"/>
  <c r="CE30" i="1" s="1"/>
  <c r="CA31" i="1"/>
  <c r="CG29" i="1"/>
  <c r="CI31" i="1"/>
  <c r="CI32" i="1" s="1"/>
  <c r="CO29" i="1"/>
  <c r="CM31" i="1"/>
  <c r="CS29" i="1"/>
  <c r="W222" i="1"/>
  <c r="W189" i="1"/>
  <c r="W38" i="1"/>
  <c r="W39" i="1"/>
  <c r="AI37" i="1"/>
  <c r="AO37" i="1"/>
  <c r="AR222" i="1"/>
  <c r="AR206" i="1"/>
  <c r="AR189" i="1"/>
  <c r="AS40" i="1"/>
  <c r="AR38" i="1"/>
  <c r="AQ38" i="1"/>
  <c r="AR39" i="1"/>
  <c r="AX222" i="1"/>
  <c r="AX206" i="1"/>
  <c r="AX189" i="1"/>
  <c r="AX39" i="1"/>
  <c r="AW38" i="1"/>
  <c r="AW39" i="1"/>
  <c r="BC38" i="1"/>
  <c r="BC39" i="1"/>
  <c r="BI222" i="1"/>
  <c r="BI206" i="1"/>
  <c r="BI189" i="1"/>
  <c r="BI38" i="1"/>
  <c r="BM37" i="1"/>
  <c r="BI39" i="1"/>
  <c r="BO222" i="1"/>
  <c r="BO206" i="1"/>
  <c r="BO189" i="1"/>
  <c r="BO39" i="1"/>
  <c r="BS37" i="1"/>
  <c r="BU222" i="1"/>
  <c r="BU189" i="1"/>
  <c r="BU206" i="1"/>
  <c r="BY37" i="1"/>
  <c r="CD222" i="1"/>
  <c r="CD206" i="1"/>
  <c r="CD189" i="1"/>
  <c r="CD40" i="1"/>
  <c r="CD38" i="1"/>
  <c r="CJ222" i="1"/>
  <c r="CJ206" i="1"/>
  <c r="CJ189" i="1"/>
  <c r="CJ40" i="1"/>
  <c r="CJ39" i="1"/>
  <c r="CJ38" i="1"/>
  <c r="CP222" i="1"/>
  <c r="CP206" i="1"/>
  <c r="CP189" i="1"/>
  <c r="CP40" i="1"/>
  <c r="CP38" i="1"/>
  <c r="CP39" i="1"/>
  <c r="H38" i="1"/>
  <c r="Y38" i="1"/>
  <c r="AH38" i="1"/>
  <c r="AH40" i="1"/>
  <c r="AW40" i="1"/>
  <c r="BI40" i="1"/>
  <c r="BU40" i="1"/>
  <c r="CG40" i="1"/>
  <c r="AM58" i="1"/>
  <c r="AR58" i="1"/>
  <c r="AS42" i="1"/>
  <c r="AW241" i="1"/>
  <c r="AW223" i="1"/>
  <c r="AW207" i="1"/>
  <c r="AW190" i="1"/>
  <c r="AW58" i="1"/>
  <c r="AW43" i="1"/>
  <c r="AW44" i="1"/>
  <c r="BA41" i="1"/>
  <c r="BE241" i="1"/>
  <c r="BE223" i="1"/>
  <c r="BE207" i="1"/>
  <c r="BE190" i="1"/>
  <c r="BE58" i="1"/>
  <c r="BE42" i="1"/>
  <c r="BE44" i="1"/>
  <c r="BE43" i="1"/>
  <c r="BI42" i="1"/>
  <c r="BJ42" i="1"/>
  <c r="BR241" i="1"/>
  <c r="BR223" i="1"/>
  <c r="BR207" i="1"/>
  <c r="BR190" i="1"/>
  <c r="BR43" i="1"/>
  <c r="BR58" i="1"/>
  <c r="BW58" i="1"/>
  <c r="BX42" i="1"/>
  <c r="CA42" i="1"/>
  <c r="CI241" i="1"/>
  <c r="CI223" i="1"/>
  <c r="CI207" i="1"/>
  <c r="CI190" i="1"/>
  <c r="CI43" i="1"/>
  <c r="CI58" i="1"/>
  <c r="CI44" i="1"/>
  <c r="CN58" i="1"/>
  <c r="CO42" i="1"/>
  <c r="D42" i="1"/>
  <c r="G42" i="1"/>
  <c r="P42" i="1"/>
  <c r="W43" i="1"/>
  <c r="AG42" i="1"/>
  <c r="BL44" i="1"/>
  <c r="CD44" i="1"/>
  <c r="AQ46" i="1"/>
  <c r="AR46" i="1"/>
  <c r="AY46" i="1"/>
  <c r="BL46" i="1"/>
  <c r="BO46" i="1"/>
  <c r="BP46" i="1"/>
  <c r="BV46" i="1"/>
  <c r="BR50" i="1"/>
  <c r="CB50" i="1"/>
  <c r="CP50" i="1"/>
  <c r="DE92" i="1"/>
  <c r="BM53" i="1"/>
  <c r="Q189" i="1"/>
  <c r="AH222" i="1"/>
  <c r="AH206" i="1"/>
  <c r="AH189" i="1"/>
  <c r="AN222" i="1"/>
  <c r="AN206" i="1"/>
  <c r="AN189" i="1"/>
  <c r="AN38" i="1"/>
  <c r="AN39" i="1"/>
  <c r="AS206" i="1"/>
  <c r="AS222" i="1"/>
  <c r="AS189" i="1"/>
  <c r="AZ222" i="1"/>
  <c r="AZ206" i="1"/>
  <c r="AZ189" i="1"/>
  <c r="BC222" i="1"/>
  <c r="BC206" i="1"/>
  <c r="BC189" i="1"/>
  <c r="BG37" i="1"/>
  <c r="BJ222" i="1"/>
  <c r="BJ206" i="1"/>
  <c r="BJ189" i="1"/>
  <c r="BQ222" i="1"/>
  <c r="BQ206" i="1"/>
  <c r="BQ189" i="1"/>
  <c r="BX222" i="1"/>
  <c r="BX206" i="1"/>
  <c r="BX189" i="1"/>
  <c r="CA222" i="1"/>
  <c r="CA206" i="1"/>
  <c r="CA189" i="1"/>
  <c r="CE37" i="1"/>
  <c r="CH222" i="1"/>
  <c r="CH206" i="1"/>
  <c r="CH189" i="1"/>
  <c r="CO222" i="1"/>
  <c r="CO206" i="1"/>
  <c r="CO189" i="1"/>
  <c r="AN40" i="1"/>
  <c r="AZ40" i="1"/>
  <c r="BX40" i="1"/>
  <c r="Q241" i="1"/>
  <c r="Q223" i="1"/>
  <c r="Q190" i="1"/>
  <c r="AH241" i="1"/>
  <c r="AH223" i="1"/>
  <c r="AH207" i="1"/>
  <c r="AH190" i="1"/>
  <c r="AN241" i="1"/>
  <c r="AN223" i="1"/>
  <c r="AN207" i="1"/>
  <c r="AN190" i="1"/>
  <c r="AN42" i="1"/>
  <c r="AN43" i="1"/>
  <c r="AS241" i="1"/>
  <c r="AS207" i="1"/>
  <c r="AS223" i="1"/>
  <c r="AS190" i="1"/>
  <c r="AR42" i="1"/>
  <c r="AZ241" i="1"/>
  <c r="AZ223" i="1"/>
  <c r="AZ207" i="1"/>
  <c r="AZ190" i="1"/>
  <c r="AY42" i="1"/>
  <c r="BC241" i="1"/>
  <c r="BC223" i="1"/>
  <c r="BC207" i="1"/>
  <c r="BC190" i="1"/>
  <c r="BG41" i="1"/>
  <c r="BF42" i="1"/>
  <c r="BJ241" i="1"/>
  <c r="BJ223" i="1"/>
  <c r="BJ207" i="1"/>
  <c r="BJ190" i="1"/>
  <c r="BQ241" i="1"/>
  <c r="BQ223" i="1"/>
  <c r="BQ207" i="1"/>
  <c r="BQ190" i="1"/>
  <c r="BP42" i="1"/>
  <c r="BX241" i="1"/>
  <c r="BX223" i="1"/>
  <c r="BX207" i="1"/>
  <c r="BX190" i="1"/>
  <c r="BW42" i="1"/>
  <c r="CA241" i="1"/>
  <c r="CA223" i="1"/>
  <c r="CA207" i="1"/>
  <c r="CA190" i="1"/>
  <c r="CE41" i="1"/>
  <c r="CE127" i="42" s="1"/>
  <c r="CD42" i="1"/>
  <c r="CH241" i="1"/>
  <c r="CH223" i="1"/>
  <c r="CH207" i="1"/>
  <c r="CH190" i="1"/>
  <c r="CO241" i="1"/>
  <c r="CO223" i="1"/>
  <c r="CO207" i="1"/>
  <c r="CO190" i="1"/>
  <c r="CN42" i="1"/>
  <c r="AF44" i="1"/>
  <c r="AM44" i="1"/>
  <c r="AS44" i="1"/>
  <c r="AY44" i="1"/>
  <c r="BQ44" i="1"/>
  <c r="BW44" i="1"/>
  <c r="CO44" i="1"/>
  <c r="K191" i="1"/>
  <c r="AG224" i="1"/>
  <c r="AG208" i="1"/>
  <c r="AG191" i="1"/>
  <c r="AM224" i="1"/>
  <c r="AM208" i="1"/>
  <c r="AM191" i="1"/>
  <c r="AM46" i="1"/>
  <c r="AM47" i="1"/>
  <c r="AR224" i="1"/>
  <c r="AR191" i="1"/>
  <c r="AR208" i="1"/>
  <c r="AT47" i="1"/>
  <c r="AY208" i="1"/>
  <c r="AY224" i="1"/>
  <c r="AY191" i="1"/>
  <c r="BF224" i="1"/>
  <c r="BF208" i="1"/>
  <c r="BF191" i="1"/>
  <c r="BE46" i="1"/>
  <c r="BI224" i="1"/>
  <c r="BI191" i="1"/>
  <c r="BI208" i="1"/>
  <c r="BM45" i="1"/>
  <c r="BK47" i="1"/>
  <c r="BP224" i="1"/>
  <c r="BP208" i="1"/>
  <c r="BP191" i="1"/>
  <c r="BR47" i="1"/>
  <c r="BW224" i="1"/>
  <c r="BW208" i="1"/>
  <c r="BW191" i="1"/>
  <c r="CD224" i="1"/>
  <c r="CD208" i="1"/>
  <c r="CD191" i="1"/>
  <c r="CC46" i="1"/>
  <c r="CG224" i="1"/>
  <c r="CG208" i="1"/>
  <c r="CG191" i="1"/>
  <c r="CK45" i="1"/>
  <c r="CI47" i="1"/>
  <c r="CN224" i="1"/>
  <c r="CN208" i="1"/>
  <c r="CN191" i="1"/>
  <c r="AF48" i="1"/>
  <c r="AM48" i="1"/>
  <c r="AY48" i="1"/>
  <c r="BK48" i="1"/>
  <c r="BW48" i="1"/>
  <c r="AE43" i="1"/>
  <c r="AI49" i="1"/>
  <c r="AS352" i="1"/>
  <c r="AR352" i="1"/>
  <c r="AT352" i="1"/>
  <c r="AQ352" i="1"/>
  <c r="BA49" i="1"/>
  <c r="BE50" i="1"/>
  <c r="BD51" i="1"/>
  <c r="BL50" i="1"/>
  <c r="BK51" i="1"/>
  <c r="BO50" i="1"/>
  <c r="BR51" i="1"/>
  <c r="BV50" i="1"/>
  <c r="BU51" i="1"/>
  <c r="CC50" i="1"/>
  <c r="CB51" i="1"/>
  <c r="CJ50" i="1"/>
  <c r="CI51" i="1"/>
  <c r="CM50" i="1"/>
  <c r="CP51" i="1"/>
  <c r="CS51" i="1"/>
  <c r="CZ51" i="1"/>
  <c r="DI49" i="1"/>
  <c r="N63" i="442" s="1"/>
  <c r="DG51" i="1"/>
  <c r="AN50" i="1"/>
  <c r="AQ51" i="1"/>
  <c r="AZ50" i="1"/>
  <c r="AY51" i="1"/>
  <c r="BE53" i="1"/>
  <c r="BG53" i="1" s="1"/>
  <c r="AM355" i="1"/>
  <c r="AL355" i="1"/>
  <c r="AN355" i="1"/>
  <c r="AK355" i="1"/>
  <c r="AW312" i="1"/>
  <c r="AW92" i="1"/>
  <c r="BK56" i="1"/>
  <c r="BK92" i="1" s="1"/>
  <c r="BU56" i="1"/>
  <c r="CI56" i="1"/>
  <c r="CI92" i="1" s="1"/>
  <c r="CS56" i="1"/>
  <c r="H225" i="1"/>
  <c r="N238" i="1"/>
  <c r="N225" i="1"/>
  <c r="N209" i="1"/>
  <c r="N192" i="1"/>
  <c r="V238" i="1"/>
  <c r="V225" i="1"/>
  <c r="V209" i="1"/>
  <c r="V192" i="1"/>
  <c r="Z238" i="1"/>
  <c r="Z225" i="1"/>
  <c r="Z209" i="1"/>
  <c r="Z192" i="1"/>
  <c r="AH58" i="1"/>
  <c r="BJ58" i="1"/>
  <c r="CH58" i="1"/>
  <c r="CP211" i="41" s="1"/>
  <c r="CH224" i="1"/>
  <c r="CH208" i="1"/>
  <c r="CH191" i="1"/>
  <c r="CO224" i="1"/>
  <c r="CO208" i="1"/>
  <c r="CO191" i="1"/>
  <c r="CS222" i="1"/>
  <c r="CS206" i="1"/>
  <c r="CS189" i="1"/>
  <c r="CS241" i="1"/>
  <c r="CS223" i="1"/>
  <c r="CS207" i="1"/>
  <c r="CS190" i="1"/>
  <c r="CS224" i="1"/>
  <c r="CS208" i="1"/>
  <c r="CS191" i="1"/>
  <c r="CS47" i="1"/>
  <c r="CP48" i="1"/>
  <c r="AK222" i="1"/>
  <c r="AK206" i="1"/>
  <c r="AK189" i="1"/>
  <c r="AK241" i="1"/>
  <c r="AK223" i="1"/>
  <c r="AK207" i="1"/>
  <c r="AK190" i="1"/>
  <c r="AK224" i="1"/>
  <c r="AK191" i="1"/>
  <c r="AK208" i="1"/>
  <c r="BG49" i="1"/>
  <c r="CE49" i="1"/>
  <c r="I63" i="442" s="1"/>
  <c r="DC49" i="1"/>
  <c r="M63" i="442" s="1"/>
  <c r="AK50" i="1"/>
  <c r="AN51" i="1"/>
  <c r="DF56" i="1"/>
  <c r="AN56" i="1"/>
  <c r="AN312" i="1" s="1"/>
  <c r="AX56" i="1"/>
  <c r="BC56" i="1"/>
  <c r="BQ56" i="1"/>
  <c r="BQ92" i="1" s="1"/>
  <c r="CA56" i="1"/>
  <c r="CO56" i="1"/>
  <c r="CO92" i="1" s="1"/>
  <c r="I225" i="1"/>
  <c r="O238" i="1"/>
  <c r="O225" i="1"/>
  <c r="O209" i="1"/>
  <c r="O192" i="1"/>
  <c r="S238" i="1"/>
  <c r="S225" i="1"/>
  <c r="S209" i="1"/>
  <c r="S192" i="1"/>
  <c r="W58" i="1"/>
  <c r="AA238" i="1"/>
  <c r="AA225" i="1"/>
  <c r="AA209" i="1"/>
  <c r="AA192" i="1"/>
  <c r="BC58" i="1"/>
  <c r="BK211" i="41" s="1"/>
  <c r="CA58" i="1"/>
  <c r="CI211" i="41" s="1"/>
  <c r="E238" i="1"/>
  <c r="E225" i="1"/>
  <c r="W224" i="1"/>
  <c r="W191" i="1"/>
  <c r="AT224" i="1"/>
  <c r="AT208" i="1"/>
  <c r="AT191" i="1"/>
  <c r="AW224" i="1"/>
  <c r="AW208" i="1"/>
  <c r="AW191" i="1"/>
  <c r="BA45" i="1"/>
  <c r="BD224" i="1"/>
  <c r="BD208" i="1"/>
  <c r="BD191" i="1"/>
  <c r="BK224" i="1"/>
  <c r="BK208" i="1"/>
  <c r="BK191" i="1"/>
  <c r="BR224" i="1"/>
  <c r="BR208" i="1"/>
  <c r="BR191" i="1"/>
  <c r="BU224" i="1"/>
  <c r="BU191" i="1"/>
  <c r="BU208" i="1"/>
  <c r="BY45" i="1"/>
  <c r="CB224" i="1"/>
  <c r="CB208" i="1"/>
  <c r="CB191" i="1"/>
  <c r="CI224" i="1"/>
  <c r="CI208" i="1"/>
  <c r="CI191" i="1"/>
  <c r="CH46" i="1"/>
  <c r="CP224" i="1"/>
  <c r="CP208" i="1"/>
  <c r="CP191" i="1"/>
  <c r="CO46" i="1"/>
  <c r="CN47" i="1"/>
  <c r="W47" i="1"/>
  <c r="CS38" i="1"/>
  <c r="CS42" i="1"/>
  <c r="CS46" i="1"/>
  <c r="AW48" i="1"/>
  <c r="BU48" i="1"/>
  <c r="CS48" i="1"/>
  <c r="AE222" i="1"/>
  <c r="AF206" i="1"/>
  <c r="AE206" i="1"/>
  <c r="AE189" i="1"/>
  <c r="AE241" i="1"/>
  <c r="AF241" i="1"/>
  <c r="AE223" i="1"/>
  <c r="AE190" i="1"/>
  <c r="AF207" i="1"/>
  <c r="AE207" i="1"/>
  <c r="AE224" i="1"/>
  <c r="AE208" i="1"/>
  <c r="AF208" i="1"/>
  <c r="AE191" i="1"/>
  <c r="AE144" i="1"/>
  <c r="AE150" i="1"/>
  <c r="AK38" i="1"/>
  <c r="AK42" i="1"/>
  <c r="AK46" i="1"/>
  <c r="BC50" i="1"/>
  <c r="BJ50" i="1"/>
  <c r="BI51" i="1"/>
  <c r="BQ50" i="1"/>
  <c r="BP51" i="1"/>
  <c r="BY49" i="1"/>
  <c r="H63" i="442" s="1"/>
  <c r="BX50" i="1"/>
  <c r="BW51" i="1"/>
  <c r="CA50" i="1"/>
  <c r="CD51" i="1"/>
  <c r="CH50" i="1"/>
  <c r="CG51" i="1"/>
  <c r="CO50" i="1"/>
  <c r="CN51" i="1"/>
  <c r="CW49" i="1"/>
  <c r="L63" i="442" s="1"/>
  <c r="DB51" i="1"/>
  <c r="DE51" i="1"/>
  <c r="AK51" i="1"/>
  <c r="AX50" i="1"/>
  <c r="BD355" i="1"/>
  <c r="BC355" i="1"/>
  <c r="BE355" i="1"/>
  <c r="CY56" i="1"/>
  <c r="DG56" i="1"/>
  <c r="AK56" i="1"/>
  <c r="AY56" i="1"/>
  <c r="AY151" i="42" s="1"/>
  <c r="BD56" i="1"/>
  <c r="BR56" i="1"/>
  <c r="BR92" i="1" s="1"/>
  <c r="CB56" i="1"/>
  <c r="CB92" i="1" s="1"/>
  <c r="CP56" i="1"/>
  <c r="CP92" i="1" s="1"/>
  <c r="J238" i="1"/>
  <c r="J225" i="1"/>
  <c r="P238" i="1"/>
  <c r="P225" i="1"/>
  <c r="P209" i="1"/>
  <c r="P192" i="1"/>
  <c r="O59" i="1"/>
  <c r="T238" i="1"/>
  <c r="T225" i="1"/>
  <c r="T209" i="1"/>
  <c r="T192" i="1"/>
  <c r="S59" i="1"/>
  <c r="AB238" i="1"/>
  <c r="AB225" i="1"/>
  <c r="AB209" i="1"/>
  <c r="AB192" i="1"/>
  <c r="AA59" i="1"/>
  <c r="AF225" i="1"/>
  <c r="AF209" i="1"/>
  <c r="AF192" i="1"/>
  <c r="AN58" i="1"/>
  <c r="AZ58" i="1"/>
  <c r="BX58" i="1"/>
  <c r="CF211" i="41" s="1"/>
  <c r="CC228" i="1"/>
  <c r="CC89" i="1"/>
  <c r="CC86" i="1"/>
  <c r="K241" i="1"/>
  <c r="K223" i="1"/>
  <c r="K190" i="1"/>
  <c r="AG241" i="1"/>
  <c r="AG223" i="1"/>
  <c r="AG207" i="1"/>
  <c r="AG190" i="1"/>
  <c r="AM241" i="1"/>
  <c r="AM207" i="1"/>
  <c r="AM223" i="1"/>
  <c r="AM190" i="1"/>
  <c r="AM42" i="1"/>
  <c r="AM43" i="1"/>
  <c r="AR241" i="1"/>
  <c r="AR223" i="1"/>
  <c r="AR207" i="1"/>
  <c r="AR190" i="1"/>
  <c r="AY241" i="1"/>
  <c r="AY207" i="1"/>
  <c r="AY223" i="1"/>
  <c r="AY190" i="1"/>
  <c r="BF241" i="1"/>
  <c r="BF223" i="1"/>
  <c r="BF207" i="1"/>
  <c r="BF190" i="1"/>
  <c r="BI241" i="1"/>
  <c r="BI223" i="1"/>
  <c r="BI207" i="1"/>
  <c r="BI190" i="1"/>
  <c r="BM41" i="1"/>
  <c r="BP241" i="1"/>
  <c r="BP223" i="1"/>
  <c r="BP207" i="1"/>
  <c r="BP190" i="1"/>
  <c r="BW241" i="1"/>
  <c r="BW223" i="1"/>
  <c r="BW207" i="1"/>
  <c r="BW190" i="1"/>
  <c r="CD241" i="1"/>
  <c r="CD223" i="1"/>
  <c r="CD207" i="1"/>
  <c r="CD190" i="1"/>
  <c r="CG241" i="1"/>
  <c r="CG223" i="1"/>
  <c r="CG207" i="1"/>
  <c r="CG190" i="1"/>
  <c r="CK41" i="1"/>
  <c r="CN241" i="1"/>
  <c r="CN223" i="1"/>
  <c r="CN207" i="1"/>
  <c r="CN190" i="1"/>
  <c r="Q43" i="1"/>
  <c r="AR44" i="1"/>
  <c r="BJ44" i="1"/>
  <c r="BP44" i="1"/>
  <c r="CH44" i="1"/>
  <c r="CN44" i="1"/>
  <c r="AC224" i="1"/>
  <c r="AC191" i="1"/>
  <c r="AL224" i="1"/>
  <c r="AL208" i="1"/>
  <c r="AL191" i="1"/>
  <c r="AL46" i="1"/>
  <c r="AL47" i="1"/>
  <c r="AQ224" i="1"/>
  <c r="AQ208" i="1"/>
  <c r="AQ191" i="1"/>
  <c r="AU45" i="1"/>
  <c r="AT46" i="1"/>
  <c r="AX208" i="1"/>
  <c r="AX224" i="1"/>
  <c r="AX191" i="1"/>
  <c r="AW46" i="1"/>
  <c r="BE208" i="1"/>
  <c r="BE224" i="1"/>
  <c r="BE191" i="1"/>
  <c r="BD46" i="1"/>
  <c r="BL224" i="1"/>
  <c r="BL208" i="1"/>
  <c r="BL191" i="1"/>
  <c r="BK46" i="1"/>
  <c r="BO224" i="1"/>
  <c r="BO191" i="1"/>
  <c r="BO208" i="1"/>
  <c r="BS45" i="1"/>
  <c r="BR46" i="1"/>
  <c r="BV224" i="1"/>
  <c r="BV208" i="1"/>
  <c r="BV191" i="1"/>
  <c r="BU46" i="1"/>
  <c r="CC224" i="1"/>
  <c r="CC208" i="1"/>
  <c r="CC191" i="1"/>
  <c r="CB46" i="1"/>
  <c r="CJ224" i="1"/>
  <c r="CJ208" i="1"/>
  <c r="CJ191" i="1"/>
  <c r="CI46" i="1"/>
  <c r="CH47" i="1"/>
  <c r="CM224" i="1"/>
  <c r="CM208" i="1"/>
  <c r="CM191" i="1"/>
  <c r="CQ45" i="1"/>
  <c r="CP46" i="1"/>
  <c r="CO47" i="1"/>
  <c r="AC46" i="1"/>
  <c r="CS39" i="1"/>
  <c r="CS43" i="1"/>
  <c r="AL48" i="1"/>
  <c r="AR48" i="1"/>
  <c r="AX48" i="1"/>
  <c r="BD48" i="1"/>
  <c r="BP48" i="1"/>
  <c r="BV48" i="1"/>
  <c r="CB48" i="1"/>
  <c r="CH48" i="1"/>
  <c r="CN48" i="1"/>
  <c r="AE38" i="1"/>
  <c r="AE42" i="1"/>
  <c r="AE46" i="1"/>
  <c r="AH150" i="1"/>
  <c r="AH144" i="1"/>
  <c r="AK39" i="1"/>
  <c r="AK43" i="1"/>
  <c r="AK47" i="1"/>
  <c r="AO49" i="1"/>
  <c r="AU51" i="1" s="1"/>
  <c r="BD50" i="1"/>
  <c r="BC51" i="1"/>
  <c r="BJ51" i="1"/>
  <c r="BS49" i="1"/>
  <c r="BX51" i="1"/>
  <c r="CH51" i="1"/>
  <c r="CQ49" i="1"/>
  <c r="K63" i="442" s="1"/>
  <c r="AE50" i="1"/>
  <c r="AT51" i="1"/>
  <c r="AY50" i="1"/>
  <c r="AX51" i="1"/>
  <c r="AS355" i="1"/>
  <c r="AR355" i="1"/>
  <c r="AW355" i="1"/>
  <c r="AT355" i="1"/>
  <c r="AQ355" i="1"/>
  <c r="AU56" i="1"/>
  <c r="AZ56" i="1"/>
  <c r="AZ151" i="42" s="1"/>
  <c r="BE56" i="1"/>
  <c r="G225" i="1"/>
  <c r="M238" i="1"/>
  <c r="M225" i="1"/>
  <c r="M209" i="1"/>
  <c r="M192" i="1"/>
  <c r="Q58" i="1"/>
  <c r="Q238" i="1" s="1"/>
  <c r="P59" i="1"/>
  <c r="U238" i="1"/>
  <c r="U225" i="1"/>
  <c r="U209" i="1"/>
  <c r="U192" i="1"/>
  <c r="T59" i="1"/>
  <c r="Y238" i="1"/>
  <c r="Y225" i="1"/>
  <c r="Y209" i="1"/>
  <c r="Y192" i="1"/>
  <c r="AC58" i="1"/>
  <c r="AC238" i="1" s="1"/>
  <c r="AB59" i="1"/>
  <c r="AG58" i="1"/>
  <c r="AF59" i="1"/>
  <c r="AK58" i="1"/>
  <c r="AS58" i="1"/>
  <c r="BI58" i="1"/>
  <c r="BQ58" i="1"/>
  <c r="CG58" i="1"/>
  <c r="CO211" i="41" s="1"/>
  <c r="CO58" i="1"/>
  <c r="CS58" i="1"/>
  <c r="K58" i="1"/>
  <c r="BE71" i="1"/>
  <c r="BE101" i="1" s="1"/>
  <c r="H72" i="1"/>
  <c r="H73" i="1"/>
  <c r="P72" i="1"/>
  <c r="AC71" i="1"/>
  <c r="BA71" i="1"/>
  <c r="AW384" i="1" s="1"/>
  <c r="BX73" i="1"/>
  <c r="BX71" i="1" s="1"/>
  <c r="BX101" i="1" s="1"/>
  <c r="BY101" i="1" s="1"/>
  <c r="CJ73" i="1"/>
  <c r="CJ71" i="1" s="1"/>
  <c r="CJ101" i="1" s="1"/>
  <c r="CK101" i="1" s="1"/>
  <c r="BG71" i="1"/>
  <c r="BM71" i="1"/>
  <c r="CS73" i="1"/>
  <c r="AC79" i="1"/>
  <c r="CC80" i="1"/>
  <c r="CC269" i="1" s="1"/>
  <c r="CC270" i="1" s="1"/>
  <c r="BM79" i="1"/>
  <c r="BW82" i="1"/>
  <c r="BW105" i="1" s="1"/>
  <c r="CZ82" i="1"/>
  <c r="DE82" i="1"/>
  <c r="DK82" i="1" s="1"/>
  <c r="AU118" i="1"/>
  <c r="W71" i="1"/>
  <c r="AU71" i="1"/>
  <c r="BS71" i="1"/>
  <c r="BS79" i="1"/>
  <c r="CE79" i="1"/>
  <c r="CQ79" i="1"/>
  <c r="BS82" i="1"/>
  <c r="AO118" i="1"/>
  <c r="W101" i="1"/>
  <c r="AC101" i="1"/>
  <c r="AI101" i="1"/>
  <c r="AO101" i="1"/>
  <c r="AU101" i="1"/>
  <c r="BA101" i="1"/>
  <c r="BG101" i="1"/>
  <c r="BM101" i="1"/>
  <c r="BS101" i="1"/>
  <c r="CE101" i="1"/>
  <c r="CQ101" i="1"/>
  <c r="P73" i="1"/>
  <c r="P276" i="1" s="1"/>
  <c r="AO71" i="1"/>
  <c r="CQ71" i="1"/>
  <c r="G75" i="1"/>
  <c r="O75" i="1"/>
  <c r="CE71" i="1"/>
  <c r="BU82" i="1"/>
  <c r="CW82" i="1"/>
  <c r="DB82" i="1"/>
  <c r="DG82" i="1"/>
  <c r="BS157" i="1"/>
  <c r="BY115" i="1"/>
  <c r="BS115" i="1"/>
  <c r="AI71" i="1"/>
  <c r="BV82" i="1"/>
  <c r="BV105" i="1" s="1"/>
  <c r="CW105" i="1"/>
  <c r="K118" i="1"/>
  <c r="W103" i="1"/>
  <c r="AG347" i="1"/>
  <c r="AF347" i="1"/>
  <c r="AB380" i="1"/>
  <c r="AH347" i="1"/>
  <c r="AE347" i="1"/>
  <c r="AO112" i="1"/>
  <c r="AU112" i="1"/>
  <c r="AK115" i="1"/>
  <c r="AO115" i="1"/>
  <c r="BI115" i="1"/>
  <c r="BM115" i="1"/>
  <c r="BR115" i="1"/>
  <c r="CK115" i="1"/>
  <c r="AZ124" i="1"/>
  <c r="Q103" i="1"/>
  <c r="AU115" i="1"/>
  <c r="BJ115" i="1"/>
  <c r="BX115" i="1"/>
  <c r="CQ115" i="1"/>
  <c r="K103" i="1"/>
  <c r="AM347" i="1"/>
  <c r="AL347" i="1"/>
  <c r="AN347" i="1"/>
  <c r="AK347" i="1"/>
  <c r="K112" i="1"/>
  <c r="BD347" i="1"/>
  <c r="BC347" i="1"/>
  <c r="BE347" i="1"/>
  <c r="BA115" i="1"/>
  <c r="AX124" i="1"/>
  <c r="AC103" i="1"/>
  <c r="AS347" i="1"/>
  <c r="AR347" i="1"/>
  <c r="AT347" i="1"/>
  <c r="AQ347" i="1"/>
  <c r="AI115" i="1"/>
  <c r="BG115" i="1"/>
  <c r="CE115" i="1"/>
  <c r="AY124" i="1"/>
  <c r="CU276" i="1"/>
  <c r="BY173" i="1"/>
  <c r="AM101" i="3" l="1"/>
  <c r="AO101" i="3" s="1"/>
  <c r="P141" i="41"/>
  <c r="U114" i="1"/>
  <c r="Q217" i="42"/>
  <c r="DS101" i="41"/>
  <c r="CV95" i="1"/>
  <c r="CV96" i="1" s="1"/>
  <c r="CV94" i="1"/>
  <c r="CV102" i="1"/>
  <c r="CV100" i="1"/>
  <c r="BK145" i="3"/>
  <c r="CE104" i="3"/>
  <c r="BQ172" i="42"/>
  <c r="BQ178" i="42" s="1"/>
  <c r="BQ179" i="42" s="1"/>
  <c r="DI45" i="42"/>
  <c r="DK45" i="42"/>
  <c r="DL45" i="42" s="1"/>
  <c r="DM45" i="42" s="1"/>
  <c r="DN45" i="42" s="1"/>
  <c r="DO45" i="42" s="1"/>
  <c r="DI20" i="42"/>
  <c r="DK20" i="42"/>
  <c r="DL20" i="42" s="1"/>
  <c r="DM20" i="42" s="1"/>
  <c r="DN20" i="42" s="1"/>
  <c r="DO20" i="42" s="1"/>
  <c r="DC82" i="1"/>
  <c r="CY258" i="1"/>
  <c r="DH67" i="42"/>
  <c r="DC67" i="42"/>
  <c r="U255" i="1"/>
  <c r="W113" i="3"/>
  <c r="W255" i="1" s="1"/>
  <c r="DK86" i="3"/>
  <c r="DL14" i="3"/>
  <c r="DO51" i="1"/>
  <c r="DG105" i="1"/>
  <c r="DM82" i="1"/>
  <c r="DM105" i="1" s="1"/>
  <c r="DK105" i="1"/>
  <c r="AC219" i="1"/>
  <c r="AC217" i="1"/>
  <c r="AO42" i="1"/>
  <c r="AY209" i="1"/>
  <c r="BA9" i="1"/>
  <c r="DO151" i="42"/>
  <c r="DO152" i="42" s="1"/>
  <c r="DK181" i="42"/>
  <c r="DO181" i="42" s="1"/>
  <c r="P63" i="442"/>
  <c r="Q63" i="442" s="1"/>
  <c r="R63" i="442" s="1"/>
  <c r="CE167" i="1"/>
  <c r="J25" i="442"/>
  <c r="J200" i="442" s="1"/>
  <c r="BG181" i="42"/>
  <c r="AW67" i="3"/>
  <c r="BY158" i="3"/>
  <c r="BF172" i="42"/>
  <c r="BF178" i="42" s="1"/>
  <c r="BF179" i="42" s="1"/>
  <c r="AB103" i="3"/>
  <c r="BY104" i="3"/>
  <c r="BU140" i="3"/>
  <c r="BQ175" i="41"/>
  <c r="BG175" i="41"/>
  <c r="CC243" i="1"/>
  <c r="CO61" i="1"/>
  <c r="CU62" i="1" s="1"/>
  <c r="CU59" i="1"/>
  <c r="Q222" i="1"/>
  <c r="BY217" i="1"/>
  <c r="BF129" i="3"/>
  <c r="BC67" i="3"/>
  <c r="CT145" i="42"/>
  <c r="CT169" i="42"/>
  <c r="CT181" i="42" s="1"/>
  <c r="BR176" i="41"/>
  <c r="CN61" i="1"/>
  <c r="CT62" i="1" s="1"/>
  <c r="CT59" i="1"/>
  <c r="BG129" i="3"/>
  <c r="CW211" i="41"/>
  <c r="DC212" i="41" s="1"/>
  <c r="BX175" i="41"/>
  <c r="V285" i="1"/>
  <c r="S70" i="3"/>
  <c r="BY256" i="1"/>
  <c r="BY139" i="3"/>
  <c r="BY160" i="3"/>
  <c r="BY161" i="3" s="1"/>
  <c r="BW264" i="1"/>
  <c r="BX264" i="1"/>
  <c r="BY243" i="1"/>
  <c r="BY144" i="3"/>
  <c r="BY145" i="3" s="1"/>
  <c r="BV264" i="1"/>
  <c r="BY262" i="1"/>
  <c r="BY103" i="3"/>
  <c r="BY156" i="3"/>
  <c r="CC172" i="42"/>
  <c r="CC178" i="42" s="1"/>
  <c r="CC179" i="42" s="1"/>
  <c r="BA182" i="42"/>
  <c r="BA165" i="42"/>
  <c r="BR175" i="41"/>
  <c r="AN176" i="41"/>
  <c r="AM175" i="41"/>
  <c r="BN175" i="41"/>
  <c r="C137" i="1"/>
  <c r="C138" i="1" s="1"/>
  <c r="C140" i="1" s="1"/>
  <c r="C77" i="1"/>
  <c r="C84" i="1" s="1"/>
  <c r="CK50" i="1"/>
  <c r="AB212" i="41"/>
  <c r="AS46" i="41"/>
  <c r="AS45" i="41"/>
  <c r="AS40" i="41"/>
  <c r="AS42" i="41" s="1"/>
  <c r="AV36" i="41"/>
  <c r="AU54" i="41"/>
  <c r="AU38" i="41"/>
  <c r="AU37" i="41"/>
  <c r="AU32" i="41"/>
  <c r="BS18" i="41"/>
  <c r="BS320" i="41"/>
  <c r="BS321" i="41" s="1"/>
  <c r="BW125" i="41"/>
  <c r="AT55" i="41"/>
  <c r="AT44" i="41"/>
  <c r="AT318" i="41"/>
  <c r="AT56" i="41"/>
  <c r="AT58" i="41"/>
  <c r="AS59" i="41"/>
  <c r="AS62" i="41"/>
  <c r="AS60" i="41"/>
  <c r="AT34" i="41"/>
  <c r="AT33" i="41"/>
  <c r="BT10" i="41"/>
  <c r="BU8" i="41"/>
  <c r="BT17" i="41"/>
  <c r="BW8" i="41"/>
  <c r="BT9" i="41"/>
  <c r="BT155" i="41"/>
  <c r="AB219" i="41"/>
  <c r="U215" i="41"/>
  <c r="AJ212" i="41"/>
  <c r="DC146" i="42"/>
  <c r="DA38" i="3"/>
  <c r="DA37" i="3"/>
  <c r="DA110" i="3" s="1"/>
  <c r="CK56" i="1"/>
  <c r="CK92" i="1" s="1"/>
  <c r="BM51" i="1"/>
  <c r="BQ176" i="41"/>
  <c r="V42" i="3"/>
  <c r="W42" i="3" s="1"/>
  <c r="CV174" i="42"/>
  <c r="BG169" i="42"/>
  <c r="U115" i="3"/>
  <c r="AU101" i="3"/>
  <c r="AU102" i="3" s="1"/>
  <c r="V111" i="3"/>
  <c r="V115" i="3" s="1"/>
  <c r="AC101" i="3"/>
  <c r="AC102" i="3" s="1"/>
  <c r="W99" i="3"/>
  <c r="BL176" i="41"/>
  <c r="BN176" i="41"/>
  <c r="CU119" i="3"/>
  <c r="DH94" i="3"/>
  <c r="DI94" i="3" s="1"/>
  <c r="AI212" i="41"/>
  <c r="AD212" i="41"/>
  <c r="AJ219" i="41"/>
  <c r="BH176" i="41"/>
  <c r="V219" i="41"/>
  <c r="BM56" i="1"/>
  <c r="BM92" i="1" s="1"/>
  <c r="AH219" i="41"/>
  <c r="BF40" i="41"/>
  <c r="BE40" i="41"/>
  <c r="AQ174" i="41"/>
  <c r="AQ175" i="41" s="1"/>
  <c r="AS175" i="41"/>
  <c r="BT175" i="41"/>
  <c r="BM176" i="41"/>
  <c r="O100" i="3"/>
  <c r="DG120" i="3"/>
  <c r="DG119" i="3"/>
  <c r="BR165" i="42"/>
  <c r="BS182" i="42"/>
  <c r="AF30" i="3"/>
  <c r="BL46" i="3"/>
  <c r="BK119" i="3"/>
  <c r="BK56" i="3"/>
  <c r="BK60" i="3" s="1"/>
  <c r="BI174" i="41"/>
  <c r="BA119" i="3"/>
  <c r="BA129" i="3" s="1"/>
  <c r="BX46" i="3"/>
  <c r="BY46" i="3" s="1"/>
  <c r="CZ111" i="3"/>
  <c r="DB22" i="42"/>
  <c r="Q182" i="42"/>
  <c r="AA66" i="3"/>
  <c r="AA67" i="3" s="1"/>
  <c r="AW145" i="3"/>
  <c r="BM175" i="41"/>
  <c r="BE175" i="41"/>
  <c r="W148" i="41"/>
  <c r="Q141" i="41"/>
  <c r="CJ46" i="3"/>
  <c r="CK46" i="3" s="1"/>
  <c r="BW119" i="3"/>
  <c r="CZ182" i="42"/>
  <c r="CZ52" i="42" s="1"/>
  <c r="CY165" i="42"/>
  <c r="DA111" i="3"/>
  <c r="V98" i="3"/>
  <c r="W98" i="3" s="1"/>
  <c r="BK175" i="41"/>
  <c r="BF133" i="42"/>
  <c r="BF57" i="42"/>
  <c r="CD46" i="3"/>
  <c r="CE46" i="3" s="1"/>
  <c r="DB46" i="3"/>
  <c r="DC46" i="3" s="1"/>
  <c r="Q165" i="42"/>
  <c r="BE176" i="41"/>
  <c r="AF101" i="3"/>
  <c r="BJ182" i="42"/>
  <c r="BI165" i="42"/>
  <c r="AH99" i="3"/>
  <c r="AG29" i="3"/>
  <c r="AG30" i="3" s="1"/>
  <c r="AG99" i="3"/>
  <c r="CT88" i="3"/>
  <c r="CO46" i="3"/>
  <c r="CT119" i="3"/>
  <c r="U101" i="3"/>
  <c r="U102" i="3" s="1"/>
  <c r="U30" i="3"/>
  <c r="DB11" i="42"/>
  <c r="DB120" i="3"/>
  <c r="DC120" i="3" s="1"/>
  <c r="CO212" i="41"/>
  <c r="AZ61" i="1"/>
  <c r="BA151" i="42"/>
  <c r="BA152" i="42" s="1"/>
  <c r="AY169" i="42"/>
  <c r="AY181" i="42" s="1"/>
  <c r="I48" i="442"/>
  <c r="I50" i="442" s="1"/>
  <c r="BY73" i="1"/>
  <c r="AK61" i="1"/>
  <c r="AK62" i="1" s="1"/>
  <c r="AS214" i="41"/>
  <c r="AS215" i="41" s="1"/>
  <c r="AR61" i="1"/>
  <c r="CU212" i="41"/>
  <c r="CJ61" i="1"/>
  <c r="CR211" i="41"/>
  <c r="AX61" i="1"/>
  <c r="BF211" i="41"/>
  <c r="AY211" i="41"/>
  <c r="AV211" i="41"/>
  <c r="CH93" i="42"/>
  <c r="CH92" i="42"/>
  <c r="CH89" i="42"/>
  <c r="CH94" i="42"/>
  <c r="CH88" i="42"/>
  <c r="CH90" i="42"/>
  <c r="CD93" i="42"/>
  <c r="CD92" i="42"/>
  <c r="CD89" i="42"/>
  <c r="CD90" i="42"/>
  <c r="CD88" i="42"/>
  <c r="CD94" i="42"/>
  <c r="AL94" i="42"/>
  <c r="AL93" i="42"/>
  <c r="AL90" i="42"/>
  <c r="AL92" i="42"/>
  <c r="AL89" i="42"/>
  <c r="AL88" i="42"/>
  <c r="Z93" i="42"/>
  <c r="Z92" i="42"/>
  <c r="Z90" i="42"/>
  <c r="Z89" i="42"/>
  <c r="Z88" i="42"/>
  <c r="Z94" i="42"/>
  <c r="Y90" i="42"/>
  <c r="Y89" i="42"/>
  <c r="Y88" i="42"/>
  <c r="Y94" i="42"/>
  <c r="Y92" i="42"/>
  <c r="Y93" i="42"/>
  <c r="CQ211" i="41"/>
  <c r="AU211" i="41"/>
  <c r="CO88" i="42"/>
  <c r="CO93" i="42"/>
  <c r="CO92" i="42"/>
  <c r="CO89" i="42"/>
  <c r="CO94" i="42"/>
  <c r="CO90" i="42"/>
  <c r="BU94" i="42"/>
  <c r="BU93" i="42"/>
  <c r="BU92" i="42"/>
  <c r="BU88" i="42"/>
  <c r="BU90" i="42"/>
  <c r="BU89" i="42"/>
  <c r="AW90" i="42"/>
  <c r="AW89" i="42"/>
  <c r="AW88" i="42"/>
  <c r="AW94" i="42"/>
  <c r="AW93" i="42"/>
  <c r="AW92" i="42"/>
  <c r="AO117" i="42"/>
  <c r="AG90" i="42"/>
  <c r="AG94" i="42"/>
  <c r="AG92" i="42"/>
  <c r="AG89" i="42"/>
  <c r="AG88" i="42"/>
  <c r="AG93" i="42"/>
  <c r="Y181" i="41"/>
  <c r="M94" i="42"/>
  <c r="M89" i="42"/>
  <c r="M93" i="42"/>
  <c r="M88" i="42"/>
  <c r="M92" i="42"/>
  <c r="M90" i="42"/>
  <c r="AC33" i="1"/>
  <c r="AC34" i="1" s="1"/>
  <c r="Q33" i="1"/>
  <c r="Q34" i="1" s="1"/>
  <c r="CE211" i="41"/>
  <c r="AY61" i="1"/>
  <c r="BG211" i="41"/>
  <c r="CY181" i="41"/>
  <c r="CQ155" i="3"/>
  <c r="CQ117" i="42"/>
  <c r="CA93" i="42"/>
  <c r="CA92" i="42"/>
  <c r="CA90" i="42"/>
  <c r="CA89" i="42"/>
  <c r="CA94" i="42"/>
  <c r="CA88" i="42"/>
  <c r="BW94" i="42"/>
  <c r="BW93" i="42"/>
  <c r="BW92" i="42"/>
  <c r="BW88" i="42"/>
  <c r="BW90" i="42"/>
  <c r="BW89" i="42"/>
  <c r="BK42" i="1"/>
  <c r="BK68" i="42"/>
  <c r="BK66" i="42"/>
  <c r="BS181" i="41"/>
  <c r="BS146" i="41"/>
  <c r="BY147" i="41" s="1"/>
  <c r="BS139" i="41"/>
  <c r="BX143" i="41" s="1"/>
  <c r="BK67" i="42"/>
  <c r="BK117" i="42"/>
  <c r="BS174" i="41"/>
  <c r="BY175" i="41" s="1"/>
  <c r="BA20" i="1"/>
  <c r="AU117" i="42"/>
  <c r="AM94" i="42"/>
  <c r="AM93" i="42"/>
  <c r="AM92" i="42"/>
  <c r="AM90" i="42"/>
  <c r="AM88" i="42"/>
  <c r="AM89" i="42"/>
  <c r="AE89" i="42"/>
  <c r="AE88" i="42"/>
  <c r="AE92" i="42"/>
  <c r="AE90" i="42"/>
  <c r="AE93" i="42"/>
  <c r="AE94" i="42"/>
  <c r="AA93" i="42"/>
  <c r="AA92" i="42"/>
  <c r="AA94" i="42"/>
  <c r="AA88" i="42"/>
  <c r="AA89" i="42"/>
  <c r="AA90" i="42"/>
  <c r="S90" i="42"/>
  <c r="S89" i="42"/>
  <c r="S88" i="42"/>
  <c r="S94" i="42"/>
  <c r="S93" i="42"/>
  <c r="S92" i="42"/>
  <c r="P94" i="42"/>
  <c r="P93" i="42"/>
  <c r="P92" i="42"/>
  <c r="P89" i="42"/>
  <c r="P88" i="42"/>
  <c r="P90" i="42"/>
  <c r="BY127" i="42"/>
  <c r="BM127" i="42"/>
  <c r="BK123" i="42"/>
  <c r="CP176" i="41"/>
  <c r="CP175" i="41"/>
  <c r="CK147" i="41"/>
  <c r="CK148" i="41"/>
  <c r="BW148" i="41"/>
  <c r="BW147" i="41"/>
  <c r="CA146" i="41"/>
  <c r="BW140" i="41"/>
  <c r="BW254" i="41" s="1"/>
  <c r="BW134" i="41"/>
  <c r="BW120" i="41"/>
  <c r="BW119" i="41" s="1"/>
  <c r="BW122" i="41" s="1"/>
  <c r="BW179" i="41"/>
  <c r="BW141" i="41"/>
  <c r="BW248" i="41"/>
  <c r="BW177" i="41"/>
  <c r="BW180" i="41"/>
  <c r="BY143" i="41"/>
  <c r="BZ143" i="41"/>
  <c r="BA252" i="41"/>
  <c r="BA179" i="41"/>
  <c r="BA120" i="41"/>
  <c r="BA119" i="41" s="1"/>
  <c r="BA122" i="41" s="1"/>
  <c r="BA248" i="41"/>
  <c r="BA249" i="41" s="1"/>
  <c r="BA251" i="41" s="1"/>
  <c r="BA140" i="41"/>
  <c r="AS72" i="42"/>
  <c r="BA177" i="41"/>
  <c r="BA180" i="41"/>
  <c r="AV176" i="41"/>
  <c r="AV175" i="41"/>
  <c r="AV120" i="41"/>
  <c r="AV119" i="41" s="1"/>
  <c r="AV122" i="41" s="1"/>
  <c r="AV177" i="41"/>
  <c r="AV140" i="41"/>
  <c r="AV180" i="41"/>
  <c r="AV141" i="41"/>
  <c r="AV252" i="41"/>
  <c r="AV248" i="41"/>
  <c r="AV249" i="41" s="1"/>
  <c r="AV251" i="41" s="1"/>
  <c r="AV179" i="41"/>
  <c r="AN72" i="42"/>
  <c r="AH147" i="41"/>
  <c r="AH148" i="41"/>
  <c r="AH212" i="41"/>
  <c r="CO176" i="41"/>
  <c r="CS174" i="41"/>
  <c r="CO175" i="41"/>
  <c r="CP140" i="41"/>
  <c r="CJ134" i="41"/>
  <c r="CJ179" i="41"/>
  <c r="CJ141" i="41"/>
  <c r="CJ120" i="41"/>
  <c r="CJ119" i="41" s="1"/>
  <c r="CJ122" i="41" s="1"/>
  <c r="CJ248" i="41"/>
  <c r="CJ180" i="41"/>
  <c r="CJ177" i="41"/>
  <c r="CJ140" i="41"/>
  <c r="AZ176" i="41"/>
  <c r="AZ175" i="41"/>
  <c r="AG219" i="41"/>
  <c r="BW175" i="41"/>
  <c r="AD215" i="41"/>
  <c r="DA148" i="41"/>
  <c r="DA147" i="41"/>
  <c r="CV134" i="41"/>
  <c r="CV179" i="41"/>
  <c r="CV140" i="41"/>
  <c r="CV120" i="41"/>
  <c r="CV119" i="41" s="1"/>
  <c r="CV122" i="41" s="1"/>
  <c r="CV180" i="41"/>
  <c r="CN72" i="42"/>
  <c r="CV248" i="41"/>
  <c r="CV141" i="41"/>
  <c r="CV177" i="41"/>
  <c r="CL175" i="41"/>
  <c r="CL176" i="41"/>
  <c r="CC148" i="41"/>
  <c r="CC147" i="41"/>
  <c r="CG146" i="41"/>
  <c r="CG147" i="41" s="1"/>
  <c r="BX147" i="41"/>
  <c r="BX148" i="41"/>
  <c r="BG148" i="41"/>
  <c r="BG147" i="41"/>
  <c r="AN180" i="41"/>
  <c r="AN141" i="41"/>
  <c r="AN120" i="41"/>
  <c r="AN119" i="41" s="1"/>
  <c r="AN122" i="41" s="1"/>
  <c r="AF72" i="42"/>
  <c r="AN177" i="41"/>
  <c r="AN179" i="41"/>
  <c r="AN140" i="41"/>
  <c r="AI148" i="41"/>
  <c r="AI147" i="41"/>
  <c r="CW176" i="41"/>
  <c r="CW175" i="41"/>
  <c r="BM147" i="41"/>
  <c r="BM148" i="41"/>
  <c r="AJ148" i="41"/>
  <c r="AJ147" i="41"/>
  <c r="K87" i="442"/>
  <c r="K12" i="442"/>
  <c r="X148" i="41"/>
  <c r="X147" i="41"/>
  <c r="V215" i="41"/>
  <c r="BY176" i="41"/>
  <c r="BR140" i="41"/>
  <c r="BJ72" i="42"/>
  <c r="BR180" i="41"/>
  <c r="BR120" i="41"/>
  <c r="BR119" i="41" s="1"/>
  <c r="BR122" i="41" s="1"/>
  <c r="BR179" i="41"/>
  <c r="BR177" i="41"/>
  <c r="BR141" i="41"/>
  <c r="BR248" i="41"/>
  <c r="AD148" i="41"/>
  <c r="AD147" i="41"/>
  <c r="V111" i="41"/>
  <c r="V120" i="41"/>
  <c r="V119" i="41" s="1"/>
  <c r="V122" i="41" s="1"/>
  <c r="V179" i="41"/>
  <c r="V180" i="41"/>
  <c r="V140" i="41"/>
  <c r="V141" i="41"/>
  <c r="V148" i="41"/>
  <c r="V147" i="41"/>
  <c r="CI148" i="41"/>
  <c r="CI147" i="41"/>
  <c r="CM146" i="41"/>
  <c r="AY148" i="41"/>
  <c r="AY147" i="41"/>
  <c r="BC146" i="41"/>
  <c r="AQ72" i="42"/>
  <c r="AY120" i="41"/>
  <c r="AY119" i="41" s="1"/>
  <c r="AY122" i="41" s="1"/>
  <c r="AY248" i="41"/>
  <c r="AY249" i="41" s="1"/>
  <c r="AY251" i="41" s="1"/>
  <c r="AY141" i="41"/>
  <c r="AY180" i="41"/>
  <c r="AY252" i="41"/>
  <c r="AY179" i="41"/>
  <c r="AY177" i="41"/>
  <c r="BC139" i="41"/>
  <c r="BA142" i="41" s="1"/>
  <c r="AY140" i="41"/>
  <c r="AY142" i="41"/>
  <c r="AA219" i="41"/>
  <c r="AA215" i="41"/>
  <c r="AT176" i="41"/>
  <c r="AT175" i="41"/>
  <c r="AT148" i="41"/>
  <c r="AT147" i="41"/>
  <c r="AC147" i="41"/>
  <c r="AC148" i="41"/>
  <c r="U219" i="41"/>
  <c r="AE211" i="41"/>
  <c r="AA212" i="41"/>
  <c r="BQ61" i="1"/>
  <c r="CC61" i="1"/>
  <c r="CK211" i="41"/>
  <c r="AO211" i="41"/>
  <c r="AO212" i="41" s="1"/>
  <c r="CP93" i="42"/>
  <c r="CP92" i="42"/>
  <c r="CP88" i="42"/>
  <c r="CP90" i="42"/>
  <c r="CP89" i="42"/>
  <c r="DB89" i="42" s="1"/>
  <c r="DH89" i="42" s="1"/>
  <c r="DN89" i="42" s="1"/>
  <c r="CP94" i="42"/>
  <c r="BJ90" i="42"/>
  <c r="BJ89" i="42"/>
  <c r="BJ88" i="42"/>
  <c r="BJ94" i="42"/>
  <c r="BJ93" i="42"/>
  <c r="BJ92" i="42"/>
  <c r="AH94" i="42"/>
  <c r="AH92" i="42"/>
  <c r="AH88" i="42"/>
  <c r="AH93" i="42"/>
  <c r="AH90" i="42"/>
  <c r="AH89" i="42"/>
  <c r="J93" i="42"/>
  <c r="J89" i="42"/>
  <c r="J92" i="42"/>
  <c r="J88" i="42"/>
  <c r="J94" i="42"/>
  <c r="J90" i="42"/>
  <c r="CM238" i="1"/>
  <c r="CM240" i="1" s="1"/>
  <c r="CB61" i="1"/>
  <c r="CJ211" i="41"/>
  <c r="CC211" i="41"/>
  <c r="BZ211" i="41"/>
  <c r="AF61" i="1"/>
  <c r="AF62" i="1" s="1"/>
  <c r="AN211" i="41"/>
  <c r="AN212" i="41" s="1"/>
  <c r="CS92" i="42"/>
  <c r="CS93" i="42"/>
  <c r="CS88" i="42"/>
  <c r="CY88" i="42" s="1"/>
  <c r="DE88" i="42" s="1"/>
  <c r="DK88" i="42" s="1"/>
  <c r="CS90" i="42"/>
  <c r="CY90" i="42" s="1"/>
  <c r="DE90" i="42" s="1"/>
  <c r="DK90" i="42" s="1"/>
  <c r="CS89" i="42"/>
  <c r="CS94" i="42"/>
  <c r="AS94" i="42"/>
  <c r="AS93" i="42"/>
  <c r="AS92" i="42"/>
  <c r="AS88" i="42"/>
  <c r="AS90" i="42"/>
  <c r="AS89" i="42"/>
  <c r="Q46" i="1"/>
  <c r="CJ93" i="42"/>
  <c r="CJ92" i="42"/>
  <c r="CJ88" i="42"/>
  <c r="CJ94" i="42"/>
  <c r="CJ90" i="42"/>
  <c r="CJ89" i="42"/>
  <c r="BX93" i="42"/>
  <c r="BX92" i="42"/>
  <c r="BX94" i="42"/>
  <c r="BX88" i="42"/>
  <c r="BX90" i="42"/>
  <c r="BX89" i="42"/>
  <c r="AN94" i="42"/>
  <c r="AN93" i="42"/>
  <c r="AN92" i="42"/>
  <c r="AN90" i="42"/>
  <c r="AN88" i="42"/>
  <c r="AN89" i="42"/>
  <c r="CI92" i="42"/>
  <c r="CI93" i="42"/>
  <c r="CI94" i="42"/>
  <c r="CI89" i="42"/>
  <c r="CI90" i="42"/>
  <c r="CI88" i="42"/>
  <c r="CA181" i="41"/>
  <c r="BS117" i="42"/>
  <c r="BS182" i="1"/>
  <c r="BL85" i="42"/>
  <c r="BK85" i="42"/>
  <c r="CQ216" i="1"/>
  <c r="CK124" i="42"/>
  <c r="CK127" i="42"/>
  <c r="BG127" i="42"/>
  <c r="CC146" i="3"/>
  <c r="BK165" i="3"/>
  <c r="AU214" i="41"/>
  <c r="X215" i="41"/>
  <c r="AC212" i="41"/>
  <c r="BY211" i="41"/>
  <c r="CU148" i="41"/>
  <c r="CU147" i="41"/>
  <c r="CY146" i="41"/>
  <c r="CU140" i="41"/>
  <c r="CU134" i="41"/>
  <c r="CU177" i="41"/>
  <c r="CV143" i="41"/>
  <c r="CU120" i="41"/>
  <c r="CU119" i="41" s="1"/>
  <c r="CU122" i="41" s="1"/>
  <c r="CU179" i="41"/>
  <c r="CU143" i="41"/>
  <c r="CU248" i="41"/>
  <c r="CX143" i="41"/>
  <c r="CU180" i="41"/>
  <c r="CW143" i="41"/>
  <c r="CU141" i="41"/>
  <c r="CF134" i="41"/>
  <c r="CF135" i="41" s="1"/>
  <c r="CF120" i="41"/>
  <c r="CF119" i="41" s="1"/>
  <c r="CF122" i="41" s="1"/>
  <c r="CF248" i="41"/>
  <c r="CF141" i="41"/>
  <c r="CF179" i="41"/>
  <c r="CF140" i="41"/>
  <c r="CF177" i="41"/>
  <c r="CF180" i="41"/>
  <c r="BK148" i="41"/>
  <c r="BK147" i="41"/>
  <c r="BO146" i="41"/>
  <c r="BF140" i="41"/>
  <c r="BF252" i="41"/>
  <c r="BF179" i="41"/>
  <c r="BF120" i="41"/>
  <c r="BF119" i="41" s="1"/>
  <c r="BF122" i="41" s="1"/>
  <c r="BF141" i="41"/>
  <c r="BF248" i="41"/>
  <c r="BF177" i="41"/>
  <c r="BF180" i="41"/>
  <c r="AX72" i="42"/>
  <c r="BA147" i="41"/>
  <c r="BA148" i="41"/>
  <c r="AM219" i="41"/>
  <c r="AM148" i="41"/>
  <c r="AM147" i="41"/>
  <c r="AQ146" i="41"/>
  <c r="BQ211" i="41"/>
  <c r="CX148" i="41"/>
  <c r="CX147" i="41"/>
  <c r="CJ176" i="41"/>
  <c r="CJ175" i="41"/>
  <c r="CJ147" i="41"/>
  <c r="CJ148" i="41"/>
  <c r="BZ175" i="41"/>
  <c r="BZ176" i="41"/>
  <c r="BZ140" i="41"/>
  <c r="BZ134" i="41"/>
  <c r="BZ135" i="41" s="1"/>
  <c r="BZ177" i="41"/>
  <c r="BZ179" i="41"/>
  <c r="BZ141" i="41"/>
  <c r="BZ248" i="41"/>
  <c r="BZ120" i="41"/>
  <c r="BZ119" i="41" s="1"/>
  <c r="BZ122" i="41" s="1"/>
  <c r="BZ180" i="41"/>
  <c r="BL72" i="42"/>
  <c r="BT248" i="41"/>
  <c r="BT179" i="41"/>
  <c r="BT140" i="41"/>
  <c r="BT120" i="41"/>
  <c r="BT119" i="41" s="1"/>
  <c r="BT122" i="41" s="1"/>
  <c r="BT177" i="41"/>
  <c r="BT180" i="41"/>
  <c r="AW72" i="42"/>
  <c r="BE248" i="41"/>
  <c r="BE249" i="41" s="1"/>
  <c r="BE251" i="41" s="1"/>
  <c r="BE179" i="41"/>
  <c r="BE120" i="41"/>
  <c r="BE119" i="41" s="1"/>
  <c r="BE122" i="41" s="1"/>
  <c r="BE180" i="41"/>
  <c r="BE252" i="41"/>
  <c r="BE177" i="41"/>
  <c r="BE141" i="41"/>
  <c r="BE140" i="41"/>
  <c r="BA141" i="41"/>
  <c r="AR72" i="42"/>
  <c r="AZ120" i="41"/>
  <c r="AZ119" i="41" s="1"/>
  <c r="AZ122" i="41" s="1"/>
  <c r="AZ248" i="41"/>
  <c r="AZ141" i="41"/>
  <c r="AZ252" i="41"/>
  <c r="AZ140" i="41"/>
  <c r="AZ177" i="41"/>
  <c r="AZ179" i="41"/>
  <c r="AZ142" i="41"/>
  <c r="AM72" i="42"/>
  <c r="AU180" i="41"/>
  <c r="AU141" i="41"/>
  <c r="AU120" i="41"/>
  <c r="AU119" i="41" s="1"/>
  <c r="AU122" i="41" s="1"/>
  <c r="AU177" i="41"/>
  <c r="AU252" i="41"/>
  <c r="AU140" i="41"/>
  <c r="AU248" i="41"/>
  <c r="AU249" i="41" s="1"/>
  <c r="AU251" i="41" s="1"/>
  <c r="AU179" i="41"/>
  <c r="AP176" i="41"/>
  <c r="AP175" i="41"/>
  <c r="AP120" i="41"/>
  <c r="AP119" i="41" s="1"/>
  <c r="AP122" i="41" s="1"/>
  <c r="AP140" i="41"/>
  <c r="AP141" i="41"/>
  <c r="AH72" i="42"/>
  <c r="AP177" i="41"/>
  <c r="AP179" i="41"/>
  <c r="Y72" i="42"/>
  <c r="AG141" i="41"/>
  <c r="AG120" i="41"/>
  <c r="AG119" i="41" s="1"/>
  <c r="AG122" i="41" s="1"/>
  <c r="AG140" i="41"/>
  <c r="AK139" i="41"/>
  <c r="AG179" i="41"/>
  <c r="AG180" i="41"/>
  <c r="AG148" i="41"/>
  <c r="AK146" i="41"/>
  <c r="AG147" i="41"/>
  <c r="AB179" i="41"/>
  <c r="AB141" i="41"/>
  <c r="AB140" i="41"/>
  <c r="AB120" i="41"/>
  <c r="AB119" i="41" s="1"/>
  <c r="AB122" i="41" s="1"/>
  <c r="AB180" i="41"/>
  <c r="AU124" i="42"/>
  <c r="BH211" i="41"/>
  <c r="DA134" i="41"/>
  <c r="DA136" i="41" s="1"/>
  <c r="DA248" i="41"/>
  <c r="DA141" i="41"/>
  <c r="DA177" i="41"/>
  <c r="DA140" i="41"/>
  <c r="DA143" i="41"/>
  <c r="DA179" i="41"/>
  <c r="CV175" i="41"/>
  <c r="CV176" i="41"/>
  <c r="CQ140" i="41"/>
  <c r="CQ134" i="41"/>
  <c r="CQ120" i="41"/>
  <c r="CQ119" i="41" s="1"/>
  <c r="CQ122" i="41" s="1"/>
  <c r="CQ180" i="41"/>
  <c r="CQ248" i="41"/>
  <c r="CQ141" i="41"/>
  <c r="CQ177" i="41"/>
  <c r="CQ179" i="41"/>
  <c r="CE66" i="42"/>
  <c r="CC134" i="41"/>
  <c r="CC248" i="41"/>
  <c r="CC120" i="41"/>
  <c r="CC119" i="41" s="1"/>
  <c r="CC122" i="41" s="1"/>
  <c r="CC143" i="41"/>
  <c r="CF143" i="41"/>
  <c r="CC177" i="41"/>
  <c r="CC140" i="41"/>
  <c r="CC180" i="41"/>
  <c r="CD143" i="41"/>
  <c r="CC141" i="41"/>
  <c r="CC179" i="41"/>
  <c r="CE143" i="41"/>
  <c r="BQ143" i="41"/>
  <c r="BQ137" i="41"/>
  <c r="BQ180" i="41"/>
  <c r="BQ141" i="41"/>
  <c r="BQ179" i="41"/>
  <c r="BR143" i="41"/>
  <c r="BQ120" i="41"/>
  <c r="BQ119" i="41" s="1"/>
  <c r="BQ122" i="41" s="1"/>
  <c r="BQ140" i="41"/>
  <c r="BQ248" i="41"/>
  <c r="BQ177" i="41"/>
  <c r="BI72" i="42"/>
  <c r="BL140" i="41"/>
  <c r="BL254" i="41" s="1"/>
  <c r="BL177" i="41"/>
  <c r="BL179" i="41"/>
  <c r="BL120" i="41"/>
  <c r="BL119" i="41" s="1"/>
  <c r="BL122" i="41" s="1"/>
  <c r="BL248" i="41"/>
  <c r="BL180" i="41"/>
  <c r="BL141" i="41"/>
  <c r="BD72" i="42"/>
  <c r="BG248" i="41"/>
  <c r="BG249" i="41" s="1"/>
  <c r="BG251" i="41" s="1"/>
  <c r="BG140" i="41"/>
  <c r="BG177" i="41"/>
  <c r="BG252" i="41"/>
  <c r="BG120" i="41"/>
  <c r="BG119" i="41" s="1"/>
  <c r="BG122" i="41" s="1"/>
  <c r="BG179" i="41"/>
  <c r="BG141" i="41"/>
  <c r="AY72" i="42"/>
  <c r="BB141" i="41"/>
  <c r="BB142" i="41"/>
  <c r="BB248" i="41"/>
  <c r="BB249" i="41" s="1"/>
  <c r="BB251" i="41" s="1"/>
  <c r="BB177" i="41"/>
  <c r="BB140" i="41"/>
  <c r="BB252" i="41"/>
  <c r="BB180" i="41"/>
  <c r="BB120" i="41"/>
  <c r="BB119" i="41" s="1"/>
  <c r="BB122" i="41" s="1"/>
  <c r="BB179" i="41"/>
  <c r="AT72" i="42"/>
  <c r="AK72" i="42"/>
  <c r="AS140" i="41"/>
  <c r="AS179" i="41"/>
  <c r="AW139" i="41"/>
  <c r="AV142" i="41" s="1"/>
  <c r="AS248" i="41"/>
  <c r="AS249" i="41" s="1"/>
  <c r="AS251" i="41" s="1"/>
  <c r="AS177" i="41"/>
  <c r="AS120" i="41"/>
  <c r="AS119" i="41" s="1"/>
  <c r="AS141" i="41"/>
  <c r="AS252" i="41"/>
  <c r="AS142" i="41"/>
  <c r="AS122" i="41"/>
  <c r="AI219" i="41"/>
  <c r="AI141" i="41"/>
  <c r="AI120" i="41"/>
  <c r="AI119" i="41" s="1"/>
  <c r="AI122" i="41" s="1"/>
  <c r="AI180" i="41"/>
  <c r="AA72" i="42"/>
  <c r="AI140" i="41"/>
  <c r="AI179" i="41"/>
  <c r="AO152" i="1"/>
  <c r="AO153" i="1" s="1"/>
  <c r="AO159" i="1"/>
  <c r="DH92" i="1"/>
  <c r="DH151" i="42"/>
  <c r="BM248" i="41"/>
  <c r="BM140" i="41"/>
  <c r="BM254" i="41" s="1"/>
  <c r="BE72" i="42"/>
  <c r="BM179" i="41"/>
  <c r="BM120" i="41"/>
  <c r="BM119" i="41" s="1"/>
  <c r="BM122" i="41" s="1"/>
  <c r="BM177" i="41"/>
  <c r="BM141" i="41"/>
  <c r="W111" i="41"/>
  <c r="W120" i="41"/>
  <c r="W119" i="41" s="1"/>
  <c r="W122" i="41" s="1"/>
  <c r="W180" i="41"/>
  <c r="W179" i="41"/>
  <c r="W140" i="41"/>
  <c r="W141" i="41"/>
  <c r="Y211" i="41"/>
  <c r="X219" i="41"/>
  <c r="BY148" i="41"/>
  <c r="AG72" i="42"/>
  <c r="AO120" i="41"/>
  <c r="AO119" i="41" s="1"/>
  <c r="AO122" i="41" s="1"/>
  <c r="AO180" i="41"/>
  <c r="AO179" i="41"/>
  <c r="AO177" i="41"/>
  <c r="AO141" i="41"/>
  <c r="AO140" i="41"/>
  <c r="AD219" i="41"/>
  <c r="CI176" i="41"/>
  <c r="CM174" i="41"/>
  <c r="CI175" i="41"/>
  <c r="CD175" i="41"/>
  <c r="CD176" i="41"/>
  <c r="CD148" i="41"/>
  <c r="CD147" i="41"/>
  <c r="AL72" i="42"/>
  <c r="AT140" i="41"/>
  <c r="AT179" i="41"/>
  <c r="AT120" i="41"/>
  <c r="AT119" i="41" s="1"/>
  <c r="AT122" i="41" s="1"/>
  <c r="AT177" i="41"/>
  <c r="AT248" i="41"/>
  <c r="AT249" i="41" s="1"/>
  <c r="AT251" i="41" s="1"/>
  <c r="AT252" i="41"/>
  <c r="AT141" i="41"/>
  <c r="AT142" i="41"/>
  <c r="AC219" i="41"/>
  <c r="U111" i="41"/>
  <c r="U120" i="41"/>
  <c r="U119" i="41" s="1"/>
  <c r="U122" i="41" s="1"/>
  <c r="U141" i="41"/>
  <c r="U179" i="41"/>
  <c r="U180" i="41"/>
  <c r="U140" i="41"/>
  <c r="Y139" i="41"/>
  <c r="S139" i="41"/>
  <c r="K25" i="442"/>
  <c r="K200" i="442" s="1"/>
  <c r="CR134" i="41"/>
  <c r="CR177" i="41"/>
  <c r="CR140" i="41"/>
  <c r="CR141" i="41"/>
  <c r="CR180" i="41"/>
  <c r="CR179" i="41"/>
  <c r="CR120" i="41"/>
  <c r="CR119" i="41" s="1"/>
  <c r="CR122" i="41" s="1"/>
  <c r="CR248" i="41"/>
  <c r="CR148" i="41"/>
  <c r="CR147" i="41"/>
  <c r="AO214" i="41"/>
  <c r="AO215" i="41" s="1"/>
  <c r="CD59" i="1"/>
  <c r="CY151" i="42"/>
  <c r="DC151" i="42" s="1"/>
  <c r="CY14" i="3"/>
  <c r="BC61" i="1"/>
  <c r="BJ238" i="1"/>
  <c r="BW238" i="1"/>
  <c r="BW240" i="1" s="1"/>
  <c r="BE238" i="1"/>
  <c r="BV61" i="1"/>
  <c r="BV62" i="1" s="1"/>
  <c r="CD211" i="41"/>
  <c r="CD212" i="41" s="1"/>
  <c r="BW211" i="41"/>
  <c r="BL61" i="1"/>
  <c r="BT211" i="41"/>
  <c r="BR94" i="42"/>
  <c r="BR93" i="42"/>
  <c r="BR92" i="42"/>
  <c r="BR89" i="42"/>
  <c r="BR88" i="42"/>
  <c r="BR90" i="42"/>
  <c r="BF94" i="42"/>
  <c r="BF93" i="42"/>
  <c r="BF92" i="42"/>
  <c r="BF89" i="42"/>
  <c r="BF88" i="42"/>
  <c r="BF90" i="42"/>
  <c r="AX90" i="42"/>
  <c r="AX89" i="42"/>
  <c r="AX88" i="42"/>
  <c r="AX93" i="42"/>
  <c r="AX92" i="42"/>
  <c r="AX94" i="42"/>
  <c r="N94" i="42"/>
  <c r="N93" i="42"/>
  <c r="N92" i="42"/>
  <c r="N89" i="42"/>
  <c r="N88" i="42"/>
  <c r="BD238" i="1"/>
  <c r="BD240" i="1" s="1"/>
  <c r="DA211" i="41"/>
  <c r="DA212" i="41" s="1"/>
  <c r="BK61" i="1"/>
  <c r="BS211" i="41"/>
  <c r="CK217" i="1"/>
  <c r="CS181" i="41"/>
  <c r="CK117" i="42"/>
  <c r="CK155" i="3"/>
  <c r="CG93" i="42"/>
  <c r="CG92" i="42"/>
  <c r="CG94" i="42"/>
  <c r="CG88" i="42"/>
  <c r="CG89" i="42"/>
  <c r="CG90" i="42"/>
  <c r="CC237" i="1"/>
  <c r="CG181" i="41"/>
  <c r="BY68" i="42"/>
  <c r="BY117" i="42"/>
  <c r="AK94" i="42"/>
  <c r="AK93" i="42"/>
  <c r="AK92" i="42"/>
  <c r="AK90" i="42"/>
  <c r="AK88" i="42"/>
  <c r="AK89" i="42"/>
  <c r="AZ94" i="42"/>
  <c r="AZ93" i="42"/>
  <c r="AZ92" i="42"/>
  <c r="AZ90" i="42"/>
  <c r="AZ89" i="42"/>
  <c r="AZ88" i="42"/>
  <c r="AR90" i="42"/>
  <c r="AR92" i="42"/>
  <c r="AR88" i="42"/>
  <c r="AR93" i="42"/>
  <c r="AR94" i="42"/>
  <c r="AR89" i="42"/>
  <c r="CM93" i="42"/>
  <c r="CM92" i="42"/>
  <c r="CM88" i="42"/>
  <c r="CM90" i="42"/>
  <c r="CM94" i="42"/>
  <c r="CM89" i="42"/>
  <c r="CE217" i="1"/>
  <c r="CM181" i="41"/>
  <c r="CE155" i="3"/>
  <c r="CE117" i="42"/>
  <c r="CE68" i="42"/>
  <c r="BC90" i="42"/>
  <c r="BC89" i="42"/>
  <c r="BC88" i="42"/>
  <c r="BC94" i="42"/>
  <c r="BC93" i="42"/>
  <c r="BC92" i="42"/>
  <c r="AY94" i="42"/>
  <c r="AY93" i="42"/>
  <c r="AY92" i="42"/>
  <c r="AY90" i="42"/>
  <c r="AY89" i="42"/>
  <c r="AY88" i="42"/>
  <c r="O94" i="42"/>
  <c r="O93" i="42"/>
  <c r="O92" i="42"/>
  <c r="O89" i="42"/>
  <c r="O88" i="42"/>
  <c r="O90" i="42"/>
  <c r="AB94" i="42"/>
  <c r="AB90" i="42"/>
  <c r="AB89" i="42"/>
  <c r="AB88" i="42"/>
  <c r="AB92" i="42"/>
  <c r="AB93" i="42"/>
  <c r="BS127" i="42"/>
  <c r="BG124" i="42"/>
  <c r="Q117" i="42"/>
  <c r="AN214" i="41"/>
  <c r="AN215" i="41" s="1"/>
  <c r="CP148" i="41"/>
  <c r="CP147" i="41"/>
  <c r="CK176" i="41"/>
  <c r="CK175" i="41"/>
  <c r="CF175" i="41"/>
  <c r="CF176" i="41"/>
  <c r="BW176" i="41"/>
  <c r="CA174" i="41"/>
  <c r="BK143" i="41"/>
  <c r="BK120" i="41"/>
  <c r="BK119" i="41" s="1"/>
  <c r="BK248" i="41"/>
  <c r="BM143" i="41"/>
  <c r="BK177" i="41"/>
  <c r="BL143" i="41"/>
  <c r="BN143" i="41"/>
  <c r="BK140" i="41"/>
  <c r="BK254" i="41" s="1"/>
  <c r="BK180" i="41"/>
  <c r="BK179" i="41"/>
  <c r="BK141" i="41"/>
  <c r="BC72" i="42"/>
  <c r="BF148" i="41"/>
  <c r="BF147" i="41"/>
  <c r="AV148" i="41"/>
  <c r="AV147" i="41"/>
  <c r="Z72" i="42"/>
  <c r="AH120" i="41"/>
  <c r="AH119" i="41" s="1"/>
  <c r="AH122" i="41" s="1"/>
  <c r="AH141" i="41"/>
  <c r="AH180" i="41"/>
  <c r="AH179" i="41"/>
  <c r="AH140" i="41"/>
  <c r="N90" i="42"/>
  <c r="W219" i="41"/>
  <c r="W215" i="41"/>
  <c r="AS211" i="41"/>
  <c r="CX176" i="41"/>
  <c r="CX175" i="41"/>
  <c r="CW67" i="42"/>
  <c r="CQ67" i="42"/>
  <c r="CO134" i="41"/>
  <c r="CO120" i="41"/>
  <c r="CO119" i="41" s="1"/>
  <c r="CO122" i="41" s="1"/>
  <c r="CO248" i="41"/>
  <c r="CP143" i="41"/>
  <c r="CO143" i="41"/>
  <c r="CO177" i="41"/>
  <c r="CO140" i="41"/>
  <c r="CQ143" i="41"/>
  <c r="CR143" i="41"/>
  <c r="CO180" i="41"/>
  <c r="CO141" i="41"/>
  <c r="CO179" i="41"/>
  <c r="CE134" i="41"/>
  <c r="CE135" i="41" s="1"/>
  <c r="CE140" i="41"/>
  <c r="CE248" i="41"/>
  <c r="CE141" i="41"/>
  <c r="CE180" i="41"/>
  <c r="CE177" i="41"/>
  <c r="CE120" i="41"/>
  <c r="CE119" i="41" s="1"/>
  <c r="CE122" i="41" s="1"/>
  <c r="CE179" i="41"/>
  <c r="BF72" i="42"/>
  <c r="BN120" i="41"/>
  <c r="BN119" i="41" s="1"/>
  <c r="BN122" i="41" s="1"/>
  <c r="BN179" i="41"/>
  <c r="BN140" i="41"/>
  <c r="BN254" i="41" s="1"/>
  <c r="BN248" i="41"/>
  <c r="BN177" i="41"/>
  <c r="BN141" i="41"/>
  <c r="AZ147" i="41"/>
  <c r="AZ148" i="41"/>
  <c r="AP148" i="41"/>
  <c r="AP147" i="41"/>
  <c r="AB147" i="41"/>
  <c r="AB148" i="41"/>
  <c r="AI215" i="41"/>
  <c r="CV147" i="41"/>
  <c r="CV148" i="41"/>
  <c r="CQ176" i="41"/>
  <c r="CQ175" i="41"/>
  <c r="CL134" i="41"/>
  <c r="CL180" i="41"/>
  <c r="CL120" i="41"/>
  <c r="CL119" i="41" s="1"/>
  <c r="CL122" i="41" s="1"/>
  <c r="CL141" i="41"/>
  <c r="CL140" i="41"/>
  <c r="CL248" i="41"/>
  <c r="CL177" i="41"/>
  <c r="CL179" i="41"/>
  <c r="CL148" i="41"/>
  <c r="CL147" i="41"/>
  <c r="BX134" i="41"/>
  <c r="BX135" i="41" s="1"/>
  <c r="BX120" i="41"/>
  <c r="BX119" i="41" s="1"/>
  <c r="BX122" i="41" s="1"/>
  <c r="BX179" i="41"/>
  <c r="BX248" i="41"/>
  <c r="BX141" i="41"/>
  <c r="BX177" i="41"/>
  <c r="BX180" i="41"/>
  <c r="BX140" i="41"/>
  <c r="BX254" i="41" s="1"/>
  <c r="BQ148" i="41"/>
  <c r="BQ147" i="41"/>
  <c r="BB148" i="41"/>
  <c r="BB147" i="41"/>
  <c r="AW174" i="41"/>
  <c r="AS176" i="41"/>
  <c r="AS148" i="41"/>
  <c r="AS147" i="41"/>
  <c r="AW146" i="41"/>
  <c r="AN147" i="41"/>
  <c r="AN148" i="41"/>
  <c r="CE124" i="42"/>
  <c r="CW147" i="41"/>
  <c r="CW148" i="41"/>
  <c r="AJ120" i="41"/>
  <c r="AJ119" i="41" s="1"/>
  <c r="AJ122" i="41" s="1"/>
  <c r="AJ179" i="41"/>
  <c r="AJ140" i="41"/>
  <c r="AJ180" i="41"/>
  <c r="AJ141" i="41"/>
  <c r="AB72" i="42"/>
  <c r="AA148" i="41"/>
  <c r="AA147" i="41"/>
  <c r="AE146" i="41"/>
  <c r="AK211" i="41"/>
  <c r="AG212" i="41"/>
  <c r="J109" i="442"/>
  <c r="J99" i="442"/>
  <c r="J142" i="442"/>
  <c r="BY141" i="41"/>
  <c r="BY134" i="41"/>
  <c r="BY135" i="41" s="1"/>
  <c r="BY177" i="41"/>
  <c r="BY248" i="41"/>
  <c r="BY180" i="41"/>
  <c r="BY120" i="41"/>
  <c r="BY119" i="41" s="1"/>
  <c r="BY122" i="41" s="1"/>
  <c r="BY179" i="41"/>
  <c r="AO176" i="41"/>
  <c r="AO175" i="41"/>
  <c r="AO147" i="41"/>
  <c r="AO148" i="41"/>
  <c r="P219" i="41"/>
  <c r="J12" i="442"/>
  <c r="J17" i="442"/>
  <c r="J18" i="442" s="1"/>
  <c r="K17" i="442"/>
  <c r="J27" i="442"/>
  <c r="J87" i="442"/>
  <c r="BG68" i="42"/>
  <c r="CI134" i="41"/>
  <c r="CI248" i="41"/>
  <c r="CK143" i="41"/>
  <c r="CL143" i="41"/>
  <c r="CI180" i="41"/>
  <c r="CI143" i="41"/>
  <c r="CI144" i="41" s="1"/>
  <c r="CJ143" i="41"/>
  <c r="CI140" i="41"/>
  <c r="CI177" i="41"/>
  <c r="CI179" i="41"/>
  <c r="CI120" i="41"/>
  <c r="CI119" i="41" s="1"/>
  <c r="CI122" i="41" s="1"/>
  <c r="CI141" i="41"/>
  <c r="AY175" i="41"/>
  <c r="BC174" i="41"/>
  <c r="BC175" i="41" s="1"/>
  <c r="AY176" i="41"/>
  <c r="R141" i="41"/>
  <c r="AJ215" i="41"/>
  <c r="CD134" i="41"/>
  <c r="CD135" i="41" s="1"/>
  <c r="CD120" i="41"/>
  <c r="CD119" i="41" s="1"/>
  <c r="CD122" i="41" s="1"/>
  <c r="CD140" i="41"/>
  <c r="CD179" i="41"/>
  <c r="CD141" i="41"/>
  <c r="CD248" i="41"/>
  <c r="CD177" i="41"/>
  <c r="CD180" i="41"/>
  <c r="AC141" i="41"/>
  <c r="AC179" i="41"/>
  <c r="AC120" i="41"/>
  <c r="AC119" i="41" s="1"/>
  <c r="AC122" i="41" s="1"/>
  <c r="AC140" i="41"/>
  <c r="K27" i="442"/>
  <c r="BA68" i="42"/>
  <c r="BA117" i="42"/>
  <c r="AM212" i="41"/>
  <c r="BH148" i="41"/>
  <c r="BH147" i="41"/>
  <c r="K48" i="442"/>
  <c r="AP214" i="41"/>
  <c r="BM211" i="41"/>
  <c r="BV93" i="42"/>
  <c r="BV92" i="42"/>
  <c r="BV94" i="42"/>
  <c r="BV89" i="42"/>
  <c r="BV88" i="42"/>
  <c r="BV90" i="42"/>
  <c r="AT94" i="42"/>
  <c r="AT93" i="42"/>
  <c r="AT92" i="42"/>
  <c r="AT88" i="42"/>
  <c r="AT89" i="42"/>
  <c r="AT90" i="42"/>
  <c r="V90" i="42"/>
  <c r="V94" i="42"/>
  <c r="V93" i="42"/>
  <c r="V92" i="42"/>
  <c r="V88" i="42"/>
  <c r="V89" i="42"/>
  <c r="T88" i="42"/>
  <c r="T94" i="42"/>
  <c r="T93" i="42"/>
  <c r="T92" i="42"/>
  <c r="T90" i="42"/>
  <c r="T89" i="42"/>
  <c r="BL238" i="1"/>
  <c r="AQ238" i="1"/>
  <c r="AL61" i="1"/>
  <c r="AL62" i="1" s="1"/>
  <c r="AT214" i="41"/>
  <c r="CP61" i="1"/>
  <c r="CX211" i="41"/>
  <c r="CX212" i="41" s="1"/>
  <c r="BL211" i="41"/>
  <c r="BL212" i="41" s="1"/>
  <c r="BE211" i="41"/>
  <c r="BK212" i="41" s="1"/>
  <c r="AT61" i="1"/>
  <c r="BB211" i="41"/>
  <c r="K216" i="1"/>
  <c r="S181" i="41"/>
  <c r="K117" i="42"/>
  <c r="BQ90" i="42"/>
  <c r="BQ89" i="42"/>
  <c r="BQ88" i="42"/>
  <c r="BQ94" i="42"/>
  <c r="BQ93" i="42"/>
  <c r="BQ92" i="42"/>
  <c r="BI94" i="42"/>
  <c r="BI93" i="42"/>
  <c r="BI92" i="42"/>
  <c r="BI89" i="42"/>
  <c r="BI88" i="42"/>
  <c r="BI90" i="42"/>
  <c r="BE94" i="42"/>
  <c r="BE93" i="42"/>
  <c r="BE92" i="42"/>
  <c r="BE90" i="42"/>
  <c r="BE89" i="42"/>
  <c r="BE88" i="42"/>
  <c r="AC220" i="1"/>
  <c r="AC117" i="42"/>
  <c r="U94" i="42"/>
  <c r="U93" i="42"/>
  <c r="U92" i="42"/>
  <c r="U88" i="42"/>
  <c r="U90" i="42"/>
  <c r="U89" i="42"/>
  <c r="Q224" i="1"/>
  <c r="CN88" i="42"/>
  <c r="CN93" i="42"/>
  <c r="CN92" i="42"/>
  <c r="CN94" i="42"/>
  <c r="CN90" i="42"/>
  <c r="CN89" i="42"/>
  <c r="CB93" i="42"/>
  <c r="CB92" i="42"/>
  <c r="CB89" i="42"/>
  <c r="CB94" i="42"/>
  <c r="CB88" i="42"/>
  <c r="CB90" i="42"/>
  <c r="BD90" i="42"/>
  <c r="BD89" i="42"/>
  <c r="BD88" i="42"/>
  <c r="BD94" i="42"/>
  <c r="BD93" i="42"/>
  <c r="BD92" i="42"/>
  <c r="AF240" i="1"/>
  <c r="AF90" i="42"/>
  <c r="AF89" i="42"/>
  <c r="AF88" i="42"/>
  <c r="AF94" i="42"/>
  <c r="AF92" i="42"/>
  <c r="AF93" i="42"/>
  <c r="D93" i="42"/>
  <c r="D89" i="42"/>
  <c r="D92" i="42"/>
  <c r="D94" i="42"/>
  <c r="D88" i="42"/>
  <c r="D90" i="42"/>
  <c r="CD61" i="1"/>
  <c r="CL211" i="41"/>
  <c r="CL212" i="41" s="1"/>
  <c r="BN211" i="41"/>
  <c r="BN212" i="41" s="1"/>
  <c r="AP211" i="41"/>
  <c r="AP212" i="41" s="1"/>
  <c r="E92" i="42"/>
  <c r="E88" i="42"/>
  <c r="E93" i="42"/>
  <c r="E89" i="42"/>
  <c r="E90" i="42"/>
  <c r="E94" i="42"/>
  <c r="AQ90" i="42"/>
  <c r="AQ94" i="42"/>
  <c r="AQ93" i="42"/>
  <c r="AQ92" i="42"/>
  <c r="AQ88" i="42"/>
  <c r="AQ89" i="42"/>
  <c r="BM124" i="42"/>
  <c r="BA127" i="42"/>
  <c r="BF214" i="41"/>
  <c r="BF219" i="41" s="1"/>
  <c r="AU68" i="42"/>
  <c r="BE214" i="41"/>
  <c r="BE219" i="41" s="1"/>
  <c r="BS68" i="42"/>
  <c r="CQ68" i="42"/>
  <c r="BA211" i="41"/>
  <c r="CU175" i="41"/>
  <c r="CU176" i="41"/>
  <c r="CY174" i="41"/>
  <c r="CP134" i="41"/>
  <c r="CP136" i="41" s="1"/>
  <c r="CP179" i="41"/>
  <c r="CP120" i="41"/>
  <c r="CP119" i="41" s="1"/>
  <c r="CP122" i="41" s="1"/>
  <c r="CV124" i="41" s="1"/>
  <c r="CP141" i="41"/>
  <c r="CP248" i="41"/>
  <c r="CP177" i="41"/>
  <c r="CP178" i="41" s="1"/>
  <c r="CP180" i="41"/>
  <c r="CK134" i="41"/>
  <c r="CK141" i="41"/>
  <c r="CK248" i="41"/>
  <c r="CK177" i="41"/>
  <c r="CK178" i="41" s="1"/>
  <c r="CK140" i="41"/>
  <c r="CK120" i="41"/>
  <c r="CK119" i="41" s="1"/>
  <c r="CK122" i="41" s="1"/>
  <c r="CK180" i="41"/>
  <c r="CK179" i="41"/>
  <c r="CF148" i="41"/>
  <c r="CF147" i="41"/>
  <c r="BK176" i="41"/>
  <c r="BO174" i="41"/>
  <c r="BA175" i="41"/>
  <c r="BA176" i="41"/>
  <c r="AE72" i="42"/>
  <c r="AM180" i="41"/>
  <c r="AM141" i="41"/>
  <c r="AM120" i="41"/>
  <c r="AM119" i="41" s="1"/>
  <c r="AQ139" i="41"/>
  <c r="AM142" i="41" s="1"/>
  <c r="AM177" i="41"/>
  <c r="AM140" i="41"/>
  <c r="AM179" i="41"/>
  <c r="BR211" i="41"/>
  <c r="AT211" i="41"/>
  <c r="CX141" i="41"/>
  <c r="CX134" i="41"/>
  <c r="CX248" i="41"/>
  <c r="CX119" i="41"/>
  <c r="CX122" i="41" s="1"/>
  <c r="CX180" i="41"/>
  <c r="CX140" i="41"/>
  <c r="CX179" i="41"/>
  <c r="CX177" i="41"/>
  <c r="CO148" i="41"/>
  <c r="CO147" i="41"/>
  <c r="CS146" i="41"/>
  <c r="CE175" i="41"/>
  <c r="CE176" i="41"/>
  <c r="CE148" i="41"/>
  <c r="CE147" i="41"/>
  <c r="BZ148" i="41"/>
  <c r="BZ147" i="41"/>
  <c r="BT147" i="41"/>
  <c r="BN148" i="41"/>
  <c r="BN147" i="41"/>
  <c r="BE148" i="41"/>
  <c r="BE147" i="41"/>
  <c r="BI146" i="41"/>
  <c r="BI147" i="41" s="1"/>
  <c r="AU175" i="41"/>
  <c r="AU176" i="41"/>
  <c r="AU148" i="41"/>
  <c r="AU147" i="41"/>
  <c r="CK68" i="42"/>
  <c r="CV211" i="41"/>
  <c r="AZ211" i="41"/>
  <c r="DA175" i="41"/>
  <c r="DA176" i="41"/>
  <c r="CQ148" i="41"/>
  <c r="CQ147" i="41"/>
  <c r="CC176" i="41"/>
  <c r="CG174" i="41"/>
  <c r="CC175" i="41"/>
  <c r="BX176" i="41"/>
  <c r="BL147" i="41"/>
  <c r="BL148" i="41"/>
  <c r="CW134" i="41"/>
  <c r="CW120" i="41"/>
  <c r="CW119" i="41" s="1"/>
  <c r="CW122" i="41" s="1"/>
  <c r="CW141" i="41"/>
  <c r="CW248" i="41"/>
  <c r="CW140" i="41"/>
  <c r="CW177" i="41"/>
  <c r="CW178" i="41" s="1"/>
  <c r="CO72" i="42"/>
  <c r="CW180" i="41"/>
  <c r="CW179" i="41"/>
  <c r="AA140" i="41"/>
  <c r="AA120" i="41"/>
  <c r="AA119" i="41" s="1"/>
  <c r="AA122" i="41" s="1"/>
  <c r="AA179" i="41"/>
  <c r="AA141" i="41"/>
  <c r="AE139" i="41"/>
  <c r="AA180" i="41"/>
  <c r="Q219" i="41"/>
  <c r="X111" i="41"/>
  <c r="X141" i="41"/>
  <c r="X120" i="41"/>
  <c r="X119" i="41" s="1"/>
  <c r="X122" i="41" s="1"/>
  <c r="X180" i="41"/>
  <c r="X140" i="41"/>
  <c r="X179" i="41"/>
  <c r="BR148" i="41"/>
  <c r="BR147" i="41"/>
  <c r="AD141" i="41"/>
  <c r="AD120" i="41"/>
  <c r="AD119" i="41" s="1"/>
  <c r="AD122" i="41" s="1"/>
  <c r="AD179" i="41"/>
  <c r="AD140" i="41"/>
  <c r="R219" i="41"/>
  <c r="Y146" i="41"/>
  <c r="Y147" i="41" s="1"/>
  <c r="U148" i="41"/>
  <c r="U147" i="41"/>
  <c r="O219" i="41"/>
  <c r="K103" i="442"/>
  <c r="K101" i="442" s="1"/>
  <c r="K142" i="442"/>
  <c r="K99" i="442"/>
  <c r="K109" i="442"/>
  <c r="CR175" i="41"/>
  <c r="CR176" i="41"/>
  <c r="BH120" i="41"/>
  <c r="BH119" i="41" s="1"/>
  <c r="BH122" i="41" s="1"/>
  <c r="BH179" i="41"/>
  <c r="BH140" i="41"/>
  <c r="BH177" i="41"/>
  <c r="BH252" i="41"/>
  <c r="AZ72" i="42"/>
  <c r="BH248" i="41"/>
  <c r="BH249" i="41" s="1"/>
  <c r="BH141" i="41"/>
  <c r="DG92" i="1"/>
  <c r="DG151" i="42"/>
  <c r="DG181" i="42" s="1"/>
  <c r="BC145" i="42"/>
  <c r="BC171" i="42"/>
  <c r="BG144" i="42"/>
  <c r="BG147" i="42" s="1"/>
  <c r="BK145" i="42"/>
  <c r="BK171" i="42"/>
  <c r="BK175" i="42" s="1"/>
  <c r="AC213" i="42"/>
  <c r="AC214" i="42"/>
  <c r="AC215" i="42"/>
  <c r="CP128" i="3"/>
  <c r="CQ128" i="3" s="1"/>
  <c r="BJ171" i="42"/>
  <c r="BJ175" i="42" s="1"/>
  <c r="BJ145" i="42"/>
  <c r="Q213" i="42"/>
  <c r="Q215" i="42"/>
  <c r="Q214" i="42"/>
  <c r="K215" i="42"/>
  <c r="K213" i="42"/>
  <c r="K216" i="42"/>
  <c r="K214" i="42"/>
  <c r="BL145" i="42"/>
  <c r="BL171" i="42"/>
  <c r="BL175" i="42" s="1"/>
  <c r="BM144" i="42"/>
  <c r="BM147" i="42" s="1"/>
  <c r="BI145" i="42"/>
  <c r="BI171" i="42"/>
  <c r="DB128" i="3"/>
  <c r="DC128" i="3" s="1"/>
  <c r="BD145" i="42"/>
  <c r="BD171" i="42"/>
  <c r="BD175" i="42" s="1"/>
  <c r="W213" i="42"/>
  <c r="W215" i="42"/>
  <c r="W214" i="42"/>
  <c r="DF92" i="1"/>
  <c r="DF151" i="42"/>
  <c r="DF14" i="3"/>
  <c r="Q154" i="442"/>
  <c r="R110" i="442"/>
  <c r="S34" i="442"/>
  <c r="T34" i="442" s="1"/>
  <c r="BF42" i="41"/>
  <c r="AK41" i="41"/>
  <c r="BG26" i="41"/>
  <c r="BG27" i="41" s="1"/>
  <c r="BG28" i="41" s="1"/>
  <c r="BG20" i="41"/>
  <c r="BG19" i="41"/>
  <c r="BM19" i="41"/>
  <c r="DP92" i="41"/>
  <c r="DV92" i="41" s="1"/>
  <c r="DV95" i="41" s="1"/>
  <c r="DJ95" i="41"/>
  <c r="DJ101" i="41" s="1"/>
  <c r="M41" i="41"/>
  <c r="AQ63" i="41"/>
  <c r="DH95" i="41"/>
  <c r="DH101" i="41" s="1"/>
  <c r="DN92" i="41"/>
  <c r="BO241" i="41"/>
  <c r="BO240" i="41"/>
  <c r="BO168" i="41"/>
  <c r="BO239" i="41" s="1"/>
  <c r="BU245" i="41"/>
  <c r="CG240" i="41"/>
  <c r="CG241" i="41"/>
  <c r="CG168" i="41"/>
  <c r="CG239" i="41" s="1"/>
  <c r="CM245" i="41"/>
  <c r="AP41" i="41"/>
  <c r="AP42" i="41"/>
  <c r="BG54" i="41"/>
  <c r="BG50" i="41"/>
  <c r="BG38" i="41"/>
  <c r="BF69" i="41"/>
  <c r="BE73" i="41"/>
  <c r="BK10" i="41"/>
  <c r="BH14" i="41"/>
  <c r="BI9" i="41"/>
  <c r="BG14" i="41"/>
  <c r="BO9" i="41"/>
  <c r="BH54" i="41"/>
  <c r="BH50" i="41"/>
  <c r="BH37" i="41"/>
  <c r="BI36" i="41"/>
  <c r="BI37" i="41" s="1"/>
  <c r="BH38" i="41"/>
  <c r="AY70" i="41"/>
  <c r="BZ280" i="41"/>
  <c r="CA241" i="41"/>
  <c r="CA240" i="41"/>
  <c r="CA168" i="41"/>
  <c r="CA239" i="41" s="1"/>
  <c r="CG245" i="41"/>
  <c r="BF73" i="41"/>
  <c r="BF74" i="41" s="1"/>
  <c r="BF62" i="41"/>
  <c r="BF60" i="41"/>
  <c r="BH157" i="41"/>
  <c r="BH156" i="41"/>
  <c r="Y41" i="41"/>
  <c r="CY241" i="41"/>
  <c r="CY240" i="41"/>
  <c r="CY168" i="41"/>
  <c r="CY239" i="41" s="1"/>
  <c r="AM315" i="41"/>
  <c r="AK315" i="41"/>
  <c r="AK313" i="41" s="1"/>
  <c r="AG313" i="41"/>
  <c r="BH33" i="41"/>
  <c r="BI32" i="41"/>
  <c r="BI33" i="41" s="1"/>
  <c r="BK32" i="41"/>
  <c r="BU241" i="41"/>
  <c r="BU240" i="41"/>
  <c r="CA245" i="41"/>
  <c r="BU168" i="41"/>
  <c r="BU239" i="41" s="1"/>
  <c r="CM241" i="41"/>
  <c r="CM240" i="41"/>
  <c r="CM168" i="41"/>
  <c r="CM239" i="41" s="1"/>
  <c r="BF46" i="41"/>
  <c r="DI198" i="41"/>
  <c r="DH199" i="41"/>
  <c r="DH202" i="41"/>
  <c r="DH201" i="41"/>
  <c r="CZ260" i="1"/>
  <c r="AQ45" i="41"/>
  <c r="AQ48" i="41"/>
  <c r="BH18" i="41"/>
  <c r="BH320" i="41"/>
  <c r="BH321" i="41" s="1"/>
  <c r="BK18" i="41"/>
  <c r="BK320" i="41"/>
  <c r="BF315" i="41"/>
  <c r="BF313" i="41" s="1"/>
  <c r="AZ313" i="41"/>
  <c r="CS241" i="41"/>
  <c r="CS240" i="41"/>
  <c r="CS168" i="41"/>
  <c r="CS239" i="41" s="1"/>
  <c r="DB165" i="41"/>
  <c r="BE69" i="41"/>
  <c r="BK157" i="41"/>
  <c r="AK175" i="41"/>
  <c r="AQ40" i="41"/>
  <c r="AA181" i="42"/>
  <c r="CC181" i="42"/>
  <c r="CE181" i="42" s="1"/>
  <c r="AL66" i="3"/>
  <c r="AR67" i="3" s="1"/>
  <c r="AL60" i="3"/>
  <c r="AL31" i="3"/>
  <c r="AL69" i="3" s="1"/>
  <c r="Q45" i="3"/>
  <c r="P56" i="3"/>
  <c r="Q56" i="3" s="1"/>
  <c r="DC39" i="42"/>
  <c r="AR102" i="3"/>
  <c r="AZ181" i="41" s="1"/>
  <c r="DH128" i="3"/>
  <c r="DI128" i="3" s="1"/>
  <c r="DA18" i="3"/>
  <c r="DA90" i="3" s="1"/>
  <c r="AA111" i="3"/>
  <c r="AA115" i="3" s="1"/>
  <c r="CC148" i="3"/>
  <c r="BF66" i="3"/>
  <c r="BF31" i="3"/>
  <c r="BF69" i="3" s="1"/>
  <c r="BG30" i="3"/>
  <c r="BF60" i="3"/>
  <c r="Q10" i="3"/>
  <c r="P30" i="3"/>
  <c r="DB94" i="3"/>
  <c r="DC94" i="3" s="1"/>
  <c r="BO118" i="3"/>
  <c r="BO56" i="3"/>
  <c r="BO60" i="3" s="1"/>
  <c r="BP45" i="3"/>
  <c r="BP118" i="3" s="1"/>
  <c r="BP129" i="3" s="1"/>
  <c r="BP133" i="3" s="1"/>
  <c r="BU124" i="3"/>
  <c r="BV51" i="3"/>
  <c r="BV124" i="3" s="1"/>
  <c r="T70" i="3"/>
  <c r="CE165" i="3"/>
  <c r="CE151" i="3"/>
  <c r="CE140" i="3"/>
  <c r="CK145" i="3"/>
  <c r="Z181" i="42"/>
  <c r="CG51" i="3"/>
  <c r="CE51" i="3"/>
  <c r="DA49" i="3"/>
  <c r="DA122" i="3" s="1"/>
  <c r="BF102" i="3"/>
  <c r="BG90" i="3"/>
  <c r="BG102" i="3" s="1"/>
  <c r="BO181" i="41" s="1"/>
  <c r="AS158" i="3"/>
  <c r="AS156" i="3"/>
  <c r="AS160" i="3"/>
  <c r="AS162" i="3" s="1"/>
  <c r="AS144" i="3"/>
  <c r="AS139" i="3"/>
  <c r="AS133" i="3"/>
  <c r="AS103" i="3"/>
  <c r="BM118" i="3"/>
  <c r="AI29" i="3"/>
  <c r="AH101" i="3"/>
  <c r="T137" i="3"/>
  <c r="U135" i="3" s="1"/>
  <c r="BI129" i="3"/>
  <c r="BI133" i="3" s="1"/>
  <c r="CI39" i="3"/>
  <c r="CI112" i="3" s="1"/>
  <c r="CI115" i="3" s="1"/>
  <c r="CH42" i="3"/>
  <c r="BA60" i="3"/>
  <c r="BG117" i="42"/>
  <c r="BM116" i="42"/>
  <c r="CV51" i="3"/>
  <c r="CV124" i="3" s="1"/>
  <c r="CD115" i="3"/>
  <c r="CE111" i="3"/>
  <c r="CE115" i="3" s="1"/>
  <c r="O60" i="3"/>
  <c r="O31" i="3"/>
  <c r="O69" i="3" s="1"/>
  <c r="O70" i="3" s="1"/>
  <c r="AU70" i="3"/>
  <c r="DH50" i="3"/>
  <c r="CE42" i="3"/>
  <c r="BC70" i="3"/>
  <c r="BE165" i="3"/>
  <c r="K69" i="3"/>
  <c r="BS145" i="3"/>
  <c r="CE145" i="3"/>
  <c r="CD124" i="3"/>
  <c r="CE124" i="3" s="1"/>
  <c r="DG40" i="3"/>
  <c r="T145" i="3"/>
  <c r="BK125" i="3"/>
  <c r="BJ56" i="3"/>
  <c r="BJ60" i="3" s="1"/>
  <c r="CY112" i="3"/>
  <c r="CZ39" i="3"/>
  <c r="CZ112" i="3" s="1"/>
  <c r="AA160" i="3"/>
  <c r="AA162" i="3" s="1"/>
  <c r="AA139" i="3"/>
  <c r="AA144" i="3"/>
  <c r="AA133" i="3"/>
  <c r="AA103" i="3"/>
  <c r="CU124" i="3"/>
  <c r="DB91" i="3"/>
  <c r="DC91" i="3" s="1"/>
  <c r="DB19" i="3"/>
  <c r="Y160" i="3"/>
  <c r="Y162" i="3" s="1"/>
  <c r="Y144" i="3"/>
  <c r="Y139" i="3"/>
  <c r="Y133" i="3"/>
  <c r="Y103" i="3"/>
  <c r="AU67" i="3"/>
  <c r="BA67" i="3"/>
  <c r="DG123" i="3"/>
  <c r="BC145" i="3"/>
  <c r="AW165" i="3"/>
  <c r="AW146" i="3"/>
  <c r="AW140" i="3"/>
  <c r="AA42" i="3"/>
  <c r="AA60" i="3" s="1"/>
  <c r="J60" i="3"/>
  <c r="BY70" i="3"/>
  <c r="AX165" i="3"/>
  <c r="AX146" i="3"/>
  <c r="CQ165" i="3"/>
  <c r="CQ151" i="3"/>
  <c r="CQ140" i="3"/>
  <c r="Z140" i="3"/>
  <c r="AF140" i="3"/>
  <c r="BS165" i="3"/>
  <c r="BS140" i="3"/>
  <c r="CY92" i="3"/>
  <c r="CZ20" i="3"/>
  <c r="CZ92" i="3" s="1"/>
  <c r="CZ122" i="3"/>
  <c r="CY127" i="3"/>
  <c r="CZ54" i="3"/>
  <c r="CZ127" i="3" s="1"/>
  <c r="CG115" i="3"/>
  <c r="Z115" i="3"/>
  <c r="Z133" i="3" s="1"/>
  <c r="AC111" i="3"/>
  <c r="AC115" i="3" s="1"/>
  <c r="P42" i="3"/>
  <c r="Q42" i="3" s="1"/>
  <c r="Q34" i="3"/>
  <c r="BY165" i="3"/>
  <c r="BY140" i="3"/>
  <c r="AN158" i="3"/>
  <c r="AN156" i="3"/>
  <c r="AN160" i="3"/>
  <c r="AN162" i="3" s="1"/>
  <c r="AN144" i="3"/>
  <c r="AN133" i="3"/>
  <c r="AN139" i="3"/>
  <c r="AN103" i="3"/>
  <c r="V29" i="3"/>
  <c r="V30" i="3" s="1"/>
  <c r="BK67" i="3"/>
  <c r="AM66" i="3"/>
  <c r="AM60" i="3"/>
  <c r="AM31" i="3"/>
  <c r="AM69" i="3" s="1"/>
  <c r="AB115" i="3"/>
  <c r="AB133" i="3" s="1"/>
  <c r="BY67" i="3"/>
  <c r="Z145" i="3"/>
  <c r="AF145" i="3"/>
  <c r="CK165" i="3"/>
  <c r="CK151" i="3"/>
  <c r="CK140" i="3"/>
  <c r="AA178" i="42"/>
  <c r="CE172" i="42"/>
  <c r="CE178" i="42" s="1"/>
  <c r="CE179" i="42" s="1"/>
  <c r="CA178" i="42"/>
  <c r="CA179" i="42" s="1"/>
  <c r="BU123" i="42"/>
  <c r="BY122" i="42"/>
  <c r="BY124" i="42" s="1"/>
  <c r="CI181" i="42"/>
  <c r="CK181" i="42" s="1"/>
  <c r="O172" i="42"/>
  <c r="O181" i="42"/>
  <c r="AF145" i="42"/>
  <c r="AF171" i="42"/>
  <c r="AF175" i="42" s="1"/>
  <c r="T214" i="42"/>
  <c r="T213" i="42"/>
  <c r="T215" i="42"/>
  <c r="AN171" i="42"/>
  <c r="AN162" i="42"/>
  <c r="AO162" i="42" s="1"/>
  <c r="AO161" i="42"/>
  <c r="CP126" i="42"/>
  <c r="CO125" i="42"/>
  <c r="CO122" i="42" s="1"/>
  <c r="CO123" i="42" s="1"/>
  <c r="T172" i="42"/>
  <c r="AF178" i="42"/>
  <c r="AM181" i="42"/>
  <c r="CZ50" i="42"/>
  <c r="CP169" i="42"/>
  <c r="CQ169" i="42" s="1"/>
  <c r="CQ162" i="42"/>
  <c r="CJ60" i="42"/>
  <c r="CK59" i="42"/>
  <c r="CK60" i="42" s="1"/>
  <c r="T240" i="42"/>
  <c r="T209" i="42"/>
  <c r="T216" i="42" s="1"/>
  <c r="U229" i="42"/>
  <c r="U233" i="42" s="1"/>
  <c r="T246" i="42"/>
  <c r="CY276" i="42"/>
  <c r="CZ275" i="42"/>
  <c r="CY41" i="42"/>
  <c r="CI172" i="42"/>
  <c r="CI178" i="42" s="1"/>
  <c r="CI179" i="42" s="1"/>
  <c r="AZ169" i="42"/>
  <c r="AZ172" i="42" s="1"/>
  <c r="AZ178" i="42" s="1"/>
  <c r="AZ179" i="42" s="1"/>
  <c r="BA157" i="42"/>
  <c r="AX75" i="42"/>
  <c r="AX74" i="42"/>
  <c r="U205" i="42"/>
  <c r="V174" i="42"/>
  <c r="V175" i="42" s="1"/>
  <c r="AB169" i="42"/>
  <c r="AB181" i="42" s="1"/>
  <c r="BY57" i="42"/>
  <c r="BY254" i="1" s="1"/>
  <c r="BX254" i="1"/>
  <c r="Y246" i="42"/>
  <c r="Y240" i="42"/>
  <c r="Y209" i="42"/>
  <c r="Y216" i="42" s="1"/>
  <c r="Z229" i="42"/>
  <c r="Z233" i="42" s="1"/>
  <c r="BY172" i="42"/>
  <c r="BY178" i="42" s="1"/>
  <c r="BY179" i="42" s="1"/>
  <c r="DH146" i="42"/>
  <c r="DI146" i="42" s="1"/>
  <c r="I101" i="42"/>
  <c r="H103" i="42"/>
  <c r="Z145" i="42"/>
  <c r="AB144" i="42"/>
  <c r="Z171" i="42"/>
  <c r="Z175" i="42" s="1"/>
  <c r="U179" i="42"/>
  <c r="U167" i="42"/>
  <c r="CP175" i="42"/>
  <c r="CQ171" i="42"/>
  <c r="CQ175" i="42" s="1"/>
  <c r="AH171" i="42"/>
  <c r="AH175" i="42" s="1"/>
  <c r="AH162" i="42"/>
  <c r="AH46" i="3" s="1"/>
  <c r="AZ123" i="42"/>
  <c r="BA122" i="42"/>
  <c r="BA124" i="42" s="1"/>
  <c r="BY181" i="42"/>
  <c r="I252" i="1"/>
  <c r="I253" i="1" s="1"/>
  <c r="I45" i="42"/>
  <c r="I46" i="42" s="1"/>
  <c r="I59" i="42" s="1"/>
  <c r="I60" i="42" s="1"/>
  <c r="CD270" i="42"/>
  <c r="CJ266" i="42"/>
  <c r="S248" i="42"/>
  <c r="S210" i="42"/>
  <c r="S217" i="42" s="1"/>
  <c r="N172" i="42"/>
  <c r="BX59" i="42"/>
  <c r="AC157" i="42"/>
  <c r="CG178" i="42"/>
  <c r="CG179" i="42" s="1"/>
  <c r="BO123" i="42"/>
  <c r="BS122" i="42"/>
  <c r="BS124" i="42" s="1"/>
  <c r="BC178" i="42"/>
  <c r="BC179" i="42" s="1"/>
  <c r="CV171" i="42"/>
  <c r="CV162" i="42"/>
  <c r="CW162" i="42" s="1"/>
  <c r="S135" i="42"/>
  <c r="T132" i="42"/>
  <c r="BL113" i="42"/>
  <c r="BK112" i="42"/>
  <c r="AU172" i="42"/>
  <c r="AU178" i="42" s="1"/>
  <c r="AU179" i="42" s="1"/>
  <c r="DH171" i="42"/>
  <c r="DH162" i="42"/>
  <c r="DI162" i="42" s="1"/>
  <c r="AC246" i="42"/>
  <c r="AC209" i="42"/>
  <c r="AC216" i="42" s="1"/>
  <c r="AI229" i="42"/>
  <c r="AI233" i="42" s="1"/>
  <c r="AO229" i="42" s="1"/>
  <c r="AO233" i="42" s="1"/>
  <c r="Z179" i="42"/>
  <c r="Z167" i="42"/>
  <c r="CY269" i="42"/>
  <c r="W169" i="42"/>
  <c r="CN270" i="42"/>
  <c r="BO178" i="42"/>
  <c r="BO179" i="42" s="1"/>
  <c r="CO266" i="42"/>
  <c r="CI270" i="42"/>
  <c r="CM123" i="42"/>
  <c r="BR60" i="42"/>
  <c r="BS59" i="42"/>
  <c r="BS60" i="42" s="1"/>
  <c r="Y179" i="42"/>
  <c r="Y167" i="42"/>
  <c r="AG169" i="42"/>
  <c r="AG181" i="42" s="1"/>
  <c r="AU181" i="42"/>
  <c r="AB184" i="42"/>
  <c r="AC186" i="42"/>
  <c r="AC185" i="42" s="1"/>
  <c r="CW161" i="42"/>
  <c r="V172" i="42"/>
  <c r="V178" i="42" s="1"/>
  <c r="AW178" i="42"/>
  <c r="AW179" i="42" s="1"/>
  <c r="P171" i="42"/>
  <c r="P175" i="42" s="1"/>
  <c r="P162" i="42"/>
  <c r="Q162" i="42" s="1"/>
  <c r="V181" i="42"/>
  <c r="W181" i="42" s="1"/>
  <c r="DB181" i="42"/>
  <c r="AM172" i="42"/>
  <c r="AM178" i="42" s="1"/>
  <c r="AM179" i="42" s="1"/>
  <c r="W162" i="42"/>
  <c r="BX263" i="42"/>
  <c r="BW264" i="42"/>
  <c r="CD60" i="42"/>
  <c r="CE59" i="42"/>
  <c r="CE60" i="42" s="1"/>
  <c r="Y213" i="42"/>
  <c r="Y215" i="42"/>
  <c r="Y214" i="42"/>
  <c r="Q161" i="42"/>
  <c r="AS225" i="1"/>
  <c r="AS209" i="1"/>
  <c r="AS192" i="1"/>
  <c r="AS59" i="1"/>
  <c r="H276" i="1"/>
  <c r="I73" i="1"/>
  <c r="AX384" i="1"/>
  <c r="AX382" i="1" s="1"/>
  <c r="AX383" i="1" s="1"/>
  <c r="AW382" i="1"/>
  <c r="AW383" i="1" s="1"/>
  <c r="K225" i="1"/>
  <c r="K192" i="1"/>
  <c r="K59" i="1"/>
  <c r="AN225" i="1"/>
  <c r="AN209" i="1"/>
  <c r="AN192" i="1"/>
  <c r="AN59" i="1"/>
  <c r="BY71" i="1"/>
  <c r="CZ105" i="1"/>
  <c r="DF82" i="1"/>
  <c r="CS225" i="1"/>
  <c r="CS209" i="1"/>
  <c r="CS192" i="1"/>
  <c r="CS59" i="1"/>
  <c r="BI225" i="1"/>
  <c r="BI209" i="1"/>
  <c r="BI192" i="1"/>
  <c r="BM58" i="1"/>
  <c r="BI59" i="1"/>
  <c r="AG225" i="1"/>
  <c r="AG192" i="1"/>
  <c r="AG209" i="1"/>
  <c r="AG59" i="1"/>
  <c r="AZ312" i="1"/>
  <c r="AZ92" i="1"/>
  <c r="AU224" i="1"/>
  <c r="AU191" i="1"/>
  <c r="AU46" i="1"/>
  <c r="AU47" i="1"/>
  <c r="AI150" i="1"/>
  <c r="AO150" i="1" s="1"/>
  <c r="BA224" i="1"/>
  <c r="BA191" i="1"/>
  <c r="BA46" i="1"/>
  <c r="BA47" i="1"/>
  <c r="BC312" i="1"/>
  <c r="BC92" i="1"/>
  <c r="BG56" i="1"/>
  <c r="BG92" i="1" s="1"/>
  <c r="BD352" i="1"/>
  <c r="BC352" i="1"/>
  <c r="BE352" i="1"/>
  <c r="BG51" i="1"/>
  <c r="BG50" i="1"/>
  <c r="CE241" i="1"/>
  <c r="CE223" i="1"/>
  <c r="CE190" i="1"/>
  <c r="CE42" i="1"/>
  <c r="CE43" i="1"/>
  <c r="BG241" i="1"/>
  <c r="BG223" i="1"/>
  <c r="BG190" i="1"/>
  <c r="BG42" i="1"/>
  <c r="BG43" i="1"/>
  <c r="CQ31" i="1"/>
  <c r="CQ32" i="1" s="1"/>
  <c r="CM32" i="1"/>
  <c r="CE31" i="1"/>
  <c r="CE32" i="1" s="1"/>
  <c r="CA32" i="1"/>
  <c r="BS31" i="1"/>
  <c r="BS32" i="1" s="1"/>
  <c r="BO32" i="1"/>
  <c r="BG31" i="1"/>
  <c r="BG32" i="1" s="1"/>
  <c r="BC32" i="1"/>
  <c r="AU31" i="1"/>
  <c r="AU32" i="1" s="1"/>
  <c r="AQ32" i="1"/>
  <c r="AI31" i="1"/>
  <c r="AI32" i="1" s="1"/>
  <c r="AE33" i="1"/>
  <c r="AE32" i="1"/>
  <c r="CE219" i="1"/>
  <c r="CE186" i="1"/>
  <c r="CE188" i="1"/>
  <c r="AX62" i="1"/>
  <c r="AZ238" i="1"/>
  <c r="AZ240" i="1" s="1"/>
  <c r="AG61" i="1"/>
  <c r="AG62" i="1" s="1"/>
  <c r="AI219" i="1"/>
  <c r="AI188" i="1"/>
  <c r="AI186" i="1"/>
  <c r="Z240" i="1"/>
  <c r="Y240" i="1"/>
  <c r="CJ30" i="1"/>
  <c r="CJ33" i="1"/>
  <c r="AZ64" i="1"/>
  <c r="AZ34" i="1"/>
  <c r="AN30" i="1"/>
  <c r="AN33" i="1"/>
  <c r="T64" i="1"/>
  <c r="Z194" i="1" s="1"/>
  <c r="T34" i="1"/>
  <c r="CQ220" i="1"/>
  <c r="CQ187" i="1"/>
  <c r="CN238" i="1"/>
  <c r="CN240" i="1" s="1"/>
  <c r="BU61" i="1"/>
  <c r="BY26" i="1"/>
  <c r="BI238" i="1"/>
  <c r="AU220" i="1"/>
  <c r="AU187" i="1"/>
  <c r="AR238" i="1"/>
  <c r="AR240" i="1" s="1"/>
  <c r="AN327" i="1"/>
  <c r="AN328" i="1" s="1"/>
  <c r="AH367" i="1"/>
  <c r="AH368" i="1" s="1"/>
  <c r="AK327" i="1"/>
  <c r="AK328" i="1" s="1"/>
  <c r="AL327" i="1"/>
  <c r="AL328" i="1" s="1"/>
  <c r="AM327" i="1"/>
  <c r="AM328" i="1" s="1"/>
  <c r="AO237" i="1"/>
  <c r="AO221" i="1"/>
  <c r="AO184" i="1"/>
  <c r="AO20" i="1"/>
  <c r="Q237" i="1"/>
  <c r="Q221" i="1"/>
  <c r="Q184" i="1"/>
  <c r="Q38" i="1"/>
  <c r="Q20" i="1"/>
  <c r="Q42" i="1"/>
  <c r="M240" i="1"/>
  <c r="CP225" i="1"/>
  <c r="CP209" i="1"/>
  <c r="CP192" i="1"/>
  <c r="CP59" i="1"/>
  <c r="BP192" i="1"/>
  <c r="BK209" i="1"/>
  <c r="BK225" i="1"/>
  <c r="BK192" i="1"/>
  <c r="BK59" i="1"/>
  <c r="AY59" i="1"/>
  <c r="AT225" i="1"/>
  <c r="AT209" i="1"/>
  <c r="AT192" i="1"/>
  <c r="AT59" i="1"/>
  <c r="AO223" i="1"/>
  <c r="K38" i="1"/>
  <c r="CM30" i="1"/>
  <c r="CM33" i="1"/>
  <c r="CQ29" i="1"/>
  <c r="CQ30" i="1" s="1"/>
  <c r="BC33" i="1"/>
  <c r="AM33" i="1"/>
  <c r="CE26" i="1"/>
  <c r="BS219" i="1"/>
  <c r="BS188" i="1"/>
  <c r="BS186" i="1"/>
  <c r="AG238" i="1"/>
  <c r="AG240" i="1" s="1"/>
  <c r="BL201" i="1"/>
  <c r="BL237" i="1"/>
  <c r="D58" i="1"/>
  <c r="D64" i="1" s="1"/>
  <c r="BS56" i="1"/>
  <c r="BS92" i="1" s="1"/>
  <c r="CB225" i="1"/>
  <c r="CB209" i="1"/>
  <c r="CB192" i="1"/>
  <c r="CB59" i="1"/>
  <c r="AX225" i="1"/>
  <c r="AX209" i="1"/>
  <c r="AX192" i="1"/>
  <c r="AX59" i="1"/>
  <c r="AC222" i="1"/>
  <c r="Q220" i="1"/>
  <c r="CE220" i="1"/>
  <c r="CE187" i="1"/>
  <c r="CB238" i="1"/>
  <c r="CB240" i="1" s="1"/>
  <c r="BG220" i="1"/>
  <c r="BG187" i="1"/>
  <c r="AI220" i="1"/>
  <c r="AI187" i="1"/>
  <c r="CQ237" i="1"/>
  <c r="CQ221" i="1"/>
  <c r="CQ184" i="1"/>
  <c r="CQ11" i="1"/>
  <c r="CQ10" i="1"/>
  <c r="CQ20" i="1"/>
  <c r="AQ240" i="1"/>
  <c r="AO216" i="1"/>
  <c r="Q216" i="1"/>
  <c r="AB240" i="1"/>
  <c r="AO217" i="1"/>
  <c r="AI20" i="1"/>
  <c r="DG32" i="1"/>
  <c r="DM32" i="1" s="1"/>
  <c r="BJ64" i="1"/>
  <c r="BJ34" i="1"/>
  <c r="P274" i="1"/>
  <c r="P273" i="1" s="1"/>
  <c r="P75" i="1"/>
  <c r="Q225" i="1"/>
  <c r="Q192" i="1"/>
  <c r="Q59" i="1"/>
  <c r="BS51" i="1"/>
  <c r="BS50" i="1"/>
  <c r="AM352" i="1"/>
  <c r="AL352" i="1"/>
  <c r="AN352" i="1"/>
  <c r="AK352" i="1"/>
  <c r="AO51" i="1"/>
  <c r="AO50" i="1"/>
  <c r="CQ224" i="1"/>
  <c r="CQ191" i="1"/>
  <c r="CQ47" i="1"/>
  <c r="CQ46" i="1"/>
  <c r="CK241" i="1"/>
  <c r="CK223" i="1"/>
  <c r="CK190" i="1"/>
  <c r="CK42" i="1"/>
  <c r="CK43" i="1"/>
  <c r="BX225" i="1"/>
  <c r="BX209" i="1"/>
  <c r="BX192" i="1"/>
  <c r="BX59" i="1"/>
  <c r="BD312" i="1"/>
  <c r="BD92" i="1"/>
  <c r="CY92" i="1"/>
  <c r="DC56" i="1"/>
  <c r="DC92" i="1" s="1"/>
  <c r="CK73" i="1"/>
  <c r="CA225" i="1"/>
  <c r="CA209" i="1"/>
  <c r="CA192" i="1"/>
  <c r="CA59" i="1"/>
  <c r="CE58" i="1"/>
  <c r="AX312" i="1"/>
  <c r="AX92" i="1"/>
  <c r="CH225" i="1"/>
  <c r="CH209" i="1"/>
  <c r="CH192" i="1"/>
  <c r="CH59" i="1"/>
  <c r="CS92" i="1"/>
  <c r="CW56" i="1"/>
  <c r="CW92" i="1" s="1"/>
  <c r="BA56" i="1"/>
  <c r="BA92" i="1" s="1"/>
  <c r="AW352" i="1"/>
  <c r="BA51" i="1"/>
  <c r="BA50" i="1"/>
  <c r="CK224" i="1"/>
  <c r="CK191" i="1"/>
  <c r="CK47" i="1"/>
  <c r="CK46" i="1"/>
  <c r="BM191" i="1"/>
  <c r="BM47" i="1"/>
  <c r="CE222" i="1"/>
  <c r="CE189" i="1"/>
  <c r="CE39" i="1"/>
  <c r="CE38" i="1"/>
  <c r="CI225" i="1"/>
  <c r="CI209" i="1"/>
  <c r="CI192" i="1"/>
  <c r="CI59" i="1"/>
  <c r="BW225" i="1"/>
  <c r="BW209" i="1"/>
  <c r="BW192" i="1"/>
  <c r="BW59" i="1"/>
  <c r="BE225" i="1"/>
  <c r="BE209" i="1"/>
  <c r="BE192" i="1"/>
  <c r="BE59" i="1"/>
  <c r="AW225" i="1"/>
  <c r="AW192" i="1"/>
  <c r="AW209" i="1"/>
  <c r="BA58" i="1"/>
  <c r="BA238" i="1" s="1"/>
  <c r="BA240" i="1" s="1"/>
  <c r="AW59" i="1"/>
  <c r="AM209" i="1"/>
  <c r="AM225" i="1"/>
  <c r="AM192" i="1"/>
  <c r="AM59" i="1"/>
  <c r="BM189" i="1"/>
  <c r="BM39" i="1"/>
  <c r="AO222" i="1"/>
  <c r="AO189" i="1"/>
  <c r="AO38" i="1"/>
  <c r="AO39" i="1"/>
  <c r="CO33" i="1"/>
  <c r="CO30" i="1"/>
  <c r="CC33" i="1"/>
  <c r="CC30" i="1"/>
  <c r="BQ33" i="1"/>
  <c r="BQ30" i="1"/>
  <c r="BE33" i="1"/>
  <c r="BE30" i="1"/>
  <c r="AS33" i="1"/>
  <c r="AS30" i="1"/>
  <c r="AG33" i="1"/>
  <c r="AG30" i="1"/>
  <c r="CM61" i="1"/>
  <c r="CQ26" i="1"/>
  <c r="CO238" i="1"/>
  <c r="CA238" i="1"/>
  <c r="CA240" i="1" s="1"/>
  <c r="BM187" i="1"/>
  <c r="AQ61" i="1"/>
  <c r="AU26" i="1"/>
  <c r="AS238" i="1"/>
  <c r="AS240" i="1" s="1"/>
  <c r="BJ240" i="1"/>
  <c r="J240" i="1"/>
  <c r="CQ241" i="1"/>
  <c r="CQ223" i="1"/>
  <c r="CQ190" i="1"/>
  <c r="CQ42" i="1"/>
  <c r="CQ43" i="1"/>
  <c r="CD192" i="1"/>
  <c r="AU241" i="1"/>
  <c r="AU223" i="1"/>
  <c r="AU190" i="1"/>
  <c r="AU42" i="1"/>
  <c r="AU43" i="1"/>
  <c r="BA222" i="1"/>
  <c r="BA189" i="1"/>
  <c r="BA39" i="1"/>
  <c r="BA38" i="1"/>
  <c r="AU222" i="1"/>
  <c r="AU189" i="1"/>
  <c r="AU39" i="1"/>
  <c r="AU38" i="1"/>
  <c r="CB64" i="1"/>
  <c r="CB34" i="1"/>
  <c r="BP30" i="1"/>
  <c r="BP33" i="1"/>
  <c r="AF64" i="1"/>
  <c r="AF34" i="1"/>
  <c r="CI61" i="1"/>
  <c r="CI62" i="1" s="1"/>
  <c r="CK219" i="1"/>
  <c r="CK186" i="1"/>
  <c r="CK188" i="1"/>
  <c r="BR61" i="1"/>
  <c r="BD61" i="1"/>
  <c r="BD62" i="1" s="1"/>
  <c r="BF238" i="1"/>
  <c r="BF240" i="1" s="1"/>
  <c r="AM61" i="1"/>
  <c r="AO219" i="1"/>
  <c r="AO188" i="1"/>
  <c r="AO186" i="1"/>
  <c r="CK237" i="1"/>
  <c r="CK221" i="1"/>
  <c r="CK184" i="1"/>
  <c r="CK20" i="1"/>
  <c r="CK10" i="1"/>
  <c r="CK11" i="1"/>
  <c r="AY192" i="1"/>
  <c r="CI33" i="1"/>
  <c r="BU32" i="1"/>
  <c r="BY31" i="1"/>
  <c r="BY32" i="1" s="1"/>
  <c r="BG29" i="1"/>
  <c r="BG30" i="1" s="1"/>
  <c r="AO31" i="1"/>
  <c r="AO32" i="1" s="1"/>
  <c r="S64" i="1"/>
  <c r="S34" i="1"/>
  <c r="W33" i="1"/>
  <c r="W34" i="1" s="1"/>
  <c r="G64" i="1"/>
  <c r="G34" i="1"/>
  <c r="K33" i="1"/>
  <c r="K34" i="1" s="1"/>
  <c r="CQ219" i="1"/>
  <c r="CQ188" i="1"/>
  <c r="CQ186" i="1"/>
  <c r="CA61" i="1"/>
  <c r="BO238" i="1"/>
  <c r="AN238" i="1"/>
  <c r="AN240" i="1" s="1"/>
  <c r="AO224" i="1"/>
  <c r="AO191" i="1"/>
  <c r="AO47" i="1"/>
  <c r="AO46" i="1"/>
  <c r="CJ225" i="1"/>
  <c r="CJ209" i="1"/>
  <c r="CJ192" i="1"/>
  <c r="CJ59" i="1"/>
  <c r="BO225" i="1"/>
  <c r="BO192" i="1"/>
  <c r="BO209" i="1"/>
  <c r="BO59" i="1"/>
  <c r="BS58" i="1"/>
  <c r="BF225" i="1"/>
  <c r="BF209" i="1"/>
  <c r="BF192" i="1"/>
  <c r="BF59" i="1"/>
  <c r="CQ222" i="1"/>
  <c r="CQ189" i="1"/>
  <c r="CQ39" i="1"/>
  <c r="CQ38" i="1"/>
  <c r="CP30" i="1"/>
  <c r="DB30" i="1" s="1"/>
  <c r="CP33" i="1"/>
  <c r="AT30" i="1"/>
  <c r="AT33" i="1"/>
  <c r="BW61" i="1"/>
  <c r="BW62" i="1" s="1"/>
  <c r="BY219" i="1"/>
  <c r="BY188" i="1"/>
  <c r="BY186" i="1"/>
  <c r="BA219" i="1"/>
  <c r="BA188" i="1"/>
  <c r="BA186" i="1"/>
  <c r="BS237" i="1"/>
  <c r="BS221" i="1"/>
  <c r="BK284" i="1"/>
  <c r="BK285" i="1" s="1"/>
  <c r="BK237" i="1"/>
  <c r="BK221" i="1"/>
  <c r="BK201" i="1"/>
  <c r="BK184" i="1"/>
  <c r="BK21" i="1"/>
  <c r="BK20" i="1"/>
  <c r="AX380" i="1"/>
  <c r="AN367" i="1"/>
  <c r="AN368" i="1" s="1"/>
  <c r="AT327" i="1"/>
  <c r="AT328" i="1" s="1"/>
  <c r="AW380" i="1"/>
  <c r="AQ327" i="1"/>
  <c r="AQ328" i="1" s="1"/>
  <c r="AR327" i="1"/>
  <c r="AR328" i="1" s="1"/>
  <c r="AS327" i="1"/>
  <c r="AS328" i="1" s="1"/>
  <c r="AU237" i="1"/>
  <c r="AU221" i="1"/>
  <c r="AU184" i="1"/>
  <c r="AU50" i="1"/>
  <c r="AU11" i="1"/>
  <c r="AU10" i="1"/>
  <c r="AU20" i="1"/>
  <c r="AE240" i="1"/>
  <c r="AA240" i="1"/>
  <c r="S240" i="1"/>
  <c r="BK217" i="1"/>
  <c r="BM236" i="1"/>
  <c r="BM182" i="1"/>
  <c r="BM14" i="1"/>
  <c r="BM19" i="1"/>
  <c r="BS14" i="1"/>
  <c r="BS216" i="1"/>
  <c r="AI184" i="1"/>
  <c r="BA184" i="1"/>
  <c r="CK26" i="1"/>
  <c r="BM26" i="1"/>
  <c r="AO26" i="1"/>
  <c r="W184" i="1"/>
  <c r="Y227" i="1"/>
  <c r="Y137" i="1"/>
  <c r="Y138" i="1" s="1"/>
  <c r="Y93" i="1"/>
  <c r="Y99" i="1"/>
  <c r="Y67" i="1"/>
  <c r="Y77" i="1"/>
  <c r="Y65" i="1"/>
  <c r="U227" i="1"/>
  <c r="U137" i="1"/>
  <c r="U138" i="1" s="1"/>
  <c r="U99" i="1"/>
  <c r="U93" i="1"/>
  <c r="U77" i="1"/>
  <c r="U67" i="1"/>
  <c r="U65" i="1"/>
  <c r="J227" i="1"/>
  <c r="J137" i="1"/>
  <c r="J138" i="1" s="1"/>
  <c r="J99" i="1"/>
  <c r="J67" i="1"/>
  <c r="J77" i="1"/>
  <c r="J65" i="1"/>
  <c r="BV33" i="1"/>
  <c r="I227" i="1"/>
  <c r="I137" i="1"/>
  <c r="I138" i="1" s="1"/>
  <c r="I99" i="1"/>
  <c r="I77" i="1"/>
  <c r="I67" i="1"/>
  <c r="I65" i="1"/>
  <c r="CD64" i="1"/>
  <c r="CD34" i="1"/>
  <c r="CO225" i="1"/>
  <c r="CO209" i="1"/>
  <c r="CO192" i="1"/>
  <c r="CO59" i="1"/>
  <c r="CK71" i="1"/>
  <c r="CS71" i="1"/>
  <c r="CG225" i="1"/>
  <c r="CG209" i="1"/>
  <c r="CG192" i="1"/>
  <c r="CK58" i="1"/>
  <c r="CG59" i="1"/>
  <c r="BM241" i="1"/>
  <c r="BM190" i="1"/>
  <c r="BM43" i="1"/>
  <c r="AZ225" i="1"/>
  <c r="AZ209" i="1"/>
  <c r="AZ192" i="1"/>
  <c r="AZ59" i="1"/>
  <c r="AY312" i="1"/>
  <c r="AY92" i="1"/>
  <c r="CW51" i="1"/>
  <c r="BC225" i="1"/>
  <c r="BC209" i="1"/>
  <c r="BC192" i="1"/>
  <c r="BC59" i="1"/>
  <c r="BG58" i="1"/>
  <c r="BG238" i="1" s="1"/>
  <c r="BG240" i="1" s="1"/>
  <c r="CA92" i="1"/>
  <c r="CE56" i="1"/>
  <c r="CE92" i="1" s="1"/>
  <c r="DC51" i="1"/>
  <c r="BJ225" i="1"/>
  <c r="BJ209" i="1"/>
  <c r="BJ192" i="1"/>
  <c r="BJ59" i="1"/>
  <c r="DI51" i="1"/>
  <c r="AI50" i="1"/>
  <c r="BG222" i="1"/>
  <c r="BG189" i="1"/>
  <c r="BG39" i="1"/>
  <c r="BG38" i="1"/>
  <c r="BR225" i="1"/>
  <c r="BR209" i="1"/>
  <c r="BR192" i="1"/>
  <c r="BR59" i="1"/>
  <c r="BA241" i="1"/>
  <c r="BA223" i="1"/>
  <c r="BA190" i="1"/>
  <c r="BA43" i="1"/>
  <c r="BA42" i="1"/>
  <c r="AI222" i="1"/>
  <c r="AI189" i="1"/>
  <c r="AI39" i="1"/>
  <c r="AI38" i="1"/>
  <c r="BX238" i="1"/>
  <c r="BX240" i="1" s="1"/>
  <c r="BE61" i="1"/>
  <c r="BG219" i="1"/>
  <c r="BG186" i="1"/>
  <c r="BG188" i="1"/>
  <c r="AN61" i="1"/>
  <c r="AT62" i="1" s="1"/>
  <c r="N240" i="1"/>
  <c r="AI58" i="1"/>
  <c r="BV225" i="1"/>
  <c r="BV209" i="1"/>
  <c r="BV192" i="1"/>
  <c r="BV59" i="1"/>
  <c r="BD209" i="1"/>
  <c r="BD225" i="1"/>
  <c r="BD192" i="1"/>
  <c r="BD59" i="1"/>
  <c r="DB32" i="1"/>
  <c r="BX64" i="1"/>
  <c r="BX34" i="1"/>
  <c r="BL30" i="1"/>
  <c r="BL33" i="1"/>
  <c r="AB64" i="1"/>
  <c r="AB34" i="1"/>
  <c r="P64" i="1"/>
  <c r="P34" i="1"/>
  <c r="CS61" i="1"/>
  <c r="CG238" i="1"/>
  <c r="CG240" i="1" s="1"/>
  <c r="BS220" i="1"/>
  <c r="BS187" i="1"/>
  <c r="BP238" i="1"/>
  <c r="AW61" i="1"/>
  <c r="BA26" i="1"/>
  <c r="AY238" i="1"/>
  <c r="AY240" i="1" s="1"/>
  <c r="AK238" i="1"/>
  <c r="AK240" i="1" s="1"/>
  <c r="K237" i="1"/>
  <c r="K221" i="1"/>
  <c r="K184" i="1"/>
  <c r="K46" i="1"/>
  <c r="K20" i="1"/>
  <c r="G11" i="1"/>
  <c r="K42" i="1"/>
  <c r="G10" i="1"/>
  <c r="BY237" i="1"/>
  <c r="BY221" i="1"/>
  <c r="BY184" i="1"/>
  <c r="BY20" i="1"/>
  <c r="CC225" i="1"/>
  <c r="CC209" i="1"/>
  <c r="CC192" i="1"/>
  <c r="CC59" i="1"/>
  <c r="BU225" i="1"/>
  <c r="BU192" i="1"/>
  <c r="BU209" i="1"/>
  <c r="BY58" i="1"/>
  <c r="BY238" i="1" s="1"/>
  <c r="BU59" i="1"/>
  <c r="K222" i="1"/>
  <c r="CK31" i="1"/>
  <c r="CK32" i="1" s="1"/>
  <c r="BO30" i="1"/>
  <c r="BO33" i="1"/>
  <c r="BS29" i="1"/>
  <c r="BS30" i="1" s="1"/>
  <c r="AW32" i="1"/>
  <c r="BA31" i="1"/>
  <c r="BA32" i="1" s="1"/>
  <c r="AI29" i="1"/>
  <c r="AI30" i="1" s="1"/>
  <c r="K219" i="1"/>
  <c r="BX61" i="1"/>
  <c r="BX62" i="1" s="1"/>
  <c r="BJ61" i="1"/>
  <c r="BA220" i="1"/>
  <c r="BA187" i="1"/>
  <c r="AX238" i="1"/>
  <c r="AX240" i="1" s="1"/>
  <c r="AI26" i="1"/>
  <c r="CQ56" i="1"/>
  <c r="CQ92" i="1" s="1"/>
  <c r="CS238" i="1"/>
  <c r="CS240" i="1" s="1"/>
  <c r="CP238" i="1"/>
  <c r="CP240" i="1" s="1"/>
  <c r="CI238" i="1"/>
  <c r="CI240" i="1" s="1"/>
  <c r="BU238" i="1"/>
  <c r="BU240" i="1" s="1"/>
  <c r="BR238" i="1"/>
  <c r="BR240" i="1" s="1"/>
  <c r="BK238" i="1"/>
  <c r="AW238" i="1"/>
  <c r="AW240" i="1" s="1"/>
  <c r="AT238" i="1"/>
  <c r="AT240" i="1" s="1"/>
  <c r="AM238" i="1"/>
  <c r="AM240" i="1" s="1"/>
  <c r="CE237" i="1"/>
  <c r="CE221" i="1"/>
  <c r="CE184" i="1"/>
  <c r="CE11" i="1"/>
  <c r="CE20" i="1"/>
  <c r="CE10" i="1"/>
  <c r="K217" i="1"/>
  <c r="P240" i="1"/>
  <c r="BY216" i="1"/>
  <c r="BK33" i="1"/>
  <c r="AI221" i="1"/>
  <c r="BA221" i="1"/>
  <c r="E239" i="1"/>
  <c r="E227" i="1"/>
  <c r="E137" i="1"/>
  <c r="E138" i="1" s="1"/>
  <c r="E99" i="1"/>
  <c r="E77" i="1"/>
  <c r="E84" i="1" s="1"/>
  <c r="E192" i="42" s="1"/>
  <c r="E226" i="42" s="1"/>
  <c r="E65" i="1"/>
  <c r="CG61" i="1"/>
  <c r="BI61" i="1"/>
  <c r="C89" i="1"/>
  <c r="C86" i="1"/>
  <c r="C242" i="1" s="1"/>
  <c r="AH64" i="1"/>
  <c r="AH34" i="1"/>
  <c r="BG221" i="1"/>
  <c r="BC328" i="1"/>
  <c r="AL64" i="1"/>
  <c r="AL34" i="1"/>
  <c r="BU105" i="1"/>
  <c r="BY105" i="1" s="1"/>
  <c r="CA82" i="1"/>
  <c r="BY82" i="1"/>
  <c r="AK225" i="1"/>
  <c r="AK209" i="1"/>
  <c r="AK192" i="1"/>
  <c r="AO58" i="1"/>
  <c r="AK59" i="1"/>
  <c r="AC225" i="1"/>
  <c r="AC192" i="1"/>
  <c r="AC59" i="1"/>
  <c r="CQ51" i="1"/>
  <c r="CQ50" i="1"/>
  <c r="CV276" i="1"/>
  <c r="DB105" i="1"/>
  <c r="DH82" i="1"/>
  <c r="DE105" i="1"/>
  <c r="H274" i="1"/>
  <c r="H273" i="1" s="1"/>
  <c r="H75" i="1"/>
  <c r="I72" i="1"/>
  <c r="BQ225" i="1"/>
  <c r="BQ209" i="1"/>
  <c r="BQ192" i="1"/>
  <c r="BQ59" i="1"/>
  <c r="BE312" i="1"/>
  <c r="BE92" i="1"/>
  <c r="BS224" i="1"/>
  <c r="BS191" i="1"/>
  <c r="BS46" i="1"/>
  <c r="BS47" i="1"/>
  <c r="AK312" i="1"/>
  <c r="AO56" i="1"/>
  <c r="BY50" i="1"/>
  <c r="BY51" i="1"/>
  <c r="BY224" i="1"/>
  <c r="BY191" i="1"/>
  <c r="BY46" i="1"/>
  <c r="BY47" i="1"/>
  <c r="W225" i="1"/>
  <c r="W192" i="1"/>
  <c r="W59" i="1"/>
  <c r="CE51" i="1"/>
  <c r="CE50" i="1"/>
  <c r="AH225" i="1"/>
  <c r="AH209" i="1"/>
  <c r="AH192" i="1"/>
  <c r="AH59" i="1"/>
  <c r="BU92" i="1"/>
  <c r="BY56" i="1"/>
  <c r="BY92" i="1" s="1"/>
  <c r="DI56" i="1"/>
  <c r="DI92" i="1" s="1"/>
  <c r="CK51" i="1"/>
  <c r="CN225" i="1"/>
  <c r="CN209" i="1"/>
  <c r="CN192" i="1"/>
  <c r="CN59" i="1"/>
  <c r="AR225" i="1"/>
  <c r="AR209" i="1"/>
  <c r="AR192" i="1"/>
  <c r="AR59" i="1"/>
  <c r="BY222" i="1"/>
  <c r="BY189" i="1"/>
  <c r="BY39" i="1"/>
  <c r="BY38" i="1"/>
  <c r="BS222" i="1"/>
  <c r="BS189" i="1"/>
  <c r="BS39" i="1"/>
  <c r="BS38" i="1"/>
  <c r="CS33" i="1"/>
  <c r="CS30" i="1"/>
  <c r="CY30" i="1" s="1"/>
  <c r="CG33" i="1"/>
  <c r="CK29" i="1"/>
  <c r="CK30" i="1" s="1"/>
  <c r="CG30" i="1"/>
  <c r="BU33" i="1"/>
  <c r="BY29" i="1"/>
  <c r="BY30" i="1" s="1"/>
  <c r="BU30" i="1"/>
  <c r="BI33" i="1"/>
  <c r="BM29" i="1"/>
  <c r="BM30" i="1" s="1"/>
  <c r="BI30" i="1"/>
  <c r="AW33" i="1"/>
  <c r="BA29" i="1"/>
  <c r="BA30" i="1" s="1"/>
  <c r="AW30" i="1"/>
  <c r="AK33" i="1"/>
  <c r="AO29" i="1"/>
  <c r="AO30" i="1" s="1"/>
  <c r="AK30" i="1"/>
  <c r="CK220" i="1"/>
  <c r="CK187" i="1"/>
  <c r="CH238" i="1"/>
  <c r="CH240" i="1" s="1"/>
  <c r="BO61" i="1"/>
  <c r="BS26" i="1"/>
  <c r="BQ238" i="1"/>
  <c r="BQ240" i="1" s="1"/>
  <c r="BC238" i="1"/>
  <c r="BC240" i="1" s="1"/>
  <c r="AO220" i="1"/>
  <c r="AO187" i="1"/>
  <c r="AL238" i="1"/>
  <c r="AL240" i="1" s="1"/>
  <c r="V240" i="1"/>
  <c r="T240" i="1"/>
  <c r="CM225" i="1"/>
  <c r="CM209" i="1"/>
  <c r="CM192" i="1"/>
  <c r="CM59" i="1"/>
  <c r="CQ58" i="1"/>
  <c r="BL225" i="1"/>
  <c r="BL209" i="1"/>
  <c r="BL192" i="1"/>
  <c r="BL59" i="1"/>
  <c r="AQ225" i="1"/>
  <c r="AQ209" i="1"/>
  <c r="AQ192" i="1"/>
  <c r="AQ59" i="1"/>
  <c r="AU58" i="1"/>
  <c r="AU238" i="1" s="1"/>
  <c r="AL225" i="1"/>
  <c r="AL209" i="1"/>
  <c r="AL192" i="1"/>
  <c r="AL59" i="1"/>
  <c r="CN30" i="1"/>
  <c r="CN33" i="1"/>
  <c r="BD64" i="1"/>
  <c r="BD34" i="1"/>
  <c r="AR30" i="1"/>
  <c r="AR33" i="1"/>
  <c r="H64" i="1"/>
  <c r="M239" i="1" s="1"/>
  <c r="H34" i="1"/>
  <c r="CP62" i="1"/>
  <c r="CB62" i="1"/>
  <c r="CD238" i="1"/>
  <c r="CD240" i="1" s="1"/>
  <c r="BM238" i="1"/>
  <c r="BM186" i="1"/>
  <c r="BM188" i="1"/>
  <c r="AH238" i="1"/>
  <c r="AH240" i="1" s="1"/>
  <c r="CO240" i="1"/>
  <c r="BI240" i="1"/>
  <c r="BE240" i="1"/>
  <c r="AB327" i="1"/>
  <c r="AB328" i="1" s="1"/>
  <c r="V367" i="1"/>
  <c r="V368" i="1" s="1"/>
  <c r="Y327" i="1"/>
  <c r="Y328" i="1" s="1"/>
  <c r="Z327" i="1"/>
  <c r="Z328" i="1" s="1"/>
  <c r="AA327" i="1"/>
  <c r="AA328" i="1" s="1"/>
  <c r="AC237" i="1"/>
  <c r="AC240" i="1" s="1"/>
  <c r="AC221" i="1"/>
  <c r="AC184" i="1"/>
  <c r="AC20" i="1"/>
  <c r="AC38" i="1"/>
  <c r="U240" i="1"/>
  <c r="BG224" i="1"/>
  <c r="BG191" i="1"/>
  <c r="BG47" i="1"/>
  <c r="BG46" i="1"/>
  <c r="AI224" i="1"/>
  <c r="AI191" i="1"/>
  <c r="AI47" i="1"/>
  <c r="AI46" i="1"/>
  <c r="BY241" i="1"/>
  <c r="BY223" i="1"/>
  <c r="BY190" i="1"/>
  <c r="BY43" i="1"/>
  <c r="BY42" i="1"/>
  <c r="BP59" i="1"/>
  <c r="CS32" i="1"/>
  <c r="CY32" i="1" s="1"/>
  <c r="CA33" i="1"/>
  <c r="BM31" i="1"/>
  <c r="BM32" i="1" s="1"/>
  <c r="AQ30" i="1"/>
  <c r="AQ33" i="1"/>
  <c r="AU29" i="1"/>
  <c r="AU30" i="1" s="1"/>
  <c r="AA64" i="1"/>
  <c r="AA34" i="1"/>
  <c r="O64" i="1"/>
  <c r="O34" i="1"/>
  <c r="D34" i="1"/>
  <c r="W238" i="1"/>
  <c r="W240" i="1" s="1"/>
  <c r="K238" i="1"/>
  <c r="CH61" i="1"/>
  <c r="CH62" i="1" s="1"/>
  <c r="CJ238" i="1"/>
  <c r="CJ240" i="1" s="1"/>
  <c r="BY220" i="1"/>
  <c r="BY187" i="1"/>
  <c r="BV238" i="1"/>
  <c r="BV240" i="1" s="1"/>
  <c r="BG26" i="1"/>
  <c r="AS61" i="1"/>
  <c r="AU219" i="1"/>
  <c r="AU188" i="1"/>
  <c r="AU186" i="1"/>
  <c r="CE224" i="1"/>
  <c r="CE191" i="1"/>
  <c r="CE47" i="1"/>
  <c r="CE46" i="1"/>
  <c r="BS241" i="1"/>
  <c r="BS223" i="1"/>
  <c r="BS190" i="1"/>
  <c r="BS42" i="1"/>
  <c r="BS43" i="1"/>
  <c r="CK222" i="1"/>
  <c r="CK189" i="1"/>
  <c r="CK38" i="1"/>
  <c r="CK39" i="1"/>
  <c r="BR30" i="1"/>
  <c r="BR33" i="1"/>
  <c r="V64" i="1"/>
  <c r="Y211" i="1" s="1"/>
  <c r="V34" i="1"/>
  <c r="BF61" i="1"/>
  <c r="AH61" i="1"/>
  <c r="AH62" i="1" s="1"/>
  <c r="E240" i="1"/>
  <c r="BO237" i="1"/>
  <c r="O240" i="1"/>
  <c r="CE216" i="1"/>
  <c r="AC216" i="1"/>
  <c r="BP237" i="1"/>
  <c r="BA231" i="1"/>
  <c r="CH64" i="1"/>
  <c r="CH34" i="1"/>
  <c r="BW33" i="1"/>
  <c r="AY33" i="1"/>
  <c r="W20" i="1"/>
  <c r="Z227" i="1"/>
  <c r="Z211" i="1"/>
  <c r="Z137" i="1"/>
  <c r="Z138" i="1" s="1"/>
  <c r="Z99" i="1"/>
  <c r="Z93" i="1"/>
  <c r="Z77" i="1"/>
  <c r="Z67" i="1"/>
  <c r="Z65" i="1"/>
  <c r="N227" i="1"/>
  <c r="N239" i="1"/>
  <c r="N137" i="1"/>
  <c r="N138" i="1" s="1"/>
  <c r="N93" i="1"/>
  <c r="N99" i="1"/>
  <c r="N77" i="1"/>
  <c r="N65" i="1"/>
  <c r="N67" i="1"/>
  <c r="C108" i="1"/>
  <c r="C107" i="1"/>
  <c r="AX33" i="1"/>
  <c r="M227" i="1"/>
  <c r="M137" i="1"/>
  <c r="M138" i="1" s="1"/>
  <c r="M93" i="1"/>
  <c r="M99" i="1"/>
  <c r="M77" i="1"/>
  <c r="M67" i="1"/>
  <c r="Q64" i="1"/>
  <c r="M65" i="1"/>
  <c r="DF32" i="1"/>
  <c r="DL32" i="1" s="1"/>
  <c r="BF64" i="1"/>
  <c r="BF34" i="1"/>
  <c r="CS72" i="42"/>
  <c r="CY72" i="42" s="1"/>
  <c r="DE72" i="42" s="1"/>
  <c r="DK72" i="42" s="1"/>
  <c r="CE173" i="1"/>
  <c r="BG172" i="42" l="1"/>
  <c r="BG178" i="42" s="1"/>
  <c r="BG179" i="42" s="1"/>
  <c r="CY89" i="42"/>
  <c r="DE89" i="42" s="1"/>
  <c r="DK89" i="42" s="1"/>
  <c r="DC152" i="42"/>
  <c r="CV106" i="1"/>
  <c r="CV104" i="1"/>
  <c r="AI99" i="3"/>
  <c r="Z239" i="1"/>
  <c r="DE258" i="1"/>
  <c r="DN67" i="42"/>
  <c r="DO67" i="42" s="1"/>
  <c r="DI67" i="42"/>
  <c r="DI50" i="3"/>
  <c r="DK50" i="3"/>
  <c r="BF62" i="1"/>
  <c r="DH105" i="1"/>
  <c r="DN82" i="1"/>
  <c r="DN105" i="1" s="1"/>
  <c r="BE62" i="1"/>
  <c r="AM62" i="1"/>
  <c r="C139" i="1"/>
  <c r="DF105" i="1"/>
  <c r="DL82" i="1"/>
  <c r="CL178" i="41"/>
  <c r="DM14" i="3"/>
  <c r="DL86" i="3"/>
  <c r="CK167" i="1"/>
  <c r="T110" i="442"/>
  <c r="K18" i="442"/>
  <c r="DG113" i="3"/>
  <c r="DH123" i="3"/>
  <c r="DI123" i="3" s="1"/>
  <c r="CT172" i="42"/>
  <c r="CT178" i="42" s="1"/>
  <c r="CT179" i="42" s="1"/>
  <c r="CW136" i="41"/>
  <c r="CW246" i="41" s="1"/>
  <c r="BT148" i="41"/>
  <c r="BE178" i="41"/>
  <c r="DI82" i="1"/>
  <c r="CK9" i="1"/>
  <c r="CW124" i="3"/>
  <c r="DP95" i="41"/>
  <c r="DV101" i="41" s="1"/>
  <c r="BM165" i="3"/>
  <c r="BS175" i="1"/>
  <c r="DN95" i="41"/>
  <c r="BH178" i="41"/>
  <c r="AZ212" i="41"/>
  <c r="BR212" i="41"/>
  <c r="BA212" i="41"/>
  <c r="BB212" i="41"/>
  <c r="CD178" i="41"/>
  <c r="CI178" i="41"/>
  <c r="CK144" i="41"/>
  <c r="CF144" i="41"/>
  <c r="CK212" i="41"/>
  <c r="CS211" i="41"/>
  <c r="CW212" i="41"/>
  <c r="CG175" i="41"/>
  <c r="DB38" i="3"/>
  <c r="DC38" i="3" s="1"/>
  <c r="DB37" i="3"/>
  <c r="DC37" i="3" s="1"/>
  <c r="AB172" i="42"/>
  <c r="AB178" i="42" s="1"/>
  <c r="AB167" i="42" s="1"/>
  <c r="BZ254" i="41"/>
  <c r="CJ119" i="3"/>
  <c r="CK119" i="3" s="1"/>
  <c r="BT157" i="41"/>
  <c r="BT156" i="41"/>
  <c r="BU9" i="41"/>
  <c r="BS26" i="41"/>
  <c r="BS27" i="41" s="1"/>
  <c r="BS20" i="41"/>
  <c r="BS19" i="41"/>
  <c r="BT125" i="41"/>
  <c r="BT124" i="41" s="1"/>
  <c r="AU44" i="41"/>
  <c r="AU318" i="41"/>
  <c r="AU56" i="41"/>
  <c r="AU217" i="41"/>
  <c r="AU219" i="41" s="1"/>
  <c r="AU58" i="41"/>
  <c r="AU55" i="41"/>
  <c r="BW10" i="41"/>
  <c r="BW9" i="41"/>
  <c r="BX8" i="41"/>
  <c r="BW155" i="41"/>
  <c r="BW17" i="41"/>
  <c r="AS63" i="41"/>
  <c r="AS64" i="41"/>
  <c r="AT45" i="41"/>
  <c r="AT40" i="41"/>
  <c r="AT46" i="41"/>
  <c r="AU34" i="41"/>
  <c r="AU33" i="41"/>
  <c r="AV38" i="41"/>
  <c r="AV37" i="41"/>
  <c r="AV54" i="41"/>
  <c r="AW36" i="41"/>
  <c r="AY36" i="41"/>
  <c r="AV32" i="41"/>
  <c r="BT18" i="41"/>
  <c r="BT320" i="41"/>
  <c r="BT321" i="41" s="1"/>
  <c r="AT59" i="41"/>
  <c r="AT62" i="41"/>
  <c r="AT60" i="41"/>
  <c r="AS41" i="41"/>
  <c r="CV212" i="41"/>
  <c r="DB212" i="41"/>
  <c r="CD119" i="3"/>
  <c r="CE119" i="3" s="1"/>
  <c r="CW46" i="3"/>
  <c r="AC169" i="42"/>
  <c r="CL144" i="41"/>
  <c r="AZ261" i="41"/>
  <c r="AC160" i="3"/>
  <c r="AC162" i="3" s="1"/>
  <c r="AC144" i="3"/>
  <c r="AC103" i="3"/>
  <c r="AK181" i="41"/>
  <c r="AC158" i="3"/>
  <c r="AC139" i="3"/>
  <c r="AC140" i="3" s="1"/>
  <c r="AU158" i="3"/>
  <c r="AU156" i="3"/>
  <c r="AU103" i="3"/>
  <c r="BC181" i="41"/>
  <c r="AU160" i="3"/>
  <c r="AU162" i="3" s="1"/>
  <c r="AU144" i="3"/>
  <c r="AU139" i="3"/>
  <c r="BO175" i="41"/>
  <c r="BX178" i="41"/>
  <c r="BT141" i="41"/>
  <c r="W111" i="3"/>
  <c r="W115" i="3" s="1"/>
  <c r="CM211" i="41"/>
  <c r="CD62" i="1"/>
  <c r="AS62" i="1"/>
  <c r="BM219" i="1"/>
  <c r="BK62" i="1"/>
  <c r="BM42" i="1"/>
  <c r="BM223" i="1"/>
  <c r="AU231" i="1"/>
  <c r="BR62" i="1"/>
  <c r="CQ231" i="1"/>
  <c r="AO219" i="41"/>
  <c r="CX178" i="41"/>
  <c r="AT212" i="41"/>
  <c r="CK136" i="41"/>
  <c r="CK135" i="41" s="1"/>
  <c r="CK124" i="41" s="1"/>
  <c r="BM212" i="41"/>
  <c r="AQ211" i="41"/>
  <c r="AQ212" i="41" s="1"/>
  <c r="CJ144" i="41"/>
  <c r="AK212" i="41"/>
  <c r="AW175" i="41"/>
  <c r="BU146" i="41"/>
  <c r="BU147" i="41" s="1"/>
  <c r="BK178" i="41"/>
  <c r="CR136" i="41"/>
  <c r="CR246" i="41" s="1"/>
  <c r="AS219" i="41"/>
  <c r="BL178" i="41"/>
  <c r="CC178" i="41"/>
  <c r="DA144" i="41"/>
  <c r="AQ41" i="41"/>
  <c r="AG60" i="3"/>
  <c r="AG31" i="3"/>
  <c r="AG69" i="3" s="1"/>
  <c r="AG70" i="3" s="1"/>
  <c r="AG66" i="3"/>
  <c r="AG67" i="3" s="1"/>
  <c r="AH119" i="3"/>
  <c r="AH56" i="3"/>
  <c r="AI56" i="3" s="1"/>
  <c r="AI46" i="3"/>
  <c r="U60" i="3"/>
  <c r="U31" i="3"/>
  <c r="U69" i="3" s="1"/>
  <c r="AA70" i="3" s="1"/>
  <c r="CP46" i="3"/>
  <c r="CQ46" i="3" s="1"/>
  <c r="CW52" i="3"/>
  <c r="CV125" i="3"/>
  <c r="CW125" i="3" s="1"/>
  <c r="BS165" i="42"/>
  <c r="BR169" i="42"/>
  <c r="BR172" i="42" s="1"/>
  <c r="DH47" i="3"/>
  <c r="AR70" i="3"/>
  <c r="AQ119" i="41"/>
  <c r="U103" i="3"/>
  <c r="U160" i="3"/>
  <c r="U162" i="3" s="1"/>
  <c r="AC181" i="41"/>
  <c r="U144" i="3"/>
  <c r="BX119" i="3"/>
  <c r="BY119" i="3" s="1"/>
  <c r="BM46" i="3"/>
  <c r="BL56" i="3"/>
  <c r="AU150" i="1"/>
  <c r="AC181" i="42"/>
  <c r="CY272" i="42"/>
  <c r="CY52" i="3"/>
  <c r="BK129" i="3"/>
  <c r="BK133" i="3" s="1"/>
  <c r="CS147" i="41"/>
  <c r="AW147" i="41"/>
  <c r="BG178" i="41"/>
  <c r="BU139" i="41"/>
  <c r="BQ142" i="41" s="1"/>
  <c r="BT143" i="41"/>
  <c r="BT144" i="41" s="1"/>
  <c r="CE144" i="41"/>
  <c r="AY172" i="42"/>
  <c r="DE11" i="42"/>
  <c r="DE38" i="3" s="1"/>
  <c r="DC11" i="42"/>
  <c r="BI169" i="42"/>
  <c r="CZ165" i="42"/>
  <c r="CZ172" i="42" s="1"/>
  <c r="DA182" i="42"/>
  <c r="DC22" i="42"/>
  <c r="DE22" i="42"/>
  <c r="BL119" i="3"/>
  <c r="BL129" i="3" s="1"/>
  <c r="BL133" i="3" s="1"/>
  <c r="AG101" i="3"/>
  <c r="AI101" i="3" s="1"/>
  <c r="DH46" i="3"/>
  <c r="CP172" i="42"/>
  <c r="CQ172" i="42" s="1"/>
  <c r="CQ178" i="42" s="1"/>
  <c r="CQ179" i="42" s="1"/>
  <c r="CD144" i="41"/>
  <c r="CU88" i="3"/>
  <c r="BA169" i="42"/>
  <c r="AS145" i="3"/>
  <c r="CY175" i="41"/>
  <c r="AC180" i="41"/>
  <c r="BY140" i="41"/>
  <c r="BY254" i="41" s="1"/>
  <c r="BO119" i="41"/>
  <c r="AT178" i="41"/>
  <c r="AW119" i="41"/>
  <c r="BB178" i="41"/>
  <c r="BS143" i="41"/>
  <c r="BY144" i="41" s="1"/>
  <c r="AZ180" i="41"/>
  <c r="BZ178" i="41"/>
  <c r="CO119" i="3"/>
  <c r="BJ165" i="42"/>
  <c r="BK182" i="42"/>
  <c r="DB119" i="3"/>
  <c r="DC119" i="3" s="1"/>
  <c r="BF254" i="1"/>
  <c r="BG57" i="42"/>
  <c r="BG254" i="1" s="1"/>
  <c r="BF59" i="42"/>
  <c r="DB110" i="3"/>
  <c r="DC110" i="3" s="1"/>
  <c r="AF31" i="3"/>
  <c r="AF69" i="3" s="1"/>
  <c r="AF70" i="3" s="1"/>
  <c r="AF66" i="3"/>
  <c r="AF67" i="3" s="1"/>
  <c r="AF60" i="3"/>
  <c r="U133" i="3"/>
  <c r="U137" i="3" s="1"/>
  <c r="V135" i="3" s="1"/>
  <c r="AM144" i="41"/>
  <c r="AM124" i="41"/>
  <c r="CG122" i="41"/>
  <c r="BP240" i="1"/>
  <c r="BP90" i="42"/>
  <c r="BP89" i="42"/>
  <c r="BP88" i="42"/>
  <c r="BP92" i="42"/>
  <c r="BP94" i="42"/>
  <c r="BP93" i="42"/>
  <c r="CW249" i="41"/>
  <c r="CX249" i="41"/>
  <c r="CK249" i="41"/>
  <c r="K57" i="442"/>
  <c r="K185" i="442"/>
  <c r="CD260" i="41"/>
  <c r="CD249" i="41"/>
  <c r="CM122" i="41"/>
  <c r="CM134" i="41"/>
  <c r="CI136" i="41"/>
  <c r="J153" i="442"/>
  <c r="J143" i="442"/>
  <c r="BX212" i="41"/>
  <c r="CO254" i="41"/>
  <c r="CO249" i="41"/>
  <c r="CS248" i="41"/>
  <c r="AW211" i="41"/>
  <c r="AW212" i="41" s="1"/>
  <c r="AS212" i="41"/>
  <c r="AN124" i="41"/>
  <c r="BK122" i="41"/>
  <c r="CR249" i="41"/>
  <c r="AZ124" i="41"/>
  <c r="AU163" i="1"/>
  <c r="AU160" i="1"/>
  <c r="AS144" i="41"/>
  <c r="AS178" i="41"/>
  <c r="BH124" i="41"/>
  <c r="BQ178" i="41"/>
  <c r="BQ144" i="41"/>
  <c r="CC249" i="41"/>
  <c r="CG248" i="41"/>
  <c r="CQ136" i="41"/>
  <c r="DA254" i="41"/>
  <c r="DA246" i="41"/>
  <c r="DA135" i="41"/>
  <c r="DA124" i="41" s="1"/>
  <c r="DA137" i="41"/>
  <c r="BH212" i="41"/>
  <c r="AP142" i="41"/>
  <c r="AV144" i="41" s="1"/>
  <c r="BA124" i="41"/>
  <c r="AZ178" i="41"/>
  <c r="AZ260" i="41"/>
  <c r="AZ249" i="41"/>
  <c r="AZ251" i="41" s="1"/>
  <c r="AQ147" i="41"/>
  <c r="BF178" i="41"/>
  <c r="CF178" i="41"/>
  <c r="CF249" i="41"/>
  <c r="CX144" i="41"/>
  <c r="CU136" i="41"/>
  <c r="CY134" i="41"/>
  <c r="CY147" i="41"/>
  <c r="BI175" i="41"/>
  <c r="CG211" i="41"/>
  <c r="CC212" i="41"/>
  <c r="AE212" i="41"/>
  <c r="BC147" i="41"/>
  <c r="CM147" i="41"/>
  <c r="V113" i="41"/>
  <c r="BR249" i="41"/>
  <c r="BR260" i="41"/>
  <c r="BR254" i="41"/>
  <c r="AT124" i="41"/>
  <c r="CJ178" i="41"/>
  <c r="CJ136" i="41"/>
  <c r="BX144" i="41"/>
  <c r="CA122" i="41"/>
  <c r="BW143" i="41"/>
  <c r="BW144" i="41" s="1"/>
  <c r="BS180" i="41"/>
  <c r="BS248" i="41"/>
  <c r="BU248" i="41" s="1"/>
  <c r="BS120" i="41"/>
  <c r="BS119" i="41" s="1"/>
  <c r="BS122" i="41" s="1"/>
  <c r="BU122" i="41" s="1"/>
  <c r="BS177" i="41"/>
  <c r="BS178" i="41" s="1"/>
  <c r="BS179" i="41"/>
  <c r="BS141" i="41"/>
  <c r="BS140" i="41"/>
  <c r="BK72" i="42"/>
  <c r="BC211" i="41"/>
  <c r="BC212" i="41" s="1"/>
  <c r="AY212" i="41"/>
  <c r="CY211" i="41"/>
  <c r="CI212" i="41"/>
  <c r="Q240" i="1"/>
  <c r="Q94" i="42"/>
  <c r="Q89" i="42"/>
  <c r="Q92" i="42"/>
  <c r="Q93" i="42"/>
  <c r="Q90" i="42"/>
  <c r="Q88" i="42"/>
  <c r="BH251" i="41"/>
  <c r="BH257" i="41" s="1"/>
  <c r="BH255" i="41"/>
  <c r="BH254" i="41"/>
  <c r="AJ124" i="41"/>
  <c r="X113" i="41"/>
  <c r="AE179" i="41"/>
  <c r="AE140" i="41"/>
  <c r="AE119" i="41"/>
  <c r="CX254" i="41"/>
  <c r="CX136" i="41"/>
  <c r="AT215" i="41"/>
  <c r="AT219" i="41"/>
  <c r="CI254" i="41"/>
  <c r="J93" i="442"/>
  <c r="J94" i="442" s="1"/>
  <c r="K93" i="442"/>
  <c r="J103" i="442"/>
  <c r="K104" i="442" s="1"/>
  <c r="J88" i="442"/>
  <c r="J131" i="442"/>
  <c r="CE124" i="41"/>
  <c r="BX249" i="41"/>
  <c r="BX260" i="41"/>
  <c r="CL249" i="41"/>
  <c r="BN178" i="41"/>
  <c r="CO178" i="41"/>
  <c r="CS119" i="41"/>
  <c r="CC93" i="42"/>
  <c r="CC92" i="42"/>
  <c r="CC89" i="42"/>
  <c r="CC88" i="42"/>
  <c r="CC94" i="42"/>
  <c r="CC90" i="42"/>
  <c r="BW212" i="41"/>
  <c r="CA211" i="41"/>
  <c r="CR254" i="41"/>
  <c r="Y140" i="41"/>
  <c r="Y111" i="41"/>
  <c r="Y179" i="41"/>
  <c r="Y180" i="41"/>
  <c r="CM175" i="41"/>
  <c r="AC124" i="41"/>
  <c r="BM178" i="41"/>
  <c r="AN219" i="41"/>
  <c r="BL249" i="41"/>
  <c r="BL260" i="41"/>
  <c r="BM72" i="42"/>
  <c r="BR144" i="41"/>
  <c r="CG134" i="41"/>
  <c r="CC135" i="41"/>
  <c r="CC124" i="41" s="1"/>
  <c r="CQ249" i="41"/>
  <c r="CQ254" i="41"/>
  <c r="DA178" i="41"/>
  <c r="AK180" i="41"/>
  <c r="AK140" i="41"/>
  <c r="AK179" i="41"/>
  <c r="AC72" i="42"/>
  <c r="AV124" i="41"/>
  <c r="BT178" i="41"/>
  <c r="BT142" i="41"/>
  <c r="BF249" i="41"/>
  <c r="BF251" i="41" s="1"/>
  <c r="BF260" i="41"/>
  <c r="BF261" i="41"/>
  <c r="BO147" i="41"/>
  <c r="CF254" i="41"/>
  <c r="CL124" i="41"/>
  <c r="CY248" i="41"/>
  <c r="CU249" i="41"/>
  <c r="CY119" i="41"/>
  <c r="CU254" i="41"/>
  <c r="BQ62" i="1"/>
  <c r="BC180" i="41"/>
  <c r="BC333" i="41"/>
  <c r="BC337" i="41" s="1"/>
  <c r="BC142" i="41"/>
  <c r="BC177" i="41"/>
  <c r="BC179" i="41"/>
  <c r="BC140" i="41"/>
  <c r="AU72" i="42"/>
  <c r="BC119" i="41"/>
  <c r="BX124" i="41"/>
  <c r="CV260" i="41"/>
  <c r="CV249" i="41"/>
  <c r="CV254" i="41"/>
  <c r="CP254" i="41"/>
  <c r="BW249" i="41"/>
  <c r="CA248" i="41"/>
  <c r="CA119" i="41"/>
  <c r="BS175" i="41"/>
  <c r="BT176" i="41"/>
  <c r="BU174" i="41"/>
  <c r="BS176" i="41"/>
  <c r="BS148" i="41"/>
  <c r="BS147" i="41"/>
  <c r="CQ212" i="41"/>
  <c r="CR212" i="41"/>
  <c r="BO211" i="41"/>
  <c r="BO240" i="1"/>
  <c r="BO94" i="42"/>
  <c r="BO93" i="42"/>
  <c r="BO92" i="42"/>
  <c r="BO90" i="42"/>
  <c r="BO89" i="42"/>
  <c r="BO88" i="42"/>
  <c r="K93" i="42"/>
  <c r="K94" i="42"/>
  <c r="K88" i="42"/>
  <c r="K89" i="42"/>
  <c r="K90" i="42"/>
  <c r="K92" i="42"/>
  <c r="BK90" i="42"/>
  <c r="BK89" i="42"/>
  <c r="BK88" i="42"/>
  <c r="BK94" i="42"/>
  <c r="BK93" i="42"/>
  <c r="BK92" i="42"/>
  <c r="BL240" i="1"/>
  <c r="BL94" i="42"/>
  <c r="BL93" i="42"/>
  <c r="BL92" i="42"/>
  <c r="BL90" i="42"/>
  <c r="BL89" i="42"/>
  <c r="BL88" i="42"/>
  <c r="AZ181" i="42"/>
  <c r="BA181" i="42" s="1"/>
  <c r="AM122" i="41"/>
  <c r="CK254" i="41"/>
  <c r="CK246" i="41"/>
  <c r="AP215" i="41"/>
  <c r="AP219" i="41"/>
  <c r="CM119" i="41"/>
  <c r="K28" i="442"/>
  <c r="J28" i="442"/>
  <c r="J185" i="442"/>
  <c r="J57" i="442"/>
  <c r="AE147" i="41"/>
  <c r="CL254" i="41"/>
  <c r="CL136" i="41"/>
  <c r="BN249" i="41"/>
  <c r="CE249" i="41"/>
  <c r="CS122" i="41"/>
  <c r="CR144" i="41"/>
  <c r="CO144" i="41"/>
  <c r="CO136" i="41"/>
  <c r="CS134" i="41"/>
  <c r="BK249" i="41"/>
  <c r="BO248" i="41"/>
  <c r="BT212" i="41"/>
  <c r="CY86" i="3"/>
  <c r="CZ14" i="3"/>
  <c r="CR178" i="41"/>
  <c r="AA124" i="41"/>
  <c r="AU124" i="41"/>
  <c r="W113" i="41"/>
  <c r="BM249" i="41"/>
  <c r="AO72" i="42"/>
  <c r="AW179" i="41"/>
  <c r="AW177" i="41"/>
  <c r="AW142" i="41"/>
  <c r="AW333" i="41"/>
  <c r="AW337" i="41" s="1"/>
  <c r="AW140" i="41"/>
  <c r="BB144" i="41"/>
  <c r="BQ249" i="41"/>
  <c r="AH124" i="41"/>
  <c r="AU142" i="41"/>
  <c r="AZ144" i="41"/>
  <c r="BZ124" i="41"/>
  <c r="BT249" i="41"/>
  <c r="CF124" i="41"/>
  <c r="CG135" i="41"/>
  <c r="CW144" i="41"/>
  <c r="CY122" i="41"/>
  <c r="CV144" i="41"/>
  <c r="BZ212" i="41"/>
  <c r="CJ212" i="41"/>
  <c r="AY178" i="41"/>
  <c r="BE124" i="41"/>
  <c r="K88" i="442"/>
  <c r="K131" i="442"/>
  <c r="K145" i="442" s="1"/>
  <c r="M145" i="442" s="1"/>
  <c r="N145" i="442" s="1"/>
  <c r="CV111" i="41"/>
  <c r="AV178" i="41"/>
  <c r="BA178" i="41"/>
  <c r="BG124" i="41"/>
  <c r="BW135" i="41"/>
  <c r="BW124" i="41" s="1"/>
  <c r="CA134" i="41"/>
  <c r="CE212" i="41"/>
  <c r="AU212" i="41"/>
  <c r="AV212" i="41"/>
  <c r="BF212" i="41"/>
  <c r="CJ62" i="1"/>
  <c r="AR62" i="1"/>
  <c r="AZ62" i="1"/>
  <c r="CF212" i="41"/>
  <c r="DI105" i="1"/>
  <c r="J48" i="442"/>
  <c r="BU181" i="41"/>
  <c r="BM117" i="42"/>
  <c r="BM68" i="42"/>
  <c r="BN181" i="41"/>
  <c r="BN180" i="41"/>
  <c r="K143" i="442"/>
  <c r="K153" i="442"/>
  <c r="AD124" i="41"/>
  <c r="AG124" i="41"/>
  <c r="CW254" i="41"/>
  <c r="AO142" i="41"/>
  <c r="AQ179" i="41"/>
  <c r="AQ142" i="41"/>
  <c r="AQ177" i="41"/>
  <c r="AI72" i="42"/>
  <c r="AQ140" i="41"/>
  <c r="CP249" i="41"/>
  <c r="CP260" i="41"/>
  <c r="CP246" i="41"/>
  <c r="CP135" i="41"/>
  <c r="CP124" i="41" s="1"/>
  <c r="CV126" i="41" s="1"/>
  <c r="BI211" i="41"/>
  <c r="BI212" i="41" s="1"/>
  <c r="BE212" i="41"/>
  <c r="AI124" i="41"/>
  <c r="CD254" i="41"/>
  <c r="CM248" i="41"/>
  <c r="CI249" i="41"/>
  <c r="BY249" i="41"/>
  <c r="AP124" i="41"/>
  <c r="CD124" i="41"/>
  <c r="CE178" i="41"/>
  <c r="CE254" i="41"/>
  <c r="CQ144" i="41"/>
  <c r="CP144" i="41"/>
  <c r="BS212" i="41"/>
  <c r="CY181" i="42"/>
  <c r="DC181" i="42" s="1"/>
  <c r="CY172" i="42"/>
  <c r="AO124" i="41"/>
  <c r="AW122" i="41"/>
  <c r="AY124" i="41"/>
  <c r="BQ254" i="41"/>
  <c r="CC254" i="41"/>
  <c r="CG119" i="41"/>
  <c r="CQ178" i="41"/>
  <c r="DA249" i="41"/>
  <c r="AK147" i="41"/>
  <c r="AK119" i="41"/>
  <c r="AU178" i="41"/>
  <c r="BF124" i="41"/>
  <c r="BI119" i="41"/>
  <c r="BT254" i="41"/>
  <c r="BZ249" i="41"/>
  <c r="CA135" i="41"/>
  <c r="BU211" i="41"/>
  <c r="BQ212" i="41"/>
  <c r="CU144" i="41"/>
  <c r="CU178" i="41"/>
  <c r="BY212" i="41"/>
  <c r="AU215" i="41"/>
  <c r="AY144" i="41"/>
  <c r="AB124" i="41"/>
  <c r="BR142" i="41"/>
  <c r="BR178" i="41"/>
  <c r="AN142" i="41"/>
  <c r="CV178" i="41"/>
  <c r="CJ254" i="41"/>
  <c r="CJ249" i="41"/>
  <c r="CJ260" i="41"/>
  <c r="CS175" i="41"/>
  <c r="BB124" i="41"/>
  <c r="BW178" i="41"/>
  <c r="BG212" i="41"/>
  <c r="CP212" i="41"/>
  <c r="BI175" i="42"/>
  <c r="BM171" i="42"/>
  <c r="BM175" i="42" s="1"/>
  <c r="BG171" i="42"/>
  <c r="BG175" i="42" s="1"/>
  <c r="BC175" i="42"/>
  <c r="BM145" i="42"/>
  <c r="BG145" i="42"/>
  <c r="CU86" i="3"/>
  <c r="CT86" i="3"/>
  <c r="DG14" i="3"/>
  <c r="DG86" i="3" s="1"/>
  <c r="DF86" i="3"/>
  <c r="CW151" i="42"/>
  <c r="DI151" i="42"/>
  <c r="DI152" i="42" s="1"/>
  <c r="DF181" i="42"/>
  <c r="S110" i="442"/>
  <c r="R154" i="442"/>
  <c r="DA120" i="41"/>
  <c r="DA119" i="41" s="1"/>
  <c r="DB167" i="41"/>
  <c r="BH26" i="41"/>
  <c r="BH27" i="41" s="1"/>
  <c r="BH20" i="41"/>
  <c r="BH19" i="41"/>
  <c r="BN19" i="41"/>
  <c r="CC280" i="41"/>
  <c r="BH318" i="41"/>
  <c r="BH217" i="41"/>
  <c r="BH214" i="41"/>
  <c r="BH44" i="41"/>
  <c r="BH56" i="41"/>
  <c r="BH58" i="41"/>
  <c r="BK321" i="41"/>
  <c r="BM321" i="41"/>
  <c r="BL321" i="41"/>
  <c r="BN321" i="41"/>
  <c r="BK26" i="41"/>
  <c r="BK19" i="41"/>
  <c r="BK20" i="41"/>
  <c r="BO18" i="41"/>
  <c r="BQ19" i="41"/>
  <c r="BL20" i="41"/>
  <c r="BL26" i="41"/>
  <c r="DJ198" i="41"/>
  <c r="DI199" i="41"/>
  <c r="DI202" i="41"/>
  <c r="DI201" i="41"/>
  <c r="DA260" i="1"/>
  <c r="BK33" i="41"/>
  <c r="BL32" i="41"/>
  <c r="BK36" i="41"/>
  <c r="AQ315" i="41"/>
  <c r="AQ313" i="41" s="1"/>
  <c r="AS315" i="41"/>
  <c r="AM313" i="41"/>
  <c r="BE74" i="41"/>
  <c r="BG312" i="41"/>
  <c r="BG52" i="41"/>
  <c r="BG66" i="41"/>
  <c r="BI50" i="41"/>
  <c r="BH312" i="41"/>
  <c r="BH52" i="41"/>
  <c r="BH66" i="41"/>
  <c r="BH69" i="41" s="1"/>
  <c r="BG318" i="41"/>
  <c r="BG214" i="41"/>
  <c r="BG217" i="41"/>
  <c r="BG44" i="41"/>
  <c r="BG56" i="41"/>
  <c r="BG58" i="41"/>
  <c r="BI54" i="41"/>
  <c r="DP101" i="41"/>
  <c r="BI18" i="41"/>
  <c r="AS70" i="3"/>
  <c r="W29" i="3"/>
  <c r="V101" i="3"/>
  <c r="AT145" i="3"/>
  <c r="DA20" i="3"/>
  <c r="DA92" i="3" s="1"/>
  <c r="AC147" i="3"/>
  <c r="Y145" i="3"/>
  <c r="AE145" i="3"/>
  <c r="AA140" i="3"/>
  <c r="AG140" i="3"/>
  <c r="BO129" i="3"/>
  <c r="BO133" i="3" s="1"/>
  <c r="BG60" i="3"/>
  <c r="AR160" i="3"/>
  <c r="AR162" i="3" s="1"/>
  <c r="AR158" i="3"/>
  <c r="AR156" i="3"/>
  <c r="AR144" i="3"/>
  <c r="AR133" i="3"/>
  <c r="AR139" i="3"/>
  <c r="AR103" i="3"/>
  <c r="CK172" i="42"/>
  <c r="CK178" i="42" s="1"/>
  <c r="CK179" i="42" s="1"/>
  <c r="CP181" i="42"/>
  <c r="CQ181" i="42" s="1"/>
  <c r="BG158" i="3"/>
  <c r="BG156" i="3"/>
  <c r="BG160" i="3"/>
  <c r="BG161" i="3" s="1"/>
  <c r="BG139" i="3"/>
  <c r="BG144" i="3"/>
  <c r="BG103" i="3"/>
  <c r="BG263" i="1"/>
  <c r="BG262" i="1"/>
  <c r="BG256" i="1"/>
  <c r="BG243" i="1"/>
  <c r="BM104" i="3"/>
  <c r="BG66" i="3"/>
  <c r="BG31" i="3"/>
  <c r="BG69" i="3" s="1"/>
  <c r="DB18" i="3"/>
  <c r="AS67" i="3"/>
  <c r="AT140" i="3"/>
  <c r="V60" i="3"/>
  <c r="V31" i="3"/>
  <c r="V69" i="3" s="1"/>
  <c r="W30" i="3"/>
  <c r="W31" i="3" s="1"/>
  <c r="W69" i="3" s="1"/>
  <c r="AC133" i="3"/>
  <c r="DE19" i="3"/>
  <c r="DC19" i="3"/>
  <c r="DA39" i="3"/>
  <c r="DA112" i="3" s="1"/>
  <c r="CJ39" i="3"/>
  <c r="CJ112" i="3" s="1"/>
  <c r="CI42" i="3"/>
  <c r="BM125" i="3"/>
  <c r="BF160" i="3"/>
  <c r="BF156" i="3"/>
  <c r="BF144" i="3"/>
  <c r="BF133" i="3"/>
  <c r="BF139" i="3"/>
  <c r="BF103" i="3"/>
  <c r="BF256" i="1"/>
  <c r="BF243" i="1"/>
  <c r="BF263" i="1"/>
  <c r="BF262" i="1"/>
  <c r="BK243" i="1"/>
  <c r="BI243" i="1"/>
  <c r="BL104" i="3"/>
  <c r="BJ243" i="1"/>
  <c r="BQ45" i="3"/>
  <c r="BP56" i="3"/>
  <c r="BP60" i="3" s="1"/>
  <c r="P60" i="3"/>
  <c r="Q30" i="3"/>
  <c r="Q31" i="3" s="1"/>
  <c r="Q69" i="3" s="1"/>
  <c r="Q70" i="3" s="1"/>
  <c r="P31" i="3"/>
  <c r="P69" i="3" s="1"/>
  <c r="P70" i="3" s="1"/>
  <c r="BF70" i="3"/>
  <c r="BL70" i="3"/>
  <c r="DA54" i="3"/>
  <c r="DA127" i="3" s="1"/>
  <c r="K60" i="3"/>
  <c r="J64" i="3"/>
  <c r="K64" i="3" s="1"/>
  <c r="Y140" i="3"/>
  <c r="AE140" i="3"/>
  <c r="AA145" i="3"/>
  <c r="AG145" i="3"/>
  <c r="DH40" i="3"/>
  <c r="CW51" i="3"/>
  <c r="CY51" i="3"/>
  <c r="AS140" i="3"/>
  <c r="DB49" i="3"/>
  <c r="DB122" i="3" s="1"/>
  <c r="DC122" i="3" s="1"/>
  <c r="CG124" i="3"/>
  <c r="CH51" i="3"/>
  <c r="BW51" i="3"/>
  <c r="BX124" i="3" s="1"/>
  <c r="BF67" i="3"/>
  <c r="BL67" i="3"/>
  <c r="DC174" i="42"/>
  <c r="DC175" i="42" s="1"/>
  <c r="CY174" i="42"/>
  <c r="CY175" i="42" s="1"/>
  <c r="V179" i="42"/>
  <c r="V167" i="42"/>
  <c r="AB185" i="42"/>
  <c r="AE186" i="42"/>
  <c r="AG172" i="42"/>
  <c r="CW40" i="42"/>
  <c r="CW252" i="1" s="1"/>
  <c r="CV252" i="1"/>
  <c r="AR229" i="42"/>
  <c r="AR233" i="42" s="1"/>
  <c r="AU229" i="42"/>
  <c r="DH181" i="42"/>
  <c r="AB179" i="42"/>
  <c r="Y247" i="42"/>
  <c r="AB242" i="42"/>
  <c r="T248" i="42"/>
  <c r="T210" i="42"/>
  <c r="T217" i="42" s="1"/>
  <c r="AF179" i="42"/>
  <c r="AF167" i="42"/>
  <c r="AN169" i="42"/>
  <c r="AO169" i="42" s="1"/>
  <c r="CV175" i="42"/>
  <c r="CA263" i="42"/>
  <c r="BX264" i="42"/>
  <c r="CU266" i="42"/>
  <c r="CO270" i="42"/>
  <c r="CZ266" i="42"/>
  <c r="CZ269" i="42"/>
  <c r="CY40" i="42"/>
  <c r="CY270" i="42"/>
  <c r="BX60" i="42"/>
  <c r="BY59" i="42"/>
  <c r="BY60" i="42" s="1"/>
  <c r="CP266" i="42"/>
  <c r="CJ270" i="42"/>
  <c r="Q171" i="42"/>
  <c r="Q175" i="42" s="1"/>
  <c r="Y248" i="42"/>
  <c r="Y210" i="42"/>
  <c r="Y217" i="42" s="1"/>
  <c r="U209" i="42"/>
  <c r="U216" i="42" s="1"/>
  <c r="U246" i="42"/>
  <c r="V229" i="42"/>
  <c r="V233" i="42" s="1"/>
  <c r="T178" i="42"/>
  <c r="W172" i="42"/>
  <c r="W178" i="42" s="1"/>
  <c r="W179" i="42" s="1"/>
  <c r="AN175" i="42"/>
  <c r="AO171" i="42"/>
  <c r="AO175" i="42" s="1"/>
  <c r="AI171" i="42"/>
  <c r="AI175" i="42" s="1"/>
  <c r="CW171" i="42"/>
  <c r="CW175" i="42" s="1"/>
  <c r="P172" i="42"/>
  <c r="Q172" i="42" s="1"/>
  <c r="Q178" i="42" s="1"/>
  <c r="Q179" i="42" s="1"/>
  <c r="P181" i="42"/>
  <c r="Q181" i="42" s="1"/>
  <c r="AC248" i="42"/>
  <c r="AC210" i="42"/>
  <c r="AC217" i="42" s="1"/>
  <c r="BL112" i="42"/>
  <c r="BO113" i="42"/>
  <c r="I103" i="42"/>
  <c r="J101" i="42"/>
  <c r="Z246" i="42"/>
  <c r="Z209" i="42"/>
  <c r="Z216" i="42" s="1"/>
  <c r="AA229" i="42"/>
  <c r="AA233" i="42" s="1"/>
  <c r="AY75" i="42"/>
  <c r="AY74" i="42"/>
  <c r="DA275" i="42"/>
  <c r="CZ276" i="42"/>
  <c r="CZ41" i="42"/>
  <c r="CZ272" i="42" s="1"/>
  <c r="CS126" i="42"/>
  <c r="CT126" i="42" s="1"/>
  <c r="CP125" i="42"/>
  <c r="U132" i="42"/>
  <c r="T135" i="42"/>
  <c r="AH169" i="42"/>
  <c r="AI169" i="42" s="1"/>
  <c r="AI162" i="42"/>
  <c r="AB145" i="42"/>
  <c r="AC145" i="42" s="1"/>
  <c r="AB171" i="42"/>
  <c r="AB175" i="42" s="1"/>
  <c r="U213" i="42"/>
  <c r="U214" i="42"/>
  <c r="U215" i="42"/>
  <c r="T257" i="42"/>
  <c r="T247" i="42"/>
  <c r="U236" i="42"/>
  <c r="U240" i="42" s="1"/>
  <c r="DA50" i="42"/>
  <c r="AA179" i="42"/>
  <c r="AA167" i="42"/>
  <c r="BF227" i="1"/>
  <c r="BF194" i="1"/>
  <c r="BF99" i="1"/>
  <c r="BF93" i="1"/>
  <c r="BF77" i="1"/>
  <c r="BF65" i="1"/>
  <c r="BF67" i="1"/>
  <c r="Q239" i="1"/>
  <c r="Q227" i="1"/>
  <c r="Q137" i="1"/>
  <c r="Q65" i="1"/>
  <c r="M94" i="1"/>
  <c r="M95" i="1"/>
  <c r="N95" i="1"/>
  <c r="N96" i="1" s="1"/>
  <c r="N94" i="1"/>
  <c r="Z95" i="1"/>
  <c r="Z96" i="1" s="1"/>
  <c r="Z94" i="1"/>
  <c r="D239" i="1"/>
  <c r="D227" i="1"/>
  <c r="D194" i="1"/>
  <c r="D137" i="1"/>
  <c r="D138" i="1" s="1"/>
  <c r="D99" i="1"/>
  <c r="D100" i="1" s="1"/>
  <c r="D77" i="1"/>
  <c r="D65" i="1"/>
  <c r="AA239" i="1"/>
  <c r="AA227" i="1"/>
  <c r="AA211" i="1"/>
  <c r="AA194" i="1"/>
  <c r="AA137" i="1"/>
  <c r="AA138" i="1" s="1"/>
  <c r="AA99" i="1"/>
  <c r="AA93" i="1"/>
  <c r="AA77" i="1"/>
  <c r="AA67" i="1"/>
  <c r="AA65" i="1"/>
  <c r="H227" i="1"/>
  <c r="H137" i="1"/>
  <c r="H138" i="1" s="1"/>
  <c r="H99" i="1"/>
  <c r="H77" i="1"/>
  <c r="H67" i="1"/>
  <c r="H65" i="1"/>
  <c r="BD227" i="1"/>
  <c r="BD93" i="1"/>
  <c r="BD99" i="1"/>
  <c r="BD67" i="1"/>
  <c r="BD77" i="1"/>
  <c r="BD65" i="1"/>
  <c r="CQ225" i="1"/>
  <c r="CQ192" i="1"/>
  <c r="CQ59" i="1"/>
  <c r="AW64" i="1"/>
  <c r="BA33" i="1"/>
  <c r="BA34" i="1" s="1"/>
  <c r="AW34" i="1"/>
  <c r="CS64" i="1"/>
  <c r="CS34" i="1"/>
  <c r="I274" i="1"/>
  <c r="I273" i="1" s="1"/>
  <c r="J72" i="1"/>
  <c r="I75" i="1"/>
  <c r="AO225" i="1"/>
  <c r="AO192" i="1"/>
  <c r="AO59" i="1"/>
  <c r="E228" i="1"/>
  <c r="E89" i="1"/>
  <c r="E86" i="1"/>
  <c r="BK64" i="1"/>
  <c r="BK34" i="1"/>
  <c r="CE231" i="1"/>
  <c r="CS62" i="1"/>
  <c r="AB239" i="1"/>
  <c r="AB227" i="1"/>
  <c r="AB211" i="1"/>
  <c r="AB194" i="1"/>
  <c r="AB137" i="1"/>
  <c r="AB138" i="1" s="1"/>
  <c r="AB99" i="1"/>
  <c r="AB93" i="1"/>
  <c r="AB77" i="1"/>
  <c r="AB67" i="1"/>
  <c r="AB65" i="1"/>
  <c r="BX227" i="1"/>
  <c r="BX99" i="1"/>
  <c r="BX93" i="1"/>
  <c r="BX77" i="1"/>
  <c r="BX67" i="1"/>
  <c r="BX65" i="1"/>
  <c r="AN62" i="1"/>
  <c r="BG225" i="1"/>
  <c r="BG192" i="1"/>
  <c r="BG59" i="1"/>
  <c r="CY55" i="1"/>
  <c r="J84" i="1"/>
  <c r="J80" i="1"/>
  <c r="U139" i="1"/>
  <c r="U140" i="1"/>
  <c r="AC64" i="1"/>
  <c r="Y102" i="1"/>
  <c r="Y100" i="1"/>
  <c r="BJ367" i="1"/>
  <c r="BJ368" i="1" s="1"/>
  <c r="BM237" i="1"/>
  <c r="BM240" i="1" s="1"/>
  <c r="BM221" i="1"/>
  <c r="BM184" i="1"/>
  <c r="BM20" i="1"/>
  <c r="BM217" i="1"/>
  <c r="BM50" i="1"/>
  <c r="BS20" i="1"/>
  <c r="CA62" i="1"/>
  <c r="CE61" i="1"/>
  <c r="CQ238" i="1"/>
  <c r="CQ240" i="1" s="1"/>
  <c r="AF227" i="1"/>
  <c r="AF194" i="1"/>
  <c r="AF93" i="1"/>
  <c r="AF99" i="1"/>
  <c r="AF67" i="1"/>
  <c r="AF77" i="1"/>
  <c r="AF65" i="1"/>
  <c r="CB227" i="1"/>
  <c r="CB93" i="1"/>
  <c r="CB99" i="1"/>
  <c r="CB67" i="1"/>
  <c r="CB77" i="1"/>
  <c r="CB65" i="1"/>
  <c r="BM220" i="1"/>
  <c r="CM62" i="1"/>
  <c r="CQ61" i="1"/>
  <c r="AS64" i="1"/>
  <c r="AS34" i="1"/>
  <c r="BQ64" i="1"/>
  <c r="BQ34" i="1"/>
  <c r="CO64" i="1"/>
  <c r="CO34" i="1"/>
  <c r="BM222" i="1"/>
  <c r="CQ9" i="1"/>
  <c r="CM64" i="1"/>
  <c r="CM34" i="1"/>
  <c r="CQ33" i="1"/>
  <c r="CQ34" i="1" s="1"/>
  <c r="T239" i="1"/>
  <c r="T227" i="1"/>
  <c r="T137" i="1"/>
  <c r="T138" i="1" s="1"/>
  <c r="T93" i="1"/>
  <c r="T99" i="1"/>
  <c r="T67" i="1"/>
  <c r="Z69" i="1" s="1"/>
  <c r="T77" i="1"/>
  <c r="T65" i="1"/>
  <c r="AZ245" i="1"/>
  <c r="AZ246" i="1" s="1"/>
  <c r="AZ227" i="1"/>
  <c r="AZ99" i="1"/>
  <c r="AZ93" i="1"/>
  <c r="AZ77" i="1"/>
  <c r="AZ67" i="1"/>
  <c r="AZ65" i="1"/>
  <c r="CC62" i="1"/>
  <c r="BM225" i="1"/>
  <c r="BM192" i="1"/>
  <c r="BM59" i="1"/>
  <c r="CY114" i="1"/>
  <c r="CZ174" i="42" s="1"/>
  <c r="CZ175" i="42" s="1"/>
  <c r="CW114" i="1"/>
  <c r="AO61" i="1"/>
  <c r="M140" i="1"/>
  <c r="M139" i="1"/>
  <c r="AX64" i="1"/>
  <c r="BD194" i="1" s="1"/>
  <c r="AX34" i="1"/>
  <c r="N140" i="1"/>
  <c r="N139" i="1"/>
  <c r="Z102" i="1"/>
  <c r="Z100" i="1"/>
  <c r="CH227" i="1"/>
  <c r="CH194" i="1"/>
  <c r="CH93" i="1"/>
  <c r="CH99" i="1"/>
  <c r="CH67" i="1"/>
  <c r="CH77" i="1"/>
  <c r="CH65" i="1"/>
  <c r="V227" i="1"/>
  <c r="V239" i="1"/>
  <c r="V137" i="1"/>
  <c r="V138" i="1" s="1"/>
  <c r="V99" i="1"/>
  <c r="V93" i="1"/>
  <c r="V77" i="1"/>
  <c r="V65" i="1"/>
  <c r="V67" i="1"/>
  <c r="AI61" i="1"/>
  <c r="AI62" i="1" s="1"/>
  <c r="CA64" i="1"/>
  <c r="CA34" i="1"/>
  <c r="CE33" i="1"/>
  <c r="CE34" i="1" s="1"/>
  <c r="AR64" i="1"/>
  <c r="AR34" i="1"/>
  <c r="CN64" i="1"/>
  <c r="CN34" i="1"/>
  <c r="AK64" i="1"/>
  <c r="AL211" i="1" s="1"/>
  <c r="AO33" i="1"/>
  <c r="AO34" i="1" s="1"/>
  <c r="AK34" i="1"/>
  <c r="CG64" i="1"/>
  <c r="CH211" i="1" s="1"/>
  <c r="CK33" i="1"/>
  <c r="CK34" i="1" s="1"/>
  <c r="CG34" i="1"/>
  <c r="CZ274" i="1"/>
  <c r="CY276" i="1"/>
  <c r="BI62" i="1"/>
  <c r="BM61" i="1"/>
  <c r="E102" i="1"/>
  <c r="E100" i="1"/>
  <c r="BO64" i="1"/>
  <c r="BO34" i="1"/>
  <c r="BS33" i="1"/>
  <c r="BS34" i="1" s="1"/>
  <c r="G9" i="1"/>
  <c r="H11" i="1"/>
  <c r="BL64" i="1"/>
  <c r="BL34" i="1"/>
  <c r="CK225" i="1"/>
  <c r="CK192" i="1"/>
  <c r="CK59" i="1"/>
  <c r="I80" i="1"/>
  <c r="I84" i="1"/>
  <c r="J239" i="1"/>
  <c r="U80" i="1"/>
  <c r="U84" i="1"/>
  <c r="U192" i="42" s="1"/>
  <c r="Y94" i="1"/>
  <c r="Y95" i="1"/>
  <c r="Y239" i="1"/>
  <c r="AU240" i="1"/>
  <c r="BS184" i="1"/>
  <c r="AY62" i="1"/>
  <c r="CP64" i="1"/>
  <c r="CP34" i="1"/>
  <c r="CK231" i="1"/>
  <c r="AO238" i="1"/>
  <c r="CK238" i="1"/>
  <c r="CK240" i="1" s="1"/>
  <c r="BP64" i="1"/>
  <c r="BP34" i="1"/>
  <c r="BM224" i="1"/>
  <c r="D238" i="1"/>
  <c r="D240" i="1" s="1"/>
  <c r="D225" i="1"/>
  <c r="D192" i="1"/>
  <c r="E192" i="1"/>
  <c r="E59" i="1"/>
  <c r="AM64" i="1"/>
  <c r="AM34" i="1"/>
  <c r="AO240" i="1"/>
  <c r="AN64" i="1"/>
  <c r="AN34" i="1"/>
  <c r="CJ64" i="1"/>
  <c r="CJ34" i="1"/>
  <c r="I276" i="1"/>
  <c r="J73" i="1"/>
  <c r="J276" i="1" s="1"/>
  <c r="BG61" i="1"/>
  <c r="CS249" i="1"/>
  <c r="M80" i="1"/>
  <c r="M84" i="1"/>
  <c r="M192" i="42" s="1"/>
  <c r="N80" i="1"/>
  <c r="N84" i="1"/>
  <c r="N192" i="42" s="1"/>
  <c r="Z68" i="1"/>
  <c r="Z139" i="1"/>
  <c r="Z140" i="1"/>
  <c r="AY64" i="1"/>
  <c r="AY34" i="1"/>
  <c r="BR64" i="1"/>
  <c r="BR34" i="1"/>
  <c r="O239" i="1"/>
  <c r="O227" i="1"/>
  <c r="O137" i="1"/>
  <c r="O99" i="1"/>
  <c r="O93" i="1"/>
  <c r="O67" i="1"/>
  <c r="O77" i="1"/>
  <c r="O65" i="1"/>
  <c r="AQ64" i="1"/>
  <c r="AQ34" i="1"/>
  <c r="AU33" i="1"/>
  <c r="AU34" i="1" s="1"/>
  <c r="BU64" i="1"/>
  <c r="BY33" i="1"/>
  <c r="BY34" i="1" s="1"/>
  <c r="BU34" i="1"/>
  <c r="DE30" i="1"/>
  <c r="DK30" i="1" s="1"/>
  <c r="AL245" i="1"/>
  <c r="AL227" i="1"/>
  <c r="AL194" i="1"/>
  <c r="AL93" i="1"/>
  <c r="AL99" i="1"/>
  <c r="AL77" i="1"/>
  <c r="AL67" i="1"/>
  <c r="AL65" i="1"/>
  <c r="AH245" i="1"/>
  <c r="AH227" i="1"/>
  <c r="AH194" i="1"/>
  <c r="AH99" i="1"/>
  <c r="AH93" i="1"/>
  <c r="AH77" i="1"/>
  <c r="AH65" i="1"/>
  <c r="AH67" i="1"/>
  <c r="CG62" i="1"/>
  <c r="CK61" i="1"/>
  <c r="E140" i="1"/>
  <c r="E139" i="1"/>
  <c r="BJ62" i="1"/>
  <c r="BP62" i="1"/>
  <c r="BY225" i="1"/>
  <c r="BY192" i="1"/>
  <c r="BY59" i="1"/>
  <c r="BY240" i="1"/>
  <c r="K240" i="1"/>
  <c r="AW62" i="1"/>
  <c r="BA61" i="1"/>
  <c r="P239" i="1"/>
  <c r="P227" i="1"/>
  <c r="P137" i="1"/>
  <c r="P138" i="1" s="1"/>
  <c r="P99" i="1"/>
  <c r="P93" i="1"/>
  <c r="P77" i="1"/>
  <c r="P67" i="1"/>
  <c r="P65" i="1"/>
  <c r="DH32" i="1"/>
  <c r="DN32" i="1" s="1"/>
  <c r="CD227" i="1"/>
  <c r="CD194" i="1"/>
  <c r="CD99" i="1"/>
  <c r="CD93" i="1"/>
  <c r="CD77" i="1"/>
  <c r="CD65" i="1"/>
  <c r="CD67" i="1"/>
  <c r="I102" i="1"/>
  <c r="I100" i="1"/>
  <c r="BV64" i="1"/>
  <c r="BV34" i="1"/>
  <c r="J100" i="1"/>
  <c r="J102" i="1"/>
  <c r="U95" i="1"/>
  <c r="U96" i="1" s="1"/>
  <c r="U94" i="1"/>
  <c r="U239" i="1"/>
  <c r="Y84" i="1"/>
  <c r="Y192" i="42" s="1"/>
  <c r="Y80" i="1"/>
  <c r="Y139" i="1"/>
  <c r="Y140" i="1"/>
  <c r="BK240" i="1"/>
  <c r="S239" i="1"/>
  <c r="S227" i="1"/>
  <c r="S137" i="1"/>
  <c r="S138" i="1" s="1"/>
  <c r="S93" i="1"/>
  <c r="S99" i="1"/>
  <c r="S77" i="1"/>
  <c r="W64" i="1"/>
  <c r="S65" i="1"/>
  <c r="S67" i="1"/>
  <c r="AQ62" i="1"/>
  <c r="AU61" i="1"/>
  <c r="AU62" i="1" s="1"/>
  <c r="AG64" i="1"/>
  <c r="AG34" i="1"/>
  <c r="BE64" i="1"/>
  <c r="BE34" i="1"/>
  <c r="CC64" i="1"/>
  <c r="CD239" i="1" s="1"/>
  <c r="CC34" i="1"/>
  <c r="BM38" i="1"/>
  <c r="BA225" i="1"/>
  <c r="BA192" i="1"/>
  <c r="BA59" i="1"/>
  <c r="BM46" i="1"/>
  <c r="CE225" i="1"/>
  <c r="CE192" i="1"/>
  <c r="CE59" i="1"/>
  <c r="BC64" i="1"/>
  <c r="BD211" i="1" s="1"/>
  <c r="BC34" i="1"/>
  <c r="BG33" i="1"/>
  <c r="BG34" i="1" s="1"/>
  <c r="AE64" i="1"/>
  <c r="AF211" i="1" s="1"/>
  <c r="AE34" i="1"/>
  <c r="AI33" i="1"/>
  <c r="AI34" i="1" s="1"/>
  <c r="BC62" i="1"/>
  <c r="CW55" i="1"/>
  <c r="M102" i="1"/>
  <c r="M100" i="1"/>
  <c r="N102" i="1"/>
  <c r="N100" i="1"/>
  <c r="Z80" i="1"/>
  <c r="Z84" i="1"/>
  <c r="Z192" i="42" s="1"/>
  <c r="BW64" i="1"/>
  <c r="BW34" i="1"/>
  <c r="DE32" i="1"/>
  <c r="DK32" i="1" s="1"/>
  <c r="AU225" i="1"/>
  <c r="AU192" i="1"/>
  <c r="AU59" i="1"/>
  <c r="BO62" i="1"/>
  <c r="BS61" i="1"/>
  <c r="BS62" i="1" s="1"/>
  <c r="BI64" i="1"/>
  <c r="BJ211" i="1" s="1"/>
  <c r="BM33" i="1"/>
  <c r="BM34" i="1" s="1"/>
  <c r="BI34" i="1"/>
  <c r="CA105" i="1"/>
  <c r="CE105" i="1" s="1"/>
  <c r="CE82" i="1"/>
  <c r="E194" i="1"/>
  <c r="CE9" i="1"/>
  <c r="G231" i="1"/>
  <c r="H10" i="1"/>
  <c r="AI225" i="1"/>
  <c r="AI192" i="1"/>
  <c r="AI59" i="1"/>
  <c r="CW53" i="1"/>
  <c r="CS101" i="1"/>
  <c r="I140" i="1"/>
  <c r="I139" i="1"/>
  <c r="J140" i="1"/>
  <c r="J139" i="1"/>
  <c r="U100" i="1"/>
  <c r="U102" i="1"/>
  <c r="Y68" i="1"/>
  <c r="Y69" i="1"/>
  <c r="Y194" i="1"/>
  <c r="BM216" i="1"/>
  <c r="AU9" i="1"/>
  <c r="AT64" i="1"/>
  <c r="AT34" i="1"/>
  <c r="BS225" i="1"/>
  <c r="BS192" i="1"/>
  <c r="BS59" i="1"/>
  <c r="G227" i="1"/>
  <c r="G137" i="1"/>
  <c r="G138" i="1" s="1"/>
  <c r="G99" i="1"/>
  <c r="G77" i="1"/>
  <c r="G67" i="1"/>
  <c r="K64" i="1"/>
  <c r="G65" i="1"/>
  <c r="CI64" i="1"/>
  <c r="CI34" i="1"/>
  <c r="BJ227" i="1"/>
  <c r="BJ194" i="1"/>
  <c r="BJ93" i="1"/>
  <c r="BJ99" i="1"/>
  <c r="BJ77" i="1"/>
  <c r="BJ67" i="1"/>
  <c r="BJ65" i="1"/>
  <c r="BS238" i="1"/>
  <c r="BS240" i="1" s="1"/>
  <c r="BY61" i="1"/>
  <c r="BY62" i="1" s="1"/>
  <c r="BU62" i="1"/>
  <c r="AI238" i="1"/>
  <c r="AI240" i="1" s="1"/>
  <c r="BL62" i="1"/>
  <c r="CE238" i="1"/>
  <c r="CE240" i="1" s="1"/>
  <c r="DC105" i="1"/>
  <c r="CC238" i="1"/>
  <c r="CC240" i="1" s="1"/>
  <c r="CN62" i="1"/>
  <c r="CO62" i="1"/>
  <c r="CK173" i="1"/>
  <c r="CR135" i="41" l="1"/>
  <c r="CR124" i="41" s="1"/>
  <c r="CR126" i="41" s="1"/>
  <c r="DN101" i="41"/>
  <c r="DT101" i="41"/>
  <c r="CV108" i="1"/>
  <c r="CV107" i="1"/>
  <c r="AC77" i="1"/>
  <c r="DI40" i="3"/>
  <c r="DK40" i="3"/>
  <c r="DL50" i="3"/>
  <c r="DL123" i="3" s="1"/>
  <c r="DK123" i="3"/>
  <c r="DN14" i="3"/>
  <c r="DO14" i="3" s="1"/>
  <c r="DL105" i="1"/>
  <c r="DO105" i="1" s="1"/>
  <c r="DO82" i="1"/>
  <c r="CW135" i="41"/>
  <c r="CW124" i="41" s="1"/>
  <c r="CW111" i="41" s="1"/>
  <c r="DM86" i="3"/>
  <c r="CQ167" i="1"/>
  <c r="O145" i="442"/>
  <c r="P145" i="442" s="1"/>
  <c r="Q145" i="442" s="1"/>
  <c r="R145" i="442" s="1"/>
  <c r="S145" i="442" s="1"/>
  <c r="T145" i="442" s="1"/>
  <c r="J145" i="442"/>
  <c r="AM67" i="3"/>
  <c r="CC144" i="41"/>
  <c r="BS142" i="41"/>
  <c r="BH219" i="41"/>
  <c r="AC99" i="1"/>
  <c r="AC100" i="1" s="1"/>
  <c r="AC172" i="42"/>
  <c r="AC178" i="42" s="1"/>
  <c r="AC179" i="42" s="1"/>
  <c r="U70" i="3"/>
  <c r="DH113" i="3"/>
  <c r="DI113" i="3" s="1"/>
  <c r="BU212" i="41"/>
  <c r="K94" i="442"/>
  <c r="CY212" i="41"/>
  <c r="BZ144" i="41"/>
  <c r="CS212" i="41"/>
  <c r="CA147" i="41"/>
  <c r="BU179" i="41"/>
  <c r="CT125" i="42"/>
  <c r="CT122" i="42" s="1"/>
  <c r="CT123" i="42" s="1"/>
  <c r="CU126" i="42"/>
  <c r="DB111" i="3"/>
  <c r="DC111" i="3" s="1"/>
  <c r="K67" i="1"/>
  <c r="AC67" i="1"/>
  <c r="DI181" i="42"/>
  <c r="CW112" i="1"/>
  <c r="BB37" i="41"/>
  <c r="AW37" i="41"/>
  <c r="BC37" i="41"/>
  <c r="AT42" i="41"/>
  <c r="AT41" i="41"/>
  <c r="BS125" i="41"/>
  <c r="AV217" i="41"/>
  <c r="AV56" i="41"/>
  <c r="AW54" i="41"/>
  <c r="AW55" i="41" s="1"/>
  <c r="AV214" i="41"/>
  <c r="AV215" i="41" s="1"/>
  <c r="AV58" i="41"/>
  <c r="AV55" i="41"/>
  <c r="AV318" i="41"/>
  <c r="AV44" i="41"/>
  <c r="BW320" i="41"/>
  <c r="BW321" i="41" s="1"/>
  <c r="BW18" i="41"/>
  <c r="AU59" i="41"/>
  <c r="AU62" i="41"/>
  <c r="AU60" i="41"/>
  <c r="AU40" i="41"/>
  <c r="AU46" i="41"/>
  <c r="AU45" i="41"/>
  <c r="BT26" i="41"/>
  <c r="BT27" i="41" s="1"/>
  <c r="BT28" i="41" s="1"/>
  <c r="BT20" i="41"/>
  <c r="BT19" i="41"/>
  <c r="AV33" i="41"/>
  <c r="AW32" i="41"/>
  <c r="AV34" i="41"/>
  <c r="BW156" i="41"/>
  <c r="BW157" i="41"/>
  <c r="BU18" i="41"/>
  <c r="AT63" i="41"/>
  <c r="AT64" i="41"/>
  <c r="AY38" i="41"/>
  <c r="BE37" i="41"/>
  <c r="AY37" i="41"/>
  <c r="AY54" i="41"/>
  <c r="AZ36" i="41"/>
  <c r="AY32" i="41"/>
  <c r="BX155" i="41"/>
  <c r="BX10" i="41"/>
  <c r="BX9" i="41"/>
  <c r="BY8" i="41"/>
  <c r="BX17" i="41"/>
  <c r="BM133" i="3"/>
  <c r="CV119" i="3"/>
  <c r="CW119" i="3" s="1"/>
  <c r="CP178" i="42"/>
  <c r="CP179" i="42" s="1"/>
  <c r="AC167" i="42"/>
  <c r="AM70" i="3"/>
  <c r="BS144" i="41"/>
  <c r="BU177" i="41"/>
  <c r="BU180" i="41"/>
  <c r="CP119" i="3"/>
  <c r="CQ119" i="3" s="1"/>
  <c r="Q77" i="1"/>
  <c r="CB239" i="1"/>
  <c r="CB211" i="1"/>
  <c r="AC93" i="1"/>
  <c r="AA339" i="1" s="1"/>
  <c r="AA340" i="1" s="1"/>
  <c r="BC178" i="41"/>
  <c r="BH40" i="41"/>
  <c r="DB137" i="41"/>
  <c r="BY178" i="41"/>
  <c r="BJ169" i="42"/>
  <c r="BJ181" i="42" s="1"/>
  <c r="DB182" i="42"/>
  <c r="DB165" i="42" s="1"/>
  <c r="DB172" i="42" s="1"/>
  <c r="DA165" i="42"/>
  <c r="BI172" i="42"/>
  <c r="BI181" i="42"/>
  <c r="DE111" i="3"/>
  <c r="U145" i="3"/>
  <c r="BR178" i="42"/>
  <c r="BR179" i="42" s="1"/>
  <c r="BS172" i="42"/>
  <c r="BS178" i="42" s="1"/>
  <c r="BS179" i="42" s="1"/>
  <c r="DA52" i="42"/>
  <c r="AN181" i="42"/>
  <c r="AO181" i="42" s="1"/>
  <c r="CV88" i="3"/>
  <c r="CW88" i="3" s="1"/>
  <c r="CW16" i="3"/>
  <c r="DF22" i="42"/>
  <c r="AY178" i="42"/>
  <c r="AY179" i="42" s="1"/>
  <c r="BA172" i="42"/>
  <c r="BA178" i="42" s="1"/>
  <c r="BA179" i="42" s="1"/>
  <c r="CZ52" i="3"/>
  <c r="CZ125" i="3" s="1"/>
  <c r="CY125" i="3"/>
  <c r="BM56" i="3"/>
  <c r="BL60" i="3"/>
  <c r="BM60" i="3" s="1"/>
  <c r="BR181" i="42"/>
  <c r="BS181" i="42" s="1"/>
  <c r="BS169" i="42"/>
  <c r="BF60" i="42"/>
  <c r="BG59" i="42"/>
  <c r="BG60" i="42" s="1"/>
  <c r="DI46" i="3"/>
  <c r="DH119" i="3"/>
  <c r="DI119" i="3" s="1"/>
  <c r="AL70" i="3"/>
  <c r="CY252" i="1"/>
  <c r="CY16" i="3"/>
  <c r="AN172" i="42"/>
  <c r="AN178" i="42" s="1"/>
  <c r="AN179" i="42" s="1"/>
  <c r="BL182" i="42"/>
  <c r="BK165" i="42"/>
  <c r="DE37" i="3"/>
  <c r="DF11" i="42"/>
  <c r="AL67" i="3"/>
  <c r="DI47" i="3"/>
  <c r="DH120" i="3"/>
  <c r="DI120" i="3" s="1"/>
  <c r="BM119" i="3"/>
  <c r="BM129" i="3" s="1"/>
  <c r="AI119" i="3"/>
  <c r="AI129" i="3" s="1"/>
  <c r="AH129" i="3"/>
  <c r="BW111" i="41"/>
  <c r="BW127" i="41"/>
  <c r="BW128" i="41"/>
  <c r="CG124" i="41"/>
  <c r="H190" i="442" s="1"/>
  <c r="CC127" i="41"/>
  <c r="CC126" i="41"/>
  <c r="CC111" i="41"/>
  <c r="CC281" i="41" s="1"/>
  <c r="BB127" i="41"/>
  <c r="BB126" i="41"/>
  <c r="BB128" i="41"/>
  <c r="BB111" i="41"/>
  <c r="CD126" i="41"/>
  <c r="CD127" i="41"/>
  <c r="CD111" i="41"/>
  <c r="CP251" i="41"/>
  <c r="CP257" i="41" s="1"/>
  <c r="CP255" i="41"/>
  <c r="CP250" i="41"/>
  <c r="CY21" i="42"/>
  <c r="CW21" i="42"/>
  <c r="AU127" i="41"/>
  <c r="AU128" i="41"/>
  <c r="AU126" i="41"/>
  <c r="AU111" i="41"/>
  <c r="DA14" i="3"/>
  <c r="CZ86" i="3"/>
  <c r="Q67" i="1"/>
  <c r="BI19" i="41"/>
  <c r="CJ251" i="41"/>
  <c r="CJ257" i="41" s="1"/>
  <c r="CJ255" i="41"/>
  <c r="AN144" i="41"/>
  <c r="BU142" i="41"/>
  <c r="DA251" i="41"/>
  <c r="DA257" i="41" s="1"/>
  <c r="DA255" i="41"/>
  <c r="DA250" i="41"/>
  <c r="AT144" i="41"/>
  <c r="BY255" i="41"/>
  <c r="BY250" i="41"/>
  <c r="BY251" i="41"/>
  <c r="BY257" i="41" s="1"/>
  <c r="CI255" i="41"/>
  <c r="CI251" i="41"/>
  <c r="CM249" i="41"/>
  <c r="AI128" i="41"/>
  <c r="AI127" i="41"/>
  <c r="AI126" i="41"/>
  <c r="AI111" i="41"/>
  <c r="CP111" i="41"/>
  <c r="CV112" i="41" s="1"/>
  <c r="AO144" i="41"/>
  <c r="AD127" i="41"/>
  <c r="AD128" i="41"/>
  <c r="AD111" i="41"/>
  <c r="CV115" i="41"/>
  <c r="CF126" i="41"/>
  <c r="CF111" i="41"/>
  <c r="CF127" i="41"/>
  <c r="BZ111" i="41"/>
  <c r="BZ126" i="41"/>
  <c r="AU144" i="41"/>
  <c r="BQ251" i="41"/>
  <c r="BQ250" i="41"/>
  <c r="BQ255" i="41"/>
  <c r="AW178" i="41"/>
  <c r="CS136" i="41"/>
  <c r="CO135" i="41"/>
  <c r="CO246" i="41"/>
  <c r="CO250" i="41" s="1"/>
  <c r="BO212" i="41"/>
  <c r="BX127" i="41"/>
  <c r="BX111" i="41"/>
  <c r="CQ255" i="41"/>
  <c r="CQ251" i="41"/>
  <c r="CQ257" i="41" s="1"/>
  <c r="CA123" i="41"/>
  <c r="AP144" i="41"/>
  <c r="DB246" i="41"/>
  <c r="DC136" i="41"/>
  <c r="CI246" i="41"/>
  <c r="CM136" i="41"/>
  <c r="CI135" i="41"/>
  <c r="CI137" i="41"/>
  <c r="CJ137" i="41" s="1"/>
  <c r="CK137" i="41" s="1"/>
  <c r="CL137" i="41" s="1"/>
  <c r="CO137" i="41" s="1"/>
  <c r="CP137" i="41" s="1"/>
  <c r="CQ137" i="41" s="1"/>
  <c r="CR137" i="41" s="1"/>
  <c r="CU137" i="41" s="1"/>
  <c r="CX255" i="41"/>
  <c r="CX251" i="41"/>
  <c r="CX257" i="41" s="1"/>
  <c r="BA144" i="41"/>
  <c r="AM127" i="41"/>
  <c r="AQ124" i="41"/>
  <c r="AM128" i="41"/>
  <c r="AM126" i="41"/>
  <c r="AM111" i="41"/>
  <c r="CE62" i="1"/>
  <c r="E242" i="1"/>
  <c r="E200" i="42"/>
  <c r="BF111" i="41"/>
  <c r="BF126" i="41"/>
  <c r="BF128" i="41"/>
  <c r="BF127" i="41"/>
  <c r="AP128" i="41"/>
  <c r="AP127" i="41"/>
  <c r="AP126" i="41"/>
  <c r="AP111" i="41"/>
  <c r="BI124" i="41"/>
  <c r="BE127" i="41"/>
  <c r="BE128" i="41"/>
  <c r="BE111" i="41"/>
  <c r="BE126" i="41"/>
  <c r="BT251" i="41"/>
  <c r="BT257" i="41" s="1"/>
  <c r="BT255" i="41"/>
  <c r="BT250" i="41"/>
  <c r="BM250" i="41"/>
  <c r="BM251" i="41"/>
  <c r="BM257" i="41" s="1"/>
  <c r="BM255" i="41"/>
  <c r="CK126" i="41"/>
  <c r="CK111" i="41"/>
  <c r="CL135" i="41"/>
  <c r="CL246" i="41"/>
  <c r="BJ239" i="1"/>
  <c r="W67" i="1"/>
  <c r="AC69" i="1" s="1"/>
  <c r="AZ239" i="1"/>
  <c r="BZ251" i="41"/>
  <c r="BZ257" i="41" s="1"/>
  <c r="BZ250" i="41"/>
  <c r="BZ255" i="41"/>
  <c r="K132" i="442"/>
  <c r="K147" i="442"/>
  <c r="AB127" i="41"/>
  <c r="AE124" i="41"/>
  <c r="AE128" i="41" s="1"/>
  <c r="AA128" i="41"/>
  <c r="AA111" i="41"/>
  <c r="BN255" i="41"/>
  <c r="BN250" i="41"/>
  <c r="BN251" i="41"/>
  <c r="BN257" i="41" s="1"/>
  <c r="BW255" i="41"/>
  <c r="BW251" i="41"/>
  <c r="CA249" i="41"/>
  <c r="CA255" i="41" s="1"/>
  <c r="BW250" i="41"/>
  <c r="CV255" i="41"/>
  <c r="CV251" i="41"/>
  <c r="CV257" i="41" s="1"/>
  <c r="AV126" i="41"/>
  <c r="AV127" i="41"/>
  <c r="AV128" i="41"/>
  <c r="AV111" i="41"/>
  <c r="BT128" i="41"/>
  <c r="BT111" i="41"/>
  <c r="CL251" i="41"/>
  <c r="CL257" i="41" s="1"/>
  <c r="CL255" i="41"/>
  <c r="BX250" i="41"/>
  <c r="BX251" i="41"/>
  <c r="BX257" i="41" s="1"/>
  <c r="BX255" i="41"/>
  <c r="CE127" i="41"/>
  <c r="CE111" i="41"/>
  <c r="J101" i="442"/>
  <c r="J104" i="442"/>
  <c r="AJ128" i="41"/>
  <c r="AJ126" i="41"/>
  <c r="AJ127" i="41"/>
  <c r="AJ111" i="41"/>
  <c r="BS254" i="41"/>
  <c r="BY124" i="41"/>
  <c r="CA124" i="41" s="1"/>
  <c r="AT126" i="41"/>
  <c r="AT128" i="41"/>
  <c r="AT111" i="41"/>
  <c r="CC255" i="41"/>
  <c r="CC250" i="41"/>
  <c r="CC251" i="41"/>
  <c r="CG249" i="41"/>
  <c r="BU119" i="41"/>
  <c r="BH128" i="41"/>
  <c r="BH127" i="41"/>
  <c r="BH126" i="41"/>
  <c r="BH111" i="41"/>
  <c r="AN128" i="41"/>
  <c r="AN126" i="41"/>
  <c r="AN127" i="41"/>
  <c r="AN111" i="41"/>
  <c r="CD255" i="41"/>
  <c r="CD251" i="41"/>
  <c r="CD257" i="41" s="1"/>
  <c r="CD250" i="41"/>
  <c r="CK251" i="41"/>
  <c r="CK257" i="41" s="1"/>
  <c r="CK255" i="41"/>
  <c r="CK250" i="41"/>
  <c r="CG123" i="41"/>
  <c r="BA62" i="1"/>
  <c r="CK62" i="1"/>
  <c r="AB128" i="41"/>
  <c r="AB111" i="41"/>
  <c r="AY111" i="41"/>
  <c r="AY128" i="41"/>
  <c r="BC124" i="41"/>
  <c r="AY127" i="41"/>
  <c r="AO127" i="41"/>
  <c r="AO128" i="41"/>
  <c r="AO126" i="41"/>
  <c r="AO111" i="41"/>
  <c r="AG127" i="41"/>
  <c r="AG126" i="41"/>
  <c r="AG128" i="41"/>
  <c r="AK124" i="41"/>
  <c r="AG111" i="41"/>
  <c r="BG126" i="41"/>
  <c r="BG127" i="41"/>
  <c r="BG128" i="41"/>
  <c r="BG111" i="41"/>
  <c r="DA111" i="41"/>
  <c r="AH111" i="41"/>
  <c r="AH128" i="41"/>
  <c r="AH127" i="41"/>
  <c r="AH126" i="41"/>
  <c r="BK255" i="41"/>
  <c r="BO249" i="41"/>
  <c r="BK251" i="41"/>
  <c r="BK250" i="41"/>
  <c r="CE255" i="41"/>
  <c r="CE250" i="41"/>
  <c r="CE251" i="41"/>
  <c r="CE257" i="41" s="1"/>
  <c r="AS124" i="41"/>
  <c r="AY126" i="41" s="1"/>
  <c r="BU175" i="41"/>
  <c r="CA175" i="41"/>
  <c r="CU251" i="41"/>
  <c r="CY249" i="41"/>
  <c r="CU255" i="41"/>
  <c r="CL126" i="41"/>
  <c r="CL127" i="41"/>
  <c r="CL111" i="41"/>
  <c r="CA212" i="41"/>
  <c r="CX246" i="41"/>
  <c r="CX135" i="41"/>
  <c r="CX124" i="41" s="1"/>
  <c r="BS249" i="41"/>
  <c r="CJ246" i="41"/>
  <c r="CJ135" i="41"/>
  <c r="CJ124" i="41" s="1"/>
  <c r="CK127" i="41" s="1"/>
  <c r="BR251" i="41"/>
  <c r="BR257" i="41" s="1"/>
  <c r="BR250" i="41"/>
  <c r="BR255" i="41"/>
  <c r="CU135" i="41"/>
  <c r="CU246" i="41"/>
  <c r="CU250" i="41" s="1"/>
  <c r="CV136" i="41"/>
  <c r="CF250" i="41"/>
  <c r="CF255" i="41"/>
  <c r="CF251" i="41"/>
  <c r="CF257" i="41" s="1"/>
  <c r="AZ128" i="41"/>
  <c r="AZ126" i="41"/>
  <c r="AZ111" i="41"/>
  <c r="AZ127" i="41"/>
  <c r="CR255" i="41"/>
  <c r="CR251" i="41"/>
  <c r="CR257" i="41" s="1"/>
  <c r="CR250" i="41"/>
  <c r="BL251" i="41"/>
  <c r="BL257" i="41" s="1"/>
  <c r="BL250" i="41"/>
  <c r="BL255" i="41"/>
  <c r="AC111" i="41"/>
  <c r="AC128" i="41"/>
  <c r="AC127" i="41"/>
  <c r="J137" i="442"/>
  <c r="J138" i="442" s="1"/>
  <c r="K137" i="442"/>
  <c r="J132" i="442"/>
  <c r="J147" i="442"/>
  <c r="J148" i="442" s="1"/>
  <c r="CG212" i="41"/>
  <c r="BA127" i="41"/>
  <c r="BA128" i="41"/>
  <c r="BA126" i="41"/>
  <c r="BA111" i="41"/>
  <c r="DG246" i="41"/>
  <c r="DM136" i="41"/>
  <c r="DS136" i="41" s="1"/>
  <c r="CQ246" i="41"/>
  <c r="CQ135" i="41"/>
  <c r="CQ124" i="41" s="1"/>
  <c r="AU152" i="1"/>
  <c r="AU153" i="1" s="1"/>
  <c r="AU159" i="1"/>
  <c r="BO122" i="41"/>
  <c r="BU123" i="41" s="1"/>
  <c r="CO255" i="41"/>
  <c r="CS249" i="41"/>
  <c r="CO251" i="41"/>
  <c r="CW255" i="41"/>
  <c r="CW251" i="41"/>
  <c r="CW257" i="41" s="1"/>
  <c r="CW250" i="41"/>
  <c r="CM212" i="41"/>
  <c r="CW14" i="3"/>
  <c r="DH14" i="3"/>
  <c r="DI14" i="3" s="1"/>
  <c r="S154" i="442"/>
  <c r="T154" i="442" s="1"/>
  <c r="BL27" i="41"/>
  <c r="BM27" i="41"/>
  <c r="BQ27" i="41"/>
  <c r="BH28" i="41"/>
  <c r="BN28" i="41"/>
  <c r="BG73" i="41"/>
  <c r="BG62" i="41"/>
  <c r="BG60" i="41"/>
  <c r="BI58" i="41"/>
  <c r="BG219" i="41"/>
  <c r="BK38" i="41"/>
  <c r="BK54" i="41"/>
  <c r="BK50" i="41"/>
  <c r="BK37" i="41"/>
  <c r="BH46" i="41"/>
  <c r="DA122" i="41"/>
  <c r="AW315" i="41"/>
  <c r="AW313" i="41" s="1"/>
  <c r="AY315" i="41"/>
  <c r="AS313" i="41"/>
  <c r="BG69" i="41"/>
  <c r="BH67" i="41"/>
  <c r="BI312" i="41"/>
  <c r="BL33" i="41"/>
  <c r="BM32" i="41"/>
  <c r="BL36" i="41"/>
  <c r="BK27" i="41"/>
  <c r="BK28" i="41" s="1"/>
  <c r="DB240" i="41"/>
  <c r="DB168" i="41"/>
  <c r="DB239" i="41" s="1"/>
  <c r="BG46" i="41"/>
  <c r="BI44" i="41"/>
  <c r="BG40" i="41"/>
  <c r="DJ199" i="41"/>
  <c r="DJ202" i="41"/>
  <c r="DJ201" i="41"/>
  <c r="DM198" i="41"/>
  <c r="DB260" i="1"/>
  <c r="DC260" i="1" s="1"/>
  <c r="DC147" i="42" s="1"/>
  <c r="DC155" i="1"/>
  <c r="BO19" i="41"/>
  <c r="BH73" i="41"/>
  <c r="BH74" i="41" s="1"/>
  <c r="BH62" i="41"/>
  <c r="BH60" i="41"/>
  <c r="CD280" i="41"/>
  <c r="CJ115" i="3"/>
  <c r="CK112" i="3"/>
  <c r="CK115" i="3" s="1"/>
  <c r="AH181" i="42"/>
  <c r="AI181" i="42" s="1"/>
  <c r="BW124" i="3"/>
  <c r="BY124" i="3" s="1"/>
  <c r="DE49" i="3"/>
  <c r="DC49" i="3"/>
  <c r="O62" i="3"/>
  <c r="O64" i="3" s="1"/>
  <c r="N62" i="3"/>
  <c r="N64" i="3" s="1"/>
  <c r="P62" i="3"/>
  <c r="Q62" i="3" s="1"/>
  <c r="M62" i="3"/>
  <c r="M64" i="3" s="1"/>
  <c r="BL145" i="3"/>
  <c r="BG67" i="3"/>
  <c r="BM67" i="3"/>
  <c r="AR146" i="3"/>
  <c r="AX140" i="3"/>
  <c r="DB20" i="3"/>
  <c r="DB92" i="3" s="1"/>
  <c r="DC92" i="3" s="1"/>
  <c r="CI51" i="3"/>
  <c r="CY124" i="3"/>
  <c r="CZ51" i="3"/>
  <c r="CZ124" i="3" s="1"/>
  <c r="BQ56" i="3"/>
  <c r="BQ60" i="3" s="1"/>
  <c r="BR45" i="3"/>
  <c r="BR118" i="3" s="1"/>
  <c r="BR129" i="3" s="1"/>
  <c r="BR133" i="3" s="1"/>
  <c r="W70" i="3"/>
  <c r="AC70" i="3"/>
  <c r="DC18" i="3"/>
  <c r="DE18" i="3"/>
  <c r="BM145" i="3"/>
  <c r="AU133" i="3"/>
  <c r="W101" i="3"/>
  <c r="W102" i="3" s="1"/>
  <c r="V102" i="3"/>
  <c r="CH124" i="3"/>
  <c r="DB54" i="3"/>
  <c r="DB127" i="3" s="1"/>
  <c r="DC127" i="3" s="1"/>
  <c r="BQ118" i="3"/>
  <c r="BF264" i="1"/>
  <c r="BK264" i="1"/>
  <c r="BJ264" i="1"/>
  <c r="BI264" i="1"/>
  <c r="BF165" i="3"/>
  <c r="BL140" i="3"/>
  <c r="DB39" i="3"/>
  <c r="DB112" i="3" s="1"/>
  <c r="DC112" i="3" s="1"/>
  <c r="DE91" i="3"/>
  <c r="DF19" i="3"/>
  <c r="DF91" i="3" s="1"/>
  <c r="V70" i="3"/>
  <c r="AB70" i="3"/>
  <c r="DB90" i="3"/>
  <c r="DC90" i="3" s="1"/>
  <c r="BG165" i="3"/>
  <c r="BM140" i="3"/>
  <c r="AX145" i="3"/>
  <c r="Q60" i="3"/>
  <c r="P64" i="3"/>
  <c r="Q64" i="3" s="1"/>
  <c r="S62" i="3" s="1"/>
  <c r="BG133" i="3"/>
  <c r="CK39" i="3"/>
  <c r="CJ42" i="3"/>
  <c r="W60" i="3"/>
  <c r="BG70" i="3"/>
  <c r="BM70" i="3"/>
  <c r="U247" i="42"/>
  <c r="V236" i="42"/>
  <c r="U257" i="42"/>
  <c r="AH172" i="42"/>
  <c r="AH178" i="42" s="1"/>
  <c r="AZ74" i="42"/>
  <c r="AZ75" i="42"/>
  <c r="K101" i="42"/>
  <c r="J103" i="42"/>
  <c r="J108" i="42" s="1"/>
  <c r="M101" i="42"/>
  <c r="T179" i="42"/>
  <c r="T167" i="42"/>
  <c r="W167" i="42" s="1"/>
  <c r="V246" i="42"/>
  <c r="V209" i="42"/>
  <c r="CV266" i="42"/>
  <c r="CP270" i="42"/>
  <c r="DF266" i="42"/>
  <c r="DL266" i="42" s="1"/>
  <c r="CZ270" i="42"/>
  <c r="AU233" i="42"/>
  <c r="BA229" i="42" s="1"/>
  <c r="AG178" i="42"/>
  <c r="AB229" i="42"/>
  <c r="AB233" i="42" s="1"/>
  <c r="AA246" i="42"/>
  <c r="AA209" i="42"/>
  <c r="AA216" i="42" s="1"/>
  <c r="U248" i="42"/>
  <c r="U210" i="42"/>
  <c r="U217" i="42" s="1"/>
  <c r="CA264" i="42"/>
  <c r="CB263" i="42"/>
  <c r="AR248" i="42"/>
  <c r="AS229" i="42"/>
  <c r="AS233" i="42" s="1"/>
  <c r="DB50" i="42"/>
  <c r="V132" i="42"/>
  <c r="U135" i="42"/>
  <c r="CP122" i="42"/>
  <c r="CQ125" i="42"/>
  <c r="CQ127" i="42" s="1"/>
  <c r="DB275" i="42"/>
  <c r="DA276" i="42"/>
  <c r="DA41" i="42"/>
  <c r="DA272" i="42" s="1"/>
  <c r="BP113" i="42"/>
  <c r="BO112" i="42"/>
  <c r="AC171" i="42"/>
  <c r="AC175" i="42" s="1"/>
  <c r="DA269" i="42"/>
  <c r="CZ40" i="42"/>
  <c r="CZ252" i="1" s="1"/>
  <c r="DA266" i="42"/>
  <c r="CU270" i="42"/>
  <c r="AE184" i="42"/>
  <c r="CS125" i="42"/>
  <c r="Z248" i="42"/>
  <c r="Z210" i="42"/>
  <c r="Z217" i="42" s="1"/>
  <c r="BJ84" i="1"/>
  <c r="BJ80" i="1"/>
  <c r="BJ146" i="3" s="1"/>
  <c r="BJ148" i="3" s="1"/>
  <c r="AT239" i="1"/>
  <c r="AT227" i="1"/>
  <c r="AT211" i="1"/>
  <c r="AT194" i="1"/>
  <c r="AT99" i="1"/>
  <c r="AT93" i="1"/>
  <c r="AT67" i="1"/>
  <c r="AZ69" i="1" s="1"/>
  <c r="AT77" i="1"/>
  <c r="AT65" i="1"/>
  <c r="BJ102" i="1"/>
  <c r="BJ100" i="1"/>
  <c r="DG30" i="1"/>
  <c r="DM30" i="1" s="1"/>
  <c r="AG245" i="1"/>
  <c r="AG239" i="1"/>
  <c r="AG227" i="1"/>
  <c r="AG211" i="1"/>
  <c r="AG194" i="1"/>
  <c r="AG99" i="1"/>
  <c r="AG93" i="1"/>
  <c r="AG77" i="1"/>
  <c r="AG67" i="1"/>
  <c r="AG65" i="1"/>
  <c r="H231" i="1"/>
  <c r="I10" i="1"/>
  <c r="BI239" i="1"/>
  <c r="BI227" i="1"/>
  <c r="BI211" i="1"/>
  <c r="BI194" i="1"/>
  <c r="BI93" i="1"/>
  <c r="BI99" i="1"/>
  <c r="BI77" i="1"/>
  <c r="BM64" i="1"/>
  <c r="BI67" i="1"/>
  <c r="BI65" i="1"/>
  <c r="W239" i="1"/>
  <c r="W227" i="1"/>
  <c r="W137" i="1"/>
  <c r="W138" i="1" s="1"/>
  <c r="W65" i="1"/>
  <c r="DH30" i="1"/>
  <c r="DN30" i="1" s="1"/>
  <c r="CD95" i="1"/>
  <c r="CD96" i="1" s="1"/>
  <c r="CD94" i="1"/>
  <c r="P95" i="1"/>
  <c r="P96" i="1" s="1"/>
  <c r="P94" i="1"/>
  <c r="AH102" i="1"/>
  <c r="AH100" i="1"/>
  <c r="AL79" i="1"/>
  <c r="AL84" i="1" s="1"/>
  <c r="BU239" i="1"/>
  <c r="BU227" i="1"/>
  <c r="BU211" i="1"/>
  <c r="BU194" i="1"/>
  <c r="BU99" i="1"/>
  <c r="BU93" i="1"/>
  <c r="BU77" i="1"/>
  <c r="BU67" i="1"/>
  <c r="BU65" i="1"/>
  <c r="BY64" i="1"/>
  <c r="CC239" i="1" s="1"/>
  <c r="BR239" i="1"/>
  <c r="BR227" i="1"/>
  <c r="BR211" i="1"/>
  <c r="BR194" i="1"/>
  <c r="BR99" i="1"/>
  <c r="BR93" i="1"/>
  <c r="BR67" i="1"/>
  <c r="BR77" i="1"/>
  <c r="BR65" i="1"/>
  <c r="BJ68" i="1"/>
  <c r="BJ69" i="1"/>
  <c r="CI239" i="1"/>
  <c r="CI227" i="1"/>
  <c r="CI211" i="1"/>
  <c r="CI194" i="1"/>
  <c r="CI99" i="1"/>
  <c r="CI93" i="1"/>
  <c r="CI67" i="1"/>
  <c r="CI77" i="1"/>
  <c r="CI65" i="1"/>
  <c r="G80" i="1"/>
  <c r="K77" i="1"/>
  <c r="G84" i="1"/>
  <c r="AC68" i="1"/>
  <c r="BW239" i="1"/>
  <c r="BW227" i="1"/>
  <c r="BW211" i="1"/>
  <c r="BW194" i="1"/>
  <c r="BW99" i="1"/>
  <c r="BW93" i="1"/>
  <c r="BW77" i="1"/>
  <c r="BW67" i="1"/>
  <c r="BW65" i="1"/>
  <c r="N106" i="1"/>
  <c r="N193" i="42" s="1"/>
  <c r="N104" i="1"/>
  <c r="AE239" i="1"/>
  <c r="AE227" i="1"/>
  <c r="AE211" i="1"/>
  <c r="AE194" i="1"/>
  <c r="AE93" i="1"/>
  <c r="AE99" i="1"/>
  <c r="AE77" i="1"/>
  <c r="AI64" i="1"/>
  <c r="AE65" i="1"/>
  <c r="AE67" i="1"/>
  <c r="BE239" i="1"/>
  <c r="BE227" i="1"/>
  <c r="BE211" i="1"/>
  <c r="BE194" i="1"/>
  <c r="BE93" i="1"/>
  <c r="BE99" i="1"/>
  <c r="BE77" i="1"/>
  <c r="BE67" i="1"/>
  <c r="BE65" i="1"/>
  <c r="S80" i="1"/>
  <c r="W77" i="1"/>
  <c r="S84" i="1"/>
  <c r="S192" i="42" s="1"/>
  <c r="Y301" i="1"/>
  <c r="Y269" i="1"/>
  <c r="Y150" i="1"/>
  <c r="Y245" i="1"/>
  <c r="CD69" i="1"/>
  <c r="CD68" i="1"/>
  <c r="CD102" i="1"/>
  <c r="CD100" i="1"/>
  <c r="P102" i="1"/>
  <c r="P100" i="1"/>
  <c r="AH247" i="1"/>
  <c r="AH246" i="1"/>
  <c r="AL102" i="1"/>
  <c r="AL100" i="1"/>
  <c r="AQ245" i="1"/>
  <c r="AQ246" i="1" s="1"/>
  <c r="AQ239" i="1"/>
  <c r="AQ227" i="1"/>
  <c r="AQ211" i="1"/>
  <c r="AQ194" i="1"/>
  <c r="AQ93" i="1"/>
  <c r="AQ99" i="1"/>
  <c r="AQ77" i="1"/>
  <c r="AQ67" i="1"/>
  <c r="AU64" i="1"/>
  <c r="AQ65" i="1"/>
  <c r="O95" i="1"/>
  <c r="O96" i="1" s="1"/>
  <c r="O94" i="1"/>
  <c r="M228" i="1"/>
  <c r="M89" i="1"/>
  <c r="M86" i="1"/>
  <c r="M200" i="42" s="1"/>
  <c r="AN245" i="1"/>
  <c r="AN227" i="1"/>
  <c r="AN239" i="1"/>
  <c r="AN211" i="1"/>
  <c r="AN194" i="1"/>
  <c r="AN99" i="1"/>
  <c r="AN93" i="1"/>
  <c r="AN77" i="1"/>
  <c r="AN67" i="1"/>
  <c r="AN65" i="1"/>
  <c r="I228" i="1"/>
  <c r="I89" i="1"/>
  <c r="I86" i="1"/>
  <c r="BL245" i="1"/>
  <c r="BL246" i="1" s="1"/>
  <c r="BL239" i="1"/>
  <c r="BL227" i="1"/>
  <c r="BL211" i="1"/>
  <c r="BL194" i="1"/>
  <c r="BL99" i="1"/>
  <c r="BL93" i="1"/>
  <c r="BL77" i="1"/>
  <c r="BL84" i="1" s="1"/>
  <c r="BL67" i="1"/>
  <c r="BL65" i="1"/>
  <c r="BM62" i="1"/>
  <c r="CA239" i="1"/>
  <c r="CA227" i="1"/>
  <c r="CA211" i="1"/>
  <c r="CA194" i="1"/>
  <c r="CA99" i="1"/>
  <c r="CA67" i="1"/>
  <c r="CA93" i="1"/>
  <c r="CA77" i="1"/>
  <c r="CE64" i="1"/>
  <c r="CA65" i="1"/>
  <c r="V80" i="1"/>
  <c r="V84" i="1"/>
  <c r="V192" i="42" s="1"/>
  <c r="CH84" i="1"/>
  <c r="CH80" i="1"/>
  <c r="CH146" i="3" s="1"/>
  <c r="CH148" i="3" s="1"/>
  <c r="AO62" i="1"/>
  <c r="CW118" i="1"/>
  <c r="CW111" i="1"/>
  <c r="L73" i="442" s="1"/>
  <c r="AZ102" i="1"/>
  <c r="AZ100" i="1"/>
  <c r="CB102" i="1"/>
  <c r="CB100" i="1"/>
  <c r="AF80" i="1"/>
  <c r="AF84" i="1"/>
  <c r="BX84" i="1"/>
  <c r="BX80" i="1"/>
  <c r="BX146" i="3" s="1"/>
  <c r="BX211" i="1"/>
  <c r="AB102" i="1"/>
  <c r="AB100" i="1"/>
  <c r="J274" i="1"/>
  <c r="J273" i="1" s="1"/>
  <c r="J75" i="1"/>
  <c r="CS239" i="1"/>
  <c r="CS227" i="1"/>
  <c r="CS211" i="1"/>
  <c r="CS194" i="1"/>
  <c r="CS99" i="1"/>
  <c r="CS93" i="1"/>
  <c r="CS67" i="1"/>
  <c r="CS65" i="1"/>
  <c r="CS77" i="1"/>
  <c r="BD84" i="1"/>
  <c r="BD80" i="1"/>
  <c r="BD146" i="3" s="1"/>
  <c r="H102" i="1"/>
  <c r="H100" i="1"/>
  <c r="AA102" i="1"/>
  <c r="AA100" i="1"/>
  <c r="D102" i="1"/>
  <c r="D104" i="1" s="1"/>
  <c r="D84" i="1"/>
  <c r="BF84" i="1"/>
  <c r="BF80" i="1"/>
  <c r="BF146" i="3" s="1"/>
  <c r="BF211" i="1"/>
  <c r="G100" i="1"/>
  <c r="K99" i="1"/>
  <c r="K100" i="1" s="1"/>
  <c r="G102" i="1"/>
  <c r="Z228" i="1"/>
  <c r="Z212" i="1"/>
  <c r="Z89" i="1"/>
  <c r="Z86" i="1"/>
  <c r="Z200" i="42" s="1"/>
  <c r="S102" i="1"/>
  <c r="S100" i="1"/>
  <c r="W99" i="1"/>
  <c r="W100" i="1" s="1"/>
  <c r="AC84" i="1"/>
  <c r="AC80" i="1"/>
  <c r="BV239" i="1"/>
  <c r="BV227" i="1"/>
  <c r="BV211" i="1"/>
  <c r="BV194" i="1"/>
  <c r="BV99" i="1"/>
  <c r="BV93" i="1"/>
  <c r="BV77" i="1"/>
  <c r="BV67" i="1"/>
  <c r="CB69" i="1" s="1"/>
  <c r="BV65" i="1"/>
  <c r="P140" i="1"/>
  <c r="P139" i="1"/>
  <c r="AH79" i="1"/>
  <c r="AH84" i="1" s="1"/>
  <c r="AH211" i="1"/>
  <c r="AL95" i="1"/>
  <c r="AL96" i="1" s="1"/>
  <c r="AL94" i="1"/>
  <c r="AL239" i="1"/>
  <c r="DF30" i="1"/>
  <c r="DL30" i="1" s="1"/>
  <c r="O102" i="1"/>
  <c r="O100" i="1"/>
  <c r="AY245" i="1"/>
  <c r="AY246" i="1" s="1"/>
  <c r="AY239" i="1"/>
  <c r="AY227" i="1"/>
  <c r="AY211" i="1"/>
  <c r="AY194" i="1"/>
  <c r="AY99" i="1"/>
  <c r="AY93" i="1"/>
  <c r="AY77" i="1"/>
  <c r="AY67" i="1"/>
  <c r="AY65" i="1"/>
  <c r="CP239" i="1"/>
  <c r="CP227" i="1"/>
  <c r="CP211" i="1"/>
  <c r="CP194" i="1"/>
  <c r="CP99" i="1"/>
  <c r="CP93" i="1"/>
  <c r="CP67" i="1"/>
  <c r="CP77" i="1"/>
  <c r="CP65" i="1"/>
  <c r="U228" i="1"/>
  <c r="U89" i="1"/>
  <c r="U86" i="1"/>
  <c r="U200" i="42" s="1"/>
  <c r="I269" i="1"/>
  <c r="I270" i="1" s="1"/>
  <c r="I245" i="1"/>
  <c r="I246" i="1" s="1"/>
  <c r="I11" i="1"/>
  <c r="H9" i="1"/>
  <c r="BO239" i="1"/>
  <c r="BO227" i="1"/>
  <c r="BO211" i="1"/>
  <c r="BO194" i="1"/>
  <c r="BO93" i="1"/>
  <c r="BO99" i="1"/>
  <c r="BO77" i="1"/>
  <c r="BO67" i="1"/>
  <c r="BS64" i="1"/>
  <c r="BO65" i="1"/>
  <c r="AK245" i="1"/>
  <c r="AK239" i="1"/>
  <c r="AK227" i="1"/>
  <c r="AK211" i="1"/>
  <c r="AK194" i="1"/>
  <c r="AK93" i="1"/>
  <c r="AK99" i="1"/>
  <c r="AK77" i="1"/>
  <c r="AK67" i="1"/>
  <c r="AK65" i="1"/>
  <c r="AO64" i="1"/>
  <c r="AR245" i="1"/>
  <c r="AR246" i="1" s="1"/>
  <c r="AR239" i="1"/>
  <c r="AR227" i="1"/>
  <c r="AR211" i="1"/>
  <c r="AR194" i="1"/>
  <c r="AR93" i="1"/>
  <c r="AR99" i="1"/>
  <c r="AR77" i="1"/>
  <c r="AR67" i="1"/>
  <c r="AR65" i="1"/>
  <c r="V95" i="1"/>
  <c r="V96" i="1" s="1"/>
  <c r="V94" i="1"/>
  <c r="CH68" i="1"/>
  <c r="CH69" i="1"/>
  <c r="AZ68" i="1"/>
  <c r="AZ194" i="1"/>
  <c r="T100" i="1"/>
  <c r="T102" i="1"/>
  <c r="CM239" i="1"/>
  <c r="CM227" i="1"/>
  <c r="CM211" i="1"/>
  <c r="CM194" i="1"/>
  <c r="CM93" i="1"/>
  <c r="CM99" i="1"/>
  <c r="CM77" i="1"/>
  <c r="CM67" i="1"/>
  <c r="CQ64" i="1"/>
  <c r="K36" i="442" s="1"/>
  <c r="K50" i="442" s="1"/>
  <c r="L50" i="442" s="1"/>
  <c r="M50" i="442" s="1"/>
  <c r="N50" i="442" s="1"/>
  <c r="O50" i="442" s="1"/>
  <c r="P50" i="442" s="1"/>
  <c r="Q50" i="442" s="1"/>
  <c r="R50" i="442" s="1"/>
  <c r="CM65" i="1"/>
  <c r="CO239" i="1"/>
  <c r="CO227" i="1"/>
  <c r="CO211" i="1"/>
  <c r="CO194" i="1"/>
  <c r="CO99" i="1"/>
  <c r="CO93" i="1"/>
  <c r="CO77" i="1"/>
  <c r="CO65" i="1"/>
  <c r="CO67" i="1"/>
  <c r="AS239" i="1"/>
  <c r="AS227" i="1"/>
  <c r="AS211" i="1"/>
  <c r="AS194" i="1"/>
  <c r="AS99" i="1"/>
  <c r="AS93" i="1"/>
  <c r="AS67" i="1"/>
  <c r="AS77" i="1"/>
  <c r="AS65" i="1"/>
  <c r="CB94" i="1"/>
  <c r="CB95" i="1"/>
  <c r="CB96" i="1" s="1"/>
  <c r="AF68" i="1"/>
  <c r="AF69" i="1"/>
  <c r="CZ55" i="1"/>
  <c r="CY53" i="1"/>
  <c r="BX94" i="1"/>
  <c r="BX95" i="1"/>
  <c r="BX96" i="1" s="1"/>
  <c r="AB68" i="1"/>
  <c r="AB69" i="1"/>
  <c r="AB140" i="1"/>
  <c r="AB139" i="1"/>
  <c r="BD68" i="1"/>
  <c r="H140" i="1"/>
  <c r="H139" i="1"/>
  <c r="AA69" i="1"/>
  <c r="AA68" i="1"/>
  <c r="AA139" i="1"/>
  <c r="AA140" i="1"/>
  <c r="BF95" i="1"/>
  <c r="BF96" i="1" s="1"/>
  <c r="BF94" i="1"/>
  <c r="K239" i="1"/>
  <c r="K227" i="1"/>
  <c r="K137" i="1"/>
  <c r="K138" i="1" s="1"/>
  <c r="K65" i="1"/>
  <c r="M106" i="1"/>
  <c r="M104" i="1"/>
  <c r="Y228" i="1"/>
  <c r="Y212" i="1"/>
  <c r="Y195" i="1"/>
  <c r="Y89" i="1"/>
  <c r="Y86" i="1"/>
  <c r="Y200" i="42" s="1"/>
  <c r="J106" i="1"/>
  <c r="J104" i="1"/>
  <c r="CD84" i="1"/>
  <c r="CD80" i="1"/>
  <c r="P80" i="1"/>
  <c r="P84" i="1"/>
  <c r="P192" i="42" s="1"/>
  <c r="AH95" i="1"/>
  <c r="AH96" i="1" s="1"/>
  <c r="AH94" i="1"/>
  <c r="AH239" i="1"/>
  <c r="AL68" i="1"/>
  <c r="AL69" i="1"/>
  <c r="AL247" i="1"/>
  <c r="AL246" i="1"/>
  <c r="N228" i="1"/>
  <c r="N89" i="1"/>
  <c r="N86" i="1"/>
  <c r="N200" i="42" s="1"/>
  <c r="M269" i="1"/>
  <c r="M150" i="1"/>
  <c r="M245" i="1"/>
  <c r="BG62" i="1"/>
  <c r="CJ239" i="1"/>
  <c r="CJ227" i="1"/>
  <c r="CJ211" i="1"/>
  <c r="CJ194" i="1"/>
  <c r="CJ99" i="1"/>
  <c r="CJ93" i="1"/>
  <c r="CJ77" i="1"/>
  <c r="CJ67" i="1"/>
  <c r="CJ65" i="1"/>
  <c r="Y96" i="1"/>
  <c r="T301" i="1"/>
  <c r="U301" i="1"/>
  <c r="U269" i="1"/>
  <c r="U270" i="1" s="1"/>
  <c r="U150" i="1"/>
  <c r="U49" i="1" s="1"/>
  <c r="U245" i="1"/>
  <c r="CG239" i="1"/>
  <c r="CG227" i="1"/>
  <c r="CG211" i="1"/>
  <c r="CG194" i="1"/>
  <c r="CG93" i="1"/>
  <c r="CG99" i="1"/>
  <c r="CG65" i="1"/>
  <c r="CG77" i="1"/>
  <c r="CG84" i="1" s="1"/>
  <c r="CK64" i="1"/>
  <c r="J36" i="442" s="1"/>
  <c r="CG67" i="1"/>
  <c r="V102" i="1"/>
  <c r="V100" i="1"/>
  <c r="CH102" i="1"/>
  <c r="CH100" i="1"/>
  <c r="Z106" i="1"/>
  <c r="Z193" i="42" s="1"/>
  <c r="Z104" i="1"/>
  <c r="AX245" i="1"/>
  <c r="AX246" i="1" s="1"/>
  <c r="AX239" i="1"/>
  <c r="AX227" i="1"/>
  <c r="AX211" i="1"/>
  <c r="AX194" i="1"/>
  <c r="AX99" i="1"/>
  <c r="AX93" i="1"/>
  <c r="AX77" i="1"/>
  <c r="AX67" i="1"/>
  <c r="BD69" i="1" s="1"/>
  <c r="AX65" i="1"/>
  <c r="CW157" i="1"/>
  <c r="CW115" i="1"/>
  <c r="AZ79" i="1"/>
  <c r="AZ84" i="1" s="1"/>
  <c r="AZ211" i="1"/>
  <c r="T95" i="1"/>
  <c r="T96" i="1" s="1"/>
  <c r="T94" i="1"/>
  <c r="CQ62" i="1"/>
  <c r="CB84" i="1"/>
  <c r="CB80" i="1"/>
  <c r="CB146" i="3" s="1"/>
  <c r="CB194" i="1"/>
  <c r="AF102" i="1"/>
  <c r="AF100" i="1"/>
  <c r="Y106" i="1"/>
  <c r="Y193" i="42" s="1"/>
  <c r="Y104" i="1"/>
  <c r="J269" i="1"/>
  <c r="J270" i="1" s="1"/>
  <c r="J245" i="1"/>
  <c r="J246" i="1" s="1"/>
  <c r="BX102" i="1"/>
  <c r="BX100" i="1"/>
  <c r="BX239" i="1"/>
  <c r="AB80" i="1"/>
  <c r="AB84" i="1"/>
  <c r="AB192" i="42" s="1"/>
  <c r="BD102" i="1"/>
  <c r="BD100" i="1"/>
  <c r="AA80" i="1"/>
  <c r="AA84" i="1"/>
  <c r="AA192" i="42" s="1"/>
  <c r="D139" i="1"/>
  <c r="D140" i="1"/>
  <c r="M96" i="1"/>
  <c r="BF69" i="1"/>
  <c r="BF68" i="1"/>
  <c r="BF102" i="1"/>
  <c r="BF100" i="1"/>
  <c r="BF239" i="1"/>
  <c r="U106" i="1"/>
  <c r="U193" i="42" s="1"/>
  <c r="U104" i="1"/>
  <c r="G139" i="1"/>
  <c r="G140" i="1"/>
  <c r="Z301" i="1"/>
  <c r="Z269" i="1"/>
  <c r="Z270" i="1" s="1"/>
  <c r="Z150" i="1"/>
  <c r="Z49" i="1" s="1"/>
  <c r="AF51" i="1" s="1"/>
  <c r="Z245" i="1"/>
  <c r="CC245" i="1"/>
  <c r="CC246" i="1" s="1"/>
  <c r="CC227" i="1"/>
  <c r="CC211" i="1"/>
  <c r="CC194" i="1"/>
  <c r="CC93" i="1"/>
  <c r="CC99" i="1"/>
  <c r="CC65" i="1"/>
  <c r="CC67" i="1"/>
  <c r="S94" i="1"/>
  <c r="W93" i="1"/>
  <c r="S95" i="1"/>
  <c r="CD211" i="1"/>
  <c r="BJ94" i="1"/>
  <c r="BJ95" i="1"/>
  <c r="BJ96" i="1" s="1"/>
  <c r="Q99" i="1"/>
  <c r="Q100" i="1" s="1"/>
  <c r="BC239" i="1"/>
  <c r="BC227" i="1"/>
  <c r="BC211" i="1"/>
  <c r="BC194" i="1"/>
  <c r="BC99" i="1"/>
  <c r="BC93" i="1"/>
  <c r="BC67" i="1"/>
  <c r="BC77" i="1"/>
  <c r="BG64" i="1"/>
  <c r="BC65" i="1"/>
  <c r="S139" i="1"/>
  <c r="S140" i="1"/>
  <c r="I106" i="1"/>
  <c r="I104" i="1"/>
  <c r="AH69" i="1"/>
  <c r="AH68" i="1"/>
  <c r="N150" i="1"/>
  <c r="N49" i="1" s="1"/>
  <c r="N245" i="1"/>
  <c r="AM245" i="1"/>
  <c r="AM239" i="1"/>
  <c r="AM227" i="1"/>
  <c r="AM211" i="1"/>
  <c r="AM194" i="1"/>
  <c r="AM99" i="1"/>
  <c r="AM93" i="1"/>
  <c r="AM67" i="1"/>
  <c r="AM77" i="1"/>
  <c r="AM65" i="1"/>
  <c r="BP239" i="1"/>
  <c r="BP227" i="1"/>
  <c r="BP211" i="1"/>
  <c r="BP194" i="1"/>
  <c r="BP99" i="1"/>
  <c r="BP93" i="1"/>
  <c r="BP77" i="1"/>
  <c r="BP67" i="1"/>
  <c r="BP65" i="1"/>
  <c r="E117" i="1"/>
  <c r="E106" i="1"/>
  <c r="E193" i="42" s="1"/>
  <c r="E104" i="1"/>
  <c r="CZ276" i="1"/>
  <c r="DA274" i="1"/>
  <c r="CN239" i="1"/>
  <c r="CN227" i="1"/>
  <c r="CN211" i="1"/>
  <c r="CN194" i="1"/>
  <c r="CN99" i="1"/>
  <c r="CN93" i="1"/>
  <c r="CN77" i="1"/>
  <c r="CN67" i="1"/>
  <c r="CN65" i="1"/>
  <c r="V140" i="1"/>
  <c r="V139" i="1"/>
  <c r="CH95" i="1"/>
  <c r="CH96" i="1" s="1"/>
  <c r="CH94" i="1"/>
  <c r="CH239" i="1"/>
  <c r="CY115" i="1"/>
  <c r="CZ114" i="1"/>
  <c r="DA174" i="42" s="1"/>
  <c r="DA175" i="42" s="1"/>
  <c r="CY112" i="1"/>
  <c r="AZ94" i="1"/>
  <c r="AZ95" i="1"/>
  <c r="AZ96" i="1" s="1"/>
  <c r="T84" i="1"/>
  <c r="T192" i="42" s="1"/>
  <c r="T80" i="1"/>
  <c r="T139" i="1"/>
  <c r="T140" i="1"/>
  <c r="BQ239" i="1"/>
  <c r="BQ227" i="1"/>
  <c r="BQ211" i="1"/>
  <c r="BQ194" i="1"/>
  <c r="BQ99" i="1"/>
  <c r="BQ67" i="1"/>
  <c r="BQ93" i="1"/>
  <c r="BQ77" i="1"/>
  <c r="BQ65" i="1"/>
  <c r="CB68" i="1"/>
  <c r="AF95" i="1"/>
  <c r="AF96" i="1" s="1"/>
  <c r="AF94" i="1"/>
  <c r="AF239" i="1"/>
  <c r="AC245" i="1"/>
  <c r="AC246" i="1" s="1"/>
  <c r="AC227" i="1"/>
  <c r="AC239" i="1"/>
  <c r="AC194" i="1"/>
  <c r="AC137" i="1"/>
  <c r="AC138" i="1" s="1"/>
  <c r="AC65" i="1"/>
  <c r="J228" i="1"/>
  <c r="J89" i="1"/>
  <c r="J86" i="1"/>
  <c r="BX68" i="1"/>
  <c r="BX69" i="1"/>
  <c r="BX194" i="1"/>
  <c r="AB95" i="1"/>
  <c r="AB96" i="1" s="1"/>
  <c r="AB94" i="1"/>
  <c r="BK239" i="1"/>
  <c r="BK227" i="1"/>
  <c r="BK211" i="1"/>
  <c r="BK194" i="1"/>
  <c r="BK99" i="1"/>
  <c r="BK93" i="1"/>
  <c r="BK77" i="1"/>
  <c r="BK67" i="1"/>
  <c r="BK65" i="1"/>
  <c r="AW245" i="1"/>
  <c r="AW246" i="1" s="1"/>
  <c r="AW239" i="1"/>
  <c r="AW227" i="1"/>
  <c r="AW211" i="1"/>
  <c r="AW194" i="1"/>
  <c r="AW99" i="1"/>
  <c r="AW67" i="1"/>
  <c r="AW93" i="1"/>
  <c r="AW77" i="1"/>
  <c r="AW65" i="1"/>
  <c r="BA64" i="1"/>
  <c r="BD94" i="1"/>
  <c r="BD95" i="1"/>
  <c r="BD96" i="1" s="1"/>
  <c r="BD239" i="1"/>
  <c r="H80" i="1"/>
  <c r="H245" i="1" s="1"/>
  <c r="H246" i="1" s="1"/>
  <c r="H84" i="1"/>
  <c r="AA95" i="1"/>
  <c r="AA96" i="1" s="1"/>
  <c r="AA94" i="1"/>
  <c r="Q93" i="1"/>
  <c r="Q94" i="1" s="1"/>
  <c r="CQ173" i="1"/>
  <c r="CR111" i="41" l="1"/>
  <c r="CR115" i="41" s="1"/>
  <c r="CW126" i="41"/>
  <c r="CW127" i="41"/>
  <c r="DC137" i="41"/>
  <c r="DS135" i="41"/>
  <c r="DS246" i="41"/>
  <c r="DT136" i="41"/>
  <c r="CU125" i="42"/>
  <c r="CU122" i="42" s="1"/>
  <c r="CU123" i="42" s="1"/>
  <c r="CV126" i="42"/>
  <c r="CV125" i="42" s="1"/>
  <c r="CV122" i="42" s="1"/>
  <c r="CV123" i="42" s="1"/>
  <c r="S50" i="442"/>
  <c r="T50" i="442" s="1"/>
  <c r="DN86" i="3"/>
  <c r="DO86" i="3" s="1"/>
  <c r="DL40" i="3"/>
  <c r="DL113" i="3" s="1"/>
  <c r="DK113" i="3"/>
  <c r="DM50" i="3"/>
  <c r="DM123" i="3" s="1"/>
  <c r="CW167" i="1"/>
  <c r="DI154" i="1"/>
  <c r="BU19" i="41"/>
  <c r="Y339" i="1"/>
  <c r="Y340" i="1" s="1"/>
  <c r="Q102" i="1"/>
  <c r="Q117" i="1" s="1"/>
  <c r="AV219" i="41"/>
  <c r="BY9" i="41"/>
  <c r="BZ8" i="41"/>
  <c r="BY17" i="41"/>
  <c r="BY155" i="41"/>
  <c r="BY10" i="41"/>
  <c r="AY214" i="41"/>
  <c r="AY58" i="41"/>
  <c r="AY56" i="41"/>
  <c r="BE55" i="41"/>
  <c r="AY318" i="41"/>
  <c r="AY55" i="41"/>
  <c r="AY217" i="41"/>
  <c r="AY44" i="41"/>
  <c r="BW20" i="41"/>
  <c r="BW26" i="41"/>
  <c r="BW27" i="41" s="1"/>
  <c r="BW19" i="41"/>
  <c r="AV40" i="41"/>
  <c r="AV46" i="41"/>
  <c r="AV45" i="41"/>
  <c r="AW44" i="41"/>
  <c r="BB33" i="41"/>
  <c r="AW33" i="41"/>
  <c r="BC33" i="41"/>
  <c r="AY33" i="41"/>
  <c r="AY34" i="41"/>
  <c r="AU63" i="41"/>
  <c r="AU64" i="41"/>
  <c r="BR125" i="41"/>
  <c r="BS124" i="41"/>
  <c r="BY126" i="41" s="1"/>
  <c r="BX18" i="41"/>
  <c r="BX320" i="41"/>
  <c r="BX321" i="41" s="1"/>
  <c r="BX157" i="41"/>
  <c r="BX156" i="41"/>
  <c r="AZ38" i="41"/>
  <c r="BF37" i="41"/>
  <c r="AZ37" i="41"/>
  <c r="AZ54" i="41"/>
  <c r="AZ32" i="41"/>
  <c r="AU41" i="41"/>
  <c r="AU42" i="41"/>
  <c r="AW58" i="41"/>
  <c r="AV62" i="41"/>
  <c r="AV60" i="41"/>
  <c r="AV59" i="41"/>
  <c r="AO172" i="42"/>
  <c r="AO178" i="42" s="1"/>
  <c r="AO179" i="42" s="1"/>
  <c r="DB52" i="42"/>
  <c r="DE182" i="42" s="1"/>
  <c r="DE52" i="42" s="1"/>
  <c r="AC94" i="1"/>
  <c r="Z339" i="1"/>
  <c r="Z340" i="1" s="1"/>
  <c r="AB339" i="1"/>
  <c r="AB340" i="1" s="1"/>
  <c r="Q95" i="1"/>
  <c r="Q96" i="1" s="1"/>
  <c r="AU240" i="42"/>
  <c r="BA236" i="42" s="1"/>
  <c r="BJ172" i="42"/>
  <c r="BJ178" i="42" s="1"/>
  <c r="BJ179" i="42" s="1"/>
  <c r="CZ21" i="42"/>
  <c r="AC102" i="1"/>
  <c r="AC104" i="1" s="1"/>
  <c r="BH42" i="41"/>
  <c r="CJ250" i="41"/>
  <c r="CJ256" i="41" s="1"/>
  <c r="CX250" i="41"/>
  <c r="CX256" i="41" s="1"/>
  <c r="DG11" i="42"/>
  <c r="AI172" i="42"/>
  <c r="AI178" i="42" s="1"/>
  <c r="AI179" i="42" s="1"/>
  <c r="DC182" i="42"/>
  <c r="AD181" i="41"/>
  <c r="AD180" i="41"/>
  <c r="DE110" i="3"/>
  <c r="BK169" i="42"/>
  <c r="BK172" i="42" s="1"/>
  <c r="CY88" i="3"/>
  <c r="CZ16" i="3"/>
  <c r="DF37" i="3"/>
  <c r="DF110" i="3" s="1"/>
  <c r="BI178" i="42"/>
  <c r="BI179" i="42" s="1"/>
  <c r="AE181" i="41"/>
  <c r="AE180" i="41"/>
  <c r="DF38" i="3"/>
  <c r="DF111" i="3" s="1"/>
  <c r="BL165" i="42"/>
  <c r="BM165" i="42" s="1"/>
  <c r="BM182" i="42"/>
  <c r="DA52" i="3"/>
  <c r="DA125" i="3" s="1"/>
  <c r="DG22" i="42"/>
  <c r="DA172" i="42"/>
  <c r="DC172" i="42" s="1"/>
  <c r="DC165" i="42"/>
  <c r="CG126" i="41"/>
  <c r="G190" i="442"/>
  <c r="CA128" i="41"/>
  <c r="CU256" i="41"/>
  <c r="CU252" i="41"/>
  <c r="CO257" i="41"/>
  <c r="CS251" i="41"/>
  <c r="CE126" i="41"/>
  <c r="BQ257" i="41"/>
  <c r="CB148" i="3"/>
  <c r="J112" i="442"/>
  <c r="J50" i="442"/>
  <c r="J31" i="442"/>
  <c r="J32" i="442" s="1"/>
  <c r="J37" i="442"/>
  <c r="J47" i="442"/>
  <c r="CD146" i="3"/>
  <c r="K112" i="442"/>
  <c r="K37" i="442"/>
  <c r="K31" i="442"/>
  <c r="K32" i="442" s="1"/>
  <c r="K47" i="442"/>
  <c r="CO256" i="41"/>
  <c r="CO252" i="41"/>
  <c r="DH246" i="41"/>
  <c r="K138" i="442"/>
  <c r="CF256" i="41"/>
  <c r="CF252" i="41"/>
  <c r="DG111" i="41"/>
  <c r="DA115" i="41"/>
  <c r="AG113" i="41"/>
  <c r="AG112" i="41"/>
  <c r="AK111" i="41"/>
  <c r="AG115" i="41"/>
  <c r="BC128" i="41"/>
  <c r="CW113" i="41"/>
  <c r="CW115" i="41"/>
  <c r="AH112" i="41"/>
  <c r="AB115" i="41"/>
  <c r="AB113" i="41"/>
  <c r="AB112" i="41"/>
  <c r="CD252" i="41"/>
  <c r="CD256" i="41"/>
  <c r="BH115" i="41"/>
  <c r="BH113" i="41"/>
  <c r="BH112" i="41"/>
  <c r="AZ69" i="42" s="1"/>
  <c r="CC256" i="41"/>
  <c r="CG250" i="41"/>
  <c r="CC252" i="41"/>
  <c r="CE113" i="41"/>
  <c r="CL250" i="41"/>
  <c r="BN256" i="41"/>
  <c r="BN252" i="41"/>
  <c r="BN258" i="41" s="1"/>
  <c r="AA112" i="41"/>
  <c r="AA115" i="41"/>
  <c r="AA113" i="41"/>
  <c r="AE111" i="41"/>
  <c r="AE112" i="41" s="1"/>
  <c r="CK112" i="41"/>
  <c r="CK115" i="41"/>
  <c r="BM256" i="41"/>
  <c r="BM252" i="41"/>
  <c r="BM258" i="41" s="1"/>
  <c r="BI126" i="41"/>
  <c r="AP112" i="41"/>
  <c r="AP115" i="41"/>
  <c r="AP113" i="41"/>
  <c r="CM246" i="41"/>
  <c r="CM250" i="41" s="1"/>
  <c r="CS135" i="41"/>
  <c r="CO124" i="41"/>
  <c r="BQ252" i="41"/>
  <c r="BQ256" i="41"/>
  <c r="BZ112" i="41"/>
  <c r="BZ115" i="41"/>
  <c r="BZ281" i="41"/>
  <c r="AD112" i="41"/>
  <c r="AD115" i="41"/>
  <c r="AD113" i="41"/>
  <c r="CM251" i="41"/>
  <c r="CI257" i="41"/>
  <c r="DA252" i="41"/>
  <c r="DA256" i="41"/>
  <c r="DA86" i="3"/>
  <c r="DB14" i="3"/>
  <c r="CR127" i="41"/>
  <c r="DN136" i="41"/>
  <c r="DM246" i="41"/>
  <c r="BL252" i="41"/>
  <c r="BL256" i="41"/>
  <c r="CY136" i="41"/>
  <c r="CV246" i="41"/>
  <c r="CY246" i="41" s="1"/>
  <c r="CY252" i="41" s="1"/>
  <c r="CV135" i="41"/>
  <c r="CY135" i="41" s="1"/>
  <c r="CU257" i="41"/>
  <c r="CY251" i="41"/>
  <c r="BK256" i="41"/>
  <c r="BK252" i="41"/>
  <c r="BK258" i="41" s="1"/>
  <c r="BY127" i="41"/>
  <c r="BY111" i="41"/>
  <c r="CA111" i="41" s="1"/>
  <c r="H195" i="442"/>
  <c r="CR256" i="41"/>
  <c r="CR252" i="41"/>
  <c r="AZ112" i="41"/>
  <c r="AZ115" i="41"/>
  <c r="AZ113" i="41"/>
  <c r="BR252" i="41"/>
  <c r="BR256" i="41"/>
  <c r="BK257" i="41"/>
  <c r="BO251" i="41"/>
  <c r="AH115" i="41"/>
  <c r="AH113" i="41"/>
  <c r="AN112" i="41"/>
  <c r="AN115" i="41"/>
  <c r="AN113" i="41"/>
  <c r="AT115" i="41"/>
  <c r="AT112" i="41"/>
  <c r="BX256" i="41"/>
  <c r="BX252" i="41"/>
  <c r="K148" i="442"/>
  <c r="AQ128" i="41"/>
  <c r="AQ126" i="41"/>
  <c r="CM135" i="41"/>
  <c r="CI124" i="41"/>
  <c r="CJ127" i="41" s="1"/>
  <c r="CQ250" i="41"/>
  <c r="BX115" i="41"/>
  <c r="BX281" i="41"/>
  <c r="BX282" i="41" s="1"/>
  <c r="BX113" i="41"/>
  <c r="BZ127" i="41"/>
  <c r="CF115" i="41"/>
  <c r="CF113" i="41"/>
  <c r="CF112" i="41"/>
  <c r="AI115" i="41"/>
  <c r="AI113" i="41"/>
  <c r="AI112" i="41"/>
  <c r="CP256" i="41"/>
  <c r="CP252" i="41"/>
  <c r="BB112" i="41"/>
  <c r="BB115" i="41"/>
  <c r="BB113" i="41"/>
  <c r="CC112" i="41"/>
  <c r="CG111" i="41"/>
  <c r="CC115" i="41"/>
  <c r="CC113" i="41"/>
  <c r="CW256" i="41"/>
  <c r="CW252" i="41"/>
  <c r="CQ127" i="41"/>
  <c r="CQ126" i="41"/>
  <c r="CQ111" i="41"/>
  <c r="CJ126" i="41"/>
  <c r="CJ111" i="41"/>
  <c r="CP112" i="41" s="1"/>
  <c r="BS255" i="41"/>
  <c r="BS251" i="41"/>
  <c r="BS257" i="41" s="1"/>
  <c r="BS250" i="41"/>
  <c r="CX126" i="41"/>
  <c r="CX111" i="41"/>
  <c r="DA127" i="41"/>
  <c r="AK128" i="41"/>
  <c r="AK126" i="41"/>
  <c r="CK256" i="41"/>
  <c r="CK252" i="41"/>
  <c r="BT115" i="41"/>
  <c r="BT281" i="41"/>
  <c r="BT282" i="41" s="1"/>
  <c r="BT131" i="41"/>
  <c r="CA251" i="41"/>
  <c r="CA257" i="41" s="1"/>
  <c r="BW257" i="41"/>
  <c r="BT252" i="41"/>
  <c r="BT258" i="41" s="1"/>
  <c r="BT256" i="41"/>
  <c r="BI111" i="41"/>
  <c r="BE115" i="41"/>
  <c r="BE113" i="41"/>
  <c r="BE112" i="41"/>
  <c r="AW69" i="42" s="1"/>
  <c r="CV137" i="41"/>
  <c r="CW137" i="41" s="1"/>
  <c r="CX137" i="41" s="1"/>
  <c r="CP126" i="41"/>
  <c r="M55" i="42"/>
  <c r="M193" i="42"/>
  <c r="AC192" i="42"/>
  <c r="AC134" i="42"/>
  <c r="BX148" i="3"/>
  <c r="BA160" i="1"/>
  <c r="BA163" i="1"/>
  <c r="BA112" i="41"/>
  <c r="BA113" i="41"/>
  <c r="BA115" i="41"/>
  <c r="AC115" i="41"/>
  <c r="AC112" i="41"/>
  <c r="AC113" i="41"/>
  <c r="CU124" i="41"/>
  <c r="CL115" i="41"/>
  <c r="CL113" i="41"/>
  <c r="CL112" i="41"/>
  <c r="AS127" i="41"/>
  <c r="AS126" i="41"/>
  <c r="AW124" i="41"/>
  <c r="AW126" i="41" s="1"/>
  <c r="AS128" i="41"/>
  <c r="AS111" i="41"/>
  <c r="AY112" i="41" s="1"/>
  <c r="CE256" i="41"/>
  <c r="CE252" i="41"/>
  <c r="BO250" i="41"/>
  <c r="BG113" i="41"/>
  <c r="BG112" i="41"/>
  <c r="AY69" i="42" s="1"/>
  <c r="BG115" i="41"/>
  <c r="AO115" i="41"/>
  <c r="AO113" i="41"/>
  <c r="AO112" i="41"/>
  <c r="AY115" i="41"/>
  <c r="AY113" i="41"/>
  <c r="BC111" i="41"/>
  <c r="CX127" i="41"/>
  <c r="CG251" i="41"/>
  <c r="CC257" i="41"/>
  <c r="AT127" i="41"/>
  <c r="AJ112" i="41"/>
  <c r="AJ115" i="41"/>
  <c r="AJ113" i="41"/>
  <c r="AV115" i="41"/>
  <c r="AV113" i="41"/>
  <c r="AV112" i="41"/>
  <c r="BW256" i="41"/>
  <c r="BW252" i="41"/>
  <c r="CA250" i="41"/>
  <c r="CA256" i="41" s="1"/>
  <c r="BZ256" i="41"/>
  <c r="BZ252" i="41"/>
  <c r="BZ258" i="41" s="1"/>
  <c r="BF115" i="41"/>
  <c r="BF112" i="41"/>
  <c r="AX69" i="42" s="1"/>
  <c r="BF113" i="41"/>
  <c r="AQ111" i="41"/>
  <c r="AM112" i="41"/>
  <c r="AM115" i="41"/>
  <c r="AM113" i="41"/>
  <c r="DC246" i="41"/>
  <c r="DD136" i="41"/>
  <c r="CS246" i="41"/>
  <c r="CS252" i="41" s="1"/>
  <c r="BU249" i="41"/>
  <c r="CP115" i="41"/>
  <c r="CI250" i="41"/>
  <c r="BY256" i="41"/>
  <c r="BY252" i="41"/>
  <c r="BY258" i="41" s="1"/>
  <c r="AU112" i="41"/>
  <c r="AU115" i="41"/>
  <c r="AU113" i="41"/>
  <c r="CD112" i="41"/>
  <c r="CD113" i="41"/>
  <c r="BW281" i="41"/>
  <c r="BW115" i="41"/>
  <c r="BW113" i="41"/>
  <c r="L74" i="442"/>
  <c r="L84" i="442"/>
  <c r="DH86" i="3"/>
  <c r="DI86" i="3" s="1"/>
  <c r="CV86" i="3"/>
  <c r="CW86" i="3" s="1"/>
  <c r="BI48" i="41"/>
  <c r="BK51" i="41"/>
  <c r="BK52" i="41"/>
  <c r="BK66" i="41"/>
  <c r="BG74" i="41"/>
  <c r="BI73" i="41"/>
  <c r="BI74" i="41" s="1"/>
  <c r="BG64" i="41"/>
  <c r="BH64" i="41"/>
  <c r="BL38" i="41"/>
  <c r="BL54" i="41"/>
  <c r="BL50" i="41"/>
  <c r="BL37" i="41"/>
  <c r="BH70" i="41"/>
  <c r="DG124" i="41"/>
  <c r="BK217" i="41"/>
  <c r="BK214" i="41"/>
  <c r="BK215" i="41" s="1"/>
  <c r="BK56" i="41"/>
  <c r="BK55" i="41"/>
  <c r="BK44" i="41"/>
  <c r="BK40" i="41" s="1"/>
  <c r="BK58" i="41"/>
  <c r="BQ28" i="41"/>
  <c r="BW28" i="41"/>
  <c r="CC282" i="41"/>
  <c r="BL28" i="41"/>
  <c r="BR28" i="41"/>
  <c r="CD281" i="41"/>
  <c r="CD282" i="41" s="1"/>
  <c r="CE280" i="41"/>
  <c r="DM202" i="41"/>
  <c r="DM201" i="41"/>
  <c r="DN198" i="41"/>
  <c r="DM199" i="41"/>
  <c r="DE260" i="1"/>
  <c r="BG42" i="41"/>
  <c r="BI40" i="41"/>
  <c r="BM33" i="41"/>
  <c r="BN32" i="41"/>
  <c r="BM36" i="41"/>
  <c r="BE315" i="41"/>
  <c r="BC315" i="41"/>
  <c r="AY313" i="41"/>
  <c r="BM28" i="41"/>
  <c r="BS28" i="41"/>
  <c r="BR56" i="3"/>
  <c r="BS45" i="3"/>
  <c r="BU45" i="3"/>
  <c r="DE20" i="3"/>
  <c r="DC20" i="3"/>
  <c r="DE122" i="3"/>
  <c r="DF49" i="3"/>
  <c r="DE39" i="42"/>
  <c r="DF39" i="42" s="1"/>
  <c r="DG39" i="42" s="1"/>
  <c r="DH39" i="42" s="1"/>
  <c r="DE39" i="3"/>
  <c r="DC39" i="3"/>
  <c r="CK42" i="3"/>
  <c r="T62" i="3"/>
  <c r="S64" i="3"/>
  <c r="DG19" i="3"/>
  <c r="BQ129" i="3"/>
  <c r="BQ133" i="3" s="1"/>
  <c r="BS118" i="3"/>
  <c r="BS129" i="3" s="1"/>
  <c r="V160" i="3"/>
  <c r="V162" i="3" s="1"/>
  <c r="V144" i="3"/>
  <c r="V133" i="3"/>
  <c r="V103" i="3"/>
  <c r="DE90" i="3"/>
  <c r="DF18" i="3"/>
  <c r="DF90" i="3" s="1"/>
  <c r="CJ51" i="3"/>
  <c r="CK51" i="3" s="1"/>
  <c r="DE54" i="3"/>
  <c r="DC54" i="3"/>
  <c r="W160" i="3"/>
  <c r="W162" i="3" s="1"/>
  <c r="W158" i="3"/>
  <c r="W144" i="3"/>
  <c r="W103" i="3"/>
  <c r="DA51" i="3"/>
  <c r="DA124" i="3" s="1"/>
  <c r="CI124" i="3"/>
  <c r="CY126" i="42"/>
  <c r="CZ126" i="42" s="1"/>
  <c r="DA126" i="42" s="1"/>
  <c r="DB126" i="42" s="1"/>
  <c r="DE126" i="42" s="1"/>
  <c r="DF126" i="42" s="1"/>
  <c r="DG126" i="42" s="1"/>
  <c r="DH126" i="42" s="1"/>
  <c r="DK126" i="42" s="1"/>
  <c r="DL126" i="42" s="1"/>
  <c r="DM126" i="42" s="1"/>
  <c r="DN126" i="42" s="1"/>
  <c r="BQ113" i="42"/>
  <c r="BP112" i="42"/>
  <c r="DE50" i="42"/>
  <c r="DC50" i="42"/>
  <c r="AS248" i="42"/>
  <c r="AT229" i="42"/>
  <c r="AT233" i="42" s="1"/>
  <c r="AT248" i="42" s="1"/>
  <c r="AA248" i="42"/>
  <c r="AA210" i="42"/>
  <c r="AA217" i="42" s="1"/>
  <c r="BA233" i="42"/>
  <c r="BG229" i="42" s="1"/>
  <c r="V248" i="42"/>
  <c r="V210" i="42"/>
  <c r="AH179" i="42"/>
  <c r="AH167" i="42"/>
  <c r="AE185" i="42"/>
  <c r="DB269" i="42"/>
  <c r="DA40" i="42"/>
  <c r="DA252" i="1" s="1"/>
  <c r="CP123" i="42"/>
  <c r="CQ122" i="42"/>
  <c r="CQ124" i="42" s="1"/>
  <c r="AB246" i="42"/>
  <c r="AB209" i="42"/>
  <c r="AB216" i="42" s="1"/>
  <c r="DB266" i="42"/>
  <c r="CV270" i="42"/>
  <c r="CB264" i="42"/>
  <c r="CC263" i="42"/>
  <c r="BC74" i="42"/>
  <c r="BC75" i="42"/>
  <c r="CS122" i="42"/>
  <c r="DG266" i="42"/>
  <c r="DM266" i="42" s="1"/>
  <c r="DA270" i="42"/>
  <c r="DB276" i="42"/>
  <c r="DE275" i="42"/>
  <c r="DB41" i="42"/>
  <c r="Y132" i="42"/>
  <c r="W132" i="42"/>
  <c r="V135" i="42"/>
  <c r="W135" i="42" s="1"/>
  <c r="AG179" i="42"/>
  <c r="AG167" i="42"/>
  <c r="V216" i="42"/>
  <c r="W209" i="42"/>
  <c r="W216" i="42" s="1"/>
  <c r="M103" i="42"/>
  <c r="N101" i="42"/>
  <c r="V239" i="42"/>
  <c r="V244" i="42" s="1"/>
  <c r="W244" i="42" s="1"/>
  <c r="V238" i="42"/>
  <c r="AL228" i="1"/>
  <c r="AL195" i="1"/>
  <c r="AL89" i="1"/>
  <c r="AL86" i="1"/>
  <c r="AH228" i="1"/>
  <c r="AH195" i="1"/>
  <c r="AH86" i="1"/>
  <c r="AH89" i="1"/>
  <c r="BA99" i="1"/>
  <c r="AW102" i="1"/>
  <c r="AW100" i="1"/>
  <c r="BK84" i="1"/>
  <c r="BL212" i="1" s="1"/>
  <c r="BK80" i="1"/>
  <c r="BK146" i="3" s="1"/>
  <c r="BK148" i="3" s="1"/>
  <c r="BQ84" i="1"/>
  <c r="BQ80" i="1"/>
  <c r="BQ146" i="3" s="1"/>
  <c r="BQ148" i="3" s="1"/>
  <c r="T228" i="1"/>
  <c r="T89" i="1"/>
  <c r="T86" i="1"/>
  <c r="Z196" i="1" s="1"/>
  <c r="CZ115" i="1"/>
  <c r="DA114" i="1"/>
  <c r="DB174" i="42" s="1"/>
  <c r="DB175" i="42" s="1"/>
  <c r="CZ112" i="1"/>
  <c r="CN69" i="1"/>
  <c r="CN68" i="1"/>
  <c r="E145" i="1"/>
  <c r="E194" i="42" s="1"/>
  <c r="E195" i="42" s="1"/>
  <c r="E196" i="42" s="1"/>
  <c r="E107" i="1"/>
  <c r="E108" i="1"/>
  <c r="E201" i="42" s="1"/>
  <c r="BP95" i="1"/>
  <c r="BP96" i="1" s="1"/>
  <c r="BP94" i="1"/>
  <c r="AM79" i="1"/>
  <c r="AM84" i="1" s="1"/>
  <c r="AM246" i="1"/>
  <c r="AM247" i="1"/>
  <c r="BC68" i="1"/>
  <c r="BG67" i="1"/>
  <c r="BC69" i="1"/>
  <c r="S96" i="1"/>
  <c r="W95" i="1"/>
  <c r="W96" i="1" s="1"/>
  <c r="Z247" i="1"/>
  <c r="Z246" i="1"/>
  <c r="AA301" i="1"/>
  <c r="AA150" i="1"/>
  <c r="AA49" i="1" s="1"/>
  <c r="AG51" i="1" s="1"/>
  <c r="AA245" i="1"/>
  <c r="AB301" i="1"/>
  <c r="AB269" i="1"/>
  <c r="AB270" i="1" s="1"/>
  <c r="AB150" i="1"/>
  <c r="AB49" i="1" s="1"/>
  <c r="AH51" i="1" s="1"/>
  <c r="AB245" i="1"/>
  <c r="Y145" i="1"/>
  <c r="Y194" i="42" s="1"/>
  <c r="Y195" i="42" s="1"/>
  <c r="Y108" i="1"/>
  <c r="Y201" i="42" s="1"/>
  <c r="Y107" i="1"/>
  <c r="CB269" i="1"/>
  <c r="CB270" i="1" s="1"/>
  <c r="CB245" i="1"/>
  <c r="CB246" i="1" s="1"/>
  <c r="AX95" i="1"/>
  <c r="AX96" i="1" s="1"/>
  <c r="AX94" i="1"/>
  <c r="Z145" i="1"/>
  <c r="Z194" i="42" s="1"/>
  <c r="Z195" i="42" s="1"/>
  <c r="Z108" i="1"/>
  <c r="Z201" i="42" s="1"/>
  <c r="Z107" i="1"/>
  <c r="V106" i="1"/>
  <c r="V193" i="42" s="1"/>
  <c r="V104" i="1"/>
  <c r="U247" i="1"/>
  <c r="U246" i="1"/>
  <c r="CJ69" i="1"/>
  <c r="CJ68" i="1"/>
  <c r="M270" i="1"/>
  <c r="CD269" i="1"/>
  <c r="CD270" i="1" s="1"/>
  <c r="CD245" i="1"/>
  <c r="CD246" i="1" s="1"/>
  <c r="Y290" i="1"/>
  <c r="Y291" i="1" s="1"/>
  <c r="AS102" i="1"/>
  <c r="AS100" i="1"/>
  <c r="CO84" i="1"/>
  <c r="CO80" i="1"/>
  <c r="CO146" i="3" s="1"/>
  <c r="CO148" i="3" s="1"/>
  <c r="CQ99" i="1"/>
  <c r="CQ100" i="1" s="1"/>
  <c r="CM102" i="1"/>
  <c r="CM100" i="1"/>
  <c r="AR95" i="1"/>
  <c r="AR96" i="1" s="1"/>
  <c r="AR94" i="1"/>
  <c r="AK69" i="1"/>
  <c r="AK68" i="1"/>
  <c r="AO67" i="1"/>
  <c r="AK247" i="1"/>
  <c r="AK246" i="1"/>
  <c r="BO84" i="1"/>
  <c r="BS77" i="1"/>
  <c r="BO80" i="1"/>
  <c r="BO146" i="3" s="1"/>
  <c r="U290" i="1"/>
  <c r="CP84" i="1"/>
  <c r="CP80" i="1"/>
  <c r="CP146" i="3" s="1"/>
  <c r="CP148" i="3" s="1"/>
  <c r="AY94" i="1"/>
  <c r="AY95" i="1"/>
  <c r="AY96" i="1" s="1"/>
  <c r="O104" i="1"/>
  <c r="O79" i="1" s="1"/>
  <c r="O106" i="1"/>
  <c r="O193" i="42" s="1"/>
  <c r="BV69" i="1"/>
  <c r="BV68" i="1"/>
  <c r="D228" i="1"/>
  <c r="D195" i="1"/>
  <c r="D106" i="1"/>
  <c r="D89" i="1"/>
  <c r="D86" i="1"/>
  <c r="D242" i="1" s="1"/>
  <c r="E195" i="1"/>
  <c r="CS95" i="1"/>
  <c r="CS94" i="1"/>
  <c r="BX269" i="1"/>
  <c r="BX270" i="1" s="1"/>
  <c r="BX245" i="1"/>
  <c r="BX246" i="1" s="1"/>
  <c r="CH228" i="1"/>
  <c r="CH195" i="1"/>
  <c r="CH89" i="1"/>
  <c r="CH86" i="1"/>
  <c r="CE239" i="1"/>
  <c r="CE227" i="1"/>
  <c r="CE194" i="1"/>
  <c r="CE65" i="1"/>
  <c r="CE99" i="1"/>
  <c r="CE100" i="1" s="1"/>
  <c r="CA102" i="1"/>
  <c r="CA100" i="1"/>
  <c r="BL69" i="1"/>
  <c r="BL68" i="1"/>
  <c r="AN102" i="1"/>
  <c r="AN100" i="1"/>
  <c r="AU99" i="1"/>
  <c r="AU100" i="1" s="1"/>
  <c r="AQ102" i="1"/>
  <c r="AQ100" i="1"/>
  <c r="CT203" i="1"/>
  <c r="CT186" i="1"/>
  <c r="AL104" i="1"/>
  <c r="AL301" i="1" s="1"/>
  <c r="AL106" i="1"/>
  <c r="P106" i="1"/>
  <c r="P193" i="42" s="1"/>
  <c r="P104" i="1"/>
  <c r="BE94" i="1"/>
  <c r="BE95" i="1"/>
  <c r="BE96" i="1" s="1"/>
  <c r="AI239" i="1"/>
  <c r="AI227" i="1"/>
  <c r="AI194" i="1"/>
  <c r="AI65" i="1"/>
  <c r="BW69" i="1"/>
  <c r="BW68" i="1"/>
  <c r="K80" i="1"/>
  <c r="K84" i="1"/>
  <c r="CI68" i="1"/>
  <c r="CI69" i="1"/>
  <c r="BR68" i="1"/>
  <c r="BR69" i="1"/>
  <c r="BY239" i="1"/>
  <c r="BY227" i="1"/>
  <c r="BY194" i="1"/>
  <c r="BY65" i="1"/>
  <c r="BU95" i="1"/>
  <c r="BY93" i="1"/>
  <c r="BY94" i="1" s="1"/>
  <c r="BU94" i="1"/>
  <c r="BM99" i="1"/>
  <c r="BM100" i="1" s="1"/>
  <c r="BI102" i="1"/>
  <c r="BI100" i="1"/>
  <c r="AG102" i="1"/>
  <c r="AG100" i="1"/>
  <c r="AW79" i="1"/>
  <c r="AW84" i="1" s="1"/>
  <c r="BA77" i="1"/>
  <c r="BK95" i="1"/>
  <c r="BK96" i="1" s="1"/>
  <c r="BK94" i="1"/>
  <c r="AC139" i="1"/>
  <c r="AC140" i="1"/>
  <c r="BQ95" i="1"/>
  <c r="BQ96" i="1" s="1"/>
  <c r="BQ94" i="1"/>
  <c r="CN84" i="1"/>
  <c r="CN80" i="1"/>
  <c r="CN146" i="3" s="1"/>
  <c r="CN148" i="3" s="1"/>
  <c r="DB274" i="1"/>
  <c r="DE274" i="1" s="1"/>
  <c r="DA276" i="1"/>
  <c r="BP102" i="1"/>
  <c r="BP100" i="1"/>
  <c r="AM68" i="1"/>
  <c r="AM69" i="1"/>
  <c r="N247" i="1"/>
  <c r="N246" i="1"/>
  <c r="BC95" i="1"/>
  <c r="BC94" i="1"/>
  <c r="BG93" i="1"/>
  <c r="BG94" i="1" s="1"/>
  <c r="T339" i="1"/>
  <c r="T340" i="1" s="1"/>
  <c r="V339" i="1"/>
  <c r="V340" i="1" s="1"/>
  <c r="U339" i="1"/>
  <c r="U340" i="1" s="1"/>
  <c r="W94" i="1"/>
  <c r="CC102" i="1"/>
  <c r="CC100" i="1"/>
  <c r="CB228" i="1"/>
  <c r="CB86" i="1"/>
  <c r="CB89" i="1"/>
  <c r="CC212" i="1"/>
  <c r="AX102" i="1"/>
  <c r="AX100" i="1"/>
  <c r="CG69" i="1"/>
  <c r="CG68" i="1"/>
  <c r="CK67" i="1"/>
  <c r="CK99" i="1"/>
  <c r="CK100" i="1" s="1"/>
  <c r="CG102" i="1"/>
  <c r="CG100" i="1"/>
  <c r="AC95" i="1"/>
  <c r="AC96" i="1" s="1"/>
  <c r="CJ84" i="1"/>
  <c r="CJ80" i="1"/>
  <c r="CJ146" i="3" s="1"/>
  <c r="CJ148" i="3" s="1"/>
  <c r="N242" i="1"/>
  <c r="CD228" i="1"/>
  <c r="CD212" i="1"/>
  <c r="CD195" i="1"/>
  <c r="CD86" i="1"/>
  <c r="CD89" i="1"/>
  <c r="K140" i="1"/>
  <c r="K139" i="1"/>
  <c r="CO95" i="1"/>
  <c r="CO96" i="1" s="1"/>
  <c r="CO94" i="1"/>
  <c r="CQ239" i="1"/>
  <c r="CQ227" i="1"/>
  <c r="CQ194" i="1"/>
  <c r="CQ98" i="1"/>
  <c r="CQ65" i="1"/>
  <c r="CQ93" i="1"/>
  <c r="CQ94" i="1" s="1"/>
  <c r="CM95" i="1"/>
  <c r="CM94" i="1"/>
  <c r="AR69" i="1"/>
  <c r="AR68" i="1"/>
  <c r="AK79" i="1"/>
  <c r="AK84" i="1" s="1"/>
  <c r="AO77" i="1"/>
  <c r="BS99" i="1"/>
  <c r="BS100" i="1" s="1"/>
  <c r="BO102" i="1"/>
  <c r="BO100" i="1"/>
  <c r="I9" i="1"/>
  <c r="J11" i="1"/>
  <c r="CP69" i="1"/>
  <c r="CP68" i="1"/>
  <c r="AY102" i="1"/>
  <c r="AY100" i="1"/>
  <c r="BV80" i="1"/>
  <c r="BV146" i="3" s="1"/>
  <c r="BV84" i="1"/>
  <c r="Y344" i="1"/>
  <c r="V378" i="1"/>
  <c r="Z344" i="1"/>
  <c r="AB344" i="1"/>
  <c r="AA344" i="1"/>
  <c r="S106" i="1"/>
  <c r="S193" i="42" s="1"/>
  <c r="W102" i="1"/>
  <c r="W104" i="1" s="1"/>
  <c r="S104" i="1"/>
  <c r="Z195" i="1"/>
  <c r="G106" i="1"/>
  <c r="G55" i="42" s="1"/>
  <c r="K102" i="1"/>
  <c r="G104" i="1"/>
  <c r="H106" i="1"/>
  <c r="H104" i="1"/>
  <c r="CS84" i="1"/>
  <c r="CS80" i="1"/>
  <c r="CS100" i="1"/>
  <c r="CS102" i="1"/>
  <c r="BX228" i="1"/>
  <c r="BX89" i="1"/>
  <c r="BX86" i="1"/>
  <c r="CB106" i="1"/>
  <c r="CB104" i="1"/>
  <c r="V228" i="1"/>
  <c r="V89" i="1"/>
  <c r="V86" i="1"/>
  <c r="CE77" i="1"/>
  <c r="CA84" i="1"/>
  <c r="CB212" i="1" s="1"/>
  <c r="CA80" i="1"/>
  <c r="CA146" i="3" s="1"/>
  <c r="BL228" i="1"/>
  <c r="BL195" i="1"/>
  <c r="BL86" i="1"/>
  <c r="BL89" i="1"/>
  <c r="AN69" i="1"/>
  <c r="AN68" i="1"/>
  <c r="AN247" i="1"/>
  <c r="AN246" i="1"/>
  <c r="AU239" i="1"/>
  <c r="AU227" i="1"/>
  <c r="AU194" i="1"/>
  <c r="AU65" i="1"/>
  <c r="AQ94" i="1"/>
  <c r="AU93" i="1"/>
  <c r="AU94" i="1" s="1"/>
  <c r="AQ95" i="1"/>
  <c r="Y247" i="1"/>
  <c r="Y246" i="1"/>
  <c r="S228" i="1"/>
  <c r="S89" i="1"/>
  <c r="S86" i="1"/>
  <c r="BE69" i="1"/>
  <c r="BE68" i="1"/>
  <c r="AE80" i="1"/>
  <c r="AI77" i="1"/>
  <c r="AE84" i="1"/>
  <c r="AF212" i="1" s="1"/>
  <c r="BW84" i="1"/>
  <c r="BX212" i="1" s="1"/>
  <c r="BW80" i="1"/>
  <c r="BW146" i="3" s="1"/>
  <c r="G269" i="1"/>
  <c r="G245" i="1"/>
  <c r="CI95" i="1"/>
  <c r="CI96" i="1" s="1"/>
  <c r="CI94" i="1"/>
  <c r="BR94" i="1"/>
  <c r="BR95" i="1"/>
  <c r="BR96" i="1" s="1"/>
  <c r="BY99" i="1"/>
  <c r="BY100" i="1" s="1"/>
  <c r="BU102" i="1"/>
  <c r="BU100" i="1"/>
  <c r="BI69" i="1"/>
  <c r="BI68" i="1"/>
  <c r="BM67" i="1"/>
  <c r="BI94" i="1"/>
  <c r="BM93" i="1"/>
  <c r="BM94" i="1" s="1"/>
  <c r="BI95" i="1"/>
  <c r="AG68" i="1"/>
  <c r="AG69" i="1"/>
  <c r="AG247" i="1"/>
  <c r="AG246" i="1"/>
  <c r="AT68" i="1"/>
  <c r="AT69" i="1"/>
  <c r="BJ304" i="1"/>
  <c r="BJ269" i="1"/>
  <c r="BJ270" i="1" s="1"/>
  <c r="BJ245" i="1"/>
  <c r="BJ246" i="1" s="1"/>
  <c r="H228" i="1"/>
  <c r="H89" i="1"/>
  <c r="H86" i="1"/>
  <c r="AW95" i="1"/>
  <c r="BA93" i="1"/>
  <c r="BA94" i="1" s="1"/>
  <c r="AW94" i="1"/>
  <c r="BK102" i="1"/>
  <c r="BK100" i="1"/>
  <c r="BQ68" i="1"/>
  <c r="BQ69" i="1"/>
  <c r="CN95" i="1"/>
  <c r="CN96" i="1" s="1"/>
  <c r="CN94" i="1"/>
  <c r="CW73" i="1"/>
  <c r="BP69" i="1"/>
  <c r="BP68" i="1"/>
  <c r="AM95" i="1"/>
  <c r="AM96" i="1" s="1"/>
  <c r="AM94" i="1"/>
  <c r="I108" i="1"/>
  <c r="I107" i="1"/>
  <c r="BG239" i="1"/>
  <c r="BG227" i="1"/>
  <c r="BG194" i="1"/>
  <c r="BG65" i="1"/>
  <c r="BG99" i="1"/>
  <c r="BG100" i="1" s="1"/>
  <c r="BC102" i="1"/>
  <c r="BC100" i="1"/>
  <c r="CC94" i="1"/>
  <c r="CC95" i="1"/>
  <c r="CC96" i="1" s="1"/>
  <c r="BD106" i="1"/>
  <c r="BD104" i="1"/>
  <c r="BD301" i="1" s="1"/>
  <c r="AF106" i="1"/>
  <c r="AF55" i="42" s="1"/>
  <c r="AF56" i="42" s="1"/>
  <c r="AF104" i="1"/>
  <c r="AX69" i="1"/>
  <c r="AX68" i="1"/>
  <c r="CH104" i="1"/>
  <c r="CH106" i="1"/>
  <c r="CK239" i="1"/>
  <c r="CK227" i="1"/>
  <c r="CK194" i="1"/>
  <c r="CK65" i="1"/>
  <c r="CG94" i="1"/>
  <c r="CK93" i="1"/>
  <c r="CK94" i="1" s="1"/>
  <c r="CG95" i="1"/>
  <c r="CJ95" i="1"/>
  <c r="CJ96" i="1" s="1"/>
  <c r="CJ94" i="1"/>
  <c r="M247" i="1"/>
  <c r="M246" i="1"/>
  <c r="P228" i="1"/>
  <c r="P89" i="1"/>
  <c r="P86" i="1"/>
  <c r="P200" i="42" s="1"/>
  <c r="AS68" i="1"/>
  <c r="AS69" i="1"/>
  <c r="CO68" i="1"/>
  <c r="CO69" i="1"/>
  <c r="CO102" i="1"/>
  <c r="CO100" i="1"/>
  <c r="CM69" i="1"/>
  <c r="CQ67" i="1"/>
  <c r="CM68" i="1"/>
  <c r="AR79" i="1"/>
  <c r="AR84" i="1" s="1"/>
  <c r="AO227" i="1"/>
  <c r="AO239" i="1"/>
  <c r="AO194" i="1"/>
  <c r="AO65" i="1"/>
  <c r="AO99" i="1"/>
  <c r="AO100" i="1" s="1"/>
  <c r="AK102" i="1"/>
  <c r="AK100" i="1"/>
  <c r="BS239" i="1"/>
  <c r="BS227" i="1"/>
  <c r="BS194" i="1"/>
  <c r="BS65" i="1"/>
  <c r="BS93" i="1"/>
  <c r="BS94" i="1" s="1"/>
  <c r="BO94" i="1"/>
  <c r="BO95" i="1"/>
  <c r="CP94" i="1"/>
  <c r="CP95" i="1"/>
  <c r="CP96" i="1" s="1"/>
  <c r="AY69" i="1"/>
  <c r="AY68" i="1"/>
  <c r="BV95" i="1"/>
  <c r="BV96" i="1" s="1"/>
  <c r="BV94" i="1"/>
  <c r="AC228" i="1"/>
  <c r="AC86" i="1"/>
  <c r="AC200" i="42" s="1"/>
  <c r="BF269" i="1"/>
  <c r="BF270" i="1" s="1"/>
  <c r="BF245" i="1"/>
  <c r="BF246" i="1" s="1"/>
  <c r="BD304" i="1"/>
  <c r="BD269" i="1"/>
  <c r="BD270" i="1" s="1"/>
  <c r="BD245" i="1"/>
  <c r="BD246" i="1" s="1"/>
  <c r="AB106" i="1"/>
  <c r="AB193" i="42" s="1"/>
  <c r="AB104" i="1"/>
  <c r="AF228" i="1"/>
  <c r="AF195" i="1"/>
  <c r="AF86" i="1"/>
  <c r="AF89" i="1"/>
  <c r="V301" i="1"/>
  <c r="V269" i="1"/>
  <c r="V270" i="1" s="1"/>
  <c r="V150" i="1"/>
  <c r="V49" i="1" s="1"/>
  <c r="V245" i="1"/>
  <c r="CA95" i="1"/>
  <c r="CA94" i="1"/>
  <c r="CE93" i="1"/>
  <c r="CE94" i="1" s="1"/>
  <c r="BL95" i="1"/>
  <c r="BL96" i="1" s="1"/>
  <c r="BL94" i="1"/>
  <c r="AN79" i="1"/>
  <c r="AN84" i="1" s="1"/>
  <c r="AQ69" i="1"/>
  <c r="AU67" i="1"/>
  <c r="AQ68" i="1"/>
  <c r="CD104" i="1"/>
  <c r="CD106" i="1"/>
  <c r="Y49" i="1"/>
  <c r="W84" i="1"/>
  <c r="W80" i="1"/>
  <c r="BE84" i="1"/>
  <c r="BF212" i="1" s="1"/>
  <c r="BE80" i="1"/>
  <c r="BE146" i="3" s="1"/>
  <c r="AE68" i="1"/>
  <c r="AE69" i="1"/>
  <c r="AI67" i="1"/>
  <c r="AI99" i="1"/>
  <c r="AI100" i="1" s="1"/>
  <c r="AE102" i="1"/>
  <c r="AE100" i="1"/>
  <c r="N145" i="1"/>
  <c r="N194" i="42" s="1"/>
  <c r="N195" i="42" s="1"/>
  <c r="N108" i="1"/>
  <c r="N201" i="42" s="1"/>
  <c r="N107" i="1"/>
  <c r="BW94" i="1"/>
  <c r="BW95" i="1"/>
  <c r="BW96" i="1" s="1"/>
  <c r="CI102" i="1"/>
  <c r="CI100" i="1"/>
  <c r="BR102" i="1"/>
  <c r="BR100" i="1"/>
  <c r="BY67" i="1"/>
  <c r="BU68" i="1"/>
  <c r="BU69" i="1"/>
  <c r="AH106" i="1"/>
  <c r="AH10" i="3" s="1"/>
  <c r="AH104" i="1"/>
  <c r="BM239" i="1"/>
  <c r="BM227" i="1"/>
  <c r="BM194" i="1"/>
  <c r="BM65" i="1"/>
  <c r="AG79" i="1"/>
  <c r="AI79" i="1" s="1"/>
  <c r="BJ104" i="1"/>
  <c r="BJ106" i="1"/>
  <c r="AT95" i="1"/>
  <c r="AT96" i="1" s="1"/>
  <c r="AT94" i="1"/>
  <c r="BJ228" i="1"/>
  <c r="BJ195" i="1"/>
  <c r="BJ89" i="1"/>
  <c r="BJ86" i="1"/>
  <c r="BA239" i="1"/>
  <c r="BA227" i="1"/>
  <c r="BA194" i="1"/>
  <c r="BA65" i="1"/>
  <c r="BA67" i="1"/>
  <c r="AW68" i="1"/>
  <c r="AW69" i="1"/>
  <c r="BK68" i="1"/>
  <c r="BK69" i="1"/>
  <c r="BQ102" i="1"/>
  <c r="BQ100" i="1"/>
  <c r="T269" i="1"/>
  <c r="T270" i="1" s="1"/>
  <c r="T150" i="1"/>
  <c r="T49" i="1" s="1"/>
  <c r="T245" i="1"/>
  <c r="CY111" i="1"/>
  <c r="CY118" i="1"/>
  <c r="CN102" i="1"/>
  <c r="CN100" i="1"/>
  <c r="CZ73" i="1"/>
  <c r="DA73" i="1" s="1"/>
  <c r="DB73" i="1" s="1"/>
  <c r="BP84" i="1"/>
  <c r="BP80" i="1"/>
  <c r="BP146" i="3" s="1"/>
  <c r="BP148" i="3" s="1"/>
  <c r="AM102" i="1"/>
  <c r="AM100" i="1"/>
  <c r="BC84" i="1"/>
  <c r="BD212" i="1" s="1"/>
  <c r="BG77" i="1"/>
  <c r="BC80" i="1"/>
  <c r="BC146" i="3" s="1"/>
  <c r="CC69" i="1"/>
  <c r="CC68" i="1"/>
  <c r="U145" i="1"/>
  <c r="U194" i="42" s="1"/>
  <c r="U195" i="42" s="1"/>
  <c r="U108" i="1"/>
  <c r="U201" i="42" s="1"/>
  <c r="U107" i="1"/>
  <c r="BF104" i="1"/>
  <c r="BF106" i="1"/>
  <c r="AA228" i="1"/>
  <c r="AA212" i="1"/>
  <c r="AA195" i="1"/>
  <c r="AA89" i="1"/>
  <c r="AA86" i="1"/>
  <c r="AA200" i="42" s="1"/>
  <c r="AB228" i="1"/>
  <c r="AB212" i="1"/>
  <c r="AB195" i="1"/>
  <c r="AB89" i="1"/>
  <c r="AB86" i="1"/>
  <c r="AB200" i="42" s="1"/>
  <c r="BX104" i="1"/>
  <c r="BX106" i="1"/>
  <c r="AZ228" i="1"/>
  <c r="AZ89" i="1"/>
  <c r="AZ86" i="1"/>
  <c r="AX79" i="1"/>
  <c r="AX84" i="1" s="1"/>
  <c r="CK77" i="1"/>
  <c r="CG80" i="1"/>
  <c r="CG146" i="3" s="1"/>
  <c r="CJ102" i="1"/>
  <c r="CJ100" i="1"/>
  <c r="M49" i="1"/>
  <c r="P269" i="1"/>
  <c r="P270" i="1" s="1"/>
  <c r="P150" i="1"/>
  <c r="P49" i="1" s="1"/>
  <c r="P245" i="1"/>
  <c r="J108" i="1"/>
  <c r="J107" i="1"/>
  <c r="M145" i="1"/>
  <c r="M194" i="42" s="1"/>
  <c r="M107" i="1"/>
  <c r="M108" i="1"/>
  <c r="M201" i="42" s="1"/>
  <c r="DA55" i="1"/>
  <c r="DA21" i="42" s="1"/>
  <c r="CZ53" i="1"/>
  <c r="AS95" i="1"/>
  <c r="AS96" i="1" s="1"/>
  <c r="AS94" i="1"/>
  <c r="CM84" i="1"/>
  <c r="CQ77" i="1"/>
  <c r="CM80" i="1"/>
  <c r="T106" i="1"/>
  <c r="T193" i="42" s="1"/>
  <c r="T104" i="1"/>
  <c r="AR102" i="1"/>
  <c r="AR100" i="1"/>
  <c r="AK94" i="1"/>
  <c r="AO93" i="1"/>
  <c r="AO94" i="1" s="1"/>
  <c r="AK95" i="1"/>
  <c r="BO69" i="1"/>
  <c r="BS67" i="1"/>
  <c r="BO68" i="1"/>
  <c r="CP102" i="1"/>
  <c r="CP100" i="1"/>
  <c r="AY79" i="1"/>
  <c r="AY84" i="1" s="1"/>
  <c r="BV102" i="1"/>
  <c r="BV100" i="1"/>
  <c r="Z290" i="1"/>
  <c r="Z291" i="1" s="1"/>
  <c r="Z213" i="1"/>
  <c r="BF228" i="1"/>
  <c r="BF195" i="1"/>
  <c r="BF86" i="1"/>
  <c r="BF89" i="1"/>
  <c r="AA104" i="1"/>
  <c r="AA106" i="1"/>
  <c r="AA193" i="42" s="1"/>
  <c r="BD228" i="1"/>
  <c r="BD86" i="1"/>
  <c r="BD89" i="1"/>
  <c r="CS69" i="1"/>
  <c r="CS68" i="1"/>
  <c r="AF301" i="1"/>
  <c r="AF269" i="1"/>
  <c r="AF270" i="1" s="1"/>
  <c r="AF245" i="1"/>
  <c r="AZ104" i="1"/>
  <c r="AZ301" i="1" s="1"/>
  <c r="AZ106" i="1"/>
  <c r="CH269" i="1"/>
  <c r="CH270" i="1" s="1"/>
  <c r="CH245" i="1"/>
  <c r="CH246" i="1" s="1"/>
  <c r="CA68" i="1"/>
  <c r="CE67" i="1"/>
  <c r="CA69" i="1"/>
  <c r="BL102" i="1"/>
  <c r="BL100" i="1"/>
  <c r="AN95" i="1"/>
  <c r="AN96" i="1" s="1"/>
  <c r="AN94" i="1"/>
  <c r="M242" i="1"/>
  <c r="AQ79" i="1"/>
  <c r="AU77" i="1"/>
  <c r="AU150" i="3" s="1"/>
  <c r="Y270" i="1"/>
  <c r="S269" i="1"/>
  <c r="S150" i="1"/>
  <c r="S245" i="1"/>
  <c r="BE102" i="1"/>
  <c r="BE100" i="1"/>
  <c r="AE94" i="1"/>
  <c r="AI93" i="1"/>
  <c r="AI94" i="1" s="1"/>
  <c r="AE95" i="1"/>
  <c r="BW102" i="1"/>
  <c r="BW100" i="1"/>
  <c r="G228" i="1"/>
  <c r="G89" i="1"/>
  <c r="G86" i="1"/>
  <c r="CI84" i="1"/>
  <c r="CI80" i="1"/>
  <c r="BR84" i="1"/>
  <c r="BR80" i="1"/>
  <c r="BR146" i="3" s="1"/>
  <c r="BR148" i="3" s="1"/>
  <c r="BU84" i="1"/>
  <c r="BY77" i="1"/>
  <c r="BU80" i="1"/>
  <c r="BU146" i="3" s="1"/>
  <c r="W140" i="1"/>
  <c r="W139" i="1"/>
  <c r="BI84" i="1"/>
  <c r="BJ212" i="1" s="1"/>
  <c r="BM77" i="1"/>
  <c r="BI80" i="1"/>
  <c r="BI146" i="3" s="1"/>
  <c r="I231" i="1"/>
  <c r="J10" i="1"/>
  <c r="AG95" i="1"/>
  <c r="AG96" i="1" s="1"/>
  <c r="AG94" i="1"/>
  <c r="AT102" i="1"/>
  <c r="AT100" i="1"/>
  <c r="CW173" i="1"/>
  <c r="CR112" i="41" l="1"/>
  <c r="CR113" i="41"/>
  <c r="DG139" i="41"/>
  <c r="CJ252" i="41"/>
  <c r="CJ261" i="41" s="1"/>
  <c r="DU136" i="41"/>
  <c r="DT246" i="41"/>
  <c r="DT135" i="41"/>
  <c r="DF182" i="42"/>
  <c r="DG182" i="42" s="1"/>
  <c r="Q104" i="1"/>
  <c r="DN50" i="3"/>
  <c r="DO50" i="3" s="1"/>
  <c r="DM40" i="3"/>
  <c r="W89" i="1"/>
  <c r="K89" i="1"/>
  <c r="DO167" i="1"/>
  <c r="DC167" i="1"/>
  <c r="DI39" i="42"/>
  <c r="DG37" i="3"/>
  <c r="DC52" i="42"/>
  <c r="DE165" i="42"/>
  <c r="DE172" i="42" s="1"/>
  <c r="AC270" i="1"/>
  <c r="Q106" i="1"/>
  <c r="Q193" i="42" s="1"/>
  <c r="AC89" i="1"/>
  <c r="AC269" i="1"/>
  <c r="AC150" i="1"/>
  <c r="CX252" i="41"/>
  <c r="CX258" i="41" s="1"/>
  <c r="AW62" i="41"/>
  <c r="AW63" i="41" s="1"/>
  <c r="AW59" i="41"/>
  <c r="AW40" i="41"/>
  <c r="AV42" i="41"/>
  <c r="AV41" i="41"/>
  <c r="BE59" i="41"/>
  <c r="AY60" i="41"/>
  <c r="AY59" i="41"/>
  <c r="AY62" i="41"/>
  <c r="BY157" i="41"/>
  <c r="BY156" i="41"/>
  <c r="AZ56" i="41"/>
  <c r="BF55" i="41"/>
  <c r="AZ318" i="41"/>
  <c r="AZ55" i="41"/>
  <c r="AZ217" i="41"/>
  <c r="AZ44" i="41"/>
  <c r="AZ214" i="41"/>
  <c r="AZ58" i="41"/>
  <c r="BX20" i="41"/>
  <c r="BX26" i="41"/>
  <c r="BX27" i="41" s="1"/>
  <c r="BX28" i="41" s="1"/>
  <c r="BX19" i="41"/>
  <c r="AY215" i="41"/>
  <c r="BE215" i="41"/>
  <c r="BE45" i="41"/>
  <c r="AY45" i="41"/>
  <c r="AY46" i="41"/>
  <c r="AY40" i="41"/>
  <c r="BZ10" i="41"/>
  <c r="BZ155" i="41"/>
  <c r="BZ9" i="41"/>
  <c r="CA8" i="41"/>
  <c r="CC8" i="41"/>
  <c r="BZ17" i="41"/>
  <c r="AZ33" i="41"/>
  <c r="BE33" i="41"/>
  <c r="AZ34" i="41"/>
  <c r="BA32" i="41"/>
  <c r="BQ125" i="41"/>
  <c r="BR124" i="41"/>
  <c r="AW48" i="41"/>
  <c r="AW45" i="41"/>
  <c r="BY18" i="41"/>
  <c r="BY320" i="41"/>
  <c r="BY321" i="41" s="1"/>
  <c r="AV64" i="41"/>
  <c r="AV63" i="41"/>
  <c r="BS111" i="41"/>
  <c r="BY112" i="41" s="1"/>
  <c r="BS128" i="41"/>
  <c r="BT127" i="41"/>
  <c r="AY219" i="41"/>
  <c r="DG38" i="3"/>
  <c r="BG146" i="3"/>
  <c r="BG148" i="3" s="1"/>
  <c r="M195" i="42"/>
  <c r="M196" i="42" s="1"/>
  <c r="BU251" i="41"/>
  <c r="CS250" i="41"/>
  <c r="BK178" i="42"/>
  <c r="BK179" i="42" s="1"/>
  <c r="CZ88" i="3"/>
  <c r="DA16" i="3"/>
  <c r="AD117" i="41"/>
  <c r="AH116" i="41"/>
  <c r="DH22" i="42"/>
  <c r="DH11" i="42"/>
  <c r="AI80" i="1"/>
  <c r="BL169" i="42"/>
  <c r="BL181" i="42" s="1"/>
  <c r="DG111" i="3"/>
  <c r="BA240" i="42"/>
  <c r="BG236" i="42" s="1"/>
  <c r="AH117" i="41"/>
  <c r="DB52" i="3"/>
  <c r="DC52" i="3" s="1"/>
  <c r="DG110" i="3"/>
  <c r="BK181" i="42"/>
  <c r="N197" i="42"/>
  <c r="N196" i="42"/>
  <c r="Y197" i="42"/>
  <c r="Y196" i="42"/>
  <c r="Z197" i="42"/>
  <c r="Z196" i="42"/>
  <c r="J181" i="442"/>
  <c r="J186" i="442" s="1"/>
  <c r="K181" i="442"/>
  <c r="J231" i="1"/>
  <c r="CI146" i="3"/>
  <c r="CI148" i="3" s="1"/>
  <c r="CM146" i="3"/>
  <c r="U197" i="42"/>
  <c r="U196" i="42"/>
  <c r="AH82" i="3"/>
  <c r="AI10" i="3"/>
  <c r="AH30" i="3"/>
  <c r="Y87" i="1"/>
  <c r="S200" i="42"/>
  <c r="Y242" i="1"/>
  <c r="V200" i="42"/>
  <c r="BV148" i="3"/>
  <c r="BV147" i="3"/>
  <c r="K192" i="42"/>
  <c r="G189" i="442"/>
  <c r="CA139" i="41"/>
  <c r="CA115" i="41"/>
  <c r="BF116" i="41"/>
  <c r="BF117" i="41"/>
  <c r="CE258" i="41"/>
  <c r="CY250" i="41"/>
  <c r="AC117" i="41"/>
  <c r="BA116" i="41"/>
  <c r="BA117" i="41"/>
  <c r="BI115" i="41"/>
  <c r="BI332" i="41"/>
  <c r="BI338" i="41" s="1"/>
  <c r="BI139" i="41"/>
  <c r="BI127" i="41" s="1"/>
  <c r="BI112" i="41"/>
  <c r="CQ113" i="41"/>
  <c r="CQ115" i="41"/>
  <c r="CW116" i="41" s="1"/>
  <c r="CQ112" i="41"/>
  <c r="CC117" i="41"/>
  <c r="CC116" i="41"/>
  <c r="CP258" i="41"/>
  <c r="CM124" i="41"/>
  <c r="CI111" i="41"/>
  <c r="CJ113" i="41" s="1"/>
  <c r="CI127" i="41"/>
  <c r="CI126" i="41"/>
  <c r="BX258" i="41"/>
  <c r="BX261" i="41"/>
  <c r="AT116" i="41"/>
  <c r="AN116" i="41"/>
  <c r="AN117" i="41"/>
  <c r="BR258" i="41"/>
  <c r="BR261" i="41"/>
  <c r="AZ116" i="41"/>
  <c r="AZ117" i="41"/>
  <c r="DN246" i="41"/>
  <c r="DO136" i="41"/>
  <c r="DA258" i="41"/>
  <c r="BZ284" i="41"/>
  <c r="BZ282" i="41"/>
  <c r="BZ285" i="41" s="1"/>
  <c r="AB117" i="41"/>
  <c r="CL252" i="41"/>
  <c r="CL256" i="41"/>
  <c r="CD258" i="41"/>
  <c r="CD261" i="41"/>
  <c r="CW117" i="41"/>
  <c r="BC126" i="41"/>
  <c r="AK109" i="41"/>
  <c r="AK127" i="41"/>
  <c r="AK112" i="41"/>
  <c r="CF258" i="41"/>
  <c r="CO258" i="41"/>
  <c r="K156" i="442"/>
  <c r="K113" i="442"/>
  <c r="K107" i="442"/>
  <c r="K108" i="442" s="1"/>
  <c r="CB147" i="3"/>
  <c r="H55" i="42"/>
  <c r="G56" i="42"/>
  <c r="G135" i="42" s="1"/>
  <c r="V289" i="1"/>
  <c r="T200" i="42"/>
  <c r="AO117" i="41"/>
  <c r="AO116" i="41"/>
  <c r="CK258" i="41"/>
  <c r="BS256" i="41"/>
  <c r="BS252" i="41"/>
  <c r="BS258" i="41" s="1"/>
  <c r="CJ115" i="41"/>
  <c r="BB116" i="41"/>
  <c r="BB117" i="41"/>
  <c r="CD115" i="41"/>
  <c r="BX117" i="41"/>
  <c r="BL261" i="41"/>
  <c r="BL258" i="41"/>
  <c r="BZ116" i="41"/>
  <c r="BU250" i="41"/>
  <c r="CO126" i="41"/>
  <c r="CO127" i="41"/>
  <c r="CS124" i="41"/>
  <c r="CO111" i="41"/>
  <c r="CP127" i="41"/>
  <c r="BH117" i="41"/>
  <c r="BH116" i="41"/>
  <c r="DC135" i="41"/>
  <c r="DC124" i="41" s="1"/>
  <c r="DG115" i="41"/>
  <c r="DG11" i="41" s="1"/>
  <c r="DG12" i="41" s="1"/>
  <c r="J156" i="442"/>
  <c r="J113" i="442"/>
  <c r="J107" i="442"/>
  <c r="J108" i="442" s="1"/>
  <c r="G195" i="442"/>
  <c r="BI148" i="3"/>
  <c r="BM146" i="3"/>
  <c r="Z242" i="1"/>
  <c r="AG84" i="1"/>
  <c r="AH212" i="1" s="1"/>
  <c r="W192" i="42"/>
  <c r="W134" i="42"/>
  <c r="AF57" i="42"/>
  <c r="AF59" i="42" s="1"/>
  <c r="AF60" i="42" s="1"/>
  <c r="AF133" i="42"/>
  <c r="J242" i="1"/>
  <c r="BA100" i="1"/>
  <c r="AF186" i="42"/>
  <c r="AF184" i="42" s="1"/>
  <c r="BW282" i="41"/>
  <c r="CI252" i="41"/>
  <c r="CI256" i="41"/>
  <c r="DD137" i="41"/>
  <c r="DG137" i="41" s="1"/>
  <c r="DH137" i="41" s="1"/>
  <c r="DI137" i="41" s="1"/>
  <c r="DD246" i="41"/>
  <c r="DE246" i="41" s="1"/>
  <c r="DE136" i="41"/>
  <c r="BW258" i="41"/>
  <c r="CA252" i="41"/>
  <c r="CA258" i="41" s="1"/>
  <c r="AV117" i="41"/>
  <c r="AV116" i="41"/>
  <c r="BC332" i="41"/>
  <c r="BC338" i="41" s="1"/>
  <c r="BC340" i="41" s="1"/>
  <c r="BC127" i="41"/>
  <c r="BG117" i="41"/>
  <c r="BG116" i="41"/>
  <c r="BO252" i="41"/>
  <c r="AS112" i="41"/>
  <c r="AW111" i="41"/>
  <c r="AS115" i="41"/>
  <c r="AT117" i="41" s="1"/>
  <c r="AS113" i="41"/>
  <c r="DA126" i="41"/>
  <c r="CU111" i="41"/>
  <c r="CU127" i="41"/>
  <c r="CY124" i="41"/>
  <c r="CU126" i="41"/>
  <c r="CV127" i="41"/>
  <c r="BA152" i="1"/>
  <c r="BA153" i="1" s="1"/>
  <c r="BA159" i="1"/>
  <c r="N55" i="42"/>
  <c r="M51" i="42"/>
  <c r="CV116" i="41"/>
  <c r="CX112" i="41"/>
  <c r="CX115" i="41"/>
  <c r="CX113" i="41"/>
  <c r="CR116" i="41"/>
  <c r="AT113" i="41"/>
  <c r="CV250" i="41"/>
  <c r="AP117" i="41"/>
  <c r="AP116" i="41"/>
  <c r="CK113" i="41"/>
  <c r="CW112" i="41"/>
  <c r="DA113" i="41"/>
  <c r="DI246" i="41"/>
  <c r="BW147" i="3"/>
  <c r="BW148" i="3"/>
  <c r="CC147" i="3"/>
  <c r="CA148" i="3"/>
  <c r="CE146" i="3"/>
  <c r="CA147" i="3"/>
  <c r="BO148" i="3"/>
  <c r="BS146" i="3"/>
  <c r="AM117" i="41"/>
  <c r="AM116" i="41"/>
  <c r="AJ117" i="41"/>
  <c r="AJ116" i="41"/>
  <c r="AY117" i="41"/>
  <c r="AC226" i="42"/>
  <c r="H189" i="442"/>
  <c r="CG139" i="41"/>
  <c r="CG109" i="41" s="1"/>
  <c r="CG112" i="41"/>
  <c r="CF116" i="41"/>
  <c r="CU258" i="41"/>
  <c r="BU148" i="3"/>
  <c r="BU147" i="3"/>
  <c r="BY146" i="3"/>
  <c r="Z87" i="1"/>
  <c r="CG147" i="3"/>
  <c r="CG148" i="3"/>
  <c r="W136" i="42"/>
  <c r="BW117" i="41"/>
  <c r="CJ112" i="41"/>
  <c r="AU117" i="41"/>
  <c r="AU116" i="41"/>
  <c r="AQ112" i="41"/>
  <c r="AQ127" i="41"/>
  <c r="CL117" i="41"/>
  <c r="CL116" i="41"/>
  <c r="BX147" i="3"/>
  <c r="BE117" i="41"/>
  <c r="BE116" i="41"/>
  <c r="CW258" i="41"/>
  <c r="AI116" i="41"/>
  <c r="AI117" i="41"/>
  <c r="CQ256" i="41"/>
  <c r="CQ252" i="41"/>
  <c r="CR258" i="41"/>
  <c r="BY115" i="41"/>
  <c r="BY113" i="41"/>
  <c r="BY281" i="41"/>
  <c r="DC14" i="3"/>
  <c r="DB86" i="3"/>
  <c r="DC86" i="3" s="1"/>
  <c r="BZ113" i="41"/>
  <c r="BQ258" i="41"/>
  <c r="CE112" i="41"/>
  <c r="CC258" i="41"/>
  <c r="CG252" i="41"/>
  <c r="AG117" i="41"/>
  <c r="AG116" i="41"/>
  <c r="DM111" i="41"/>
  <c r="DS111" i="41" s="1"/>
  <c r="CD148" i="3"/>
  <c r="CD147" i="3"/>
  <c r="CV177" i="42"/>
  <c r="BK41" i="41"/>
  <c r="BK42" i="41"/>
  <c r="BN36" i="41"/>
  <c r="BQ32" i="41"/>
  <c r="BN33" i="41"/>
  <c r="BO32" i="41"/>
  <c r="BO33" i="41" s="1"/>
  <c r="BL217" i="41"/>
  <c r="BL214" i="41"/>
  <c r="BL215" i="41" s="1"/>
  <c r="BL56" i="41"/>
  <c r="BL55" i="41"/>
  <c r="BL44" i="41"/>
  <c r="BL40" i="41" s="1"/>
  <c r="BL58" i="41"/>
  <c r="CF280" i="41"/>
  <c r="CE281" i="41"/>
  <c r="CE282" i="41" s="1"/>
  <c r="BK60" i="41"/>
  <c r="BK59" i="41"/>
  <c r="BK73" i="41"/>
  <c r="BK62" i="41"/>
  <c r="DG126" i="41"/>
  <c r="BE313" i="41"/>
  <c r="DO198" i="41"/>
  <c r="DN199" i="41"/>
  <c r="DN202" i="41"/>
  <c r="DN201" i="41"/>
  <c r="DF260" i="1"/>
  <c r="BK69" i="41"/>
  <c r="BK67" i="41"/>
  <c r="BM54" i="41"/>
  <c r="BM50" i="41"/>
  <c r="BM37" i="41"/>
  <c r="BM38" i="41"/>
  <c r="BK45" i="41"/>
  <c r="BK46" i="41"/>
  <c r="BK219" i="41"/>
  <c r="BL51" i="41"/>
  <c r="BL52" i="41"/>
  <c r="BL66" i="41"/>
  <c r="V137" i="3"/>
  <c r="W133" i="3"/>
  <c r="W137" i="3" s="1"/>
  <c r="Y135" i="3" s="1"/>
  <c r="BS133" i="3"/>
  <c r="U62" i="3"/>
  <c r="T64" i="3"/>
  <c r="T143" i="3" s="1"/>
  <c r="DG49" i="3"/>
  <c r="DE92" i="3"/>
  <c r="DF20" i="3"/>
  <c r="DF92" i="3" s="1"/>
  <c r="W145" i="3"/>
  <c r="AC145" i="3"/>
  <c r="DE127" i="3"/>
  <c r="DF54" i="3"/>
  <c r="DF127" i="3" s="1"/>
  <c r="CJ124" i="3"/>
  <c r="CK124" i="3" s="1"/>
  <c r="V145" i="3"/>
  <c r="W147" i="3"/>
  <c r="AB145" i="3"/>
  <c r="DH19" i="3"/>
  <c r="BU118" i="3"/>
  <c r="BV45" i="3"/>
  <c r="BV118" i="3" s="1"/>
  <c r="BV129" i="3" s="1"/>
  <c r="BV133" i="3" s="1"/>
  <c r="BU56" i="3"/>
  <c r="BU60" i="3" s="1"/>
  <c r="DB51" i="3"/>
  <c r="DG91" i="3"/>
  <c r="DE112" i="3"/>
  <c r="DF39" i="3"/>
  <c r="DF122" i="3"/>
  <c r="DG18" i="3"/>
  <c r="BS56" i="3"/>
  <c r="BR60" i="3"/>
  <c r="N103" i="42"/>
  <c r="O101" i="42"/>
  <c r="DE269" i="42"/>
  <c r="DB40" i="42"/>
  <c r="BG233" i="42"/>
  <c r="BM229" i="42" s="1"/>
  <c r="Y135" i="42"/>
  <c r="Z132" i="42"/>
  <c r="BD74" i="42"/>
  <c r="BD75" i="42"/>
  <c r="DH266" i="42"/>
  <c r="DN266" i="42" s="1"/>
  <c r="DB270" i="42"/>
  <c r="V243" i="42"/>
  <c r="W243" i="42" s="1"/>
  <c r="V240" i="42"/>
  <c r="V247" i="42" s="1"/>
  <c r="DB272" i="42"/>
  <c r="DC41" i="42"/>
  <c r="W210" i="42"/>
  <c r="W217" i="42" s="1"/>
  <c r="V217" i="42"/>
  <c r="DE276" i="42"/>
  <c r="DF275" i="42"/>
  <c r="DE41" i="42"/>
  <c r="CS123" i="42"/>
  <c r="CD263" i="42"/>
  <c r="CC264" i="42"/>
  <c r="AB248" i="42"/>
  <c r="AB210" i="42"/>
  <c r="AB217" i="42" s="1"/>
  <c r="DF50" i="42"/>
  <c r="BR113" i="42"/>
  <c r="BQ112" i="42"/>
  <c r="DF52" i="42"/>
  <c r="AK228" i="1"/>
  <c r="AK212" i="1"/>
  <c r="AK195" i="1"/>
  <c r="AK89" i="1"/>
  <c r="AK86" i="1"/>
  <c r="AL212" i="1"/>
  <c r="AX228" i="1"/>
  <c r="AX212" i="1"/>
  <c r="AX195" i="1"/>
  <c r="AX89" i="1"/>
  <c r="AX86" i="1"/>
  <c r="BD87" i="1" s="1"/>
  <c r="BD195" i="1"/>
  <c r="AN228" i="1"/>
  <c r="AN212" i="1"/>
  <c r="AN195" i="1"/>
  <c r="AN86" i="1"/>
  <c r="AN89" i="1"/>
  <c r="AM228" i="1"/>
  <c r="AM212" i="1"/>
  <c r="AM86" i="1"/>
  <c r="AM89" i="1"/>
  <c r="BM84" i="1"/>
  <c r="BM134" i="42" s="1"/>
  <c r="BM80" i="1"/>
  <c r="BU269" i="1"/>
  <c r="BU245" i="1"/>
  <c r="BU246" i="1" s="1"/>
  <c r="BR228" i="1"/>
  <c r="BR212" i="1"/>
  <c r="BR195" i="1"/>
  <c r="BR89" i="1"/>
  <c r="BR86" i="1"/>
  <c r="BX87" i="1" s="1"/>
  <c r="AE96" i="1"/>
  <c r="AI95" i="1"/>
  <c r="AI96" i="1" s="1"/>
  <c r="BE104" i="1"/>
  <c r="BE301" i="1" s="1"/>
  <c r="BE106" i="1"/>
  <c r="BD296" i="1"/>
  <c r="BD297" i="1" s="1"/>
  <c r="AA145" i="1"/>
  <c r="AA194" i="42" s="1"/>
  <c r="AA195" i="42" s="1"/>
  <c r="AA108" i="1"/>
  <c r="AA201" i="42" s="1"/>
  <c r="AA107" i="1"/>
  <c r="CM269" i="1"/>
  <c r="CM245" i="1"/>
  <c r="CM246" i="1" s="1"/>
  <c r="Q145" i="1"/>
  <c r="Q194" i="42" s="1"/>
  <c r="Q195" i="42" s="1"/>
  <c r="CG269" i="1"/>
  <c r="CG245" i="1"/>
  <c r="CG246" i="1" s="1"/>
  <c r="AA290" i="1"/>
  <c r="AA291" i="1" s="1"/>
  <c r="AA242" i="1"/>
  <c r="AA213" i="1"/>
  <c r="AA196" i="1"/>
  <c r="AA87" i="1"/>
  <c r="BC269" i="1"/>
  <c r="BC245" i="1"/>
  <c r="BC246" i="1" s="1"/>
  <c r="AM104" i="1"/>
  <c r="AM301" i="1" s="1"/>
  <c r="AM106" i="1"/>
  <c r="DC73" i="1"/>
  <c r="BJ108" i="1"/>
  <c r="BJ107" i="1"/>
  <c r="AI102" i="1"/>
  <c r="AI104" i="1" s="1"/>
  <c r="AE106" i="1"/>
  <c r="AE104" i="1"/>
  <c r="W228" i="1"/>
  <c r="W86" i="1"/>
  <c r="W200" i="42" s="1"/>
  <c r="AF290" i="1"/>
  <c r="AF291" i="1" s="1"/>
  <c r="AF196" i="1"/>
  <c r="AF87" i="1"/>
  <c r="AC195" i="1"/>
  <c r="BO96" i="1"/>
  <c r="BS95" i="1"/>
  <c r="BS96" i="1" s="1"/>
  <c r="BD108" i="1"/>
  <c r="BD290" i="1" s="1"/>
  <c r="BD291" i="1" s="1"/>
  <c r="BD107" i="1"/>
  <c r="BG102" i="1"/>
  <c r="BG104" i="1" s="1"/>
  <c r="BC106" i="1"/>
  <c r="BC104" i="1"/>
  <c r="BC301" i="1" s="1"/>
  <c r="BW228" i="1"/>
  <c r="BW212" i="1"/>
  <c r="BW195" i="1"/>
  <c r="BW89" i="1"/>
  <c r="BW86" i="1"/>
  <c r="BX213" i="1" s="1"/>
  <c r="CC195" i="1"/>
  <c r="BL196" i="1"/>
  <c r="BL87" i="1"/>
  <c r="CA269" i="1"/>
  <c r="CA245" i="1"/>
  <c r="CA246" i="1" s="1"/>
  <c r="CS269" i="1"/>
  <c r="CS245" i="1"/>
  <c r="CS246" i="1" s="1"/>
  <c r="H107" i="1"/>
  <c r="H108" i="1"/>
  <c r="J9" i="1"/>
  <c r="CJ269" i="1"/>
  <c r="CJ270" i="1" s="1"/>
  <c r="CJ245" i="1"/>
  <c r="CJ246" i="1" s="1"/>
  <c r="CK102" i="1"/>
  <c r="CK104" i="1" s="1"/>
  <c r="CG104" i="1"/>
  <c r="CG106" i="1"/>
  <c r="BA79" i="1"/>
  <c r="BA80" i="1" s="1"/>
  <c r="BI106" i="1"/>
  <c r="BI104" i="1"/>
  <c r="BM102" i="1"/>
  <c r="BM104" i="1" s="1"/>
  <c r="BU96" i="1"/>
  <c r="BY95" i="1"/>
  <c r="BY96" i="1" s="1"/>
  <c r="CH196" i="1"/>
  <c r="CH87" i="1"/>
  <c r="U242" i="1"/>
  <c r="BO269" i="1"/>
  <c r="BO245" i="1"/>
  <c r="BO246" i="1" s="1"/>
  <c r="AO247" i="1"/>
  <c r="AS106" i="1"/>
  <c r="AS104" i="1"/>
  <c r="CZ118" i="1"/>
  <c r="CZ111" i="1"/>
  <c r="BK304" i="1"/>
  <c r="BK269" i="1"/>
  <c r="BK270" i="1" s="1"/>
  <c r="BK245" i="1"/>
  <c r="BK246" i="1" s="1"/>
  <c r="AT106" i="1"/>
  <c r="AT104" i="1"/>
  <c r="BI228" i="1"/>
  <c r="BI212" i="1"/>
  <c r="BI195" i="1"/>
  <c r="BI89" i="1"/>
  <c r="BI86" i="1"/>
  <c r="BY84" i="1"/>
  <c r="BY134" i="42" s="1"/>
  <c r="BY80" i="1"/>
  <c r="CI269" i="1"/>
  <c r="CI270" i="1" s="1"/>
  <c r="CI245" i="1"/>
  <c r="CI246" i="1" s="1"/>
  <c r="S246" i="1"/>
  <c r="S247" i="1"/>
  <c r="BL106" i="1"/>
  <c r="BL104" i="1"/>
  <c r="AF247" i="1"/>
  <c r="AF246" i="1"/>
  <c r="BV106" i="1"/>
  <c r="BV104" i="1"/>
  <c r="CP106" i="1"/>
  <c r="CP104" i="1"/>
  <c r="AK96" i="1"/>
  <c r="AO95" i="1"/>
  <c r="AO96" i="1" s="1"/>
  <c r="AR104" i="1"/>
  <c r="AR301" i="1" s="1"/>
  <c r="AR106" i="1"/>
  <c r="CQ84" i="1"/>
  <c r="CQ80" i="1"/>
  <c r="P247" i="1"/>
  <c r="P246" i="1"/>
  <c r="CK84" i="1"/>
  <c r="CK80" i="1"/>
  <c r="BX108" i="1"/>
  <c r="BX107" i="1"/>
  <c r="BF108" i="1"/>
  <c r="BF107" i="1"/>
  <c r="U146" i="1"/>
  <c r="U147" i="1"/>
  <c r="U202" i="42" s="1"/>
  <c r="U203" i="42" s="1"/>
  <c r="BG84" i="1"/>
  <c r="BG134" i="42" s="1"/>
  <c r="BG80" i="1"/>
  <c r="BP269" i="1"/>
  <c r="BP270" i="1" s="1"/>
  <c r="BP245" i="1"/>
  <c r="BP246" i="1" s="1"/>
  <c r="BJ296" i="1"/>
  <c r="BJ297" i="1" s="1"/>
  <c r="BJ213" i="1"/>
  <c r="BJ196" i="1"/>
  <c r="BJ87" i="1"/>
  <c r="BY68" i="1"/>
  <c r="BY69" i="1"/>
  <c r="CI104" i="1"/>
  <c r="CI106" i="1"/>
  <c r="BE304" i="1"/>
  <c r="BE269" i="1"/>
  <c r="BE270" i="1" s="1"/>
  <c r="BE245" i="1"/>
  <c r="BE246" i="1" s="1"/>
  <c r="AC49" i="1"/>
  <c r="AI51" i="1" s="1"/>
  <c r="AE51" i="1"/>
  <c r="AB145" i="1"/>
  <c r="AB194" i="42" s="1"/>
  <c r="AB195" i="42" s="1"/>
  <c r="AB107" i="1"/>
  <c r="AB108" i="1"/>
  <c r="AB201" i="42" s="1"/>
  <c r="AK106" i="1"/>
  <c r="AK10" i="3" s="1"/>
  <c r="AK104" i="1"/>
  <c r="AK301" i="1" s="1"/>
  <c r="AO102" i="1"/>
  <c r="AO104" i="1" s="1"/>
  <c r="AR228" i="1"/>
  <c r="AR195" i="1"/>
  <c r="AR86" i="1"/>
  <c r="AR89" i="1"/>
  <c r="P117" i="1"/>
  <c r="O117" i="1"/>
  <c r="N117" i="1"/>
  <c r="N269" i="1" s="1"/>
  <c r="M117" i="1"/>
  <c r="CG96" i="1"/>
  <c r="CK95" i="1"/>
  <c r="CK96" i="1" s="1"/>
  <c r="CH108" i="1"/>
  <c r="CH107" i="1"/>
  <c r="G246" i="1"/>
  <c r="G247" i="1"/>
  <c r="AE228" i="1"/>
  <c r="AE212" i="1"/>
  <c r="AE195" i="1"/>
  <c r="AE86" i="1"/>
  <c r="AF242" i="1" s="1"/>
  <c r="AE89" i="1"/>
  <c r="CA228" i="1"/>
  <c r="CA212" i="1"/>
  <c r="CA195" i="1"/>
  <c r="CA86" i="1"/>
  <c r="CA89" i="1"/>
  <c r="CE89" i="1" s="1"/>
  <c r="CS106" i="1"/>
  <c r="CS10" i="3" s="1"/>
  <c r="CT10" i="3" s="1"/>
  <c r="CU10" i="3" s="1"/>
  <c r="CU30" i="3" s="1"/>
  <c r="CS104" i="1"/>
  <c r="BV228" i="1"/>
  <c r="BV212" i="1"/>
  <c r="BV195" i="1"/>
  <c r="BV89" i="1"/>
  <c r="BV86" i="1"/>
  <c r="AY106" i="1"/>
  <c r="AY10" i="3" s="1"/>
  <c r="AY104" i="1"/>
  <c r="AY301" i="1" s="1"/>
  <c r="CJ228" i="1"/>
  <c r="CJ212" i="1"/>
  <c r="CJ195" i="1"/>
  <c r="CJ86" i="1"/>
  <c r="CJ89" i="1"/>
  <c r="CB87" i="1"/>
  <c r="CC213" i="1"/>
  <c r="BG95" i="1"/>
  <c r="BG96" i="1" s="1"/>
  <c r="BC96" i="1"/>
  <c r="DB276" i="1"/>
  <c r="AW228" i="1"/>
  <c r="AW89" i="1"/>
  <c r="AW86" i="1"/>
  <c r="AQ104" i="1"/>
  <c r="AQ301" i="1" s="1"/>
  <c r="AU102" i="1"/>
  <c r="AU104" i="1" s="1"/>
  <c r="AQ106" i="1"/>
  <c r="AN106" i="1"/>
  <c r="AN104" i="1"/>
  <c r="AN301" i="1" s="1"/>
  <c r="CE102" i="1"/>
  <c r="CE104" i="1" s="1"/>
  <c r="CA106" i="1"/>
  <c r="CA104" i="1"/>
  <c r="CS96" i="1"/>
  <c r="D107" i="1"/>
  <c r="D108" i="1"/>
  <c r="BS84" i="1"/>
  <c r="BS134" i="42" s="1"/>
  <c r="BS80" i="1"/>
  <c r="AO69" i="1"/>
  <c r="AO68" i="1"/>
  <c r="CO269" i="1"/>
  <c r="CO270" i="1" s="1"/>
  <c r="CO245" i="1"/>
  <c r="CO246" i="1" s="1"/>
  <c r="AC106" i="1"/>
  <c r="AC193" i="42" s="1"/>
  <c r="E147" i="1"/>
  <c r="E202" i="42" s="1"/>
  <c r="E203" i="42" s="1"/>
  <c r="E146" i="1"/>
  <c r="DA115" i="1"/>
  <c r="DB114" i="1"/>
  <c r="DE114" i="1" s="1"/>
  <c r="DF114" i="1" s="1"/>
  <c r="DG114" i="1" s="1"/>
  <c r="DH114" i="1" s="1"/>
  <c r="DA112" i="1"/>
  <c r="BK228" i="1"/>
  <c r="BK212" i="1"/>
  <c r="BK195" i="1"/>
  <c r="BK86" i="1"/>
  <c r="BK89" i="1"/>
  <c r="BU228" i="1"/>
  <c r="BU212" i="1"/>
  <c r="BU195" i="1"/>
  <c r="BU89" i="1"/>
  <c r="BU86" i="1"/>
  <c r="CI228" i="1"/>
  <c r="CI212" i="1"/>
  <c r="CI195" i="1"/>
  <c r="CI86" i="1"/>
  <c r="CI89" i="1"/>
  <c r="W150" i="1"/>
  <c r="S49" i="1"/>
  <c r="W49" i="1" s="1"/>
  <c r="AQ84" i="1"/>
  <c r="AR212" i="1" s="1"/>
  <c r="CM228" i="1"/>
  <c r="CM212" i="1"/>
  <c r="CM195" i="1"/>
  <c r="CM89" i="1"/>
  <c r="CM86" i="1"/>
  <c r="DB55" i="1"/>
  <c r="DB21" i="42" s="1"/>
  <c r="DA53" i="1"/>
  <c r="M146" i="1"/>
  <c r="M147" i="1"/>
  <c r="M202" i="42" s="1"/>
  <c r="M203" i="42" s="1"/>
  <c r="CG228" i="1"/>
  <c r="CG212" i="1"/>
  <c r="CG195" i="1"/>
  <c r="CG89" i="1"/>
  <c r="CG86" i="1"/>
  <c r="BC228" i="1"/>
  <c r="BC212" i="1"/>
  <c r="BC195" i="1"/>
  <c r="BC86" i="1"/>
  <c r="BC89" i="1"/>
  <c r="BP228" i="1"/>
  <c r="BP212" i="1"/>
  <c r="BP195" i="1"/>
  <c r="BP86" i="1"/>
  <c r="BP89" i="1"/>
  <c r="CN104" i="1"/>
  <c r="CN106" i="1"/>
  <c r="T247" i="1"/>
  <c r="T246" i="1"/>
  <c r="BQ106" i="1"/>
  <c r="BQ104" i="1"/>
  <c r="AH108" i="1"/>
  <c r="AH107" i="1"/>
  <c r="N147" i="1"/>
  <c r="N202" i="42" s="1"/>
  <c r="N203" i="42" s="1"/>
  <c r="N146" i="1"/>
  <c r="AI68" i="1"/>
  <c r="AI69" i="1"/>
  <c r="BE228" i="1"/>
  <c r="BE212" i="1"/>
  <c r="BE195" i="1"/>
  <c r="BE89" i="1"/>
  <c r="BE86" i="1"/>
  <c r="AU69" i="1"/>
  <c r="AU68" i="1"/>
  <c r="CE95" i="1"/>
  <c r="CE96" i="1" s="1"/>
  <c r="CA96" i="1"/>
  <c r="CO104" i="1"/>
  <c r="CO106" i="1"/>
  <c r="AF107" i="1"/>
  <c r="AF108" i="1"/>
  <c r="AW96" i="1"/>
  <c r="BA95" i="1"/>
  <c r="BA96" i="1" s="1"/>
  <c r="BM69" i="1"/>
  <c r="BM68" i="1"/>
  <c r="G270" i="1"/>
  <c r="AI84" i="1"/>
  <c r="CE84" i="1"/>
  <c r="CE134" i="42" s="1"/>
  <c r="CE80" i="1"/>
  <c r="BX195" i="1"/>
  <c r="CS228" i="1"/>
  <c r="CS212" i="1"/>
  <c r="CS195" i="1"/>
  <c r="CS89" i="1"/>
  <c r="CS86" i="1"/>
  <c r="K117" i="1"/>
  <c r="K104" i="1"/>
  <c r="BV269" i="1"/>
  <c r="BV270" i="1" s="1"/>
  <c r="BV245" i="1"/>
  <c r="BV246" i="1" s="1"/>
  <c r="CK69" i="1"/>
  <c r="CK68" i="1"/>
  <c r="AX106" i="1"/>
  <c r="AX104" i="1"/>
  <c r="AX301" i="1" s="1"/>
  <c r="CB195" i="1"/>
  <c r="CC104" i="1"/>
  <c r="CC106" i="1"/>
  <c r="CN269" i="1"/>
  <c r="CN270" i="1" s="1"/>
  <c r="CN245" i="1"/>
  <c r="CN246" i="1" s="1"/>
  <c r="AG106" i="1"/>
  <c r="AG104" i="1"/>
  <c r="K228" i="1"/>
  <c r="K86" i="1"/>
  <c r="P145" i="1"/>
  <c r="P194" i="42" s="1"/>
  <c r="P195" i="42" s="1"/>
  <c r="P108" i="1"/>
  <c r="P201" i="42" s="1"/>
  <c r="P107" i="1"/>
  <c r="O145" i="1"/>
  <c r="O194" i="42" s="1"/>
  <c r="O195" i="42" s="1"/>
  <c r="O108" i="1"/>
  <c r="O201" i="42" s="1"/>
  <c r="O107" i="1"/>
  <c r="CP269" i="1"/>
  <c r="CP270" i="1" s="1"/>
  <c r="CP245" i="1"/>
  <c r="CP246" i="1" s="1"/>
  <c r="BO228" i="1"/>
  <c r="BO212" i="1"/>
  <c r="BO195" i="1"/>
  <c r="BO89" i="1"/>
  <c r="BO86" i="1"/>
  <c r="CO228" i="1"/>
  <c r="CO212" i="1"/>
  <c r="CO195" i="1"/>
  <c r="CO89" i="1"/>
  <c r="CO86" i="1"/>
  <c r="Y196" i="1"/>
  <c r="Z146" i="1"/>
  <c r="Z147" i="1"/>
  <c r="Z202" i="42" s="1"/>
  <c r="Z203" i="42" s="1"/>
  <c r="Y147" i="1"/>
  <c r="Y202" i="42" s="1"/>
  <c r="Y203" i="42" s="1"/>
  <c r="Y146" i="1"/>
  <c r="BQ269" i="1"/>
  <c r="BQ270" i="1" s="1"/>
  <c r="BQ245" i="1"/>
  <c r="BQ246" i="1" s="1"/>
  <c r="AH290" i="1"/>
  <c r="AH291" i="1" s="1"/>
  <c r="AH196" i="1"/>
  <c r="AH87" i="1"/>
  <c r="AL213" i="1"/>
  <c r="AL196" i="1"/>
  <c r="AL87" i="1"/>
  <c r="BI304" i="1"/>
  <c r="BI269" i="1"/>
  <c r="BI245" i="1"/>
  <c r="BI246" i="1" s="1"/>
  <c r="BR269" i="1"/>
  <c r="BR270" i="1" s="1"/>
  <c r="BR245" i="1"/>
  <c r="BR246" i="1" s="1"/>
  <c r="BW106" i="1"/>
  <c r="BW104" i="1"/>
  <c r="W269" i="1"/>
  <c r="S270" i="1"/>
  <c r="W270" i="1" s="1"/>
  <c r="CE68" i="1"/>
  <c r="CE69" i="1"/>
  <c r="AZ108" i="1"/>
  <c r="AZ107" i="1"/>
  <c r="BF296" i="1"/>
  <c r="BF297" i="1" s="1"/>
  <c r="BF196" i="1"/>
  <c r="BF87" i="1"/>
  <c r="AY228" i="1"/>
  <c r="AY212" i="1"/>
  <c r="AY89" i="1"/>
  <c r="AY86" i="1"/>
  <c r="AZ213" i="1" s="1"/>
  <c r="BS69" i="1"/>
  <c r="BS68" i="1"/>
  <c r="T145" i="1"/>
  <c r="T194" i="42" s="1"/>
  <c r="T195" i="42" s="1"/>
  <c r="T108" i="1"/>
  <c r="T201" i="42" s="1"/>
  <c r="T107" i="1"/>
  <c r="CJ106" i="1"/>
  <c r="CJ104" i="1"/>
  <c r="AZ212" i="1"/>
  <c r="AB290" i="1"/>
  <c r="AB291" i="1" s="1"/>
  <c r="AB242" i="1"/>
  <c r="AB213" i="1"/>
  <c r="AB196" i="1"/>
  <c r="AB87" i="1"/>
  <c r="DF73" i="1"/>
  <c r="DG73" i="1" s="1"/>
  <c r="DH73" i="1" s="1"/>
  <c r="DK73" i="1" s="1"/>
  <c r="BA68" i="1"/>
  <c r="BA69" i="1"/>
  <c r="AG228" i="1"/>
  <c r="BR106" i="1"/>
  <c r="BR104" i="1"/>
  <c r="T344" i="1"/>
  <c r="U344" i="1"/>
  <c r="V344" i="1"/>
  <c r="W245" i="1"/>
  <c r="W246" i="1" s="1"/>
  <c r="CD108" i="1"/>
  <c r="CD107" i="1"/>
  <c r="V247" i="1"/>
  <c r="V246" i="1"/>
  <c r="Z333" i="1"/>
  <c r="Z334" i="1" s="1"/>
  <c r="V373" i="1"/>
  <c r="V374" i="1" s="1"/>
  <c r="AA333" i="1"/>
  <c r="AA334" i="1" s="1"/>
  <c r="AB333" i="1"/>
  <c r="AB334" i="1" s="1"/>
  <c r="Y333" i="1"/>
  <c r="Y334" i="1" s="1"/>
  <c r="AC242" i="1"/>
  <c r="CQ69" i="1"/>
  <c r="CQ68" i="1"/>
  <c r="BK104" i="1"/>
  <c r="BK106" i="1"/>
  <c r="BM95" i="1"/>
  <c r="BM96" i="1" s="1"/>
  <c r="BI96" i="1"/>
  <c r="BU104" i="1"/>
  <c r="BY102" i="1"/>
  <c r="BY104" i="1" s="1"/>
  <c r="BU106" i="1"/>
  <c r="BW269" i="1"/>
  <c r="BW270" i="1" s="1"/>
  <c r="BW245" i="1"/>
  <c r="BW246" i="1" s="1"/>
  <c r="AE301" i="1"/>
  <c r="AE269" i="1"/>
  <c r="AE245" i="1"/>
  <c r="AQ96" i="1"/>
  <c r="AU95" i="1"/>
  <c r="AU96" i="1" s="1"/>
  <c r="V290" i="1"/>
  <c r="V242" i="1"/>
  <c r="CB108" i="1"/>
  <c r="CB107" i="1"/>
  <c r="G108" i="1"/>
  <c r="G107" i="1"/>
  <c r="K106" i="1"/>
  <c r="K193" i="42" s="1"/>
  <c r="S145" i="1"/>
  <c r="S194" i="42" s="1"/>
  <c r="S195" i="42" s="1"/>
  <c r="W106" i="1"/>
  <c r="W193" i="42" s="1"/>
  <c r="S108" i="1"/>
  <c r="S201" i="42" s="1"/>
  <c r="S107" i="1"/>
  <c r="BO104" i="1"/>
  <c r="BS102" i="1"/>
  <c r="BS104" i="1" s="1"/>
  <c r="BO106" i="1"/>
  <c r="AO79" i="1"/>
  <c r="AO80" i="1" s="1"/>
  <c r="CM96" i="1"/>
  <c r="CQ95" i="1"/>
  <c r="CQ96" i="1" s="1"/>
  <c r="CD242" i="1"/>
  <c r="CD213" i="1"/>
  <c r="CD196" i="1"/>
  <c r="CD87" i="1"/>
  <c r="BP104" i="1"/>
  <c r="BP106" i="1"/>
  <c r="CN228" i="1"/>
  <c r="CN212" i="1"/>
  <c r="CN195" i="1"/>
  <c r="CN86" i="1"/>
  <c r="CN89" i="1"/>
  <c r="K150" i="1"/>
  <c r="K49" i="1" s="1"/>
  <c r="K245" i="1"/>
  <c r="K246" i="1" s="1"/>
  <c r="AL108" i="1"/>
  <c r="AL290" i="1" s="1"/>
  <c r="AL291" i="1" s="1"/>
  <c r="AL107" i="1"/>
  <c r="CH212" i="1"/>
  <c r="Q79" i="1"/>
  <c r="O80" i="1"/>
  <c r="O84" i="1"/>
  <c r="O192" i="42" s="1"/>
  <c r="O138" i="1"/>
  <c r="CP228" i="1"/>
  <c r="CP212" i="1"/>
  <c r="CP195" i="1"/>
  <c r="CP89" i="1"/>
  <c r="CP86" i="1"/>
  <c r="V288" i="1"/>
  <c r="CQ102" i="1"/>
  <c r="CQ104" i="1" s="1"/>
  <c r="CM104" i="1"/>
  <c r="CM106" i="1"/>
  <c r="Y213" i="1"/>
  <c r="V145" i="1"/>
  <c r="V194" i="42" s="1"/>
  <c r="V195" i="42" s="1"/>
  <c r="V107" i="1"/>
  <c r="V108" i="1"/>
  <c r="V201" i="42" s="1"/>
  <c r="AB247" i="1"/>
  <c r="AB246" i="1"/>
  <c r="AA246" i="1"/>
  <c r="AA247" i="1"/>
  <c r="BG68" i="1"/>
  <c r="BG69" i="1"/>
  <c r="T290" i="1"/>
  <c r="BQ228" i="1"/>
  <c r="BQ212" i="1"/>
  <c r="BQ195" i="1"/>
  <c r="BQ89" i="1"/>
  <c r="BQ86" i="1"/>
  <c r="AW104" i="1"/>
  <c r="AW301" i="1" s="1"/>
  <c r="BA102" i="1"/>
  <c r="BA104" i="1" s="1"/>
  <c r="AW106" i="1"/>
  <c r="DO173" i="1"/>
  <c r="DC173" i="1"/>
  <c r="DF165" i="42" l="1"/>
  <c r="DF172" i="42" s="1"/>
  <c r="BO258" i="41"/>
  <c r="CJ258" i="41"/>
  <c r="DU246" i="41"/>
  <c r="DV136" i="41"/>
  <c r="DU135" i="41"/>
  <c r="CV87" i="1"/>
  <c r="BA84" i="1"/>
  <c r="BA134" i="42" s="1"/>
  <c r="AC87" i="1"/>
  <c r="CK146" i="3"/>
  <c r="DN123" i="3"/>
  <c r="DO123" i="3" s="1"/>
  <c r="DI11" i="42"/>
  <c r="DK11" i="42"/>
  <c r="DL11" i="42" s="1"/>
  <c r="DI22" i="42"/>
  <c r="DK22" i="42"/>
  <c r="AG86" i="1"/>
  <c r="AH242" i="1" s="1"/>
  <c r="DN40" i="3"/>
  <c r="DO40" i="3" s="1"/>
  <c r="DI19" i="3"/>
  <c r="DK19" i="3"/>
  <c r="DM113" i="3"/>
  <c r="DL73" i="1"/>
  <c r="DM73" i="1" s="1"/>
  <c r="DN73" i="1" s="1"/>
  <c r="DK174" i="42"/>
  <c r="DK175" i="42" s="1"/>
  <c r="DO174" i="42"/>
  <c r="DO175" i="42" s="1"/>
  <c r="DK114" i="1"/>
  <c r="DS281" i="41"/>
  <c r="DI167" i="1"/>
  <c r="DG90" i="3"/>
  <c r="DC126" i="41"/>
  <c r="CU87" i="1"/>
  <c r="M197" i="42"/>
  <c r="CU31" i="3"/>
  <c r="CU69" i="3" s="1"/>
  <c r="CU70" i="3" s="1"/>
  <c r="CU66" i="3"/>
  <c r="CU67" i="3" s="1"/>
  <c r="DC55" i="1"/>
  <c r="DH91" i="3"/>
  <c r="DI91" i="3" s="1"/>
  <c r="BF242" i="1"/>
  <c r="Q107" i="1"/>
  <c r="Q108" i="1"/>
  <c r="Q201" i="42" s="1"/>
  <c r="BM169" i="42"/>
  <c r="BL172" i="42"/>
  <c r="BL178" i="42" s="1"/>
  <c r="BL179" i="42" s="1"/>
  <c r="AC247" i="1"/>
  <c r="CT87" i="1"/>
  <c r="AC196" i="1"/>
  <c r="BX196" i="1"/>
  <c r="BF213" i="1"/>
  <c r="CC155" i="41"/>
  <c r="CC10" i="41"/>
  <c r="CC17" i="41"/>
  <c r="CC9" i="41"/>
  <c r="BF215" i="41"/>
  <c r="AZ215" i="41"/>
  <c r="AW41" i="41"/>
  <c r="BY20" i="41"/>
  <c r="BY26" i="41"/>
  <c r="BY27" i="41" s="1"/>
  <c r="BY28" i="41" s="1"/>
  <c r="BY19" i="41"/>
  <c r="CA9" i="41"/>
  <c r="AZ40" i="41"/>
  <c r="AZ45" i="41"/>
  <c r="BF45" i="41"/>
  <c r="AZ46" i="41"/>
  <c r="AY42" i="41"/>
  <c r="BE41" i="41"/>
  <c r="AY41" i="41"/>
  <c r="BN125" i="41"/>
  <c r="BQ124" i="41"/>
  <c r="BR127" i="41" s="1"/>
  <c r="AZ219" i="41"/>
  <c r="AY63" i="41"/>
  <c r="AY64" i="41"/>
  <c r="BX126" i="41"/>
  <c r="BR128" i="41"/>
  <c r="BR111" i="41"/>
  <c r="BS113" i="41" s="1"/>
  <c r="BS127" i="41"/>
  <c r="BS115" i="41"/>
  <c r="BY116" i="41" s="1"/>
  <c r="BS281" i="41"/>
  <c r="BY284" i="41" s="1"/>
  <c r="BT113" i="41"/>
  <c r="BF33" i="41"/>
  <c r="BB34" i="41"/>
  <c r="BA33" i="41"/>
  <c r="BA36" i="41"/>
  <c r="BZ320" i="41"/>
  <c r="BZ321" i="41" s="1"/>
  <c r="BZ18" i="41"/>
  <c r="CA18" i="41" s="1"/>
  <c r="BZ157" i="41"/>
  <c r="BZ156" i="41"/>
  <c r="AZ62" i="41"/>
  <c r="AZ59" i="41"/>
  <c r="BF59" i="41"/>
  <c r="AZ60" i="41"/>
  <c r="DG52" i="42"/>
  <c r="DH38" i="3"/>
  <c r="CR117" i="41"/>
  <c r="BO256" i="41"/>
  <c r="AY116" i="41"/>
  <c r="BO257" i="41"/>
  <c r="AF344" i="1"/>
  <c r="DB125" i="3"/>
  <c r="DC125" i="3" s="1"/>
  <c r="CH213" i="1"/>
  <c r="AG89" i="1"/>
  <c r="AI89" i="1" s="1"/>
  <c r="AB378" i="1"/>
  <c r="AG195" i="1"/>
  <c r="AL242" i="1"/>
  <c r="AH344" i="1"/>
  <c r="AE344" i="1"/>
  <c r="AM195" i="1"/>
  <c r="AG212" i="1"/>
  <c r="AI245" i="1"/>
  <c r="AI246" i="1" s="1"/>
  <c r="AG344" i="1"/>
  <c r="DE272" i="42"/>
  <c r="DE52" i="3"/>
  <c r="BU252" i="41"/>
  <c r="BM181" i="42"/>
  <c r="DH37" i="3"/>
  <c r="DA88" i="3"/>
  <c r="DB16" i="3"/>
  <c r="AA197" i="42"/>
  <c r="AA196" i="42"/>
  <c r="S197" i="42"/>
  <c r="S196" i="42"/>
  <c r="T197" i="42"/>
  <c r="T196" i="42"/>
  <c r="P197" i="42"/>
  <c r="P196" i="42"/>
  <c r="AB197" i="42"/>
  <c r="AB196" i="42"/>
  <c r="AO245" i="1"/>
  <c r="AO246" i="1" s="1"/>
  <c r="AY21" i="3"/>
  <c r="AY30" i="3" s="1"/>
  <c r="AY82" i="3"/>
  <c r="AZ82" i="3"/>
  <c r="G206" i="442"/>
  <c r="BS148" i="3"/>
  <c r="BS147" i="3"/>
  <c r="O55" i="42"/>
  <c r="O51" i="42" s="1"/>
  <c r="N51" i="42"/>
  <c r="W226" i="42"/>
  <c r="CO113" i="41"/>
  <c r="CO115" i="41"/>
  <c r="CO112" i="41"/>
  <c r="CS111" i="41"/>
  <c r="CP113" i="41"/>
  <c r="CJ116" i="41"/>
  <c r="K157" i="442"/>
  <c r="K151" i="442"/>
  <c r="K152" i="442" s="1"/>
  <c r="CL258" i="41"/>
  <c r="K242" i="1"/>
  <c r="K200" i="42"/>
  <c r="CS30" i="3"/>
  <c r="CS82" i="3"/>
  <c r="CS102" i="3" s="1"/>
  <c r="BY245" i="1"/>
  <c r="BY246" i="1" s="1"/>
  <c r="BA245" i="1"/>
  <c r="BA246" i="1" s="1"/>
  <c r="BD196" i="1"/>
  <c r="BY282" i="41"/>
  <c r="CA282" i="41" s="1"/>
  <c r="BY117" i="41"/>
  <c r="CE115" i="41"/>
  <c r="M139" i="42"/>
  <c r="N177" i="42"/>
  <c r="M179" i="42"/>
  <c r="DA112" i="41"/>
  <c r="CU112" i="41"/>
  <c r="CV113" i="41"/>
  <c r="CU115" i="41"/>
  <c r="CU113" i="41"/>
  <c r="CY111" i="41"/>
  <c r="AW332" i="41"/>
  <c r="AW338" i="41" s="1"/>
  <c r="AW340" i="41" s="1"/>
  <c r="AV338" i="41" s="1"/>
  <c r="AW127" i="41"/>
  <c r="AW112" i="41"/>
  <c r="BC112" i="41"/>
  <c r="DM115" i="41"/>
  <c r="DS115" i="41" s="1"/>
  <c r="CK117" i="41"/>
  <c r="DO246" i="41"/>
  <c r="DP136" i="41"/>
  <c r="CP261" i="41"/>
  <c r="CP116" i="41"/>
  <c r="K226" i="42"/>
  <c r="DC21" i="42"/>
  <c r="DJ246" i="41"/>
  <c r="DK246" i="41" s="1"/>
  <c r="DK136" i="41"/>
  <c r="BG160" i="1"/>
  <c r="BG152" i="1" s="1"/>
  <c r="BG153" i="1" s="1"/>
  <c r="BG163" i="1"/>
  <c r="K190" i="442"/>
  <c r="CY126" i="41"/>
  <c r="CI258" i="41"/>
  <c r="CM252" i="41"/>
  <c r="J190" i="442"/>
  <c r="CS126" i="41"/>
  <c r="I55" i="42"/>
  <c r="I56" i="42" s="1"/>
  <c r="I135" i="42" s="1"/>
  <c r="H56" i="42"/>
  <c r="H135" i="42" s="1"/>
  <c r="CI113" i="41"/>
  <c r="CM111" i="41"/>
  <c r="CI115" i="41"/>
  <c r="CI112" i="41"/>
  <c r="CQ116" i="41"/>
  <c r="CQ117" i="41"/>
  <c r="CA281" i="41"/>
  <c r="AI134" i="42"/>
  <c r="BS245" i="1"/>
  <c r="BS246" i="1" s="1"/>
  <c r="V197" i="42"/>
  <c r="V196" i="42"/>
  <c r="I206" i="442"/>
  <c r="CE148" i="3"/>
  <c r="CE147" i="3"/>
  <c r="DD135" i="41"/>
  <c r="DD124" i="41" s="1"/>
  <c r="BM148" i="3"/>
  <c r="BM147" i="3"/>
  <c r="CG258" i="41"/>
  <c r="G181" i="442"/>
  <c r="CA140" i="41"/>
  <c r="CG128" i="41"/>
  <c r="CA177" i="41"/>
  <c r="BY142" i="41"/>
  <c r="CA179" i="41"/>
  <c r="BX142" i="41"/>
  <c r="CG255" i="41"/>
  <c r="CG257" i="41"/>
  <c r="BZ142" i="41"/>
  <c r="BW142" i="41"/>
  <c r="CG256" i="41"/>
  <c r="AH31" i="3"/>
  <c r="AH69" i="3" s="1"/>
  <c r="AI30" i="3"/>
  <c r="AH66" i="3"/>
  <c r="AH60" i="3"/>
  <c r="AI60" i="3" s="1"/>
  <c r="DI73" i="1"/>
  <c r="BY89" i="1"/>
  <c r="BX242" i="1"/>
  <c r="CB242" i="1"/>
  <c r="BG245" i="1"/>
  <c r="BG246" i="1" s="1"/>
  <c r="CK245" i="1"/>
  <c r="CK246" i="1" s="1"/>
  <c r="J58" i="442"/>
  <c r="CQ245" i="1"/>
  <c r="CQ246" i="1" s="1"/>
  <c r="K58" i="442"/>
  <c r="O196" i="42"/>
  <c r="V291" i="1"/>
  <c r="CE245" i="1"/>
  <c r="CE246" i="1" s="1"/>
  <c r="I58" i="442"/>
  <c r="BJ242" i="1"/>
  <c r="BD242" i="1"/>
  <c r="BL242" i="1"/>
  <c r="AL82" i="3"/>
  <c r="AL102" i="3" s="1"/>
  <c r="AK82" i="3"/>
  <c r="AK30" i="3"/>
  <c r="J39" i="442"/>
  <c r="J75" i="442" s="1"/>
  <c r="CK134" i="42"/>
  <c r="K39" i="442"/>
  <c r="K75" i="442" s="1"/>
  <c r="CQ134" i="42"/>
  <c r="CQ258" i="41"/>
  <c r="J206" i="442"/>
  <c r="J60" i="442"/>
  <c r="CK148" i="3"/>
  <c r="CK143" i="3"/>
  <c r="CK147" i="3"/>
  <c r="H206" i="442"/>
  <c r="BY148" i="3"/>
  <c r="BY151" i="3"/>
  <c r="BY152" i="3" s="1"/>
  <c r="BY147" i="3"/>
  <c r="CM257" i="41"/>
  <c r="H181" i="442"/>
  <c r="CG180" i="41"/>
  <c r="CC142" i="41"/>
  <c r="CF142" i="41"/>
  <c r="CG179" i="41"/>
  <c r="CD142" i="41"/>
  <c r="CG177" i="41"/>
  <c r="CE142" i="41"/>
  <c r="CM255" i="41"/>
  <c r="CG140" i="41"/>
  <c r="CV252" i="41"/>
  <c r="CV256" i="41"/>
  <c r="CX116" i="41"/>
  <c r="CX117" i="41"/>
  <c r="AS117" i="41"/>
  <c r="AS116" i="41"/>
  <c r="DJ137" i="41"/>
  <c r="DM137" i="41" s="1"/>
  <c r="DN137" i="41" s="1"/>
  <c r="DO137" i="41" s="1"/>
  <c r="J151" i="442"/>
  <c r="J152" i="442" s="1"/>
  <c r="J157" i="442"/>
  <c r="DA117" i="41"/>
  <c r="BZ117" i="41"/>
  <c r="CD117" i="41"/>
  <c r="CD11" i="41"/>
  <c r="I190" i="442"/>
  <c r="CM126" i="41"/>
  <c r="CM128" i="41"/>
  <c r="CM256" i="41"/>
  <c r="BI177" i="41"/>
  <c r="BI178" i="41" s="1"/>
  <c r="BI142" i="41"/>
  <c r="BE142" i="41"/>
  <c r="BH142" i="41"/>
  <c r="BI120" i="41"/>
  <c r="BI140" i="41"/>
  <c r="BI179" i="41"/>
  <c r="BF142" i="41"/>
  <c r="BA72" i="42"/>
  <c r="BI333" i="41"/>
  <c r="BI337" i="41" s="1"/>
  <c r="BI340" i="41" s="1"/>
  <c r="BH338" i="41" s="1"/>
  <c r="BG142" i="41"/>
  <c r="BO255" i="41"/>
  <c r="AI82" i="3"/>
  <c r="AI102" i="3" s="1"/>
  <c r="AH102" i="3"/>
  <c r="CQ146" i="3"/>
  <c r="CM148" i="3"/>
  <c r="BG89" i="1"/>
  <c r="BL69" i="41"/>
  <c r="BL67" i="41"/>
  <c r="DP198" i="41"/>
  <c r="DS198" i="41" s="1"/>
  <c r="DO199" i="41"/>
  <c r="DO202" i="41"/>
  <c r="DO201" i="41"/>
  <c r="DG260" i="1"/>
  <c r="BN38" i="41"/>
  <c r="BN54" i="41"/>
  <c r="BN50" i="41"/>
  <c r="BN37" i="41"/>
  <c r="BO36" i="41"/>
  <c r="BO37" i="41" s="1"/>
  <c r="BM52" i="41"/>
  <c r="BM51" i="41"/>
  <c r="BM66" i="41"/>
  <c r="BO50" i="41"/>
  <c r="BO51" i="41" s="1"/>
  <c r="BL73" i="41"/>
  <c r="BL74" i="41" s="1"/>
  <c r="BL62" i="41"/>
  <c r="BL60" i="41"/>
  <c r="BL59" i="41"/>
  <c r="BL42" i="41"/>
  <c r="BL41" i="41"/>
  <c r="BM214" i="41"/>
  <c r="BM215" i="41" s="1"/>
  <c r="BM217" i="41"/>
  <c r="BM56" i="41"/>
  <c r="BM55" i="41"/>
  <c r="BM44" i="41"/>
  <c r="BM58" i="41"/>
  <c r="DG248" i="41"/>
  <c r="DG140" i="41"/>
  <c r="BK64" i="41"/>
  <c r="CI280" i="41"/>
  <c r="CF281" i="41"/>
  <c r="BL46" i="41"/>
  <c r="BL45" i="41"/>
  <c r="BL219" i="41"/>
  <c r="BK70" i="41"/>
  <c r="BK74" i="41"/>
  <c r="BQ33" i="41"/>
  <c r="BR32" i="41"/>
  <c r="BQ36" i="41"/>
  <c r="DG39" i="3"/>
  <c r="DG112" i="3" s="1"/>
  <c r="DC51" i="3"/>
  <c r="DE51" i="3"/>
  <c r="BU129" i="3"/>
  <c r="BU133" i="3" s="1"/>
  <c r="V62" i="3"/>
  <c r="U64" i="3"/>
  <c r="U143" i="3" s="1"/>
  <c r="DH18" i="3"/>
  <c r="DF112" i="3"/>
  <c r="DB124" i="3"/>
  <c r="DC124" i="3" s="1"/>
  <c r="DG54" i="3"/>
  <c r="DH49" i="3"/>
  <c r="DG20" i="3"/>
  <c r="DG92" i="3" s="1"/>
  <c r="DG122" i="3"/>
  <c r="BS60" i="3"/>
  <c r="BV56" i="3"/>
  <c r="BV60" i="3" s="1"/>
  <c r="BW45" i="3"/>
  <c r="AC135" i="3"/>
  <c r="AC137" i="3" s="1"/>
  <c r="AE135" i="3" s="1"/>
  <c r="Y137" i="3"/>
  <c r="Z135" i="3" s="1"/>
  <c r="Z137" i="3" s="1"/>
  <c r="AA135" i="3" s="1"/>
  <c r="AA137" i="3" s="1"/>
  <c r="AB135" i="3" s="1"/>
  <c r="AB137" i="3" s="1"/>
  <c r="BR112" i="42"/>
  <c r="BU113" i="42"/>
  <c r="CG263" i="42"/>
  <c r="CD264" i="42"/>
  <c r="DG275" i="42"/>
  <c r="DF276" i="42"/>
  <c r="DF41" i="42"/>
  <c r="DF272" i="42" s="1"/>
  <c r="DH182" i="42"/>
  <c r="DG165" i="42"/>
  <c r="DG172" i="42" s="1"/>
  <c r="BM233" i="42"/>
  <c r="BS229" i="42" s="1"/>
  <c r="AF185" i="42"/>
  <c r="AG186" i="42"/>
  <c r="Z135" i="42"/>
  <c r="AA132" i="42"/>
  <c r="DB252" i="1"/>
  <c r="DC40" i="42"/>
  <c r="DC252" i="1" s="1"/>
  <c r="DG50" i="42"/>
  <c r="DF269" i="42"/>
  <c r="DE40" i="42"/>
  <c r="DE270" i="42"/>
  <c r="O103" i="42"/>
  <c r="P101" i="42"/>
  <c r="DI174" i="42"/>
  <c r="DI175" i="42" s="1"/>
  <c r="DE174" i="42"/>
  <c r="DE175" i="42" s="1"/>
  <c r="BE75" i="42"/>
  <c r="BE74" i="42"/>
  <c r="BG240" i="42"/>
  <c r="BM236" i="42" s="1"/>
  <c r="AW108" i="1"/>
  <c r="AW107" i="1"/>
  <c r="BA106" i="1"/>
  <c r="CM108" i="1"/>
  <c r="CM107" i="1"/>
  <c r="CQ106" i="1"/>
  <c r="CP242" i="1"/>
  <c r="CP213" i="1"/>
  <c r="CP196" i="1"/>
  <c r="CP87" i="1"/>
  <c r="Q80" i="1"/>
  <c r="Q84" i="1"/>
  <c r="Q138" i="1"/>
  <c r="CN242" i="1"/>
  <c r="CN213" i="1"/>
  <c r="CN196" i="1"/>
  <c r="CN87" i="1"/>
  <c r="BP108" i="1"/>
  <c r="BP107" i="1"/>
  <c r="K145" i="1"/>
  <c r="K194" i="42" s="1"/>
  <c r="K195" i="42" s="1"/>
  <c r="K196" i="42" s="1"/>
  <c r="K108" i="1"/>
  <c r="K201" i="42" s="1"/>
  <c r="K107" i="1"/>
  <c r="BR108" i="1"/>
  <c r="BR107" i="1"/>
  <c r="T147" i="1"/>
  <c r="T202" i="42" s="1"/>
  <c r="T203" i="42" s="1"/>
  <c r="T146" i="1"/>
  <c r="BO242" i="1"/>
  <c r="BO213" i="1"/>
  <c r="BO196" i="1"/>
  <c r="BO87" i="1"/>
  <c r="P147" i="1"/>
  <c r="P202" i="42" s="1"/>
  <c r="P203" i="42" s="1"/>
  <c r="P146" i="1"/>
  <c r="CC108" i="1"/>
  <c r="CC107" i="1"/>
  <c r="AX107" i="1"/>
  <c r="AX108" i="1"/>
  <c r="CS242" i="1"/>
  <c r="CS213" i="1"/>
  <c r="CS196" i="1"/>
  <c r="CS87" i="1"/>
  <c r="BQ107" i="1"/>
  <c r="BQ108" i="1"/>
  <c r="CK89" i="1"/>
  <c r="CM242" i="1"/>
  <c r="CM213" i="1"/>
  <c r="CM196" i="1"/>
  <c r="CM87" i="1"/>
  <c r="DB115" i="1"/>
  <c r="DC114" i="1"/>
  <c r="DB112" i="1"/>
  <c r="DF174" i="42"/>
  <c r="DF175" i="42" s="1"/>
  <c r="AC145" i="1"/>
  <c r="AC194" i="42" s="1"/>
  <c r="AC195" i="42" s="1"/>
  <c r="AC117" i="1"/>
  <c r="AC108" i="1"/>
  <c r="AC201" i="42" s="1"/>
  <c r="AC107" i="1"/>
  <c r="CA107" i="1"/>
  <c r="CE106" i="1"/>
  <c r="CA108" i="1"/>
  <c r="AQ108" i="1"/>
  <c r="AQ107" i="1"/>
  <c r="AU106" i="1"/>
  <c r="BA89" i="1"/>
  <c r="CB213" i="1"/>
  <c r="AY108" i="1"/>
  <c r="AY107" i="1"/>
  <c r="AO106" i="1"/>
  <c r="AK108" i="1"/>
  <c r="AK290" i="1" s="1"/>
  <c r="AK107" i="1"/>
  <c r="CP108" i="1"/>
  <c r="CV109" i="1" s="1"/>
  <c r="CP107" i="1"/>
  <c r="BY228" i="1"/>
  <c r="BY195" i="1"/>
  <c r="BY86" i="1"/>
  <c r="BM106" i="1"/>
  <c r="BI108" i="1"/>
  <c r="BI107" i="1"/>
  <c r="CS270" i="1"/>
  <c r="BW242" i="1"/>
  <c r="BW213" i="1"/>
  <c r="BW196" i="1"/>
  <c r="BW87" i="1"/>
  <c r="CC87" i="1"/>
  <c r="CC196" i="1"/>
  <c r="BI378" i="1"/>
  <c r="BM245" i="1"/>
  <c r="BM246" i="1" s="1"/>
  <c r="AN242" i="1"/>
  <c r="AN213" i="1"/>
  <c r="AN196" i="1"/>
  <c r="AN87" i="1"/>
  <c r="AO89" i="1"/>
  <c r="O140" i="1"/>
  <c r="O139" i="1"/>
  <c r="BO108" i="1"/>
  <c r="BO107" i="1"/>
  <c r="BS106" i="1"/>
  <c r="AE246" i="1"/>
  <c r="AE247" i="1"/>
  <c r="AI247" i="1" s="1"/>
  <c r="AG290" i="1"/>
  <c r="AG291" i="1" s="1"/>
  <c r="AG196" i="1"/>
  <c r="AG87" i="1"/>
  <c r="CJ108" i="1"/>
  <c r="CJ109" i="1" s="1"/>
  <c r="CJ107" i="1"/>
  <c r="BW108" i="1"/>
  <c r="BW107" i="1"/>
  <c r="BI270" i="1"/>
  <c r="BM270" i="1" s="1"/>
  <c r="BM269" i="1"/>
  <c r="AH213" i="1"/>
  <c r="BS89" i="1"/>
  <c r="O147" i="1"/>
  <c r="O202" i="42" s="1"/>
  <c r="O146" i="1"/>
  <c r="AG108" i="1"/>
  <c r="AG107" i="1"/>
  <c r="CO107" i="1"/>
  <c r="CO108" i="1"/>
  <c r="CU109" i="1" s="1"/>
  <c r="CQ89" i="1"/>
  <c r="AQ228" i="1"/>
  <c r="AQ212" i="1"/>
  <c r="AQ195" i="1"/>
  <c r="AQ89" i="1"/>
  <c r="AQ86" i="1"/>
  <c r="AW87" i="1" s="1"/>
  <c r="CI242" i="1"/>
  <c r="CI213" i="1"/>
  <c r="CI196" i="1"/>
  <c r="CI87" i="1"/>
  <c r="BU242" i="1"/>
  <c r="BU213" i="1"/>
  <c r="BU196" i="1"/>
  <c r="BU87" i="1"/>
  <c r="AW344" i="1"/>
  <c r="AQ344" i="1"/>
  <c r="AX344" i="1"/>
  <c r="AR344" i="1"/>
  <c r="AS344" i="1"/>
  <c r="AZ344" i="1"/>
  <c r="AY344" i="1"/>
  <c r="AT344" i="1"/>
  <c r="AW195" i="1"/>
  <c r="DF274" i="1"/>
  <c r="DE276" i="1"/>
  <c r="BV242" i="1"/>
  <c r="BV213" i="1"/>
  <c r="BV196" i="1"/>
  <c r="BV87" i="1"/>
  <c r="CI107" i="1"/>
  <c r="CI108" i="1"/>
  <c r="BI296" i="1"/>
  <c r="BI297" i="1" s="1"/>
  <c r="BI242" i="1"/>
  <c r="BI213" i="1"/>
  <c r="BI196" i="1"/>
  <c r="BI87" i="1"/>
  <c r="BL213" i="1"/>
  <c r="AE108" i="1"/>
  <c r="AE107" i="1"/>
  <c r="AI106" i="1"/>
  <c r="CG270" i="1"/>
  <c r="CK270" i="1" s="1"/>
  <c r="CK269" i="1"/>
  <c r="Q147" i="1"/>
  <c r="Q202" i="42" s="1"/>
  <c r="Q146" i="1"/>
  <c r="BD213" i="1"/>
  <c r="BE108" i="1"/>
  <c r="BE290" i="1" s="1"/>
  <c r="BE291" i="1" s="1"/>
  <c r="BE107" i="1"/>
  <c r="BR242" i="1"/>
  <c r="BR213" i="1"/>
  <c r="BR196" i="1"/>
  <c r="BR87" i="1"/>
  <c r="BM228" i="1"/>
  <c r="BM195" i="1"/>
  <c r="BM86" i="1"/>
  <c r="AX213" i="1"/>
  <c r="AX196" i="1"/>
  <c r="AX87" i="1"/>
  <c r="V147" i="1"/>
  <c r="V202" i="42" s="1"/>
  <c r="V203" i="42" s="1"/>
  <c r="V146" i="1"/>
  <c r="O228" i="1"/>
  <c r="O89" i="1"/>
  <c r="Q89" i="1" s="1"/>
  <c r="O86" i="1"/>
  <c r="O200" i="42" s="1"/>
  <c r="BA228" i="1"/>
  <c r="BA86" i="1"/>
  <c r="W145" i="1"/>
  <c r="W194" i="42" s="1"/>
  <c r="W195" i="42" s="1"/>
  <c r="W108" i="1"/>
  <c r="W201" i="42" s="1"/>
  <c r="W107" i="1"/>
  <c r="AI269" i="1"/>
  <c r="AE270" i="1"/>
  <c r="AI270" i="1" s="1"/>
  <c r="BU108" i="1"/>
  <c r="BU107" i="1"/>
  <c r="BY106" i="1"/>
  <c r="AZ290" i="1"/>
  <c r="AZ291" i="1" s="1"/>
  <c r="AI228" i="1"/>
  <c r="AI195" i="1"/>
  <c r="AI86" i="1"/>
  <c r="BP242" i="1"/>
  <c r="BP213" i="1"/>
  <c r="BP196" i="1"/>
  <c r="BP87" i="1"/>
  <c r="BS228" i="1"/>
  <c r="BS195" i="1"/>
  <c r="BS86" i="1"/>
  <c r="CA242" i="1"/>
  <c r="CA213" i="1"/>
  <c r="CA196" i="1"/>
  <c r="CA87" i="1"/>
  <c r="CH109" i="1"/>
  <c r="N270" i="1"/>
  <c r="AR242" i="1"/>
  <c r="AR196" i="1"/>
  <c r="AR87" i="1"/>
  <c r="AK344" i="1"/>
  <c r="AL344" i="1"/>
  <c r="AN344" i="1"/>
  <c r="AM344" i="1"/>
  <c r="BG228" i="1"/>
  <c r="BG195" i="1"/>
  <c r="BG86" i="1"/>
  <c r="CK228" i="1"/>
  <c r="CK195" i="1"/>
  <c r="CK86" i="1"/>
  <c r="CQ228" i="1"/>
  <c r="CQ195" i="1"/>
  <c r="CQ86" i="1"/>
  <c r="BV107" i="1"/>
  <c r="BV108" i="1"/>
  <c r="BL107" i="1"/>
  <c r="BL108" i="1"/>
  <c r="BM89" i="1"/>
  <c r="AT301" i="1"/>
  <c r="AT80" i="1"/>
  <c r="AT146" i="3" s="1"/>
  <c r="AS301" i="1"/>
  <c r="AS80" i="1"/>
  <c r="AS146" i="3" s="1"/>
  <c r="BS269" i="1"/>
  <c r="BO270" i="1"/>
  <c r="BS270" i="1" s="1"/>
  <c r="CG108" i="1"/>
  <c r="CG107" i="1"/>
  <c r="CK106" i="1"/>
  <c r="CE269" i="1"/>
  <c r="CA270" i="1"/>
  <c r="CE270" i="1" s="1"/>
  <c r="BC107" i="1"/>
  <c r="BG106" i="1"/>
  <c r="BC108" i="1"/>
  <c r="BC290" i="1" s="1"/>
  <c r="BC291" i="1" s="1"/>
  <c r="T333" i="1"/>
  <c r="T334" i="1" s="1"/>
  <c r="U333" i="1"/>
  <c r="U334" i="1" s="1"/>
  <c r="V333" i="1"/>
  <c r="V334" i="1" s="1"/>
  <c r="W242" i="1"/>
  <c r="BG269" i="1"/>
  <c r="BC270" i="1"/>
  <c r="BG270" i="1" s="1"/>
  <c r="AA146" i="1"/>
  <c r="AA147" i="1"/>
  <c r="AA202" i="42" s="1"/>
  <c r="AA203" i="42" s="1"/>
  <c r="BQ242" i="1"/>
  <c r="BQ213" i="1"/>
  <c r="BQ196" i="1"/>
  <c r="BQ87" i="1"/>
  <c r="O269" i="1"/>
  <c r="O270" i="1" s="1"/>
  <c r="O150" i="1"/>
  <c r="O245" i="1"/>
  <c r="S147" i="1"/>
  <c r="S202" i="42" s="1"/>
  <c r="S203" i="42" s="1"/>
  <c r="S146" i="1"/>
  <c r="BK108" i="1"/>
  <c r="BK107" i="1"/>
  <c r="AY213" i="1"/>
  <c r="CO242" i="1"/>
  <c r="CO213" i="1"/>
  <c r="CO196" i="1"/>
  <c r="CO87" i="1"/>
  <c r="AO84" i="1"/>
  <c r="J117" i="1"/>
  <c r="I117" i="1"/>
  <c r="H117" i="1"/>
  <c r="H269" i="1" s="1"/>
  <c r="G117" i="1"/>
  <c r="CE228" i="1"/>
  <c r="CE195" i="1"/>
  <c r="CE86" i="1"/>
  <c r="BE296" i="1"/>
  <c r="BE297" i="1" s="1"/>
  <c r="BE242" i="1"/>
  <c r="BE213" i="1"/>
  <c r="BE196" i="1"/>
  <c r="BE87" i="1"/>
  <c r="CN108" i="1"/>
  <c r="CN109" i="1" s="1"/>
  <c r="CN107" i="1"/>
  <c r="BC242" i="1"/>
  <c r="BC213" i="1"/>
  <c r="BC196" i="1"/>
  <c r="BC87" i="1"/>
  <c r="CG242" i="1"/>
  <c r="CG213" i="1"/>
  <c r="CG196" i="1"/>
  <c r="CG87" i="1"/>
  <c r="DE55" i="1"/>
  <c r="DE21" i="42" s="1"/>
  <c r="DB53" i="1"/>
  <c r="DC53" i="1" s="1"/>
  <c r="BK296" i="1"/>
  <c r="BK297" i="1" s="1"/>
  <c r="BK242" i="1"/>
  <c r="BK213" i="1"/>
  <c r="BK196" i="1"/>
  <c r="BK87" i="1"/>
  <c r="DA118" i="1"/>
  <c r="DA111" i="1"/>
  <c r="AN107" i="1"/>
  <c r="AN108" i="1"/>
  <c r="AN290" i="1" s="1"/>
  <c r="AN291" i="1" s="1"/>
  <c r="CB196" i="1"/>
  <c r="CJ242" i="1"/>
  <c r="CJ213" i="1"/>
  <c r="CJ196" i="1"/>
  <c r="CJ87" i="1"/>
  <c r="CS108" i="1"/>
  <c r="CS107" i="1"/>
  <c r="AH332" i="1"/>
  <c r="AE290" i="1"/>
  <c r="AE291" i="1" s="1"/>
  <c r="AE242" i="1"/>
  <c r="AE213" i="1"/>
  <c r="AE196" i="1"/>
  <c r="AE87" i="1"/>
  <c r="AB146" i="1"/>
  <c r="AB147" i="1"/>
  <c r="AB202" i="42" s="1"/>
  <c r="AB203" i="42" s="1"/>
  <c r="AR108" i="1"/>
  <c r="AR107" i="1"/>
  <c r="W247" i="1"/>
  <c r="AT108" i="1"/>
  <c r="AT107" i="1"/>
  <c r="AS107" i="1"/>
  <c r="AS108" i="1"/>
  <c r="CH242" i="1"/>
  <c r="CT269" i="1"/>
  <c r="BC344" i="1"/>
  <c r="BD344" i="1"/>
  <c r="BE344" i="1"/>
  <c r="AF213" i="1"/>
  <c r="AM108" i="1"/>
  <c r="AM290" i="1" s="1"/>
  <c r="AM291" i="1" s="1"/>
  <c r="AM107" i="1"/>
  <c r="AZ242" i="1"/>
  <c r="CQ269" i="1"/>
  <c r="CM270" i="1"/>
  <c r="CQ270" i="1" s="1"/>
  <c r="BY269" i="1"/>
  <c r="BU270" i="1"/>
  <c r="BY270" i="1" s="1"/>
  <c r="AM242" i="1"/>
  <c r="AM213" i="1"/>
  <c r="AM196" i="1"/>
  <c r="AM87" i="1"/>
  <c r="AK213" i="1"/>
  <c r="AK196" i="1"/>
  <c r="AK87" i="1"/>
  <c r="DI173" i="1"/>
  <c r="AG213" i="1" l="1"/>
  <c r="AK242" i="1"/>
  <c r="AH331" i="1"/>
  <c r="AG242" i="1"/>
  <c r="DD111" i="41"/>
  <c r="DD126" i="41"/>
  <c r="DG127" i="41"/>
  <c r="DV246" i="41"/>
  <c r="DW246" i="41" s="1"/>
  <c r="DV135" i="41"/>
  <c r="DW135" i="41" s="1"/>
  <c r="DD127" i="41"/>
  <c r="DW136" i="41"/>
  <c r="DC112" i="1"/>
  <c r="DS202" i="41"/>
  <c r="DK260" i="1"/>
  <c r="DS199" i="41"/>
  <c r="DS201" i="41"/>
  <c r="DT198" i="41"/>
  <c r="DK38" i="3"/>
  <c r="DK111" i="3" s="1"/>
  <c r="DN113" i="3"/>
  <c r="DO113" i="3" s="1"/>
  <c r="DM11" i="42"/>
  <c r="DE16" i="3"/>
  <c r="DE252" i="1"/>
  <c r="DL22" i="42"/>
  <c r="DM22" i="42" s="1"/>
  <c r="DK37" i="3"/>
  <c r="AW196" i="1"/>
  <c r="AR213" i="1"/>
  <c r="DI49" i="3"/>
  <c r="DK49" i="3"/>
  <c r="DI18" i="3"/>
  <c r="DK18" i="3"/>
  <c r="DL19" i="3"/>
  <c r="DL91" i="3"/>
  <c r="DK91" i="3"/>
  <c r="DS11" i="41"/>
  <c r="DS282" i="41"/>
  <c r="DL174" i="42"/>
  <c r="DL175" i="42" s="1"/>
  <c r="DK115" i="1"/>
  <c r="DK112" i="1"/>
  <c r="DL114" i="1"/>
  <c r="DO73" i="1"/>
  <c r="DM11" i="41"/>
  <c r="DM12" i="41" s="1"/>
  <c r="BM240" i="42"/>
  <c r="BS236" i="42" s="1"/>
  <c r="BM172" i="42"/>
  <c r="BM178" i="42" s="1"/>
  <c r="BM179" i="42" s="1"/>
  <c r="DH52" i="42"/>
  <c r="CS109" i="1"/>
  <c r="CA19" i="41"/>
  <c r="AZ63" i="41"/>
  <c r="AZ64" i="41"/>
  <c r="BF63" i="41"/>
  <c r="BR281" i="41"/>
  <c r="BR115" i="41"/>
  <c r="BS117" i="41" s="1"/>
  <c r="BX112" i="41"/>
  <c r="CC18" i="41"/>
  <c r="CC320" i="41"/>
  <c r="CC321" i="41" s="1"/>
  <c r="BA54" i="41"/>
  <c r="BA50" i="41"/>
  <c r="BG37" i="41"/>
  <c r="BB50" i="41"/>
  <c r="BA38" i="41"/>
  <c r="BB38" i="41"/>
  <c r="BA37" i="41"/>
  <c r="BB54" i="41"/>
  <c r="BT117" i="41"/>
  <c r="BM125" i="41"/>
  <c r="BN124" i="41"/>
  <c r="BQ127" i="41" s="1"/>
  <c r="BF41" i="41"/>
  <c r="AZ41" i="41"/>
  <c r="AZ42" i="41"/>
  <c r="CC157" i="41"/>
  <c r="CC156" i="41"/>
  <c r="BZ19" i="41"/>
  <c r="BZ26" i="41"/>
  <c r="BZ27" i="41" s="1"/>
  <c r="BZ28" i="41" s="1"/>
  <c r="BZ20" i="41"/>
  <c r="BS282" i="41"/>
  <c r="BY285" i="41" s="1"/>
  <c r="BW126" i="41"/>
  <c r="BQ111" i="41"/>
  <c r="BR113" i="41" s="1"/>
  <c r="BQ128" i="41"/>
  <c r="BU124" i="41"/>
  <c r="DI38" i="3"/>
  <c r="DH111" i="3"/>
  <c r="DI111" i="3" s="1"/>
  <c r="CT109" i="1"/>
  <c r="CG109" i="1"/>
  <c r="AU146" i="3"/>
  <c r="AU148" i="3" s="1"/>
  <c r="CP109" i="1"/>
  <c r="O203" i="42"/>
  <c r="DB88" i="3"/>
  <c r="DC88" i="3" s="1"/>
  <c r="DC16" i="3"/>
  <c r="DI37" i="3"/>
  <c r="DH110" i="3"/>
  <c r="DI110" i="3" s="1"/>
  <c r="DE88" i="3"/>
  <c r="DF52" i="3"/>
  <c r="DF125" i="3" s="1"/>
  <c r="DE125" i="3"/>
  <c r="W197" i="42"/>
  <c r="W196" i="42"/>
  <c r="AC197" i="42"/>
  <c r="AC196" i="42"/>
  <c r="K60" i="442"/>
  <c r="K206" i="442"/>
  <c r="K208" i="442" s="1"/>
  <c r="CQ148" i="3"/>
  <c r="CQ147" i="3"/>
  <c r="CJ12" i="41"/>
  <c r="CD12" i="41"/>
  <c r="CD8" i="41"/>
  <c r="CD327" i="41"/>
  <c r="CD328" i="41" s="1"/>
  <c r="CD323" i="41"/>
  <c r="CD324" i="41" s="1"/>
  <c r="CD325" i="41" s="1"/>
  <c r="DP137" i="41"/>
  <c r="DS137" i="41" s="1"/>
  <c r="DT137" i="41" s="1"/>
  <c r="DU137" i="41" s="1"/>
  <c r="DV137" i="41" s="1"/>
  <c r="H204" i="442"/>
  <c r="CG178" i="41"/>
  <c r="CG142" i="41"/>
  <c r="AK60" i="3"/>
  <c r="AK31" i="3"/>
  <c r="AK69" i="3" s="1"/>
  <c r="AK66" i="3"/>
  <c r="AH67" i="3"/>
  <c r="AN67" i="3"/>
  <c r="CA142" i="41"/>
  <c r="I189" i="442"/>
  <c r="CM115" i="41"/>
  <c r="CM112" i="41"/>
  <c r="CM139" i="41"/>
  <c r="BG159" i="1"/>
  <c r="K189" i="442"/>
  <c r="K198" i="442" s="1"/>
  <c r="CY112" i="41"/>
  <c r="CY115" i="41"/>
  <c r="CY139" i="41"/>
  <c r="CS66" i="3"/>
  <c r="CS67" i="3" s="1"/>
  <c r="CS31" i="3"/>
  <c r="CS69" i="3" s="1"/>
  <c r="CS70" i="3" s="1"/>
  <c r="CO117" i="41"/>
  <c r="CO116" i="41"/>
  <c r="CP117" i="41"/>
  <c r="AZ93" i="3"/>
  <c r="AZ102" i="3" s="1"/>
  <c r="AY93" i="3"/>
  <c r="AY102" i="3" s="1"/>
  <c r="K115" i="442"/>
  <c r="K159" i="442"/>
  <c r="CA254" i="41"/>
  <c r="CI109" i="1"/>
  <c r="Q245" i="1"/>
  <c r="Q246" i="1" s="1"/>
  <c r="AQ181" i="41"/>
  <c r="AQ180" i="41"/>
  <c r="AI160" i="3"/>
  <c r="AI144" i="3"/>
  <c r="AI145" i="3" s="1"/>
  <c r="AI139" i="3"/>
  <c r="AI140" i="3" s="1"/>
  <c r="AI158" i="3"/>
  <c r="AI103" i="3"/>
  <c r="BG144" i="41"/>
  <c r="BE144" i="41"/>
  <c r="H186" i="442"/>
  <c r="H191" i="442"/>
  <c r="H208" i="442"/>
  <c r="J117" i="442"/>
  <c r="J61" i="442"/>
  <c r="J62" i="442"/>
  <c r="AT181" i="41"/>
  <c r="AT180" i="41"/>
  <c r="AL160" i="3"/>
  <c r="AL162" i="3" s="1"/>
  <c r="AL139" i="3"/>
  <c r="AL158" i="3"/>
  <c r="AL133" i="3"/>
  <c r="AL156" i="3"/>
  <c r="AL103" i="3"/>
  <c r="AL144" i="3"/>
  <c r="AH70" i="3"/>
  <c r="AN70" i="3"/>
  <c r="G183" i="442"/>
  <c r="G184" i="442"/>
  <c r="G186" i="442"/>
  <c r="H192" i="442"/>
  <c r="G191" i="442"/>
  <c r="I207" i="442"/>
  <c r="I208" i="442"/>
  <c r="J191" i="442"/>
  <c r="J203" i="442" s="1"/>
  <c r="J195" i="442"/>
  <c r="CM258" i="41"/>
  <c r="I181" i="442"/>
  <c r="I186" i="442" s="1"/>
  <c r="K195" i="442"/>
  <c r="K191" i="442"/>
  <c r="K203" i="442" s="1"/>
  <c r="K192" i="442"/>
  <c r="CU116" i="41"/>
  <c r="CU117" i="41"/>
  <c r="CV117" i="41"/>
  <c r="DA116" i="41"/>
  <c r="CE117" i="41"/>
  <c r="CE11" i="41"/>
  <c r="CK116" i="41"/>
  <c r="CF117" i="41"/>
  <c r="J189" i="442"/>
  <c r="CS139" i="41"/>
  <c r="CS115" i="41"/>
  <c r="CS112" i="41"/>
  <c r="P139" i="42"/>
  <c r="P177" i="42"/>
  <c r="O139" i="42"/>
  <c r="Q192" i="42"/>
  <c r="Q134" i="42"/>
  <c r="Q136" i="42"/>
  <c r="AP181" i="41"/>
  <c r="AP180" i="41"/>
  <c r="AH133" i="3"/>
  <c r="AI133" i="3" s="1"/>
  <c r="AH139" i="3"/>
  <c r="AH144" i="3"/>
  <c r="AH103" i="3"/>
  <c r="AH160" i="3"/>
  <c r="AH162" i="3" s="1"/>
  <c r="BF144" i="41"/>
  <c r="BH144" i="41"/>
  <c r="CG254" i="41"/>
  <c r="AO82" i="3"/>
  <c r="AO102" i="3" s="1"/>
  <c r="AK102" i="3"/>
  <c r="AI66" i="3"/>
  <c r="AI31" i="3"/>
  <c r="AI69" i="3" s="1"/>
  <c r="DP246" i="41"/>
  <c r="DQ246" i="41" s="1"/>
  <c r="DQ136" i="41"/>
  <c r="O177" i="42"/>
  <c r="N139" i="42"/>
  <c r="G208" i="442"/>
  <c r="AY66" i="3"/>
  <c r="AY60" i="3"/>
  <c r="AY31" i="3"/>
  <c r="AY69" i="3" s="1"/>
  <c r="AO134" i="42"/>
  <c r="BM219" i="41"/>
  <c r="I195" i="442"/>
  <c r="I198" i="442" s="1"/>
  <c r="I192" i="442"/>
  <c r="CV261" i="41"/>
  <c r="CV258" i="41"/>
  <c r="J208" i="442"/>
  <c r="J115" i="442"/>
  <c r="J159" i="442"/>
  <c r="CA178" i="41"/>
  <c r="G204" i="442"/>
  <c r="CI116" i="41"/>
  <c r="CI117" i="41"/>
  <c r="M167" i="42"/>
  <c r="N178" i="42"/>
  <c r="N179" i="42" s="1"/>
  <c r="DA181" i="41"/>
  <c r="DA180" i="41"/>
  <c r="CS144" i="3"/>
  <c r="CS145" i="3" s="1"/>
  <c r="CS103" i="3"/>
  <c r="CS156" i="3"/>
  <c r="CS139" i="3"/>
  <c r="CS160" i="3"/>
  <c r="CS104" i="3"/>
  <c r="CJ117" i="41"/>
  <c r="BA82" i="3"/>
  <c r="DG254" i="41"/>
  <c r="DG249" i="41"/>
  <c r="BM45" i="41"/>
  <c r="BM46" i="41"/>
  <c r="BN52" i="41"/>
  <c r="BN51" i="41"/>
  <c r="BN66" i="41"/>
  <c r="BN69" i="41" s="1"/>
  <c r="BL70" i="41"/>
  <c r="CF282" i="41"/>
  <c r="CG282" i="41" s="1"/>
  <c r="CG285" i="41" s="1"/>
  <c r="CG281" i="41"/>
  <c r="CG284" i="41" s="1"/>
  <c r="BL63" i="41"/>
  <c r="BL64" i="41"/>
  <c r="BN214" i="41"/>
  <c r="BN215" i="41" s="1"/>
  <c r="BN217" i="41"/>
  <c r="BN55" i="41"/>
  <c r="BN44" i="41"/>
  <c r="BO44" i="41" s="1"/>
  <c r="BN56" i="41"/>
  <c r="BN58" i="41"/>
  <c r="BO58" i="41" s="1"/>
  <c r="BQ54" i="41"/>
  <c r="BQ50" i="41"/>
  <c r="BQ37" i="41"/>
  <c r="BQ38" i="41"/>
  <c r="CI281" i="41"/>
  <c r="CJ280" i="41"/>
  <c r="BM69" i="41"/>
  <c r="BM67" i="41"/>
  <c r="DP199" i="41"/>
  <c r="DP202" i="41"/>
  <c r="DP201" i="41"/>
  <c r="DH260" i="1"/>
  <c r="DI260" i="1" s="1"/>
  <c r="DI147" i="42" s="1"/>
  <c r="DI155" i="1"/>
  <c r="DO154" i="1" s="1"/>
  <c r="BR33" i="41"/>
  <c r="BS32" i="41"/>
  <c r="BR36" i="41"/>
  <c r="BM73" i="41"/>
  <c r="BM62" i="41"/>
  <c r="BM59" i="41"/>
  <c r="BM60" i="41"/>
  <c r="BM40" i="41"/>
  <c r="BO54" i="41"/>
  <c r="BO55" i="41" s="1"/>
  <c r="BX45" i="3"/>
  <c r="BW56" i="3"/>
  <c r="BW60" i="3" s="1"/>
  <c r="DH122" i="3"/>
  <c r="DI122" i="3" s="1"/>
  <c r="W62" i="3"/>
  <c r="V64" i="3"/>
  <c r="DE124" i="3"/>
  <c r="DF51" i="3"/>
  <c r="DF124" i="3" s="1"/>
  <c r="DH54" i="3"/>
  <c r="AI135" i="3"/>
  <c r="AE137" i="3"/>
  <c r="AF135" i="3" s="1"/>
  <c r="AF137" i="3" s="1"/>
  <c r="AG135" i="3" s="1"/>
  <c r="AG137" i="3" s="1"/>
  <c r="AH135" i="3" s="1"/>
  <c r="BW118" i="3"/>
  <c r="DH20" i="3"/>
  <c r="DG127" i="3"/>
  <c r="DH90" i="3"/>
  <c r="DI90" i="3" s="1"/>
  <c r="DH39" i="3"/>
  <c r="BS233" i="42"/>
  <c r="BY229" i="42" s="1"/>
  <c r="DH165" i="42"/>
  <c r="DI182" i="42"/>
  <c r="CH263" i="42"/>
  <c r="CH264" i="42" s="1"/>
  <c r="CG264" i="42"/>
  <c r="BF74" i="42"/>
  <c r="BF75" i="42"/>
  <c r="S101" i="42"/>
  <c r="P103" i="42"/>
  <c r="Q101" i="42"/>
  <c r="DG269" i="42"/>
  <c r="DF40" i="42"/>
  <c r="DF270" i="42"/>
  <c r="AB132" i="42"/>
  <c r="AA135" i="42"/>
  <c r="AG184" i="42"/>
  <c r="BV113" i="42"/>
  <c r="BU112" i="42"/>
  <c r="DH50" i="42"/>
  <c r="DK50" i="42" s="1"/>
  <c r="DL50" i="42" s="1"/>
  <c r="DM50" i="42" s="1"/>
  <c r="DN50" i="42" s="1"/>
  <c r="DO50" i="42" s="1"/>
  <c r="DH275" i="42"/>
  <c r="DK275" i="42" s="1"/>
  <c r="DG276" i="42"/>
  <c r="DG41" i="42"/>
  <c r="DG272" i="42" s="1"/>
  <c r="AT290" i="1"/>
  <c r="AT109" i="1"/>
  <c r="AB373" i="1"/>
  <c r="AB374" i="1" s="1"/>
  <c r="AF333" i="1"/>
  <c r="AF334" i="1" s="1"/>
  <c r="AG333" i="1"/>
  <c r="AG334" i="1" s="1"/>
  <c r="AH333" i="1"/>
  <c r="AH334" i="1" s="1"/>
  <c r="AE333" i="1"/>
  <c r="AE334" i="1" s="1"/>
  <c r="AI242" i="1"/>
  <c r="AI196" i="1"/>
  <c r="AI87" i="1"/>
  <c r="CE242" i="1"/>
  <c r="CE196" i="1"/>
  <c r="CE87" i="1"/>
  <c r="H270" i="1"/>
  <c r="K270" i="1" s="1"/>
  <c r="K269" i="1"/>
  <c r="O246" i="1"/>
  <c r="O247" i="1"/>
  <c r="Q247" i="1" s="1"/>
  <c r="BG107" i="1"/>
  <c r="BG108" i="1"/>
  <c r="CK108" i="1"/>
  <c r="CK107" i="1"/>
  <c r="BD339" i="1"/>
  <c r="BD340" i="1" s="1"/>
  <c r="BE339" i="1"/>
  <c r="BE340" i="1" s="1"/>
  <c r="BC339" i="1"/>
  <c r="BC340" i="1" s="1"/>
  <c r="BG242" i="1"/>
  <c r="BG196" i="1"/>
  <c r="BG87" i="1"/>
  <c r="Q270" i="1"/>
  <c r="AQ290" i="1"/>
  <c r="AQ291" i="1" s="1"/>
  <c r="AQ109" i="1"/>
  <c r="DE115" i="1"/>
  <c r="DG174" i="42"/>
  <c r="DG175" i="42" s="1"/>
  <c r="DE112" i="1"/>
  <c r="BA108" i="1"/>
  <c r="BA107" i="1"/>
  <c r="CU269" i="1"/>
  <c r="AR290" i="1"/>
  <c r="AR109" i="1"/>
  <c r="O49" i="1"/>
  <c r="Q49" i="1" s="1"/>
  <c r="Q150" i="1"/>
  <c r="AS269" i="1"/>
  <c r="AS245" i="1"/>
  <c r="AS246" i="1" s="1"/>
  <c r="AS79" i="1"/>
  <c r="CK242" i="1"/>
  <c r="CK196" i="1"/>
  <c r="CK87" i="1"/>
  <c r="AZ109" i="1"/>
  <c r="AI108" i="1"/>
  <c r="AI107" i="1"/>
  <c r="DF276" i="1"/>
  <c r="DG274" i="1"/>
  <c r="CO109" i="1"/>
  <c r="BM108" i="1"/>
  <c r="BM107" i="1"/>
  <c r="AO108" i="1"/>
  <c r="AO107" i="1"/>
  <c r="DB118" i="1"/>
  <c r="DC118" i="1" s="1"/>
  <c r="DB111" i="1"/>
  <c r="CQ108" i="1"/>
  <c r="CQ107" i="1"/>
  <c r="W147" i="1"/>
  <c r="W202" i="42" s="1"/>
  <c r="W203" i="42" s="1"/>
  <c r="W146" i="1"/>
  <c r="BY242" i="1"/>
  <c r="BY196" i="1"/>
  <c r="BY87" i="1"/>
  <c r="CC242" i="1"/>
  <c r="AU108" i="1"/>
  <c r="AU107" i="1"/>
  <c r="CE107" i="1"/>
  <c r="CE108" i="1"/>
  <c r="AB117" i="1"/>
  <c r="AA117" i="1"/>
  <c r="Z117" i="1"/>
  <c r="Y117" i="1"/>
  <c r="DC157" i="1"/>
  <c r="DC115" i="1"/>
  <c r="Q139" i="1"/>
  <c r="Q140" i="1"/>
  <c r="AW290" i="1"/>
  <c r="AW291" i="1" s="1"/>
  <c r="AW109" i="1"/>
  <c r="CQ242" i="1"/>
  <c r="CQ196" i="1"/>
  <c r="CQ87" i="1"/>
  <c r="O242" i="1"/>
  <c r="S242" i="1"/>
  <c r="P242" i="1"/>
  <c r="T242" i="1"/>
  <c r="AS290" i="1"/>
  <c r="AS291" i="1" s="1"/>
  <c r="AS109" i="1"/>
  <c r="DE53" i="1"/>
  <c r="DF55" i="1"/>
  <c r="DF21" i="42" s="1"/>
  <c r="AO228" i="1"/>
  <c r="AO195" i="1"/>
  <c r="AO86" i="1"/>
  <c r="AT269" i="1"/>
  <c r="AT270" i="1" s="1"/>
  <c r="AT245" i="1"/>
  <c r="AT246" i="1" s="1"/>
  <c r="AT79" i="1"/>
  <c r="AT84" i="1" s="1"/>
  <c r="Q269" i="1"/>
  <c r="BS242" i="1"/>
  <c r="BS196" i="1"/>
  <c r="BS87" i="1"/>
  <c r="BY108" i="1"/>
  <c r="BY107" i="1"/>
  <c r="BA242" i="1"/>
  <c r="BJ372" i="1"/>
  <c r="BJ373" i="1" s="1"/>
  <c r="BI372" i="1"/>
  <c r="BI373" i="1" s="1"/>
  <c r="BM242" i="1"/>
  <c r="BM196" i="1"/>
  <c r="BM87" i="1"/>
  <c r="AQ242" i="1"/>
  <c r="AQ213" i="1"/>
  <c r="AQ196" i="1"/>
  <c r="AQ87" i="1"/>
  <c r="BS108" i="1"/>
  <c r="BS107" i="1"/>
  <c r="AY290" i="1"/>
  <c r="AY291" i="1" s="1"/>
  <c r="AY109" i="1"/>
  <c r="AC146" i="1"/>
  <c r="AC147" i="1"/>
  <c r="AC202" i="42" s="1"/>
  <c r="AC203" i="42" s="1"/>
  <c r="AX290" i="1"/>
  <c r="AX291" i="1" s="1"/>
  <c r="AX109" i="1"/>
  <c r="K147" i="1"/>
  <c r="K202" i="42" s="1"/>
  <c r="K203" i="42" s="1"/>
  <c r="K146" i="1"/>
  <c r="Q228" i="1"/>
  <c r="Q86" i="1"/>
  <c r="CM109" i="1"/>
  <c r="DL38" i="3" l="1"/>
  <c r="DM38" i="3" s="1"/>
  <c r="DD112" i="41"/>
  <c r="CV69" i="42" s="1"/>
  <c r="DD115" i="41"/>
  <c r="DG113" i="41"/>
  <c r="DJ111" i="41"/>
  <c r="DC111" i="1"/>
  <c r="DT201" i="41"/>
  <c r="DT199" i="41"/>
  <c r="DU198" i="41"/>
  <c r="DL260" i="1"/>
  <c r="DT202" i="41"/>
  <c r="CQ109" i="1"/>
  <c r="DL111" i="3"/>
  <c r="DK276" i="42"/>
  <c r="DL275" i="42"/>
  <c r="DK41" i="42"/>
  <c r="DF16" i="3"/>
  <c r="DF252" i="1"/>
  <c r="DI52" i="42"/>
  <c r="DK182" i="42"/>
  <c r="DK110" i="3"/>
  <c r="DL37" i="3"/>
  <c r="DN22" i="42"/>
  <c r="DO22" i="42" s="1"/>
  <c r="DN11" i="42"/>
  <c r="DO11" i="42" s="1"/>
  <c r="DI20" i="3"/>
  <c r="DK20" i="3"/>
  <c r="DI54" i="3"/>
  <c r="DK54" i="3"/>
  <c r="DI39" i="3"/>
  <c r="DK39" i="3"/>
  <c r="DL18" i="3"/>
  <c r="DL90" i="3" s="1"/>
  <c r="DK90" i="3"/>
  <c r="DL49" i="3"/>
  <c r="DK122" i="3"/>
  <c r="DK39" i="42"/>
  <c r="DL39" i="42" s="1"/>
  <c r="DM39" i="42" s="1"/>
  <c r="DN39" i="42" s="1"/>
  <c r="DO39" i="42" s="1"/>
  <c r="DM19" i="3"/>
  <c r="DM91" i="3" s="1"/>
  <c r="DM174" i="42"/>
  <c r="DM175" i="42" s="1"/>
  <c r="DM114" i="1"/>
  <c r="DL112" i="1"/>
  <c r="DL115" i="1"/>
  <c r="DK118" i="1"/>
  <c r="DS12" i="41"/>
  <c r="DH92" i="3"/>
  <c r="DI92" i="3" s="1"/>
  <c r="BN67" i="41"/>
  <c r="K204" i="442"/>
  <c r="CA126" i="41"/>
  <c r="BA52" i="41"/>
  <c r="BG51" i="41"/>
  <c r="BA51" i="41"/>
  <c r="BC50" i="41"/>
  <c r="BA312" i="41"/>
  <c r="BA66" i="41"/>
  <c r="BX116" i="41"/>
  <c r="BL125" i="41"/>
  <c r="BM124" i="41"/>
  <c r="BN127" i="41" s="1"/>
  <c r="BA56" i="41"/>
  <c r="BG55" i="41"/>
  <c r="BA318" i="41"/>
  <c r="BA55" i="41"/>
  <c r="BC54" i="41"/>
  <c r="BA217" i="41"/>
  <c r="BA44" i="41"/>
  <c r="BA214" i="41"/>
  <c r="BA58" i="41"/>
  <c r="BB214" i="41"/>
  <c r="BB58" i="41"/>
  <c r="BB55" i="41"/>
  <c r="BE56" i="41"/>
  <c r="BB318" i="41"/>
  <c r="BB44" i="41"/>
  <c r="BH55" i="41"/>
  <c r="BB217" i="41"/>
  <c r="BB56" i="41"/>
  <c r="BB312" i="41"/>
  <c r="BE52" i="41"/>
  <c r="BB52" i="41"/>
  <c r="BH51" i="41"/>
  <c r="BB51" i="41"/>
  <c r="BB66" i="41"/>
  <c r="BR282" i="41"/>
  <c r="BX284" i="41"/>
  <c r="BW112" i="41"/>
  <c r="BQ115" i="41"/>
  <c r="BR117" i="41" s="1"/>
  <c r="BQ281" i="41"/>
  <c r="BQ282" i="41" s="1"/>
  <c r="BU111" i="41"/>
  <c r="BT126" i="41"/>
  <c r="BN128" i="41"/>
  <c r="BN111" i="41"/>
  <c r="BQ113" i="41" s="1"/>
  <c r="BN126" i="41"/>
  <c r="CC26" i="41"/>
  <c r="CC27" i="41" s="1"/>
  <c r="CC28" i="41" s="1"/>
  <c r="CC19" i="41"/>
  <c r="CC20" i="41"/>
  <c r="AH137" i="3"/>
  <c r="BS240" i="42"/>
  <c r="BY236" i="42" s="1"/>
  <c r="BY239" i="42" s="1"/>
  <c r="BN219" i="41"/>
  <c r="AI137" i="3"/>
  <c r="AK135" i="3" s="1"/>
  <c r="I191" i="442"/>
  <c r="I203" i="442" s="1"/>
  <c r="J204" i="442" s="1"/>
  <c r="J192" i="442"/>
  <c r="CY116" i="41"/>
  <c r="DF88" i="3"/>
  <c r="Q139" i="42"/>
  <c r="DG52" i="3"/>
  <c r="BG181" i="41"/>
  <c r="BG180" i="41"/>
  <c r="AY156" i="3"/>
  <c r="AY133" i="3"/>
  <c r="AY160" i="3"/>
  <c r="AY162" i="3" s="1"/>
  <c r="AY103" i="3"/>
  <c r="AY144" i="3"/>
  <c r="AY139" i="3"/>
  <c r="G203" i="442"/>
  <c r="G198" i="442"/>
  <c r="G197" i="442" s="1"/>
  <c r="AY67" i="3"/>
  <c r="BE67" i="3"/>
  <c r="AO67" i="3"/>
  <c r="AI67" i="3"/>
  <c r="AH145" i="3"/>
  <c r="AN145" i="3"/>
  <c r="P178" i="42"/>
  <c r="CE12" i="41"/>
  <c r="CE327" i="41"/>
  <c r="CK12" i="41"/>
  <c r="CE323" i="41"/>
  <c r="J161" i="442"/>
  <c r="J118" i="442"/>
  <c r="J119" i="442"/>
  <c r="BH181" i="41"/>
  <c r="BH180" i="41"/>
  <c r="AZ156" i="3"/>
  <c r="AZ103" i="3"/>
  <c r="AZ144" i="3"/>
  <c r="AZ133" i="3"/>
  <c r="AZ160" i="3"/>
  <c r="AZ162" i="3" s="1"/>
  <c r="AZ139" i="3"/>
  <c r="K41" i="442"/>
  <c r="CY180" i="41"/>
  <c r="CW142" i="41"/>
  <c r="CY140" i="41"/>
  <c r="CX142" i="41"/>
  <c r="CV142" i="41"/>
  <c r="CY179" i="41"/>
  <c r="CY177" i="41"/>
  <c r="CU142" i="41"/>
  <c r="H203" i="442"/>
  <c r="H198" i="442"/>
  <c r="H197" i="442" s="1"/>
  <c r="Q242" i="1"/>
  <c r="Q200" i="42"/>
  <c r="Q203" i="42" s="1"/>
  <c r="AI70" i="3"/>
  <c r="AO70" i="3"/>
  <c r="Q226" i="42"/>
  <c r="Q196" i="42"/>
  <c r="Q197" i="42"/>
  <c r="CS116" i="41"/>
  <c r="BA93" i="3"/>
  <c r="BA102" i="3" s="1"/>
  <c r="AK70" i="3"/>
  <c r="AQ70" i="3"/>
  <c r="CD17" i="41"/>
  <c r="CE8" i="41"/>
  <c r="CD9" i="41"/>
  <c r="CD10" i="41"/>
  <c r="CD155" i="41"/>
  <c r="K117" i="442"/>
  <c r="K61" i="442"/>
  <c r="K62" i="442"/>
  <c r="O178" i="42"/>
  <c r="O179" i="42" s="1"/>
  <c r="N167" i="42"/>
  <c r="J41" i="442"/>
  <c r="CS140" i="41"/>
  <c r="CO142" i="41"/>
  <c r="CQ142" i="41"/>
  <c r="CS180" i="41"/>
  <c r="CP142" i="41"/>
  <c r="CY255" i="41"/>
  <c r="CS179" i="41"/>
  <c r="CS177" i="41"/>
  <c r="CR142" i="41"/>
  <c r="CY257" i="41"/>
  <c r="CY258" i="41"/>
  <c r="CY256" i="41"/>
  <c r="CY128" i="41"/>
  <c r="AS181" i="41"/>
  <c r="AS180" i="41"/>
  <c r="AK158" i="3"/>
  <c r="AK139" i="3"/>
  <c r="AK156" i="3"/>
  <c r="AK103" i="3"/>
  <c r="AK160" i="3"/>
  <c r="AK162" i="3" s="1"/>
  <c r="AK144" i="3"/>
  <c r="AK133" i="3"/>
  <c r="AO133" i="3" s="1"/>
  <c r="AH140" i="3"/>
  <c r="AN140" i="3"/>
  <c r="AL145" i="3"/>
  <c r="AR145" i="3"/>
  <c r="H207" i="442"/>
  <c r="K76" i="442"/>
  <c r="CG11" i="41"/>
  <c r="I41" i="442"/>
  <c r="CM177" i="41"/>
  <c r="CM178" i="41" s="1"/>
  <c r="CM140" i="41"/>
  <c r="CS255" i="41"/>
  <c r="CM179" i="41"/>
  <c r="CS257" i="41"/>
  <c r="CM180" i="41"/>
  <c r="CL142" i="41"/>
  <c r="CI142" i="41"/>
  <c r="CK142" i="41"/>
  <c r="CJ142" i="41"/>
  <c r="CS256" i="41"/>
  <c r="CS258" i="41"/>
  <c r="CS128" i="41"/>
  <c r="CS140" i="3"/>
  <c r="CS165" i="3"/>
  <c r="CS146" i="3"/>
  <c r="CS148" i="3" s="1"/>
  <c r="AY70" i="3"/>
  <c r="BE70" i="3"/>
  <c r="G207" i="442"/>
  <c r="AW181" i="41"/>
  <c r="AW180" i="41"/>
  <c r="AO156" i="3"/>
  <c r="AO103" i="3"/>
  <c r="AO160" i="3"/>
  <c r="AO162" i="3" s="1"/>
  <c r="AO144" i="3"/>
  <c r="AO158" i="3"/>
  <c r="AO139" i="3"/>
  <c r="AL140" i="3"/>
  <c r="AR140" i="3"/>
  <c r="AI162" i="3"/>
  <c r="AI161" i="3"/>
  <c r="BM160" i="1"/>
  <c r="BM152" i="1" s="1"/>
  <c r="BM153" i="1" s="1"/>
  <c r="BM163" i="1"/>
  <c r="AK67" i="3"/>
  <c r="AQ67" i="3"/>
  <c r="BO48" i="41"/>
  <c r="BO45" i="41"/>
  <c r="CJ281" i="41"/>
  <c r="CJ282" i="41" s="1"/>
  <c r="CK280" i="41"/>
  <c r="BR38" i="41"/>
  <c r="BR54" i="41"/>
  <c r="BR50" i="41"/>
  <c r="BR37" i="41"/>
  <c r="CI282" i="41"/>
  <c r="BN60" i="41"/>
  <c r="BN59" i="41"/>
  <c r="BN73" i="41"/>
  <c r="BN74" i="41" s="1"/>
  <c r="BN62" i="41"/>
  <c r="BN40" i="41"/>
  <c r="BO40" i="41" s="1"/>
  <c r="BO41" i="41" s="1"/>
  <c r="BM64" i="41"/>
  <c r="BM63" i="41"/>
  <c r="BS33" i="41"/>
  <c r="BT32" i="41"/>
  <c r="BS36" i="41"/>
  <c r="BQ52" i="41"/>
  <c r="BQ51" i="41"/>
  <c r="BQ66" i="41"/>
  <c r="BQ67" i="41" s="1"/>
  <c r="DG255" i="41"/>
  <c r="DG251" i="41"/>
  <c r="DG250" i="41"/>
  <c r="BM41" i="41"/>
  <c r="BM42" i="41"/>
  <c r="BO59" i="41"/>
  <c r="BO62" i="41"/>
  <c r="BM74" i="41"/>
  <c r="BM70" i="41"/>
  <c r="BN70" i="41"/>
  <c r="BQ217" i="41"/>
  <c r="BQ214" i="41"/>
  <c r="BQ215" i="41" s="1"/>
  <c r="BQ56" i="41"/>
  <c r="BQ55" i="41"/>
  <c r="BQ44" i="41"/>
  <c r="BQ58" i="41"/>
  <c r="BN45" i="41"/>
  <c r="BN46" i="41"/>
  <c r="BW129" i="3"/>
  <c r="BW133" i="3" s="1"/>
  <c r="DH127" i="3"/>
  <c r="DI127" i="3" s="1"/>
  <c r="DH112" i="3"/>
  <c r="DI112" i="3" s="1"/>
  <c r="V143" i="3"/>
  <c r="W64" i="3"/>
  <c r="W143" i="3" s="1"/>
  <c r="Y62" i="3"/>
  <c r="BX56" i="3"/>
  <c r="BY45" i="3"/>
  <c r="CA45" i="3"/>
  <c r="DG51" i="3"/>
  <c r="BX118" i="3"/>
  <c r="BX129" i="3" s="1"/>
  <c r="BX133" i="3" s="1"/>
  <c r="AG185" i="42"/>
  <c r="AH186" i="42"/>
  <c r="AI186" i="42" s="1"/>
  <c r="AI185" i="42" s="1"/>
  <c r="T101" i="42"/>
  <c r="S103" i="42"/>
  <c r="DH269" i="42"/>
  <c r="DK269" i="42" s="1"/>
  <c r="DG40" i="42"/>
  <c r="DG270" i="42"/>
  <c r="BI74" i="42"/>
  <c r="BI75" i="42"/>
  <c r="DH172" i="42"/>
  <c r="DI172" i="42" s="1"/>
  <c r="DI165" i="42"/>
  <c r="DH276" i="42"/>
  <c r="DH41" i="42"/>
  <c r="AB135" i="42"/>
  <c r="AC135" i="42" s="1"/>
  <c r="AC136" i="42" s="1"/>
  <c r="AC132" i="42"/>
  <c r="AE132" i="42"/>
  <c r="DI50" i="42"/>
  <c r="BW113" i="42"/>
  <c r="BV112" i="42"/>
  <c r="BY233" i="42"/>
  <c r="CE229" i="42" s="1"/>
  <c r="AT228" i="1"/>
  <c r="AT195" i="1"/>
  <c r="AT89" i="1"/>
  <c r="AT86" i="1"/>
  <c r="AZ195" i="1"/>
  <c r="AW212" i="1"/>
  <c r="AR333" i="1"/>
  <c r="AR334" i="1" s="1"/>
  <c r="AS333" i="1"/>
  <c r="AS334" i="1" s="1"/>
  <c r="AT333" i="1"/>
  <c r="AT334" i="1" s="1"/>
  <c r="AQ333" i="1"/>
  <c r="AQ334" i="1" s="1"/>
  <c r="AU109" i="1"/>
  <c r="AS270" i="1"/>
  <c r="AU270" i="1" s="1"/>
  <c r="AU269" i="1"/>
  <c r="AR291" i="1"/>
  <c r="AT289" i="1"/>
  <c r="AT291" i="1" s="1"/>
  <c r="AX333" i="1"/>
  <c r="AX334" i="1" s="1"/>
  <c r="AY333" i="1"/>
  <c r="AY334" i="1" s="1"/>
  <c r="AZ333" i="1"/>
  <c r="AZ334" i="1" s="1"/>
  <c r="AW333" i="1"/>
  <c r="AW334" i="1" s="1"/>
  <c r="BD333" i="1"/>
  <c r="BD334" i="1" s="1"/>
  <c r="BE333" i="1"/>
  <c r="BE334" i="1" s="1"/>
  <c r="BC333" i="1"/>
  <c r="BC334" i="1" s="1"/>
  <c r="AL333" i="1"/>
  <c r="AL334" i="1" s="1"/>
  <c r="AM333" i="1"/>
  <c r="AM334" i="1" s="1"/>
  <c r="AN333" i="1"/>
  <c r="AN334" i="1" s="1"/>
  <c r="AK333" i="1"/>
  <c r="AK334" i="1" s="1"/>
  <c r="CV269" i="1"/>
  <c r="CW269" i="1" s="1"/>
  <c r="DE111" i="1"/>
  <c r="DE118" i="1"/>
  <c r="DF53" i="1"/>
  <c r="DG55" i="1"/>
  <c r="DG21" i="42" s="1"/>
  <c r="DH274" i="1"/>
  <c r="DG276" i="1"/>
  <c r="AS84" i="1"/>
  <c r="AT212" i="1" s="1"/>
  <c r="AU79" i="1"/>
  <c r="DF115" i="1"/>
  <c r="DH174" i="42"/>
  <c r="DH175" i="42" s="1"/>
  <c r="DF112" i="1"/>
  <c r="AO242" i="1"/>
  <c r="AO196" i="1"/>
  <c r="AO87" i="1"/>
  <c r="CK109" i="1"/>
  <c r="DM111" i="3" l="1"/>
  <c r="DD116" i="41"/>
  <c r="DM113" i="41"/>
  <c r="DP111" i="41"/>
  <c r="DH276" i="1"/>
  <c r="DK274" i="1"/>
  <c r="M73" i="442"/>
  <c r="DV198" i="41"/>
  <c r="DU202" i="41"/>
  <c r="DM260" i="1"/>
  <c r="DU199" i="41"/>
  <c r="DU201" i="41"/>
  <c r="DN38" i="3"/>
  <c r="DO38" i="3" s="1"/>
  <c r="DG16" i="3"/>
  <c r="DG252" i="1"/>
  <c r="DL182" i="42"/>
  <c r="DK165" i="42"/>
  <c r="DK172" i="42" s="1"/>
  <c r="DM37" i="3"/>
  <c r="DM110" i="3" s="1"/>
  <c r="DK52" i="42"/>
  <c r="DK272" i="42"/>
  <c r="DK52" i="3"/>
  <c r="DL269" i="42"/>
  <c r="DK40" i="42"/>
  <c r="DK270" i="42"/>
  <c r="DL110" i="3"/>
  <c r="DM275" i="42"/>
  <c r="DL41" i="42"/>
  <c r="DL272" i="42" s="1"/>
  <c r="DL276" i="42"/>
  <c r="DM49" i="3"/>
  <c r="DM122" i="3"/>
  <c r="DL39" i="3"/>
  <c r="DL112" i="3" s="1"/>
  <c r="DK112" i="3"/>
  <c r="DL54" i="3"/>
  <c r="DL127" i="3" s="1"/>
  <c r="DK127" i="3"/>
  <c r="DL20" i="3"/>
  <c r="DK92" i="3"/>
  <c r="DN19" i="3"/>
  <c r="DO19" i="3" s="1"/>
  <c r="DL122" i="3"/>
  <c r="DM18" i="3"/>
  <c r="DM90" i="3" s="1"/>
  <c r="DN174" i="42"/>
  <c r="DN175" i="42" s="1"/>
  <c r="DN114" i="1"/>
  <c r="DM112" i="1"/>
  <c r="DM115" i="1"/>
  <c r="DL118" i="1"/>
  <c r="DG124" i="3"/>
  <c r="BY240" i="42"/>
  <c r="CE236" i="42" s="1"/>
  <c r="CE239" i="42" s="1"/>
  <c r="BO73" i="41"/>
  <c r="BO74" i="41" s="1"/>
  <c r="CA112" i="41"/>
  <c r="BU115" i="41"/>
  <c r="BW116" i="41"/>
  <c r="BX285" i="41"/>
  <c r="BB313" i="41"/>
  <c r="BH315" i="41"/>
  <c r="BH313" i="41" s="1"/>
  <c r="BH45" i="41"/>
  <c r="BB45" i="41"/>
  <c r="BB46" i="41"/>
  <c r="BB40" i="41"/>
  <c r="BE46" i="41"/>
  <c r="BE62" i="41"/>
  <c r="BB59" i="41"/>
  <c r="BB62" i="41"/>
  <c r="BE60" i="41"/>
  <c r="BB60" i="41"/>
  <c r="BH59" i="41"/>
  <c r="BA219" i="41"/>
  <c r="BC51" i="41"/>
  <c r="BI51" i="41"/>
  <c r="BB215" i="41"/>
  <c r="BH215" i="41"/>
  <c r="BA59" i="41"/>
  <c r="BA60" i="41"/>
  <c r="BA62" i="41"/>
  <c r="BC58" i="41"/>
  <c r="BG59" i="41"/>
  <c r="BI55" i="41"/>
  <c r="BC55" i="41"/>
  <c r="BK125" i="41"/>
  <c r="BL124" i="41"/>
  <c r="BW285" i="41"/>
  <c r="BU282" i="41"/>
  <c r="BB219" i="41"/>
  <c r="BA215" i="41"/>
  <c r="BG215" i="41"/>
  <c r="BE67" i="41"/>
  <c r="BB67" i="41"/>
  <c r="BA69" i="41"/>
  <c r="BA67" i="41"/>
  <c r="BN112" i="41"/>
  <c r="BF69" i="42" s="1"/>
  <c r="BN115" i="41"/>
  <c r="BN281" i="41"/>
  <c r="BT112" i="41"/>
  <c r="BL69" i="42" s="1"/>
  <c r="BW284" i="41"/>
  <c r="BU281" i="41"/>
  <c r="BB69" i="41"/>
  <c r="BF67" i="41"/>
  <c r="BG67" i="41"/>
  <c r="BG45" i="41"/>
  <c r="BC44" i="41"/>
  <c r="BA45" i="41"/>
  <c r="BA46" i="41"/>
  <c r="BA40" i="41"/>
  <c r="BM111" i="41"/>
  <c r="BN113" i="41" s="1"/>
  <c r="BM127" i="41"/>
  <c r="BM126" i="41"/>
  <c r="BM128" i="41"/>
  <c r="BS126" i="41"/>
  <c r="BA313" i="41"/>
  <c r="BG315" i="41"/>
  <c r="BC312" i="41"/>
  <c r="BC313" i="41" s="1"/>
  <c r="AK137" i="3"/>
  <c r="AL135" i="3" s="1"/>
  <c r="AL137" i="3" s="1"/>
  <c r="AM135" i="3" s="1"/>
  <c r="AM137" i="3" s="1"/>
  <c r="AN135" i="3" s="1"/>
  <c r="AN137" i="3" s="1"/>
  <c r="AO135" i="3"/>
  <c r="AO137" i="3" s="1"/>
  <c r="AQ135" i="3" s="1"/>
  <c r="AQ137" i="3" s="1"/>
  <c r="AR135" i="3" s="1"/>
  <c r="AR137" i="3" s="1"/>
  <c r="AS135" i="3" s="1"/>
  <c r="AS137" i="3" s="1"/>
  <c r="AT135" i="3" s="1"/>
  <c r="AT137" i="3" s="1"/>
  <c r="BM159" i="1"/>
  <c r="BS160" i="1" s="1"/>
  <c r="BS152" i="1" s="1"/>
  <c r="BS153" i="1" s="1"/>
  <c r="DG88" i="3"/>
  <c r="BA133" i="3"/>
  <c r="DH52" i="3"/>
  <c r="DI52" i="3" s="1"/>
  <c r="DG125" i="3"/>
  <c r="CS254" i="41"/>
  <c r="CD156" i="41"/>
  <c r="CD157" i="41"/>
  <c r="J198" i="442"/>
  <c r="J207" i="442"/>
  <c r="K207" i="442" s="1"/>
  <c r="L207" i="442" s="1"/>
  <c r="M207" i="442" s="1"/>
  <c r="N207" i="442" s="1"/>
  <c r="O207" i="442" s="1"/>
  <c r="CY254" i="41"/>
  <c r="AO145" i="3"/>
  <c r="AU145" i="3"/>
  <c r="CG12" i="41"/>
  <c r="CG115" i="41"/>
  <c r="CM12" i="41"/>
  <c r="BI181" i="41"/>
  <c r="BA158" i="3"/>
  <c r="BA104" i="3"/>
  <c r="BA156" i="3"/>
  <c r="BA160" i="3"/>
  <c r="BA162" i="3" s="1"/>
  <c r="BA139" i="3"/>
  <c r="BA144" i="3"/>
  <c r="BA103" i="3"/>
  <c r="BI180" i="41"/>
  <c r="BG104" i="3"/>
  <c r="CS142" i="41"/>
  <c r="K161" i="442"/>
  <c r="K118" i="442"/>
  <c r="K119" i="442"/>
  <c r="CE9" i="41"/>
  <c r="CF8" i="41"/>
  <c r="CE10" i="41"/>
  <c r="CE17" i="41"/>
  <c r="CE155" i="41"/>
  <c r="CY178" i="41"/>
  <c r="K52" i="442"/>
  <c r="K45" i="442"/>
  <c r="K42" i="442"/>
  <c r="K46" i="442"/>
  <c r="K53" i="442" s="1"/>
  <c r="CI328" i="41"/>
  <c r="CJ328" i="41"/>
  <c r="CE328" i="41"/>
  <c r="CF328" i="41"/>
  <c r="O167" i="42"/>
  <c r="AY145" i="3"/>
  <c r="BE145" i="3"/>
  <c r="CD18" i="41"/>
  <c r="CD320" i="41"/>
  <c r="CD321" i="41" s="1"/>
  <c r="AZ145" i="3"/>
  <c r="BF145" i="3"/>
  <c r="AO140" i="3"/>
  <c r="AU140" i="3"/>
  <c r="CS178" i="41"/>
  <c r="J52" i="442"/>
  <c r="J42" i="442"/>
  <c r="J46" i="442"/>
  <c r="J53" i="442" s="1"/>
  <c r="J45" i="442"/>
  <c r="AZ165" i="3"/>
  <c r="AZ146" i="3"/>
  <c r="AZ140" i="3"/>
  <c r="BF140" i="3"/>
  <c r="CI324" i="41"/>
  <c r="CJ324" i="41"/>
  <c r="CF324" i="41"/>
  <c r="CE324" i="41"/>
  <c r="CM254" i="41"/>
  <c r="I42" i="442"/>
  <c r="CM142" i="41"/>
  <c r="I46" i="442"/>
  <c r="I53" i="442" s="1"/>
  <c r="I52" i="442"/>
  <c r="I45" i="442"/>
  <c r="AK145" i="3"/>
  <c r="AQ145" i="3"/>
  <c r="AK140" i="3"/>
  <c r="AQ140" i="3"/>
  <c r="CY142" i="41"/>
  <c r="J162" i="442"/>
  <c r="J163" i="442"/>
  <c r="P179" i="42"/>
  <c r="P167" i="42"/>
  <c r="AY165" i="3"/>
  <c r="AY146" i="3"/>
  <c r="BE140" i="3"/>
  <c r="AY140" i="3"/>
  <c r="BQ73" i="41"/>
  <c r="BQ62" i="41"/>
  <c r="BQ60" i="41"/>
  <c r="BQ59" i="41"/>
  <c r="BQ46" i="41"/>
  <c r="BQ45" i="41"/>
  <c r="DG256" i="41"/>
  <c r="DG252" i="41"/>
  <c r="BQ69" i="41"/>
  <c r="CL280" i="41"/>
  <c r="CK281" i="41"/>
  <c r="BQ219" i="41"/>
  <c r="DG257" i="41"/>
  <c r="BQ40" i="41"/>
  <c r="BS54" i="41"/>
  <c r="BS50" i="41"/>
  <c r="BS37" i="41"/>
  <c r="BS38" i="41"/>
  <c r="BN41" i="41"/>
  <c r="BN42" i="41"/>
  <c r="BR52" i="41"/>
  <c r="BR51" i="41"/>
  <c r="BR66" i="41"/>
  <c r="BT33" i="41"/>
  <c r="BU32" i="41"/>
  <c r="BU33" i="41" s="1"/>
  <c r="BW32" i="41"/>
  <c r="BT36" i="41"/>
  <c r="BN64" i="41"/>
  <c r="BN63" i="41"/>
  <c r="BR217" i="41"/>
  <c r="BR214" i="41"/>
  <c r="BR215" i="41" s="1"/>
  <c r="BR56" i="41"/>
  <c r="BR55" i="41"/>
  <c r="BR44" i="41"/>
  <c r="BR40" i="41" s="1"/>
  <c r="BR58" i="41"/>
  <c r="BY56" i="3"/>
  <c r="BX60" i="3"/>
  <c r="BY118" i="3"/>
  <c r="BY129" i="3" s="1"/>
  <c r="Z62" i="3"/>
  <c r="Y64" i="3"/>
  <c r="Y143" i="3" s="1"/>
  <c r="BY133" i="3"/>
  <c r="DH51" i="3"/>
  <c r="CA118" i="3"/>
  <c r="CA56" i="3"/>
  <c r="CA60" i="3" s="1"/>
  <c r="CB45" i="3"/>
  <c r="CB118" i="3" s="1"/>
  <c r="CB129" i="3" s="1"/>
  <c r="CB133" i="3" s="1"/>
  <c r="BX113" i="42"/>
  <c r="BW112" i="42"/>
  <c r="AE135" i="42"/>
  <c r="AF132" i="42"/>
  <c r="DH272" i="42"/>
  <c r="DI41" i="42"/>
  <c r="BJ75" i="42"/>
  <c r="BJ74" i="42"/>
  <c r="DH40" i="42"/>
  <c r="DH270" i="42"/>
  <c r="CE233" i="42"/>
  <c r="CK229" i="42" s="1"/>
  <c r="AH184" i="42"/>
  <c r="U101" i="42"/>
  <c r="T103" i="42"/>
  <c r="DF111" i="1"/>
  <c r="DF118" i="1"/>
  <c r="AU80" i="1"/>
  <c r="AU84" i="1"/>
  <c r="DH55" i="1"/>
  <c r="DG53" i="1"/>
  <c r="DG115" i="1"/>
  <c r="DG112" i="1"/>
  <c r="CY269" i="1"/>
  <c r="CZ80" i="1"/>
  <c r="AT196" i="1"/>
  <c r="AT87" i="1"/>
  <c r="AZ196" i="1"/>
  <c r="AZ87" i="1"/>
  <c r="AY242" i="1"/>
  <c r="AW213" i="1"/>
  <c r="AS228" i="1"/>
  <c r="AS212" i="1"/>
  <c r="AS195" i="1"/>
  <c r="AS89" i="1"/>
  <c r="AU89" i="1" s="1"/>
  <c r="AS86" i="1"/>
  <c r="AT213" i="1" s="1"/>
  <c r="AY195" i="1"/>
  <c r="DN111" i="3" l="1"/>
  <c r="DO111" i="3"/>
  <c r="DV111" i="41"/>
  <c r="DV281" i="41" s="1"/>
  <c r="DV282" i="41" s="1"/>
  <c r="DS113" i="41"/>
  <c r="DK276" i="1"/>
  <c r="DL274" i="1"/>
  <c r="M74" i="442"/>
  <c r="M84" i="442"/>
  <c r="DV202" i="41"/>
  <c r="DO155" i="1"/>
  <c r="DV201" i="41"/>
  <c r="DV199" i="41"/>
  <c r="DN260" i="1"/>
  <c r="DO260" i="1" s="1"/>
  <c r="DO147" i="42" s="1"/>
  <c r="BS163" i="1"/>
  <c r="BS159" i="1" s="1"/>
  <c r="BY160" i="1" s="1"/>
  <c r="BY152" i="1" s="1"/>
  <c r="BY153" i="1" s="1"/>
  <c r="DL52" i="42"/>
  <c r="DI40" i="42"/>
  <c r="DI252" i="1" s="1"/>
  <c r="DH252" i="1"/>
  <c r="DM182" i="42"/>
  <c r="DL165" i="42"/>
  <c r="DL172" i="42" s="1"/>
  <c r="DK125" i="3"/>
  <c r="DL52" i="3"/>
  <c r="DL125" i="3" s="1"/>
  <c r="DN37" i="3"/>
  <c r="DO37" i="3" s="1"/>
  <c r="DK16" i="3"/>
  <c r="DM276" i="42"/>
  <c r="DN275" i="42"/>
  <c r="DM41" i="42"/>
  <c r="DM272" i="42" s="1"/>
  <c r="DM269" i="42"/>
  <c r="DL40" i="42"/>
  <c r="DL270" i="42"/>
  <c r="DM20" i="3"/>
  <c r="DM92" i="3" s="1"/>
  <c r="DM39" i="3"/>
  <c r="DN49" i="3"/>
  <c r="DO49" i="3" s="1"/>
  <c r="DI51" i="3"/>
  <c r="DK51" i="3"/>
  <c r="DN18" i="3"/>
  <c r="DO18" i="3" s="1"/>
  <c r="DN91" i="3"/>
  <c r="DO91" i="3" s="1"/>
  <c r="DL92" i="3"/>
  <c r="DM54" i="3"/>
  <c r="DH53" i="1"/>
  <c r="DI53" i="1" s="1"/>
  <c r="DK55" i="1"/>
  <c r="DM118" i="1"/>
  <c r="DN115" i="1"/>
  <c r="DO114" i="1"/>
  <c r="DN112" i="1"/>
  <c r="AU135" i="3"/>
  <c r="AU137" i="3" s="1"/>
  <c r="AW135" i="3" s="1"/>
  <c r="BA135" i="3" s="1"/>
  <c r="BA137" i="3" s="1"/>
  <c r="BC135" i="3" s="1"/>
  <c r="P207" i="442"/>
  <c r="Q207" i="442" s="1"/>
  <c r="R207" i="442" s="1"/>
  <c r="S207" i="442" s="1"/>
  <c r="T207" i="442" s="1"/>
  <c r="DH124" i="3"/>
  <c r="DI124" i="3" s="1"/>
  <c r="BA146" i="3"/>
  <c r="BG147" i="3" s="1"/>
  <c r="BG41" i="41"/>
  <c r="BC40" i="41"/>
  <c r="BA41" i="41"/>
  <c r="BA42" i="41"/>
  <c r="BI315" i="41"/>
  <c r="BI313" i="41" s="1"/>
  <c r="BG313" i="41"/>
  <c r="BG70" i="41"/>
  <c r="BF70" i="41"/>
  <c r="BK124" i="41"/>
  <c r="BL127" i="41" s="1"/>
  <c r="BI62" i="41"/>
  <c r="BC59" i="41"/>
  <c r="BC62" i="41"/>
  <c r="BC63" i="41" s="1"/>
  <c r="BI59" i="41"/>
  <c r="BH63" i="41"/>
  <c r="BB64" i="41"/>
  <c r="BB63" i="41"/>
  <c r="BH41" i="41"/>
  <c r="BB41" i="41"/>
  <c r="BB42" i="41"/>
  <c r="BE42" i="41"/>
  <c r="BN282" i="41"/>
  <c r="BT285" i="41" s="1"/>
  <c r="BT284" i="41"/>
  <c r="BA63" i="41"/>
  <c r="BG63" i="41"/>
  <c r="BA64" i="41"/>
  <c r="CA116" i="41"/>
  <c r="BS112" i="41"/>
  <c r="BK69" i="42" s="1"/>
  <c r="BM112" i="41"/>
  <c r="BE69" i="42" s="1"/>
  <c r="BM115" i="41"/>
  <c r="BN117" i="41" s="1"/>
  <c r="BM281" i="41"/>
  <c r="BC45" i="41"/>
  <c r="BC48" i="41"/>
  <c r="BI45" i="41"/>
  <c r="CA284" i="41"/>
  <c r="BN116" i="41"/>
  <c r="BT116" i="41"/>
  <c r="BA70" i="41"/>
  <c r="BE70" i="41"/>
  <c r="BB70" i="41"/>
  <c r="CA285" i="41"/>
  <c r="BL126" i="41"/>
  <c r="BL128" i="41"/>
  <c r="BL111" i="41"/>
  <c r="BM113" i="41" s="1"/>
  <c r="BR126" i="41"/>
  <c r="BF64" i="41"/>
  <c r="BK63" i="41"/>
  <c r="BE63" i="41"/>
  <c r="BE64" i="41"/>
  <c r="BQ117" i="41"/>
  <c r="DI55" i="1"/>
  <c r="DH125" i="3"/>
  <c r="DI125" i="3" s="1"/>
  <c r="CE240" i="42"/>
  <c r="CK236" i="42" s="1"/>
  <c r="CK239" i="42" s="1"/>
  <c r="DH16" i="3"/>
  <c r="AU245" i="1"/>
  <c r="AU246" i="1" s="1"/>
  <c r="CE325" i="41"/>
  <c r="CK325" i="41"/>
  <c r="CG116" i="41"/>
  <c r="CM116" i="41"/>
  <c r="AU134" i="42"/>
  <c r="AU151" i="3"/>
  <c r="BR219" i="41"/>
  <c r="CI325" i="41"/>
  <c r="CO325" i="41"/>
  <c r="Q167" i="42"/>
  <c r="CI8" i="41"/>
  <c r="CF155" i="41"/>
  <c r="CF9" i="41"/>
  <c r="CF17" i="41"/>
  <c r="CG8" i="41"/>
  <c r="CF10" i="41"/>
  <c r="BA145" i="3"/>
  <c r="BG145" i="3"/>
  <c r="CE157" i="41"/>
  <c r="CE156" i="41"/>
  <c r="BA165" i="3"/>
  <c r="BA140" i="3"/>
  <c r="BG140" i="3"/>
  <c r="CF325" i="41"/>
  <c r="CL325" i="41"/>
  <c r="CE320" i="41"/>
  <c r="CE321" i="41" s="1"/>
  <c r="CE18" i="41"/>
  <c r="K162" i="442"/>
  <c r="K163" i="442"/>
  <c r="CP325" i="41"/>
  <c r="CJ325" i="41"/>
  <c r="CD19" i="41"/>
  <c r="CD26" i="41"/>
  <c r="CD27" i="41" s="1"/>
  <c r="CD28" i="41" s="1"/>
  <c r="CD20" i="41"/>
  <c r="DH21" i="42"/>
  <c r="DG258" i="41"/>
  <c r="DB237" i="41"/>
  <c r="DE236" i="41"/>
  <c r="DB124" i="41"/>
  <c r="BR42" i="41"/>
  <c r="BR41" i="41"/>
  <c r="BR69" i="41"/>
  <c r="BR67" i="41"/>
  <c r="BS52" i="41"/>
  <c r="BS51" i="41"/>
  <c r="BS66" i="41"/>
  <c r="CK282" i="41"/>
  <c r="BQ70" i="41"/>
  <c r="BR59" i="41"/>
  <c r="BR73" i="41"/>
  <c r="BR74" i="41" s="1"/>
  <c r="BR62" i="41"/>
  <c r="BR60" i="41"/>
  <c r="BS217" i="41"/>
  <c r="BS214" i="41"/>
  <c r="BS215" i="41" s="1"/>
  <c r="BS55" i="41"/>
  <c r="BS44" i="41"/>
  <c r="BS40" i="41" s="1"/>
  <c r="BS56" i="41"/>
  <c r="BS58" i="41"/>
  <c r="CL281" i="41"/>
  <c r="CL282" i="41" s="1"/>
  <c r="CO280" i="41"/>
  <c r="BR46" i="41"/>
  <c r="BR45" i="41"/>
  <c r="BT54" i="41"/>
  <c r="BT50" i="41"/>
  <c r="BT37" i="41"/>
  <c r="BU36" i="41"/>
  <c r="BU37" i="41" s="1"/>
  <c r="BT38" i="41"/>
  <c r="BQ42" i="41"/>
  <c r="BQ41" i="41"/>
  <c r="BQ64" i="41"/>
  <c r="BQ63" i="41"/>
  <c r="BW33" i="41"/>
  <c r="BX32" i="41"/>
  <c r="BW36" i="41"/>
  <c r="BQ74" i="41"/>
  <c r="AA62" i="3"/>
  <c r="Z64" i="3"/>
  <c r="Z143" i="3" s="1"/>
  <c r="CA129" i="3"/>
  <c r="CA133" i="3" s="1"/>
  <c r="BY60" i="3"/>
  <c r="CB56" i="3"/>
  <c r="CB60" i="3" s="1"/>
  <c r="CC45" i="3"/>
  <c r="CC118" i="3" s="1"/>
  <c r="CC129" i="3" s="1"/>
  <c r="CC133" i="3" s="1"/>
  <c r="U103" i="42"/>
  <c r="V101" i="42"/>
  <c r="AH185" i="42"/>
  <c r="AK186" i="42"/>
  <c r="AK184" i="42" s="1"/>
  <c r="AG132" i="42"/>
  <c r="AF135" i="42"/>
  <c r="BK75" i="42"/>
  <c r="BK74" i="42"/>
  <c r="CK233" i="42"/>
  <c r="CQ229" i="42" s="1"/>
  <c r="BX112" i="42"/>
  <c r="CA113" i="42"/>
  <c r="DG111" i="1"/>
  <c r="DG118" i="1"/>
  <c r="AS242" i="1"/>
  <c r="AS213" i="1"/>
  <c r="AS196" i="1"/>
  <c r="AS87" i="1"/>
  <c r="AY196" i="1"/>
  <c r="AY87" i="1"/>
  <c r="AT242" i="1"/>
  <c r="DH115" i="1"/>
  <c r="DI114" i="1"/>
  <c r="DH112" i="1"/>
  <c r="AX242" i="1"/>
  <c r="AW242" i="1"/>
  <c r="CZ269" i="1"/>
  <c r="DA80" i="1"/>
  <c r="AU228" i="1"/>
  <c r="AU195" i="1"/>
  <c r="AU86" i="1"/>
  <c r="BA195" i="1"/>
  <c r="DL276" i="1" l="1"/>
  <c r="DM274" i="1"/>
  <c r="AW137" i="3"/>
  <c r="AX135" i="3" s="1"/>
  <c r="AX137" i="3" s="1"/>
  <c r="AY135" i="3" s="1"/>
  <c r="AY137" i="3" s="1"/>
  <c r="AZ135" i="3" s="1"/>
  <c r="AZ137" i="3" s="1"/>
  <c r="DN110" i="3"/>
  <c r="DO110" i="3" s="1"/>
  <c r="DN41" i="42"/>
  <c r="DN276" i="42"/>
  <c r="DN182" i="42"/>
  <c r="DN165" i="42" s="1"/>
  <c r="DM165" i="42"/>
  <c r="DM172" i="42" s="1"/>
  <c r="DM40" i="42"/>
  <c r="DN269" i="42"/>
  <c r="DM270" i="42"/>
  <c r="DK88" i="3"/>
  <c r="DL16" i="3"/>
  <c r="DM52" i="3"/>
  <c r="DM52" i="42"/>
  <c r="DK21" i="42"/>
  <c r="BA148" i="3"/>
  <c r="DN54" i="3"/>
  <c r="DO54" i="3" s="1"/>
  <c r="DN39" i="3"/>
  <c r="DO39" i="3" s="1"/>
  <c r="DM127" i="3"/>
  <c r="DN90" i="3"/>
  <c r="DO90" i="3" s="1"/>
  <c r="DL51" i="3"/>
  <c r="DL124" i="3"/>
  <c r="DK124" i="3"/>
  <c r="DN122" i="3"/>
  <c r="DO122" i="3" s="1"/>
  <c r="DM112" i="3"/>
  <c r="DN20" i="3"/>
  <c r="DO20" i="3" s="1"/>
  <c r="DO115" i="1"/>
  <c r="DO157" i="1"/>
  <c r="DK53" i="1"/>
  <c r="DL55" i="1"/>
  <c r="DN118" i="1"/>
  <c r="DO118" i="1" s="1"/>
  <c r="DO112" i="1"/>
  <c r="DI21" i="42"/>
  <c r="DC127" i="41"/>
  <c r="BA147" i="3"/>
  <c r="BL281" i="41"/>
  <c r="BL112" i="41"/>
  <c r="BD69" i="42" s="1"/>
  <c r="BL115" i="41"/>
  <c r="BM117" i="41" s="1"/>
  <c r="BR112" i="41"/>
  <c r="BJ69" i="42" s="1"/>
  <c r="BS116" i="41"/>
  <c r="BM116" i="41"/>
  <c r="BO63" i="41"/>
  <c r="BI63" i="41"/>
  <c r="BC41" i="41"/>
  <c r="BI41" i="41"/>
  <c r="BM282" i="41"/>
  <c r="BS285" i="41" s="1"/>
  <c r="BS284" i="41"/>
  <c r="BO124" i="41"/>
  <c r="BK127" i="41"/>
  <c r="BK111" i="41"/>
  <c r="BL113" i="41" s="1"/>
  <c r="BK126" i="41"/>
  <c r="BK128" i="41"/>
  <c r="BQ126" i="41"/>
  <c r="BY163" i="1"/>
  <c r="BY159" i="1" s="1"/>
  <c r="CE163" i="1" s="1"/>
  <c r="CK240" i="42"/>
  <c r="CQ236" i="42" s="1"/>
  <c r="CQ239" i="42" s="1"/>
  <c r="DI16" i="3"/>
  <c r="DH88" i="3"/>
  <c r="DI88" i="3" s="1"/>
  <c r="CE20" i="41"/>
  <c r="CE19" i="41"/>
  <c r="CE26" i="41"/>
  <c r="CE27" i="41" s="1"/>
  <c r="CE28" i="41" s="1"/>
  <c r="CG9" i="41"/>
  <c r="CI9" i="41"/>
  <c r="CJ8" i="41"/>
  <c r="CI17" i="41"/>
  <c r="CI10" i="41"/>
  <c r="CI155" i="41"/>
  <c r="CF157" i="41"/>
  <c r="CF156" i="41"/>
  <c r="CF18" i="41"/>
  <c r="CF320" i="41"/>
  <c r="CF321" i="41" s="1"/>
  <c r="DB127" i="41"/>
  <c r="DB126" i="41"/>
  <c r="DE124" i="41"/>
  <c r="DE237" i="41"/>
  <c r="DB241" i="41"/>
  <c r="BS41" i="41"/>
  <c r="BS42" i="41"/>
  <c r="BT52" i="41"/>
  <c r="BT51" i="41"/>
  <c r="BT66" i="41"/>
  <c r="BS59" i="41"/>
  <c r="BS73" i="41"/>
  <c r="BS62" i="41"/>
  <c r="BS60" i="41"/>
  <c r="BS69" i="41"/>
  <c r="BS67" i="41"/>
  <c r="BW38" i="41"/>
  <c r="BW54" i="41"/>
  <c r="BW50" i="41"/>
  <c r="BW37" i="41"/>
  <c r="BT217" i="41"/>
  <c r="BT214" i="41"/>
  <c r="BT215" i="41" s="1"/>
  <c r="BT55" i="41"/>
  <c r="BT44" i="41"/>
  <c r="BU44" i="41" s="1"/>
  <c r="BT56" i="41"/>
  <c r="BT58" i="41"/>
  <c r="CO281" i="41"/>
  <c r="CP280" i="41"/>
  <c r="BS219" i="41"/>
  <c r="CM281" i="41"/>
  <c r="CM284" i="41" s="1"/>
  <c r="BR70" i="41"/>
  <c r="BX33" i="41"/>
  <c r="BY32" i="41"/>
  <c r="BX36" i="41"/>
  <c r="BS45" i="41"/>
  <c r="BS46" i="41"/>
  <c r="CM282" i="41"/>
  <c r="CM285" i="41" s="1"/>
  <c r="BU54" i="41"/>
  <c r="BU55" i="41" s="1"/>
  <c r="BR64" i="41"/>
  <c r="BR63" i="41"/>
  <c r="BU50" i="41"/>
  <c r="BU51" i="41" s="1"/>
  <c r="CC56" i="3"/>
  <c r="CC60" i="3" s="1"/>
  <c r="CD45" i="3"/>
  <c r="CD118" i="3" s="1"/>
  <c r="BG135" i="3"/>
  <c r="BG137" i="3" s="1"/>
  <c r="BI135" i="3" s="1"/>
  <c r="BC137" i="3"/>
  <c r="BD135" i="3" s="1"/>
  <c r="BD137" i="3" s="1"/>
  <c r="BE135" i="3" s="1"/>
  <c r="BE137" i="3" s="1"/>
  <c r="BF135" i="3" s="1"/>
  <c r="BF137" i="3" s="1"/>
  <c r="AB62" i="3"/>
  <c r="AA64" i="3"/>
  <c r="AA143" i="3" s="1"/>
  <c r="CB113" i="42"/>
  <c r="CA112" i="42"/>
  <c r="AK185" i="42"/>
  <c r="AL186" i="42"/>
  <c r="AL184" i="42" s="1"/>
  <c r="CQ233" i="42"/>
  <c r="CW229" i="42" s="1"/>
  <c r="AH132" i="42"/>
  <c r="AG135" i="42"/>
  <c r="V103" i="42"/>
  <c r="Y101" i="42"/>
  <c r="W101" i="42"/>
  <c r="BL74" i="42"/>
  <c r="BL75" i="42"/>
  <c r="AU242" i="1"/>
  <c r="AU196" i="1"/>
  <c r="AU87" i="1"/>
  <c r="BA87" i="1"/>
  <c r="BA196" i="1"/>
  <c r="DH118" i="1"/>
  <c r="DI118" i="1" s="1"/>
  <c r="DH111" i="1"/>
  <c r="DK111" i="1" s="1"/>
  <c r="DL111" i="1" s="1"/>
  <c r="DM111" i="1" s="1"/>
  <c r="DN111" i="1" s="1"/>
  <c r="DO111" i="1" s="1"/>
  <c r="O73" i="442" s="1"/>
  <c r="P73" i="442" s="1"/>
  <c r="Q73" i="442" s="1"/>
  <c r="R73" i="442" s="1"/>
  <c r="S73" i="442" s="1"/>
  <c r="T73" i="442" s="1"/>
  <c r="DI112" i="1"/>
  <c r="DA269" i="1"/>
  <c r="DB80" i="1"/>
  <c r="DI157" i="1"/>
  <c r="DI115" i="1"/>
  <c r="DN274" i="1" l="1"/>
  <c r="DN276" i="1" s="1"/>
  <c r="DM276" i="1"/>
  <c r="DL21" i="42"/>
  <c r="DN52" i="3"/>
  <c r="DO52" i="3" s="1"/>
  <c r="DN40" i="42"/>
  <c r="DO40" i="42" s="1"/>
  <c r="DN270" i="42"/>
  <c r="DO165" i="42"/>
  <c r="DN172" i="42"/>
  <c r="DO172" i="42" s="1"/>
  <c r="DL88" i="3"/>
  <c r="DM16" i="3"/>
  <c r="DN52" i="42"/>
  <c r="DO52" i="42" s="1"/>
  <c r="DO182" i="42"/>
  <c r="DN272" i="42"/>
  <c r="DO41" i="42"/>
  <c r="DM125" i="3"/>
  <c r="DN92" i="3"/>
  <c r="DO92" i="3" s="1"/>
  <c r="DM51" i="3"/>
  <c r="DM124" i="3" s="1"/>
  <c r="DN112" i="3"/>
  <c r="DO112" i="3" s="1"/>
  <c r="DN127" i="3"/>
  <c r="DO127" i="3" s="1"/>
  <c r="O84" i="442"/>
  <c r="DL53" i="1"/>
  <c r="DM55" i="1"/>
  <c r="DI111" i="1"/>
  <c r="N73" i="442" s="1"/>
  <c r="CD129" i="3"/>
  <c r="CD133" i="3" s="1"/>
  <c r="CE133" i="3" s="1"/>
  <c r="CE118" i="3"/>
  <c r="CE129" i="3" s="1"/>
  <c r="BL282" i="41"/>
  <c r="BR285" i="41" s="1"/>
  <c r="BR284" i="41"/>
  <c r="BO126" i="41"/>
  <c r="BO128" i="41"/>
  <c r="BU126" i="41"/>
  <c r="BK112" i="41"/>
  <c r="BC69" i="42" s="1"/>
  <c r="BK115" i="41"/>
  <c r="BL117" i="41" s="1"/>
  <c r="BK281" i="41"/>
  <c r="BK282" i="41" s="1"/>
  <c r="BO111" i="41"/>
  <c r="BK113" i="41"/>
  <c r="BQ112" i="41"/>
  <c r="BI69" i="42" s="1"/>
  <c r="BL116" i="41"/>
  <c r="BR116" i="41"/>
  <c r="CE160" i="1"/>
  <c r="CE152" i="1" s="1"/>
  <c r="CE153" i="1" s="1"/>
  <c r="DE135" i="41"/>
  <c r="DE134" i="41"/>
  <c r="CI18" i="41"/>
  <c r="CI320" i="41"/>
  <c r="CI321" i="41" s="1"/>
  <c r="CJ9" i="41"/>
  <c r="CK8" i="41"/>
  <c r="CJ17" i="41"/>
  <c r="CJ10" i="41"/>
  <c r="CJ155" i="41"/>
  <c r="CF20" i="41"/>
  <c r="CF19" i="41"/>
  <c r="CF26" i="41"/>
  <c r="CF27" i="41" s="1"/>
  <c r="CF28" i="41" s="1"/>
  <c r="CG18" i="41"/>
  <c r="CI156" i="41"/>
  <c r="CI157" i="41"/>
  <c r="L190" i="442"/>
  <c r="DE126" i="41"/>
  <c r="DE128" i="41"/>
  <c r="CP281" i="41"/>
  <c r="CP282" i="41" s="1"/>
  <c r="CQ280" i="41"/>
  <c r="BT46" i="41"/>
  <c r="BT45" i="41"/>
  <c r="BW51" i="41"/>
  <c r="BW52" i="41"/>
  <c r="BW66" i="41"/>
  <c r="BS70" i="41"/>
  <c r="BX38" i="41"/>
  <c r="BX54" i="41"/>
  <c r="BX50" i="41"/>
  <c r="BX37" i="41"/>
  <c r="CO282" i="41"/>
  <c r="BW217" i="41"/>
  <c r="BW214" i="41"/>
  <c r="BW215" i="41" s="1"/>
  <c r="BW56" i="41"/>
  <c r="BW55" i="41"/>
  <c r="BW44" i="41"/>
  <c r="BW58" i="41"/>
  <c r="BT69" i="41"/>
  <c r="BT67" i="41"/>
  <c r="BU45" i="41"/>
  <c r="BU48" i="41"/>
  <c r="BY33" i="41"/>
  <c r="BZ32" i="41"/>
  <c r="BY36" i="41"/>
  <c r="BT73" i="41"/>
  <c r="BT74" i="41" s="1"/>
  <c r="BT62" i="41"/>
  <c r="BT60" i="41"/>
  <c r="BT59" i="41"/>
  <c r="BU58" i="41"/>
  <c r="BS64" i="41"/>
  <c r="BS63" i="41"/>
  <c r="BT40" i="41"/>
  <c r="BT219" i="41"/>
  <c r="BS74" i="41"/>
  <c r="BM135" i="3"/>
  <c r="BM137" i="3" s="1"/>
  <c r="BO135" i="3" s="1"/>
  <c r="BI137" i="3"/>
  <c r="BJ135" i="3" s="1"/>
  <c r="BJ137" i="3" s="1"/>
  <c r="BK135" i="3" s="1"/>
  <c r="BK137" i="3" s="1"/>
  <c r="BL135" i="3" s="1"/>
  <c r="BL137" i="3" s="1"/>
  <c r="CE45" i="3"/>
  <c r="CD56" i="3"/>
  <c r="CG45" i="3"/>
  <c r="AC62" i="3"/>
  <c r="AB64" i="3"/>
  <c r="AL185" i="42"/>
  <c r="AM186" i="42"/>
  <c r="BO74" i="42"/>
  <c r="BO75" i="42"/>
  <c r="CW233" i="42"/>
  <c r="DC229" i="42" s="1"/>
  <c r="CQ240" i="42"/>
  <c r="CW236" i="42" s="1"/>
  <c r="CW239" i="42" s="1"/>
  <c r="CC113" i="42"/>
  <c r="CB112" i="42"/>
  <c r="Z101" i="42"/>
  <c r="Y103" i="42"/>
  <c r="AK132" i="42"/>
  <c r="AI132" i="42"/>
  <c r="AH135" i="42"/>
  <c r="AI135" i="42" s="1"/>
  <c r="AI136" i="42" s="1"/>
  <c r="DB269" i="1"/>
  <c r="DC269" i="1" s="1"/>
  <c r="DE80" i="1"/>
  <c r="DE104" i="1" s="1"/>
  <c r="DM21" i="42" l="1"/>
  <c r="DN125" i="3"/>
  <c r="DO125" i="3" s="1"/>
  <c r="DN16" i="3"/>
  <c r="DM88" i="3"/>
  <c r="N84" i="442"/>
  <c r="O74" i="442"/>
  <c r="DN51" i="3"/>
  <c r="DO51" i="3" s="1"/>
  <c r="DN55" i="1"/>
  <c r="DN53" i="1" s="1"/>
  <c r="DM53" i="1"/>
  <c r="N74" i="442"/>
  <c r="BO282" i="41"/>
  <c r="BU285" i="41" s="1"/>
  <c r="BQ285" i="41"/>
  <c r="BO281" i="41"/>
  <c r="BU284" i="41" s="1"/>
  <c r="BQ284" i="41"/>
  <c r="BK117" i="41"/>
  <c r="BK116" i="41"/>
  <c r="BQ116" i="41"/>
  <c r="BO115" i="41"/>
  <c r="BU116" i="41" s="1"/>
  <c r="BO112" i="41"/>
  <c r="BO139" i="41"/>
  <c r="BU112" i="41"/>
  <c r="CE159" i="1"/>
  <c r="BU73" i="41"/>
  <c r="BU74" i="41" s="1"/>
  <c r="BW219" i="41"/>
  <c r="CJ156" i="41"/>
  <c r="CJ157" i="41"/>
  <c r="CI26" i="41"/>
  <c r="CI27" i="41" s="1"/>
  <c r="CI28" i="41" s="1"/>
  <c r="CI20" i="41"/>
  <c r="CI19" i="41"/>
  <c r="CG19" i="41"/>
  <c r="CJ18" i="41"/>
  <c r="CJ320" i="41"/>
  <c r="CJ321" i="41" s="1"/>
  <c r="CK155" i="41"/>
  <c r="CK9" i="41"/>
  <c r="CL8" i="41"/>
  <c r="CK17" i="41"/>
  <c r="CK10" i="41"/>
  <c r="L192" i="442"/>
  <c r="L195" i="442"/>
  <c r="CC32" i="41"/>
  <c r="BZ33" i="41"/>
  <c r="CA32" i="41"/>
  <c r="CA33" i="41" s="1"/>
  <c r="BZ36" i="41"/>
  <c r="BW45" i="41"/>
  <c r="BW46" i="41"/>
  <c r="BX51" i="41"/>
  <c r="BX52" i="41"/>
  <c r="BX66" i="41"/>
  <c r="BT64" i="41"/>
  <c r="BT63" i="41"/>
  <c r="BX217" i="41"/>
  <c r="BX214" i="41"/>
  <c r="BX215" i="41" s="1"/>
  <c r="BX56" i="41"/>
  <c r="BX55" i="41"/>
  <c r="BX44" i="41"/>
  <c r="BX58" i="41"/>
  <c r="BU62" i="41"/>
  <c r="BU63" i="41" s="1"/>
  <c r="BU59" i="41"/>
  <c r="BW60" i="41"/>
  <c r="BW59" i="41"/>
  <c r="BW73" i="41"/>
  <c r="BW62" i="41"/>
  <c r="BW40" i="41"/>
  <c r="CR280" i="41"/>
  <c r="CQ281" i="41"/>
  <c r="BT42" i="41"/>
  <c r="BT41" i="41"/>
  <c r="BU40" i="41"/>
  <c r="BU41" i="41" s="1"/>
  <c r="BY54" i="41"/>
  <c r="BY50" i="41"/>
  <c r="BY37" i="41"/>
  <c r="BY38" i="41"/>
  <c r="BT70" i="41"/>
  <c r="BW69" i="41"/>
  <c r="BW70" i="41" s="1"/>
  <c r="BW67" i="41"/>
  <c r="CG118" i="3"/>
  <c r="CG56" i="3"/>
  <c r="CG60" i="3" s="1"/>
  <c r="CH45" i="3"/>
  <c r="CH118" i="3" s="1"/>
  <c r="CH129" i="3" s="1"/>
  <c r="CH133" i="3" s="1"/>
  <c r="CE56" i="3"/>
  <c r="CD60" i="3"/>
  <c r="BS135" i="3"/>
  <c r="BS137" i="3" s="1"/>
  <c r="BU135" i="3" s="1"/>
  <c r="BO137" i="3"/>
  <c r="BP135" i="3" s="1"/>
  <c r="BP137" i="3" s="1"/>
  <c r="BQ135" i="3" s="1"/>
  <c r="BQ137" i="3" s="1"/>
  <c r="BR135" i="3" s="1"/>
  <c r="BR137" i="3" s="1"/>
  <c r="AB143" i="3"/>
  <c r="AC64" i="3"/>
  <c r="AC143" i="3" s="1"/>
  <c r="AE62" i="3"/>
  <c r="DC233" i="42"/>
  <c r="DI229" i="42" s="1"/>
  <c r="Z103" i="42"/>
  <c r="AA101" i="42"/>
  <c r="CW240" i="42"/>
  <c r="DC236" i="42" s="1"/>
  <c r="DC239" i="42" s="1"/>
  <c r="AK135" i="42"/>
  <c r="AL132" i="42"/>
  <c r="CD113" i="42"/>
  <c r="CC112" i="42"/>
  <c r="BP74" i="42"/>
  <c r="BP75" i="42"/>
  <c r="AM184" i="42"/>
  <c r="DE269" i="1"/>
  <c r="DF80" i="1"/>
  <c r="DN88" i="3" l="1"/>
  <c r="DO88" i="3" s="1"/>
  <c r="DO16" i="3"/>
  <c r="DO55" i="1"/>
  <c r="DN124" i="3"/>
  <c r="DO124" i="3" s="1"/>
  <c r="DN21" i="42"/>
  <c r="DO21" i="42" s="1"/>
  <c r="DO53" i="1"/>
  <c r="BL142" i="41"/>
  <c r="BM142" i="41"/>
  <c r="BN142" i="41"/>
  <c r="BU256" i="41"/>
  <c r="BO177" i="41"/>
  <c r="BO180" i="41"/>
  <c r="BU140" i="41"/>
  <c r="BK142" i="41"/>
  <c r="BU255" i="41"/>
  <c r="BU257" i="41"/>
  <c r="BO179" i="41"/>
  <c r="BO140" i="41"/>
  <c r="BO254" i="41" s="1"/>
  <c r="BG72" i="42"/>
  <c r="BU258" i="41"/>
  <c r="BU128" i="41"/>
  <c r="CK160" i="1"/>
  <c r="CK152" i="1" s="1"/>
  <c r="CK153" i="1" s="1"/>
  <c r="CK163" i="1"/>
  <c r="CK320" i="41"/>
  <c r="CK321" i="41" s="1"/>
  <c r="CK18" i="41"/>
  <c r="CO8" i="41"/>
  <c r="CL17" i="41"/>
  <c r="CL10" i="41"/>
  <c r="CL155" i="41"/>
  <c r="CL9" i="41"/>
  <c r="CM8" i="41"/>
  <c r="CJ26" i="41"/>
  <c r="CJ27" i="41" s="1"/>
  <c r="CJ28" i="41" s="1"/>
  <c r="CJ19" i="41"/>
  <c r="CJ20" i="41"/>
  <c r="CK157" i="41"/>
  <c r="CK156" i="41"/>
  <c r="Q84" i="442"/>
  <c r="P84" i="442"/>
  <c r="P74" i="442"/>
  <c r="BW41" i="41"/>
  <c r="BW42" i="41"/>
  <c r="BW74" i="41"/>
  <c r="BZ38" i="41"/>
  <c r="BZ54" i="41"/>
  <c r="BZ50" i="41"/>
  <c r="CA50" i="41" s="1"/>
  <c r="CA51" i="41" s="1"/>
  <c r="BZ37" i="41"/>
  <c r="CA36" i="41"/>
  <c r="CA37" i="41" s="1"/>
  <c r="BY52" i="41"/>
  <c r="BY51" i="41"/>
  <c r="BY66" i="41"/>
  <c r="BX73" i="41"/>
  <c r="BX74" i="41" s="1"/>
  <c r="BX62" i="41"/>
  <c r="BX60" i="41"/>
  <c r="BX59" i="41"/>
  <c r="BX69" i="41"/>
  <c r="BX67" i="41"/>
  <c r="BY217" i="41"/>
  <c r="BY214" i="41"/>
  <c r="BY215" i="41" s="1"/>
  <c r="BY56" i="41"/>
  <c r="BY55" i="41"/>
  <c r="BY44" i="41"/>
  <c r="BY58" i="41"/>
  <c r="CQ282" i="41"/>
  <c r="BX46" i="41"/>
  <c r="BX45" i="41"/>
  <c r="BX219" i="41"/>
  <c r="CR281" i="41"/>
  <c r="CR282" i="41" s="1"/>
  <c r="CU280" i="41"/>
  <c r="BW63" i="41"/>
  <c r="BW64" i="41"/>
  <c r="BX40" i="41"/>
  <c r="CC33" i="41"/>
  <c r="CD32" i="41"/>
  <c r="CC36" i="41"/>
  <c r="BY135" i="3"/>
  <c r="BY137" i="3" s="1"/>
  <c r="CA135" i="3" s="1"/>
  <c r="BU137" i="3"/>
  <c r="BV135" i="3" s="1"/>
  <c r="BV137" i="3" s="1"/>
  <c r="BW135" i="3" s="1"/>
  <c r="BW137" i="3" s="1"/>
  <c r="BX135" i="3" s="1"/>
  <c r="BX137" i="3" s="1"/>
  <c r="AF62" i="3"/>
  <c r="AE64" i="3"/>
  <c r="CE60" i="3"/>
  <c r="CG129" i="3"/>
  <c r="CG133" i="3" s="1"/>
  <c r="CH56" i="3"/>
  <c r="CH60" i="3" s="1"/>
  <c r="CI45" i="3"/>
  <c r="CI118" i="3" s="1"/>
  <c r="CI129" i="3" s="1"/>
  <c r="CI133" i="3" s="1"/>
  <c r="BQ75" i="42"/>
  <c r="BQ74" i="42"/>
  <c r="AL135" i="42"/>
  <c r="AM132" i="42"/>
  <c r="AA103" i="42"/>
  <c r="AB101" i="42"/>
  <c r="DI233" i="42"/>
  <c r="DO229" i="42" s="1"/>
  <c r="AM185" i="42"/>
  <c r="AN186" i="42"/>
  <c r="AO186" i="42" s="1"/>
  <c r="AO185" i="42" s="1"/>
  <c r="CD112" i="42"/>
  <c r="CG113" i="42"/>
  <c r="DC240" i="42"/>
  <c r="DI236" i="42" s="1"/>
  <c r="DI239" i="42" s="1"/>
  <c r="DF269" i="1"/>
  <c r="DG80" i="1"/>
  <c r="DO233" i="42" l="1"/>
  <c r="CK159" i="1"/>
  <c r="CQ163" i="1" s="1"/>
  <c r="BO142" i="41"/>
  <c r="BO178" i="41"/>
  <c r="BU178" i="41"/>
  <c r="BU254" i="41"/>
  <c r="CL320" i="41"/>
  <c r="CL321" i="41" s="1"/>
  <c r="CL18" i="41"/>
  <c r="CM18" i="41" s="1"/>
  <c r="CK20" i="41"/>
  <c r="CK26" i="41"/>
  <c r="CK27" i="41" s="1"/>
  <c r="CK28" i="41" s="1"/>
  <c r="CK19" i="41"/>
  <c r="CL156" i="41"/>
  <c r="CL157" i="41"/>
  <c r="CM9" i="41"/>
  <c r="CP8" i="41"/>
  <c r="CO10" i="41"/>
  <c r="CO155" i="41"/>
  <c r="CO17" i="41"/>
  <c r="CO9" i="41"/>
  <c r="Q74" i="442"/>
  <c r="CD33" i="41"/>
  <c r="CE32" i="41"/>
  <c r="CD36" i="41"/>
  <c r="CU281" i="41"/>
  <c r="CV280" i="41"/>
  <c r="CS282" i="41"/>
  <c r="CS285" i="41" s="1"/>
  <c r="BX70" i="41"/>
  <c r="BX63" i="41"/>
  <c r="BX64" i="41"/>
  <c r="BZ52" i="41"/>
  <c r="BZ51" i="41"/>
  <c r="BZ66" i="41"/>
  <c r="BY73" i="41"/>
  <c r="BY74" i="41" s="1"/>
  <c r="BY62" i="41"/>
  <c r="BY60" i="41"/>
  <c r="BY59" i="41"/>
  <c r="BZ217" i="41"/>
  <c r="BZ214" i="41"/>
  <c r="BZ215" i="41" s="1"/>
  <c r="BZ55" i="41"/>
  <c r="BZ44" i="41"/>
  <c r="CA44" i="41" s="1"/>
  <c r="BZ56" i="41"/>
  <c r="BZ58" i="41"/>
  <c r="CA54" i="41"/>
  <c r="CA55" i="41" s="1"/>
  <c r="BX42" i="41"/>
  <c r="BX41" i="41"/>
  <c r="BY45" i="41"/>
  <c r="BY46" i="41"/>
  <c r="BY219" i="41"/>
  <c r="BY69" i="41"/>
  <c r="BY67" i="41"/>
  <c r="CC54" i="41"/>
  <c r="CC50" i="41"/>
  <c r="CC37" i="41"/>
  <c r="CC38" i="41"/>
  <c r="CS281" i="41"/>
  <c r="CS284" i="41" s="1"/>
  <c r="BY40" i="41"/>
  <c r="CJ45" i="3"/>
  <c r="CJ118" i="3" s="1"/>
  <c r="CJ129" i="3" s="1"/>
  <c r="CJ133" i="3" s="1"/>
  <c r="CK133" i="3" s="1"/>
  <c r="CI56" i="3"/>
  <c r="CI60" i="3" s="1"/>
  <c r="AG62" i="3"/>
  <c r="AF64" i="3"/>
  <c r="CE135" i="3"/>
  <c r="CE137" i="3" s="1"/>
  <c r="CG135" i="3" s="1"/>
  <c r="CK135" i="3" s="1"/>
  <c r="CA137" i="3"/>
  <c r="CB135" i="3" s="1"/>
  <c r="CB137" i="3" s="1"/>
  <c r="DI240" i="42"/>
  <c r="DO236" i="42" s="1"/>
  <c r="DO239" i="42" s="1"/>
  <c r="AN132" i="42"/>
  <c r="AM135" i="42"/>
  <c r="AE101" i="42"/>
  <c r="AB103" i="42"/>
  <c r="AC101" i="42"/>
  <c r="CH113" i="42"/>
  <c r="CG112" i="42"/>
  <c r="AN184" i="42"/>
  <c r="BR75" i="42"/>
  <c r="BR74" i="42"/>
  <c r="DG269" i="1"/>
  <c r="DH80" i="1"/>
  <c r="DO240" i="42" l="1"/>
  <c r="DH269" i="1"/>
  <c r="DI269" i="1" s="1"/>
  <c r="DK80" i="1"/>
  <c r="CC135" i="3"/>
  <c r="CC137" i="3" s="1"/>
  <c r="CD135" i="3" s="1"/>
  <c r="CD137" i="3" s="1"/>
  <c r="CG137" i="3"/>
  <c r="CH135" i="3" s="1"/>
  <c r="CH137" i="3" s="1"/>
  <c r="CI135" i="3" s="1"/>
  <c r="CI137" i="3" s="1"/>
  <c r="CJ135" i="3" s="1"/>
  <c r="CJ137" i="3" s="1"/>
  <c r="CQ160" i="1"/>
  <c r="CQ152" i="1" s="1"/>
  <c r="CQ153" i="1" s="1"/>
  <c r="BZ219" i="41"/>
  <c r="CK137" i="3"/>
  <c r="CM135" i="3" s="1"/>
  <c r="CQ135" i="3" s="1"/>
  <c r="CO157" i="41"/>
  <c r="CO156" i="41"/>
  <c r="CL26" i="41"/>
  <c r="CL27" i="41" s="1"/>
  <c r="CL28" i="41" s="1"/>
  <c r="CL20" i="41"/>
  <c r="CL19" i="41"/>
  <c r="CP9" i="41"/>
  <c r="CQ8" i="41"/>
  <c r="CP10" i="41"/>
  <c r="CP155" i="41"/>
  <c r="CP17" i="41"/>
  <c r="CO320" i="41"/>
  <c r="CO321" i="41" s="1"/>
  <c r="CO18" i="41"/>
  <c r="CM19" i="41"/>
  <c r="R74" i="442"/>
  <c r="R84" i="442"/>
  <c r="BY41" i="41"/>
  <c r="BY42" i="41"/>
  <c r="BZ60" i="41"/>
  <c r="BZ59" i="41"/>
  <c r="BZ73" i="41"/>
  <c r="BZ62" i="41"/>
  <c r="CD38" i="41"/>
  <c r="CD54" i="41"/>
  <c r="CD50" i="41"/>
  <c r="CD37" i="41"/>
  <c r="BY70" i="41"/>
  <c r="BY64" i="41"/>
  <c r="BY63" i="41"/>
  <c r="BZ69" i="41"/>
  <c r="BZ70" i="41" s="1"/>
  <c r="CE33" i="41"/>
  <c r="CF32" i="41"/>
  <c r="CE36" i="41"/>
  <c r="CC52" i="41"/>
  <c r="CC51" i="41"/>
  <c r="CC66" i="41"/>
  <c r="BZ45" i="41"/>
  <c r="BZ46" i="41"/>
  <c r="CA58" i="41"/>
  <c r="BZ40" i="41"/>
  <c r="CV281" i="41"/>
  <c r="CV282" i="41" s="1"/>
  <c r="CW280" i="41"/>
  <c r="CA45" i="41"/>
  <c r="CA48" i="41"/>
  <c r="CC214" i="41"/>
  <c r="CC215" i="41" s="1"/>
  <c r="CC217" i="41"/>
  <c r="CC56" i="41"/>
  <c r="CC55" i="41"/>
  <c r="CC44" i="41"/>
  <c r="CC58" i="41"/>
  <c r="BZ67" i="41"/>
  <c r="CU282" i="41"/>
  <c r="CK118" i="3"/>
  <c r="CK129" i="3" s="1"/>
  <c r="AH62" i="3"/>
  <c r="AG64" i="3"/>
  <c r="CJ56" i="3"/>
  <c r="CK45" i="3"/>
  <c r="CM45" i="3"/>
  <c r="AF101" i="42"/>
  <c r="AE103" i="42"/>
  <c r="CI113" i="42"/>
  <c r="CH112" i="42"/>
  <c r="BU74" i="42"/>
  <c r="BU75" i="42"/>
  <c r="AO132" i="42"/>
  <c r="AN135" i="42"/>
  <c r="AO135" i="42" s="1"/>
  <c r="AO136" i="42" s="1"/>
  <c r="AQ132" i="42"/>
  <c r="AN185" i="42"/>
  <c r="AQ186" i="42"/>
  <c r="DK269" i="1" l="1"/>
  <c r="DL80" i="1"/>
  <c r="CQ159" i="1"/>
  <c r="CC219" i="41"/>
  <c r="CQ10" i="41"/>
  <c r="CQ9" i="41"/>
  <c r="CR8" i="41"/>
  <c r="CQ17" i="41"/>
  <c r="CQ155" i="41"/>
  <c r="CO20" i="41"/>
  <c r="CO26" i="41"/>
  <c r="CO27" i="41" s="1"/>
  <c r="CO28" i="41" s="1"/>
  <c r="CO19" i="41"/>
  <c r="CP156" i="41"/>
  <c r="CP157" i="41"/>
  <c r="CP18" i="41"/>
  <c r="CP320" i="41"/>
  <c r="CP321" i="41" s="1"/>
  <c r="S84" i="442"/>
  <c r="S74" i="442"/>
  <c r="CC73" i="41"/>
  <c r="CC62" i="41"/>
  <c r="CC60" i="41"/>
  <c r="CC59" i="41"/>
  <c r="BZ41" i="41"/>
  <c r="BZ42" i="41"/>
  <c r="CC69" i="41"/>
  <c r="CF33" i="41"/>
  <c r="CG32" i="41"/>
  <c r="CG33" i="41" s="1"/>
  <c r="CI32" i="41"/>
  <c r="CF36" i="41"/>
  <c r="BZ64" i="41"/>
  <c r="BZ63" i="41"/>
  <c r="CC46" i="41"/>
  <c r="CC45" i="41"/>
  <c r="CA59" i="41"/>
  <c r="CA62" i="41"/>
  <c r="CA63" i="41" s="1"/>
  <c r="CC40" i="41"/>
  <c r="CD52" i="41"/>
  <c r="CD51" i="41"/>
  <c r="CD66" i="41"/>
  <c r="BZ74" i="41"/>
  <c r="CA73" i="41"/>
  <c r="CA74" i="41" s="1"/>
  <c r="CX280" i="41"/>
  <c r="CW281" i="41"/>
  <c r="CC67" i="41"/>
  <c r="CD217" i="41"/>
  <c r="CD214" i="41"/>
  <c r="CD215" i="41" s="1"/>
  <c r="CD56" i="41"/>
  <c r="CD55" i="41"/>
  <c r="CD44" i="41"/>
  <c r="CD58" i="41"/>
  <c r="CA40" i="41"/>
  <c r="CA41" i="41" s="1"/>
  <c r="CE54" i="41"/>
  <c r="CE50" i="41"/>
  <c r="CE37" i="41"/>
  <c r="CE38" i="41"/>
  <c r="CK56" i="3"/>
  <c r="CJ60" i="3"/>
  <c r="CM118" i="3"/>
  <c r="CM56" i="3"/>
  <c r="CM60" i="3" s="1"/>
  <c r="CN45" i="3"/>
  <c r="CN118" i="3" s="1"/>
  <c r="CN129" i="3" s="1"/>
  <c r="CN133" i="3" s="1"/>
  <c r="AI62" i="3"/>
  <c r="AH64" i="3"/>
  <c r="AQ184" i="42"/>
  <c r="CJ113" i="42"/>
  <c r="CI112" i="42"/>
  <c r="BV75" i="42"/>
  <c r="BV74" i="42"/>
  <c r="AQ135" i="42"/>
  <c r="AR132" i="42"/>
  <c r="AG101" i="42"/>
  <c r="AF103" i="42"/>
  <c r="T84" i="442" l="1"/>
  <c r="T74" i="442"/>
  <c r="DM80" i="1"/>
  <c r="DL269" i="1"/>
  <c r="CW160" i="1"/>
  <c r="CW152" i="1" s="1"/>
  <c r="CW163" i="1"/>
  <c r="CQ157" i="41"/>
  <c r="CQ156" i="41"/>
  <c r="CQ18" i="41"/>
  <c r="CQ320" i="41"/>
  <c r="CQ321" i="41" s="1"/>
  <c r="CP19" i="41"/>
  <c r="CP26" i="41"/>
  <c r="CP27" i="41" s="1"/>
  <c r="CP28" i="41" s="1"/>
  <c r="CP20" i="41"/>
  <c r="CS8" i="41"/>
  <c r="CR155" i="41"/>
  <c r="CU8" i="41"/>
  <c r="CR9" i="41"/>
  <c r="CR17" i="41"/>
  <c r="CR10" i="41"/>
  <c r="CD59" i="41"/>
  <c r="CD73" i="41"/>
  <c r="CD74" i="41" s="1"/>
  <c r="CD62" i="41"/>
  <c r="CD60" i="41"/>
  <c r="CX281" i="41"/>
  <c r="CX282" i="41" s="1"/>
  <c r="DA280" i="41"/>
  <c r="CI33" i="41"/>
  <c r="CJ32" i="41"/>
  <c r="CI36" i="41"/>
  <c r="CD46" i="41"/>
  <c r="CD45" i="41"/>
  <c r="CD219" i="41"/>
  <c r="CD69" i="41"/>
  <c r="CD67" i="41"/>
  <c r="CC42" i="41"/>
  <c r="CC41" i="41"/>
  <c r="CD40" i="41"/>
  <c r="CC64" i="41"/>
  <c r="CC63" i="41"/>
  <c r="CE52" i="41"/>
  <c r="CE51" i="41"/>
  <c r="CE66" i="41"/>
  <c r="CE214" i="41"/>
  <c r="CE215" i="41" s="1"/>
  <c r="CE217" i="41"/>
  <c r="CE55" i="41"/>
  <c r="CE44" i="41"/>
  <c r="CE56" i="41"/>
  <c r="CE58" i="41"/>
  <c r="CW282" i="41"/>
  <c r="CF54" i="41"/>
  <c r="CF50" i="41"/>
  <c r="CF37" i="41"/>
  <c r="CG36" i="41"/>
  <c r="CG37" i="41" s="1"/>
  <c r="CF38" i="41"/>
  <c r="CC70" i="41"/>
  <c r="CC74" i="41"/>
  <c r="CM129" i="3"/>
  <c r="CM133" i="3" s="1"/>
  <c r="AK62" i="3"/>
  <c r="AI64" i="3"/>
  <c r="CN56" i="3"/>
  <c r="CN60" i="3" s="1"/>
  <c r="CO45" i="3"/>
  <c r="CK60" i="3"/>
  <c r="AS132" i="42"/>
  <c r="AR135" i="42"/>
  <c r="CJ112" i="42"/>
  <c r="CM113" i="42"/>
  <c r="AQ185" i="42"/>
  <c r="AR186" i="42"/>
  <c r="AG103" i="42"/>
  <c r="AH101" i="42"/>
  <c r="BW75" i="42"/>
  <c r="BW74" i="42"/>
  <c r="DN80" i="1" l="1"/>
  <c r="DN269" i="1" s="1"/>
  <c r="DM269" i="1"/>
  <c r="CW159" i="1"/>
  <c r="CY282" i="41"/>
  <c r="CY285" i="41" s="1"/>
  <c r="CY281" i="41"/>
  <c r="CY284" i="41" s="1"/>
  <c r="CR18" i="41"/>
  <c r="CS18" i="41" s="1"/>
  <c r="CR320" i="41"/>
  <c r="CR321" i="41" s="1"/>
  <c r="CS9" i="41"/>
  <c r="J14" i="442"/>
  <c r="CV8" i="41"/>
  <c r="CU155" i="41"/>
  <c r="CU17" i="41"/>
  <c r="CU9" i="41"/>
  <c r="CU10" i="41"/>
  <c r="CR157" i="41"/>
  <c r="CR156" i="41"/>
  <c r="CQ26" i="41"/>
  <c r="CQ27" i="41" s="1"/>
  <c r="CQ28" i="41" s="1"/>
  <c r="CQ20" i="41"/>
  <c r="CQ19" i="41"/>
  <c r="CE69" i="41"/>
  <c r="CE67" i="41"/>
  <c r="CD70" i="41"/>
  <c r="DA281" i="41"/>
  <c r="DB280" i="41"/>
  <c r="CE45" i="41"/>
  <c r="CE46" i="41"/>
  <c r="CE40" i="41"/>
  <c r="CI38" i="41"/>
  <c r="CI54" i="41"/>
  <c r="CI50" i="41"/>
  <c r="CI37" i="41"/>
  <c r="CF217" i="41"/>
  <c r="CF214" i="41"/>
  <c r="CF215" i="41" s="1"/>
  <c r="CF55" i="41"/>
  <c r="CF44" i="41"/>
  <c r="CG44" i="41" s="1"/>
  <c r="CF56" i="41"/>
  <c r="CF58" i="41"/>
  <c r="CG54" i="41"/>
  <c r="CG55" i="41" s="1"/>
  <c r="CD42" i="41"/>
  <c r="CD41" i="41"/>
  <c r="CJ33" i="41"/>
  <c r="CK32" i="41"/>
  <c r="CJ36" i="41"/>
  <c r="CF52" i="41"/>
  <c r="CF51" i="41"/>
  <c r="CF66" i="41"/>
  <c r="CF69" i="41" s="1"/>
  <c r="CE59" i="41"/>
  <c r="CE73" i="41"/>
  <c r="CE62" i="41"/>
  <c r="CE60" i="41"/>
  <c r="CE219" i="41"/>
  <c r="CG50" i="41"/>
  <c r="CG51" i="41" s="1"/>
  <c r="CD64" i="41"/>
  <c r="CD63" i="41"/>
  <c r="CO56" i="3"/>
  <c r="CO60" i="3" s="1"/>
  <c r="CP45" i="3"/>
  <c r="AL62" i="3"/>
  <c r="AK64" i="3"/>
  <c r="CM137" i="3"/>
  <c r="CN135" i="3" s="1"/>
  <c r="CN137" i="3" s="1"/>
  <c r="CO135" i="3" s="1"/>
  <c r="CO118" i="3"/>
  <c r="CN113" i="42"/>
  <c r="CM112" i="42"/>
  <c r="BX74" i="42"/>
  <c r="BX75" i="42"/>
  <c r="AR184" i="42"/>
  <c r="AI101" i="42"/>
  <c r="AH103" i="42"/>
  <c r="AK101" i="42"/>
  <c r="AT132" i="42"/>
  <c r="AS135" i="42"/>
  <c r="R66" i="442" l="1"/>
  <c r="R166" i="442"/>
  <c r="R122" i="442"/>
  <c r="R79" i="442"/>
  <c r="DO269" i="1"/>
  <c r="DC160" i="1"/>
  <c r="DC163" i="1"/>
  <c r="CF40" i="41"/>
  <c r="CF41" i="41" s="1"/>
  <c r="CF67" i="41"/>
  <c r="CU156" i="41"/>
  <c r="CU157" i="41"/>
  <c r="J90" i="442"/>
  <c r="J15" i="442"/>
  <c r="J19" i="442"/>
  <c r="J20" i="442" s="1"/>
  <c r="CS19" i="41"/>
  <c r="CW8" i="41"/>
  <c r="CV155" i="41"/>
  <c r="CV17" i="41"/>
  <c r="CV10" i="41"/>
  <c r="CV9" i="41"/>
  <c r="CU320" i="41"/>
  <c r="CU321" i="41" s="1"/>
  <c r="CU18" i="41"/>
  <c r="CR19" i="41"/>
  <c r="CR26" i="41"/>
  <c r="CR27" i="41" s="1"/>
  <c r="CR28" i="41" s="1"/>
  <c r="CR20" i="41"/>
  <c r="CE64" i="41"/>
  <c r="CE63" i="41"/>
  <c r="CK33" i="41"/>
  <c r="CL32" i="41"/>
  <c r="CK36" i="41"/>
  <c r="CF73" i="41"/>
  <c r="CF74" i="41" s="1"/>
  <c r="CF62" i="41"/>
  <c r="CF60" i="41"/>
  <c r="CF59" i="41"/>
  <c r="CG58" i="41"/>
  <c r="CI217" i="41"/>
  <c r="CI214" i="41"/>
  <c r="CI215" i="41" s="1"/>
  <c r="CI56" i="41"/>
  <c r="CI55" i="41"/>
  <c r="CI44" i="41"/>
  <c r="CI40" i="41" s="1"/>
  <c r="CI58" i="41"/>
  <c r="CE74" i="41"/>
  <c r="CF219" i="41"/>
  <c r="CG48" i="41"/>
  <c r="CG45" i="41"/>
  <c r="CF46" i="41"/>
  <c r="CF45" i="41"/>
  <c r="DC280" i="41"/>
  <c r="CJ38" i="41"/>
  <c r="CJ54" i="41"/>
  <c r="CJ50" i="41"/>
  <c r="CJ37" i="41"/>
  <c r="CI51" i="41"/>
  <c r="CI52" i="41"/>
  <c r="CI66" i="41"/>
  <c r="CI67" i="41" s="1"/>
  <c r="CE41" i="41"/>
  <c r="CE42" i="41"/>
  <c r="DA282" i="41"/>
  <c r="CE70" i="41"/>
  <c r="CF70" i="41"/>
  <c r="AM62" i="3"/>
  <c r="AL64" i="3"/>
  <c r="CQ45" i="3"/>
  <c r="CS45" i="3"/>
  <c r="CP56" i="3"/>
  <c r="CO129" i="3"/>
  <c r="CO133" i="3" s="1"/>
  <c r="CP118" i="3"/>
  <c r="CP129" i="3" s="1"/>
  <c r="CP133" i="3" s="1"/>
  <c r="AW132" i="42"/>
  <c r="AU132" i="42"/>
  <c r="AT135" i="42"/>
  <c r="AU135" i="42" s="1"/>
  <c r="AU136" i="42" s="1"/>
  <c r="AR185" i="42"/>
  <c r="AS186" i="42"/>
  <c r="AS184" i="42" s="1"/>
  <c r="CO113" i="42"/>
  <c r="CN112" i="42"/>
  <c r="AK103" i="42"/>
  <c r="AL101" i="42"/>
  <c r="CA75" i="42"/>
  <c r="CA74" i="42"/>
  <c r="CQ118" i="3" l="1"/>
  <c r="CQ129" i="3" s="1"/>
  <c r="CF42" i="41"/>
  <c r="DC152" i="1"/>
  <c r="DC159" i="1"/>
  <c r="CG40" i="41"/>
  <c r="CG41" i="41" s="1"/>
  <c r="CI219" i="41"/>
  <c r="J134" i="442"/>
  <c r="J91" i="442"/>
  <c r="J95" i="442"/>
  <c r="J96" i="442" s="1"/>
  <c r="CV157" i="41"/>
  <c r="CV156" i="41"/>
  <c r="CV18" i="41"/>
  <c r="CV320" i="41"/>
  <c r="CV321" i="41" s="1"/>
  <c r="CU26" i="41"/>
  <c r="CU27" i="41" s="1"/>
  <c r="CU28" i="41" s="1"/>
  <c r="CU19" i="41"/>
  <c r="CU20" i="41"/>
  <c r="CW10" i="41"/>
  <c r="CW9" i="41"/>
  <c r="CX8" i="41"/>
  <c r="CW17" i="41"/>
  <c r="CW155" i="41"/>
  <c r="CI41" i="41"/>
  <c r="CI42" i="41"/>
  <c r="CJ217" i="41"/>
  <c r="CJ214" i="41"/>
  <c r="CJ215" i="41" s="1"/>
  <c r="CJ56" i="41"/>
  <c r="CJ55" i="41"/>
  <c r="CJ44" i="41"/>
  <c r="CJ40" i="41" s="1"/>
  <c r="CJ58" i="41"/>
  <c r="CI45" i="41"/>
  <c r="CI46" i="41"/>
  <c r="CF64" i="41"/>
  <c r="CF63" i="41"/>
  <c r="CI69" i="41"/>
  <c r="CG62" i="41"/>
  <c r="CG63" i="41" s="1"/>
  <c r="CG59" i="41"/>
  <c r="DD280" i="41"/>
  <c r="CG73" i="41"/>
  <c r="CG74" i="41" s="1"/>
  <c r="CI60" i="41"/>
  <c r="CI59" i="41"/>
  <c r="CI73" i="41"/>
  <c r="CI62" i="41"/>
  <c r="CK54" i="41"/>
  <c r="CK50" i="41"/>
  <c r="CK37" i="41"/>
  <c r="CK38" i="41"/>
  <c r="CJ51" i="41"/>
  <c r="CJ52" i="41"/>
  <c r="CJ66" i="41"/>
  <c r="CO32" i="41"/>
  <c r="CL33" i="41"/>
  <c r="CM32" i="41"/>
  <c r="CM33" i="41" s="1"/>
  <c r="CL36" i="41"/>
  <c r="CS118" i="3"/>
  <c r="CS56" i="3"/>
  <c r="CS60" i="3" s="1"/>
  <c r="CT45" i="3"/>
  <c r="CU45" i="3" s="1"/>
  <c r="CU56" i="3" s="1"/>
  <c r="CU60" i="3" s="1"/>
  <c r="CO137" i="3"/>
  <c r="CP135" i="3" s="1"/>
  <c r="CP137" i="3" s="1"/>
  <c r="CQ133" i="3"/>
  <c r="CQ137" i="3" s="1"/>
  <c r="CS135" i="3" s="1"/>
  <c r="CW135" i="3" s="1"/>
  <c r="CQ56" i="3"/>
  <c r="CP60" i="3"/>
  <c r="AN62" i="3"/>
  <c r="AM64" i="3"/>
  <c r="AS185" i="42"/>
  <c r="AT186" i="42"/>
  <c r="AT184" i="42" s="1"/>
  <c r="CB75" i="42"/>
  <c r="CB74" i="42"/>
  <c r="CP113" i="42"/>
  <c r="CO112" i="42"/>
  <c r="AL103" i="42"/>
  <c r="AM101" i="42"/>
  <c r="AW135" i="42"/>
  <c r="AX132" i="42"/>
  <c r="DI160" i="1" l="1"/>
  <c r="DI163" i="1"/>
  <c r="CW156" i="41"/>
  <c r="CW157" i="41"/>
  <c r="CW18" i="41"/>
  <c r="CW320" i="41"/>
  <c r="CW321" i="41" s="1"/>
  <c r="CV20" i="41"/>
  <c r="CV26" i="41"/>
  <c r="CV27" i="41" s="1"/>
  <c r="CV28" i="41" s="1"/>
  <c r="CV19" i="41"/>
  <c r="DA8" i="41"/>
  <c r="DB8" i="41" s="1"/>
  <c r="DB155" i="41" s="1"/>
  <c r="CX17" i="41"/>
  <c r="CX9" i="41"/>
  <c r="CX10" i="41"/>
  <c r="CX155" i="41"/>
  <c r="CY8" i="41"/>
  <c r="J135" i="442"/>
  <c r="J139" i="442"/>
  <c r="J140" i="442" s="1"/>
  <c r="AU186" i="42"/>
  <c r="AU185" i="42" s="1"/>
  <c r="CK214" i="41"/>
  <c r="CK215" i="41" s="1"/>
  <c r="CK217" i="41"/>
  <c r="CK56" i="41"/>
  <c r="CK55" i="41"/>
  <c r="CK44" i="41"/>
  <c r="CK40" i="41" s="1"/>
  <c r="CK58" i="41"/>
  <c r="CO33" i="41"/>
  <c r="CP32" i="41"/>
  <c r="CO36" i="41"/>
  <c r="CJ69" i="41"/>
  <c r="CJ67" i="41"/>
  <c r="CI63" i="41"/>
  <c r="CI64" i="41"/>
  <c r="CL38" i="41"/>
  <c r="CL54" i="41"/>
  <c r="CL50" i="41"/>
  <c r="CM50" i="41" s="1"/>
  <c r="CM51" i="41" s="1"/>
  <c r="CL37" i="41"/>
  <c r="CM36" i="41"/>
  <c r="CM37" i="41" s="1"/>
  <c r="CI74" i="41"/>
  <c r="CI70" i="41"/>
  <c r="CJ73" i="41"/>
  <c r="CJ74" i="41" s="1"/>
  <c r="CJ62" i="41"/>
  <c r="CJ60" i="41"/>
  <c r="CJ59" i="41"/>
  <c r="CJ42" i="41"/>
  <c r="CJ41" i="41"/>
  <c r="CK52" i="41"/>
  <c r="CK51" i="41"/>
  <c r="CK66" i="41"/>
  <c r="DD281" i="41"/>
  <c r="DD282" i="41" s="1"/>
  <c r="DG280" i="41"/>
  <c r="CJ46" i="41"/>
  <c r="CJ45" i="41"/>
  <c r="CJ219" i="41"/>
  <c r="CT56" i="3"/>
  <c r="AO62" i="3"/>
  <c r="AN64" i="3"/>
  <c r="CS129" i="3"/>
  <c r="CS133" i="3" s="1"/>
  <c r="CQ60" i="3"/>
  <c r="CT118" i="3"/>
  <c r="CT129" i="3" s="1"/>
  <c r="AT185" i="42"/>
  <c r="AW186" i="42"/>
  <c r="AX135" i="42"/>
  <c r="AY132" i="42"/>
  <c r="CC75" i="42"/>
  <c r="CC74" i="42"/>
  <c r="CP112" i="42"/>
  <c r="CS113" i="42"/>
  <c r="CT113" i="42" s="1"/>
  <c r="AM103" i="42"/>
  <c r="AN101" i="42"/>
  <c r="CT112" i="42" l="1"/>
  <c r="CU113" i="42"/>
  <c r="DI152" i="1"/>
  <c r="DI159" i="1"/>
  <c r="DB156" i="41"/>
  <c r="DB10" i="41"/>
  <c r="DB17" i="41"/>
  <c r="DB18" i="41" s="1"/>
  <c r="DB9" i="41"/>
  <c r="CK219" i="41"/>
  <c r="CY9" i="41"/>
  <c r="K14" i="442"/>
  <c r="CX18" i="41"/>
  <c r="CX320" i="41"/>
  <c r="CX321" i="41" s="1"/>
  <c r="CX157" i="41"/>
  <c r="CX156" i="41"/>
  <c r="DA10" i="41"/>
  <c r="DA155" i="41"/>
  <c r="DB157" i="41" s="1"/>
  <c r="DA9" i="41"/>
  <c r="DA17" i="41"/>
  <c r="CW26" i="41"/>
  <c r="CW27" i="41" s="1"/>
  <c r="CW28" i="41" s="1"/>
  <c r="CW20" i="41"/>
  <c r="CW19" i="41"/>
  <c r="CJ70" i="41"/>
  <c r="CK73" i="41"/>
  <c r="CK74" i="41" s="1"/>
  <c r="CK62" i="41"/>
  <c r="CK60" i="41"/>
  <c r="CK59" i="41"/>
  <c r="CK69" i="41"/>
  <c r="CK67" i="41"/>
  <c r="CJ63" i="41"/>
  <c r="CJ64" i="41"/>
  <c r="CL52" i="41"/>
  <c r="CL51" i="41"/>
  <c r="CL66" i="41"/>
  <c r="CO54" i="41"/>
  <c r="CO50" i="41"/>
  <c r="CO37" i="41"/>
  <c r="CO38" i="41"/>
  <c r="CK45" i="41"/>
  <c r="CK46" i="41"/>
  <c r="DG281" i="41"/>
  <c r="DH280" i="41"/>
  <c r="CK41" i="41"/>
  <c r="CK42" i="41"/>
  <c r="CL214" i="41"/>
  <c r="CL215" i="41" s="1"/>
  <c r="CL217" i="41"/>
  <c r="CL55" i="41"/>
  <c r="CL44" i="41"/>
  <c r="CL56" i="41"/>
  <c r="CL58" i="41"/>
  <c r="CM58" i="41" s="1"/>
  <c r="CM54" i="41"/>
  <c r="CM55" i="41" s="1"/>
  <c r="CP33" i="41"/>
  <c r="CQ32" i="41"/>
  <c r="CP36" i="41"/>
  <c r="CS137" i="3"/>
  <c r="CT135" i="3" s="1"/>
  <c r="CV118" i="3"/>
  <c r="AO64" i="3"/>
  <c r="AQ62" i="3"/>
  <c r="CU118" i="3"/>
  <c r="AO101" i="42"/>
  <c r="AN103" i="42"/>
  <c r="AQ101" i="42"/>
  <c r="CD74" i="42"/>
  <c r="CD75" i="42"/>
  <c r="AW184" i="42"/>
  <c r="CS112" i="42"/>
  <c r="AZ132" i="42"/>
  <c r="AY135" i="42"/>
  <c r="CU112" i="42" l="1"/>
  <c r="CV113" i="42"/>
  <c r="CV112" i="42" s="1"/>
  <c r="DO160" i="1"/>
  <c r="DO152" i="1" s="1"/>
  <c r="DO163" i="1"/>
  <c r="DB19" i="41"/>
  <c r="CX20" i="41"/>
  <c r="CX19" i="41"/>
  <c r="CX26" i="41"/>
  <c r="CX27" i="41" s="1"/>
  <c r="CX28" i="41" s="1"/>
  <c r="K19" i="442"/>
  <c r="K20" i="442" s="1"/>
  <c r="K15" i="442"/>
  <c r="K90" i="442"/>
  <c r="DA18" i="41"/>
  <c r="DB26" i="41" s="1"/>
  <c r="DA320" i="41"/>
  <c r="DA321" i="41" s="1"/>
  <c r="DA157" i="41"/>
  <c r="DA156" i="41"/>
  <c r="CY18" i="41"/>
  <c r="CY19" i="41" s="1"/>
  <c r="CM59" i="41"/>
  <c r="CM62" i="41"/>
  <c r="CM63" i="41" s="1"/>
  <c r="DG282" i="41"/>
  <c r="CL69" i="41"/>
  <c r="CL70" i="41" s="1"/>
  <c r="CL67" i="41"/>
  <c r="CK70" i="41"/>
  <c r="CK64" i="41"/>
  <c r="CK63" i="41"/>
  <c r="CL45" i="41"/>
  <c r="CL46" i="41"/>
  <c r="CM44" i="41"/>
  <c r="CL40" i="41"/>
  <c r="CQ33" i="41"/>
  <c r="CR32" i="41"/>
  <c r="CQ36" i="41"/>
  <c r="CO52" i="41"/>
  <c r="CO51" i="41"/>
  <c r="CO66" i="41"/>
  <c r="CO67" i="41" s="1"/>
  <c r="CP54" i="41"/>
  <c r="CP38" i="41"/>
  <c r="CP50" i="41"/>
  <c r="CP37" i="41"/>
  <c r="CL60" i="41"/>
  <c r="CL59" i="41"/>
  <c r="CL73" i="41"/>
  <c r="CL62" i="41"/>
  <c r="CL219" i="41"/>
  <c r="DI280" i="41"/>
  <c r="CO217" i="41"/>
  <c r="CO214" i="41"/>
  <c r="CO215" i="41" s="1"/>
  <c r="CO55" i="41"/>
  <c r="CO56" i="41"/>
  <c r="CO44" i="41"/>
  <c r="CO40" i="41" s="1"/>
  <c r="CO58" i="41"/>
  <c r="CW118" i="3"/>
  <c r="AR62" i="3"/>
  <c r="AQ64" i="3"/>
  <c r="CW45" i="3"/>
  <c r="CY45" i="3"/>
  <c r="AR101" i="42"/>
  <c r="AQ103" i="42"/>
  <c r="AZ135" i="42"/>
  <c r="BA135" i="42" s="1"/>
  <c r="BA136" i="42" s="1"/>
  <c r="BA132" i="42"/>
  <c r="BC132" i="42"/>
  <c r="CG75" i="42"/>
  <c r="CG74" i="42"/>
  <c r="AW185" i="42"/>
  <c r="AX186" i="42"/>
  <c r="DO159" i="1" l="1"/>
  <c r="DB20" i="41"/>
  <c r="CO219" i="41"/>
  <c r="DA20" i="41"/>
  <c r="DA26" i="41"/>
  <c r="DA27" i="41" s="1"/>
  <c r="DA28" i="41" s="1"/>
  <c r="DA19" i="41"/>
  <c r="K95" i="442"/>
  <c r="K96" i="442" s="1"/>
  <c r="K134" i="442"/>
  <c r="K91" i="442"/>
  <c r="CL64" i="41"/>
  <c r="CL63" i="41"/>
  <c r="CO69" i="41"/>
  <c r="CL41" i="41"/>
  <c r="CL42" i="41"/>
  <c r="CM40" i="41"/>
  <c r="CM41" i="41" s="1"/>
  <c r="CP52" i="41"/>
  <c r="CP51" i="41"/>
  <c r="CP66" i="41"/>
  <c r="CM48" i="41"/>
  <c r="CM45" i="41"/>
  <c r="DJ280" i="41"/>
  <c r="CQ50" i="41"/>
  <c r="CQ37" i="41"/>
  <c r="CQ54" i="41"/>
  <c r="CQ38" i="41"/>
  <c r="CO73" i="41"/>
  <c r="CO62" i="41"/>
  <c r="CO60" i="41"/>
  <c r="CO59" i="41"/>
  <c r="CR33" i="41"/>
  <c r="CS32" i="41"/>
  <c r="CS33" i="41" s="1"/>
  <c r="CU32" i="41"/>
  <c r="CR36" i="41"/>
  <c r="CL74" i="41"/>
  <c r="CM73" i="41"/>
  <c r="CM74" i="41" s="1"/>
  <c r="CO42" i="41"/>
  <c r="CO41" i="41"/>
  <c r="CO46" i="41"/>
  <c r="CO45" i="41"/>
  <c r="CP217" i="41"/>
  <c r="CP214" i="41"/>
  <c r="CP215" i="41" s="1"/>
  <c r="CP56" i="41"/>
  <c r="CP55" i="41"/>
  <c r="CP44" i="41"/>
  <c r="CP58" i="41"/>
  <c r="CY118" i="3"/>
  <c r="CY56" i="3"/>
  <c r="CZ45" i="3"/>
  <c r="AS62" i="3"/>
  <c r="AR64" i="3"/>
  <c r="CY113" i="42"/>
  <c r="CZ113" i="42" s="1"/>
  <c r="DA113" i="42" s="1"/>
  <c r="DB113" i="42" s="1"/>
  <c r="DE113" i="42" s="1"/>
  <c r="DF113" i="42" s="1"/>
  <c r="DG113" i="42" s="1"/>
  <c r="DH113" i="42" s="1"/>
  <c r="DK113" i="42" s="1"/>
  <c r="DL113" i="42" s="1"/>
  <c r="DM113" i="42" s="1"/>
  <c r="DN113" i="42" s="1"/>
  <c r="AX184" i="42"/>
  <c r="CH75" i="42"/>
  <c r="CH74" i="42"/>
  <c r="BC135" i="42"/>
  <c r="BD132" i="42"/>
  <c r="AS101" i="42"/>
  <c r="AR103" i="42"/>
  <c r="DB27" i="41" l="1"/>
  <c r="DB28" i="41" s="1"/>
  <c r="K139" i="442"/>
  <c r="K140" i="442" s="1"/>
  <c r="K135" i="442"/>
  <c r="CP59" i="41"/>
  <c r="CP73" i="41"/>
  <c r="CP74" i="41" s="1"/>
  <c r="CP62" i="41"/>
  <c r="CP60" i="41"/>
  <c r="CU33" i="41"/>
  <c r="CV32" i="41"/>
  <c r="CU36" i="41"/>
  <c r="CP46" i="41"/>
  <c r="CP45" i="41"/>
  <c r="CP219" i="41"/>
  <c r="CQ217" i="41"/>
  <c r="CQ214" i="41"/>
  <c r="CQ215" i="41" s="1"/>
  <c r="CQ44" i="41"/>
  <c r="CQ40" i="41" s="1"/>
  <c r="CQ56" i="41"/>
  <c r="CQ55" i="41"/>
  <c r="CQ58" i="41"/>
  <c r="DJ281" i="41"/>
  <c r="DJ282" i="41" s="1"/>
  <c r="DM280" i="41"/>
  <c r="CO64" i="41"/>
  <c r="CO63" i="41"/>
  <c r="CP40" i="41"/>
  <c r="CR50" i="41"/>
  <c r="CS50" i="41" s="1"/>
  <c r="CS51" i="41" s="1"/>
  <c r="CR37" i="41"/>
  <c r="CS36" i="41"/>
  <c r="CS37" i="41" s="1"/>
  <c r="CR54" i="41"/>
  <c r="CR38" i="41"/>
  <c r="CO74" i="41"/>
  <c r="CQ52" i="41"/>
  <c r="CQ51" i="41"/>
  <c r="CQ66" i="41"/>
  <c r="CP69" i="41"/>
  <c r="CP67" i="41"/>
  <c r="CO70" i="41"/>
  <c r="CZ56" i="3"/>
  <c r="DA45" i="3"/>
  <c r="CY129" i="3"/>
  <c r="AT62" i="3"/>
  <c r="AS64" i="3"/>
  <c r="CZ118" i="3"/>
  <c r="CZ129" i="3" s="1"/>
  <c r="BE132" i="42"/>
  <c r="BD135" i="42"/>
  <c r="AX185" i="42"/>
  <c r="AY186" i="42"/>
  <c r="AY184" i="42" s="1"/>
  <c r="AS103" i="42"/>
  <c r="AT101" i="42"/>
  <c r="CI75" i="42"/>
  <c r="CI74" i="42"/>
  <c r="CQ41" i="41" l="1"/>
  <c r="CQ42" i="41"/>
  <c r="CP70" i="41"/>
  <c r="CQ59" i="41"/>
  <c r="CQ73" i="41"/>
  <c r="CQ74" i="41" s="1"/>
  <c r="CQ62" i="41"/>
  <c r="CQ60" i="41"/>
  <c r="CQ69" i="41"/>
  <c r="CQ67" i="41"/>
  <c r="CR217" i="41"/>
  <c r="CR214" i="41"/>
  <c r="CR215" i="41" s="1"/>
  <c r="CR44" i="41"/>
  <c r="CR40" i="41" s="1"/>
  <c r="CS40" i="41" s="1"/>
  <c r="CS41" i="41" s="1"/>
  <c r="CR56" i="41"/>
  <c r="CR55" i="41"/>
  <c r="CR58" i="41"/>
  <c r="CP42" i="41"/>
  <c r="CP41" i="41"/>
  <c r="CV33" i="41"/>
  <c r="CW32" i="41"/>
  <c r="CV36" i="41"/>
  <c r="CS54" i="41"/>
  <c r="CS55" i="41" s="1"/>
  <c r="CQ45" i="41"/>
  <c r="CQ46" i="41"/>
  <c r="CR52" i="41"/>
  <c r="CR51" i="41"/>
  <c r="CR66" i="41"/>
  <c r="CR69" i="41" s="1"/>
  <c r="DN280" i="41"/>
  <c r="DM281" i="41"/>
  <c r="CQ219" i="41"/>
  <c r="CU54" i="41"/>
  <c r="CU38" i="41"/>
  <c r="CU50" i="41"/>
  <c r="CU37" i="41"/>
  <c r="CP64" i="41"/>
  <c r="CP63" i="41"/>
  <c r="AU62" i="3"/>
  <c r="AT64" i="3"/>
  <c r="DA56" i="3"/>
  <c r="DB45" i="3"/>
  <c r="DB118" i="3" s="1"/>
  <c r="DB129" i="3" s="1"/>
  <c r="DA118" i="3"/>
  <c r="DA129" i="3" s="1"/>
  <c r="AU101" i="42"/>
  <c r="AT103" i="42"/>
  <c r="AW101" i="42"/>
  <c r="AY185" i="42"/>
  <c r="AZ186" i="42"/>
  <c r="AZ184" i="42" s="1"/>
  <c r="CJ74" i="42"/>
  <c r="CJ75" i="42"/>
  <c r="BF132" i="42"/>
  <c r="BE135" i="42"/>
  <c r="BA186" i="42" l="1"/>
  <c r="BA185" i="42" s="1"/>
  <c r="CR219" i="41"/>
  <c r="DO280" i="41"/>
  <c r="CW33" i="41"/>
  <c r="CX32" i="41"/>
  <c r="CW36" i="41"/>
  <c r="CU217" i="41"/>
  <c r="CU214" i="41"/>
  <c r="CU215" i="41" s="1"/>
  <c r="CU56" i="41"/>
  <c r="CU55" i="41"/>
  <c r="CU44" i="41"/>
  <c r="CU40" i="41" s="1"/>
  <c r="CU58" i="41"/>
  <c r="CR46" i="41"/>
  <c r="CR45" i="41"/>
  <c r="CQ70" i="41"/>
  <c r="CR70" i="41"/>
  <c r="CU51" i="41"/>
  <c r="CU52" i="41"/>
  <c r="CU66" i="41"/>
  <c r="CR42" i="41"/>
  <c r="CR41" i="41"/>
  <c r="CR73" i="41"/>
  <c r="CR62" i="41"/>
  <c r="CR60" i="41"/>
  <c r="CR59" i="41"/>
  <c r="CS58" i="41"/>
  <c r="CS44" i="41"/>
  <c r="DM282" i="41"/>
  <c r="CV54" i="41"/>
  <c r="CV38" i="41"/>
  <c r="CV50" i="41"/>
  <c r="CV37" i="41"/>
  <c r="CQ64" i="41"/>
  <c r="CQ63" i="41"/>
  <c r="CR67" i="41"/>
  <c r="DC118" i="3"/>
  <c r="DC129" i="3" s="1"/>
  <c r="AU64" i="3"/>
  <c r="AW62" i="3"/>
  <c r="DE45" i="3"/>
  <c r="DC45" i="3"/>
  <c r="DB56" i="3"/>
  <c r="DC56" i="3" s="1"/>
  <c r="CM75" i="42"/>
  <c r="CM74" i="42"/>
  <c r="AZ185" i="42"/>
  <c r="BC186" i="42"/>
  <c r="BC184" i="42" s="1"/>
  <c r="AX101" i="42"/>
  <c r="AW103" i="42"/>
  <c r="BI132" i="42"/>
  <c r="BG132" i="42"/>
  <c r="BF135" i="42"/>
  <c r="BG135" i="42" s="1"/>
  <c r="BG136" i="42" s="1"/>
  <c r="CS45" i="41" l="1"/>
  <c r="CS48" i="41"/>
  <c r="CU60" i="41"/>
  <c r="CU59" i="41"/>
  <c r="CU73" i="41"/>
  <c r="CU62" i="41"/>
  <c r="DA32" i="41"/>
  <c r="DB32" i="41" s="1"/>
  <c r="CX33" i="41"/>
  <c r="CY32" i="41"/>
  <c r="CY33" i="41" s="1"/>
  <c r="CX36" i="41"/>
  <c r="CV217" i="41"/>
  <c r="CV214" i="41"/>
  <c r="CV215" i="41" s="1"/>
  <c r="CV56" i="41"/>
  <c r="CV55" i="41"/>
  <c r="CV44" i="41"/>
  <c r="CV40" i="41" s="1"/>
  <c r="CV58" i="41"/>
  <c r="CR64" i="41"/>
  <c r="CR63" i="41"/>
  <c r="CU41" i="41"/>
  <c r="CU42" i="41"/>
  <c r="CS62" i="41"/>
  <c r="CS63" i="41" s="1"/>
  <c r="CS59" i="41"/>
  <c r="CR74" i="41"/>
  <c r="CS73" i="41"/>
  <c r="CS74" i="41" s="1"/>
  <c r="CU69" i="41"/>
  <c r="CU45" i="41"/>
  <c r="CU46" i="41"/>
  <c r="CU219" i="41"/>
  <c r="DP280" i="41"/>
  <c r="CV51" i="41"/>
  <c r="CV52" i="41"/>
  <c r="CV66" i="41"/>
  <c r="CU67" i="41"/>
  <c r="CW50" i="41"/>
  <c r="CW37" i="41"/>
  <c r="CW54" i="41"/>
  <c r="CW38" i="41"/>
  <c r="AX62" i="3"/>
  <c r="AW64" i="3"/>
  <c r="DE118" i="3"/>
  <c r="DE56" i="3"/>
  <c r="DF45" i="3"/>
  <c r="DF118" i="3" s="1"/>
  <c r="DF129" i="3" s="1"/>
  <c r="BI135" i="42"/>
  <c r="BJ132" i="42"/>
  <c r="BC185" i="42"/>
  <c r="BD186" i="42"/>
  <c r="BD184" i="42" s="1"/>
  <c r="AX103" i="42"/>
  <c r="AY101" i="42"/>
  <c r="CN75" i="42"/>
  <c r="CN74" i="42"/>
  <c r="CO249" i="1"/>
  <c r="DP281" i="41" l="1"/>
  <c r="DP282" i="41" s="1"/>
  <c r="CW214" i="41"/>
  <c r="CW215" i="41" s="1"/>
  <c r="CW217" i="41"/>
  <c r="DB33" i="41"/>
  <c r="DB36" i="41"/>
  <c r="DB37" i="41" s="1"/>
  <c r="CV219" i="41"/>
  <c r="CV42" i="41"/>
  <c r="CV41" i="41"/>
  <c r="CX54" i="41"/>
  <c r="CY54" i="41" s="1"/>
  <c r="CY55" i="41" s="1"/>
  <c r="CX38" i="41"/>
  <c r="CX50" i="41"/>
  <c r="CY50" i="41" s="1"/>
  <c r="CY51" i="41" s="1"/>
  <c r="CX37" i="41"/>
  <c r="CY36" i="41"/>
  <c r="CY37" i="41" s="1"/>
  <c r="CU63" i="41"/>
  <c r="CU64" i="41"/>
  <c r="CU70" i="41"/>
  <c r="CU74" i="41"/>
  <c r="CW52" i="41"/>
  <c r="CW51" i="41"/>
  <c r="CW66" i="41"/>
  <c r="CW55" i="41"/>
  <c r="CW56" i="41"/>
  <c r="CW44" i="41"/>
  <c r="CW40" i="41" s="1"/>
  <c r="CW58" i="41"/>
  <c r="CV73" i="41"/>
  <c r="CV74" i="41" s="1"/>
  <c r="CV62" i="41"/>
  <c r="CV60" i="41"/>
  <c r="CV59" i="41"/>
  <c r="CV69" i="41"/>
  <c r="CV67" i="41"/>
  <c r="CV46" i="41"/>
  <c r="CV45" i="41"/>
  <c r="DA33" i="41"/>
  <c r="DA36" i="41"/>
  <c r="DE129" i="3"/>
  <c r="DF56" i="3"/>
  <c r="DG45" i="3"/>
  <c r="DG118" i="3" s="1"/>
  <c r="DG129" i="3" s="1"/>
  <c r="AY62" i="3"/>
  <c r="AX64" i="3"/>
  <c r="AY103" i="42"/>
  <c r="AZ101" i="42"/>
  <c r="BD185" i="42"/>
  <c r="BE186" i="42"/>
  <c r="BE184" i="42" s="1"/>
  <c r="BJ135" i="42"/>
  <c r="BK132" i="42"/>
  <c r="CO75" i="42"/>
  <c r="CO74" i="42"/>
  <c r="CW219" i="41" l="1"/>
  <c r="DB50" i="41"/>
  <c r="DB54" i="41"/>
  <c r="DB38" i="41"/>
  <c r="CW41" i="41"/>
  <c r="CW42" i="41"/>
  <c r="CV63" i="41"/>
  <c r="CV64" i="41"/>
  <c r="CW69" i="41"/>
  <c r="CW70" i="41" s="1"/>
  <c r="CW67" i="41"/>
  <c r="CX52" i="41"/>
  <c r="CX51" i="41"/>
  <c r="CX66" i="41"/>
  <c r="CX69" i="41" s="1"/>
  <c r="DA50" i="41"/>
  <c r="DA37" i="41"/>
  <c r="DA54" i="41"/>
  <c r="DA38" i="41"/>
  <c r="CV70" i="41"/>
  <c r="CW73" i="41"/>
  <c r="CW62" i="41"/>
  <c r="CW60" i="41"/>
  <c r="CW59" i="41"/>
  <c r="CX217" i="41"/>
  <c r="CX214" i="41"/>
  <c r="CX215" i="41" s="1"/>
  <c r="CX44" i="41"/>
  <c r="CX40" i="41" s="1"/>
  <c r="CY40" i="41" s="1"/>
  <c r="CY41" i="41" s="1"/>
  <c r="CX56" i="41"/>
  <c r="CX55" i="41"/>
  <c r="CX58" i="41"/>
  <c r="DC32" i="41"/>
  <c r="CW45" i="41"/>
  <c r="CW46" i="41"/>
  <c r="AZ62" i="3"/>
  <c r="AY64" i="3"/>
  <c r="DG56" i="3"/>
  <c r="DH45" i="3"/>
  <c r="CP74" i="42"/>
  <c r="CP75" i="42"/>
  <c r="BE185" i="42"/>
  <c r="BF186" i="42"/>
  <c r="BF184" i="42" s="1"/>
  <c r="BL132" i="42"/>
  <c r="BK135" i="42"/>
  <c r="BC101" i="42"/>
  <c r="BA101" i="42"/>
  <c r="AZ103" i="42"/>
  <c r="DH118" i="3" l="1"/>
  <c r="DH129" i="3" s="1"/>
  <c r="DK45" i="3"/>
  <c r="DB217" i="41"/>
  <c r="DB214" i="41"/>
  <c r="DB215" i="41" s="1"/>
  <c r="DB58" i="41"/>
  <c r="DB56" i="41"/>
  <c r="DB55" i="41"/>
  <c r="DB44" i="41"/>
  <c r="DB40" i="41" s="1"/>
  <c r="DB52" i="41"/>
  <c r="DB51" i="41"/>
  <c r="CY44" i="41"/>
  <c r="CY45" i="41" s="1"/>
  <c r="CX70" i="41"/>
  <c r="BG186" i="42"/>
  <c r="BG185" i="42" s="1"/>
  <c r="CW64" i="41"/>
  <c r="CW63" i="41"/>
  <c r="CX67" i="41"/>
  <c r="CX45" i="41"/>
  <c r="CX46" i="41"/>
  <c r="DA52" i="41"/>
  <c r="DA51" i="41"/>
  <c r="DA66" i="41"/>
  <c r="CX60" i="41"/>
  <c r="CX59" i="41"/>
  <c r="CX73" i="41"/>
  <c r="CX74" i="41" s="1"/>
  <c r="CX62" i="41"/>
  <c r="CY58" i="41"/>
  <c r="CW74" i="41"/>
  <c r="DA214" i="41"/>
  <c r="DA215" i="41" s="1"/>
  <c r="DA217" i="41"/>
  <c r="DA55" i="41"/>
  <c r="DA56" i="41"/>
  <c r="DA44" i="41"/>
  <c r="DA40" i="41" s="1"/>
  <c r="DA58" i="41"/>
  <c r="CX41" i="41"/>
  <c r="CX42" i="41"/>
  <c r="CX219" i="41"/>
  <c r="DC33" i="41"/>
  <c r="DI45" i="3"/>
  <c r="DH56" i="3"/>
  <c r="DI56" i="3" s="1"/>
  <c r="BA62" i="3"/>
  <c r="AZ64" i="3"/>
  <c r="BF185" i="42"/>
  <c r="BI186" i="42"/>
  <c r="BM132" i="42"/>
  <c r="BL135" i="42"/>
  <c r="BM135" i="42" s="1"/>
  <c r="BM136" i="42" s="1"/>
  <c r="BO132" i="42"/>
  <c r="CS75" i="42"/>
  <c r="CS74" i="42"/>
  <c r="CY74" i="42" s="1"/>
  <c r="DE74" i="42" s="1"/>
  <c r="DK74" i="42" s="1"/>
  <c r="BC103" i="42"/>
  <c r="BD101" i="42"/>
  <c r="DI118" i="3" l="1"/>
  <c r="DI129" i="3" s="1"/>
  <c r="DL45" i="3"/>
  <c r="DK118" i="3"/>
  <c r="DK56" i="3"/>
  <c r="DB219" i="41"/>
  <c r="DB41" i="41"/>
  <c r="DB42" i="41"/>
  <c r="DB46" i="41"/>
  <c r="DB45" i="41"/>
  <c r="DB59" i="41"/>
  <c r="DB62" i="41"/>
  <c r="DB73" i="41"/>
  <c r="DB74" i="41" s="1"/>
  <c r="DB60" i="41"/>
  <c r="CY48" i="41"/>
  <c r="DA219" i="41"/>
  <c r="DA42" i="41"/>
  <c r="DA41" i="41"/>
  <c r="DE32" i="41"/>
  <c r="DE33" i="41" s="1"/>
  <c r="DG32" i="41"/>
  <c r="CY73" i="41"/>
  <c r="CY74" i="41" s="1"/>
  <c r="CY59" i="41"/>
  <c r="CY62" i="41"/>
  <c r="CY63" i="41" s="1"/>
  <c r="DA46" i="41"/>
  <c r="DA45" i="41"/>
  <c r="DA73" i="41"/>
  <c r="DA62" i="41"/>
  <c r="DA60" i="41"/>
  <c r="DA59" i="41"/>
  <c r="CX64" i="41"/>
  <c r="CX63" i="41"/>
  <c r="DA69" i="41"/>
  <c r="DA67" i="41"/>
  <c r="BA64" i="3"/>
  <c r="BC62" i="3"/>
  <c r="BD103" i="42"/>
  <c r="BE101" i="42"/>
  <c r="BO135" i="42"/>
  <c r="BP132" i="42"/>
  <c r="BI184" i="42"/>
  <c r="DK129" i="3" l="1"/>
  <c r="DM45" i="3"/>
  <c r="DL56" i="3"/>
  <c r="DL118" i="3"/>
  <c r="DL129" i="3" s="1"/>
  <c r="DB63" i="41"/>
  <c r="DB64" i="41"/>
  <c r="DA64" i="41"/>
  <c r="DA63" i="41"/>
  <c r="DG33" i="41"/>
  <c r="DH32" i="41"/>
  <c r="DA70" i="41"/>
  <c r="DA74" i="41"/>
  <c r="BD62" i="3"/>
  <c r="BC64" i="3"/>
  <c r="CT87" i="3"/>
  <c r="CT73" i="42" s="1"/>
  <c r="BI185" i="42"/>
  <c r="BJ186" i="42"/>
  <c r="BQ132" i="42"/>
  <c r="BP135" i="42"/>
  <c r="BE103" i="42"/>
  <c r="BF101" i="42"/>
  <c r="CO258" i="1"/>
  <c r="DN45" i="3" l="1"/>
  <c r="DM56" i="3"/>
  <c r="DM118" i="3"/>
  <c r="DM129" i="3" s="1"/>
  <c r="CT71" i="42"/>
  <c r="CT74" i="42"/>
  <c r="CZ74" i="42" s="1"/>
  <c r="DF74" i="42" s="1"/>
  <c r="DL74" i="42" s="1"/>
  <c r="DH33" i="41"/>
  <c r="DI32" i="41"/>
  <c r="BE62" i="3"/>
  <c r="BD64" i="3"/>
  <c r="BG101" i="42"/>
  <c r="BI101" i="42"/>
  <c r="BF103" i="42"/>
  <c r="BJ184" i="42"/>
  <c r="BR132" i="42"/>
  <c r="BQ135" i="42"/>
  <c r="DO45" i="3" l="1"/>
  <c r="DN56" i="3"/>
  <c r="DO56" i="3" s="1"/>
  <c r="DN118" i="3"/>
  <c r="CT70" i="42"/>
  <c r="CT75" i="42"/>
  <c r="DI33" i="41"/>
  <c r="DJ32" i="41"/>
  <c r="BF62" i="3"/>
  <c r="BE64" i="3"/>
  <c r="BI103" i="42"/>
  <c r="BJ101" i="42"/>
  <c r="BU132" i="42"/>
  <c r="BS132" i="42"/>
  <c r="BR135" i="42"/>
  <c r="BS135" i="42" s="1"/>
  <c r="BS136" i="42" s="1"/>
  <c r="BJ185" i="42"/>
  <c r="BK186" i="42"/>
  <c r="DN129" i="3" l="1"/>
  <c r="DO118" i="3"/>
  <c r="DO129" i="3" s="1"/>
  <c r="DM32" i="41"/>
  <c r="DJ33" i="41"/>
  <c r="DK32" i="41"/>
  <c r="DK33" i="41" s="1"/>
  <c r="BG62" i="3"/>
  <c r="BF64" i="3"/>
  <c r="BJ103" i="42"/>
  <c r="BK101" i="42"/>
  <c r="BK184" i="42"/>
  <c r="BU135" i="42"/>
  <c r="BV132" i="42"/>
  <c r="DM33" i="41" l="1"/>
  <c r="DN32" i="41"/>
  <c r="BI62" i="3"/>
  <c r="BG64" i="3"/>
  <c r="BK103" i="42"/>
  <c r="BL101" i="42"/>
  <c r="BK185" i="42"/>
  <c r="BL186" i="42"/>
  <c r="BM186" i="42" s="1"/>
  <c r="BM185" i="42" s="1"/>
  <c r="BV135" i="42"/>
  <c r="BW132" i="42"/>
  <c r="BL184" i="42" l="1"/>
  <c r="BO186" i="42" s="1"/>
  <c r="BO184" i="42" s="1"/>
  <c r="DN33" i="41"/>
  <c r="DO32" i="41"/>
  <c r="BJ62" i="3"/>
  <c r="BI64" i="3"/>
  <c r="BX132" i="42"/>
  <c r="BW135" i="42"/>
  <c r="BO101" i="42"/>
  <c r="BM101" i="42"/>
  <c r="BL103" i="42"/>
  <c r="BL185" i="42" l="1"/>
  <c r="DO33" i="41"/>
  <c r="DP32" i="41"/>
  <c r="DS32" i="41" s="1"/>
  <c r="BK62" i="3"/>
  <c r="BJ64" i="3"/>
  <c r="BO185" i="42"/>
  <c r="BP186" i="42"/>
  <c r="BP184" i="42" s="1"/>
  <c r="BO103" i="42"/>
  <c r="BP101" i="42"/>
  <c r="BX135" i="42"/>
  <c r="BY135" i="42" s="1"/>
  <c r="BY136" i="42" s="1"/>
  <c r="BY132" i="42"/>
  <c r="CA132" i="42"/>
  <c r="DS33" i="41" l="1"/>
  <c r="DT32" i="41"/>
  <c r="DP33" i="41"/>
  <c r="DQ32" i="41"/>
  <c r="DQ33" i="41" s="1"/>
  <c r="BL62" i="3"/>
  <c r="BK64" i="3"/>
  <c r="BP185" i="42"/>
  <c r="BQ186" i="42"/>
  <c r="BQ184" i="42" s="1"/>
  <c r="CA135" i="42"/>
  <c r="CB132" i="42"/>
  <c r="BQ101" i="42"/>
  <c r="BP103" i="42"/>
  <c r="DT33" i="41" l="1"/>
  <c r="DU32" i="41"/>
  <c r="BM62" i="3"/>
  <c r="BL64" i="3"/>
  <c r="BQ185" i="42"/>
  <c r="BR186" i="42"/>
  <c r="BR184" i="42" s="1"/>
  <c r="BQ103" i="42"/>
  <c r="BR101" i="42"/>
  <c r="CC132" i="42"/>
  <c r="CB135" i="42"/>
  <c r="DV32" i="41" l="1"/>
  <c r="DU33" i="41"/>
  <c r="BM64" i="3"/>
  <c r="BO62" i="3"/>
  <c r="BS186" i="42"/>
  <c r="BS185" i="42" s="1"/>
  <c r="BR185" i="42"/>
  <c r="BU186" i="42"/>
  <c r="CD132" i="42"/>
  <c r="CC135" i="42"/>
  <c r="BU101" i="42"/>
  <c r="BR103" i="42"/>
  <c r="BS101" i="42"/>
  <c r="DV33" i="41" l="1"/>
  <c r="DW32" i="41"/>
  <c r="DW33" i="41" s="1"/>
  <c r="BP62" i="3"/>
  <c r="BO64" i="3"/>
  <c r="CG132" i="42"/>
  <c r="CE132" i="42"/>
  <c r="CD135" i="42"/>
  <c r="CE135" i="42" s="1"/>
  <c r="CE136" i="42" s="1"/>
  <c r="BV101" i="42"/>
  <c r="BU103" i="42"/>
  <c r="BU184" i="42"/>
  <c r="BQ62" i="3" l="1"/>
  <c r="BP64" i="3"/>
  <c r="BU185" i="42"/>
  <c r="BV186" i="42"/>
  <c r="BV103" i="42"/>
  <c r="BW101" i="42"/>
  <c r="CG135" i="42"/>
  <c r="CH132" i="42"/>
  <c r="BR62" i="3" l="1"/>
  <c r="BQ64" i="3"/>
  <c r="CH135" i="42"/>
  <c r="CI132" i="42"/>
  <c r="BW103" i="42"/>
  <c r="BX101" i="42"/>
  <c r="BV184" i="42"/>
  <c r="BS62" i="3" l="1"/>
  <c r="BR64" i="3"/>
  <c r="BV185" i="42"/>
  <c r="BW186" i="42"/>
  <c r="CJ132" i="42"/>
  <c r="CI135" i="42"/>
  <c r="CA101" i="42"/>
  <c r="BY101" i="42"/>
  <c r="BX103" i="42"/>
  <c r="BS64" i="3" l="1"/>
  <c r="BU62" i="3"/>
  <c r="CK132" i="42"/>
  <c r="CJ135" i="42"/>
  <c r="CK135" i="42" s="1"/>
  <c r="CK136" i="42" s="1"/>
  <c r="CM132" i="42"/>
  <c r="CB101" i="42"/>
  <c r="CA103" i="42"/>
  <c r="BW184" i="42"/>
  <c r="BV62" i="3" l="1"/>
  <c r="BU64" i="3"/>
  <c r="BW185" i="42"/>
  <c r="BX186" i="42"/>
  <c r="BY186" i="42" s="1"/>
  <c r="BY185" i="42" s="1"/>
  <c r="CM135" i="42"/>
  <c r="CN132" i="42"/>
  <c r="CB103" i="42"/>
  <c r="CC101" i="42"/>
  <c r="BW62" i="3" l="1"/>
  <c r="BV64" i="3"/>
  <c r="CC103" i="42"/>
  <c r="CD101" i="42"/>
  <c r="CO132" i="42"/>
  <c r="CN135" i="42"/>
  <c r="BX184" i="42"/>
  <c r="BX62" i="3" l="1"/>
  <c r="BW64" i="3"/>
  <c r="CE101" i="42"/>
  <c r="CD103" i="42"/>
  <c r="CG101" i="42"/>
  <c r="CP132" i="42"/>
  <c r="CO135" i="42"/>
  <c r="BX185" i="42"/>
  <c r="CA186" i="42"/>
  <c r="CA184" i="42" s="1"/>
  <c r="BY62" i="3" l="1"/>
  <c r="BX64" i="3"/>
  <c r="CA185" i="42"/>
  <c r="CB186" i="42"/>
  <c r="CB184" i="42" s="1"/>
  <c r="CS132" i="42"/>
  <c r="CT132" i="42" s="1"/>
  <c r="CQ132" i="42"/>
  <c r="CP135" i="42"/>
  <c r="CQ135" i="42" s="1"/>
  <c r="CQ136" i="42" s="1"/>
  <c r="CH101" i="42"/>
  <c r="CG103" i="42"/>
  <c r="CT135" i="42" l="1"/>
  <c r="CU132" i="42"/>
  <c r="BY64" i="3"/>
  <c r="CA62" i="3"/>
  <c r="CB185" i="42"/>
  <c r="CC186" i="42"/>
  <c r="CS135" i="42"/>
  <c r="CH103" i="42"/>
  <c r="CI101" i="42"/>
  <c r="CU135" i="42" l="1"/>
  <c r="CV132" i="42"/>
  <c r="CB62" i="3"/>
  <c r="CA64" i="3"/>
  <c r="CI103" i="42"/>
  <c r="CJ101" i="42"/>
  <c r="CC184" i="42"/>
  <c r="CC62" i="3" l="1"/>
  <c r="CB64" i="3"/>
  <c r="CM101" i="42"/>
  <c r="CK101" i="42"/>
  <c r="CJ103" i="42"/>
  <c r="CC185" i="42"/>
  <c r="CD186" i="42"/>
  <c r="CE186" i="42" s="1"/>
  <c r="CE185" i="42" s="1"/>
  <c r="CD62" i="3" l="1"/>
  <c r="CC64" i="3"/>
  <c r="CW132" i="42"/>
  <c r="CY132" i="42"/>
  <c r="CD184" i="42"/>
  <c r="CN101" i="42"/>
  <c r="CM103" i="42"/>
  <c r="CE62" i="3" l="1"/>
  <c r="CD64" i="3"/>
  <c r="CD185" i="42"/>
  <c r="CG186" i="42"/>
  <c r="CZ132" i="42"/>
  <c r="CO101" i="42"/>
  <c r="CN103" i="42"/>
  <c r="CE64" i="3" l="1"/>
  <c r="CG62" i="3"/>
  <c r="CO103" i="42"/>
  <c r="CP101" i="42"/>
  <c r="CG184" i="42"/>
  <c r="DA132" i="42"/>
  <c r="CH62" i="3" l="1"/>
  <c r="CG64" i="3"/>
  <c r="CG185" i="42"/>
  <c r="CH186" i="42"/>
  <c r="CP103" i="42"/>
  <c r="CS101" i="42"/>
  <c r="CQ101" i="42"/>
  <c r="DB132" i="42"/>
  <c r="CI62" i="3" l="1"/>
  <c r="CH64" i="3"/>
  <c r="DE132" i="42"/>
  <c r="DC132" i="42"/>
  <c r="CH184" i="42"/>
  <c r="CS103" i="42"/>
  <c r="CJ62" i="3" l="1"/>
  <c r="CI64" i="3"/>
  <c r="CH185" i="42"/>
  <c r="CI186" i="42"/>
  <c r="DF132" i="42"/>
  <c r="CK62" i="3" l="1"/>
  <c r="CJ64" i="3"/>
  <c r="CI184" i="42"/>
  <c r="DG132" i="42"/>
  <c r="CK64" i="3" l="1"/>
  <c r="CM62" i="3"/>
  <c r="DH132" i="42"/>
  <c r="DK132" i="42" s="1"/>
  <c r="DL132" i="42" s="1"/>
  <c r="DM132" i="42" s="1"/>
  <c r="DN132" i="42" s="1"/>
  <c r="DO132" i="42" s="1"/>
  <c r="CI185" i="42"/>
  <c r="CJ186" i="42"/>
  <c r="CK186" i="42" s="1"/>
  <c r="CK185" i="42" s="1"/>
  <c r="CJ184" i="42" l="1"/>
  <c r="CJ185" i="42" s="1"/>
  <c r="CN62" i="3"/>
  <c r="CM64" i="3"/>
  <c r="DI132" i="42"/>
  <c r="CM186" i="42" l="1"/>
  <c r="CM184" i="42" s="1"/>
  <c r="CO62" i="3"/>
  <c r="CN64" i="3"/>
  <c r="CP62" i="3" l="1"/>
  <c r="CO64" i="3"/>
  <c r="CM185" i="42"/>
  <c r="CN186" i="42"/>
  <c r="CQ62" i="3" l="1"/>
  <c r="CP64" i="3"/>
  <c r="CN184" i="42"/>
  <c r="CQ64" i="3" l="1"/>
  <c r="CS62" i="3"/>
  <c r="CN185" i="42"/>
  <c r="CO186" i="42"/>
  <c r="CT62" i="3" l="1"/>
  <c r="CS64" i="3"/>
  <c r="CO184" i="42"/>
  <c r="CU62" i="3" l="1"/>
  <c r="CU64" i="3" s="1"/>
  <c r="CO185" i="42"/>
  <c r="CP186" i="42"/>
  <c r="CQ186" i="42" s="1"/>
  <c r="CQ185" i="42" s="1"/>
  <c r="CV62" i="3" l="1"/>
  <c r="CW62" i="3" s="1"/>
  <c r="CP184" i="42"/>
  <c r="CP185" i="42" l="1"/>
  <c r="CS186" i="42"/>
  <c r="CS184" i="42" l="1"/>
  <c r="CT186" i="42" s="1"/>
  <c r="CT184" i="42" s="1"/>
  <c r="CT185" i="42" l="1"/>
  <c r="CU186" i="42"/>
  <c r="CU184" i="42" s="1"/>
  <c r="CS185" i="42"/>
  <c r="CU185" i="42" l="1"/>
  <c r="CW54" i="42" l="1"/>
  <c r="CW184" i="42" l="1"/>
  <c r="T258" i="1" l="1"/>
  <c r="O258" i="1"/>
  <c r="AM258" i="1"/>
  <c r="AR258" i="1"/>
  <c r="BP258" i="1"/>
  <c r="U258" i="1"/>
  <c r="Z258" i="1"/>
  <c r="N258" i="1"/>
  <c r="AL258" i="1"/>
  <c r="BJ258" i="1"/>
  <c r="BI258" i="1"/>
  <c r="G258" i="1"/>
  <c r="P258" i="1"/>
  <c r="BL258" i="1"/>
  <c r="BV258" i="1"/>
  <c r="H258" i="1"/>
  <c r="V258" i="1"/>
  <c r="AA258" i="1"/>
  <c r="BR258" i="1"/>
  <c r="BW258" i="1"/>
  <c r="CB258" i="1"/>
  <c r="AW258" i="1"/>
  <c r="I258" i="1"/>
  <c r="AB258" i="1"/>
  <c r="AG258" i="1"/>
  <c r="AQ258" i="1"/>
  <c r="AZ258" i="1"/>
  <c r="BE258" i="1"/>
  <c r="BX258" i="1"/>
  <c r="CC258" i="1"/>
  <c r="CH258" i="1"/>
  <c r="J258" i="1"/>
  <c r="AH258" i="1"/>
  <c r="BF258" i="1"/>
  <c r="CD258" i="1"/>
  <c r="CI258" i="1"/>
  <c r="S249" i="1"/>
  <c r="AL249" i="1"/>
  <c r="BE249" i="1"/>
  <c r="H249" i="1"/>
  <c r="M249" i="1"/>
  <c r="V249" i="1"/>
  <c r="AA249" i="1"/>
  <c r="AF249" i="1"/>
  <c r="AK249" i="1"/>
  <c r="AT249" i="1"/>
  <c r="AY249" i="1"/>
  <c r="BD249" i="1"/>
  <c r="BI249" i="1"/>
  <c r="N249" i="1"/>
  <c r="AG249" i="1"/>
  <c r="AQ249" i="1"/>
  <c r="BJ249" i="1"/>
  <c r="T249" i="1"/>
  <c r="AM249" i="1"/>
  <c r="AW249" i="1"/>
  <c r="CI72" i="42"/>
  <c r="I249" i="1"/>
  <c r="AB249" i="1"/>
  <c r="AZ249" i="1"/>
  <c r="J249" i="1"/>
  <c r="O249" i="1"/>
  <c r="Y249" i="1"/>
  <c r="AH249" i="1"/>
  <c r="AR249" i="1"/>
  <c r="BF249" i="1"/>
  <c r="CD72" i="42"/>
  <c r="G249" i="1"/>
  <c r="P249" i="1"/>
  <c r="U249" i="1"/>
  <c r="Z249" i="1"/>
  <c r="AE249" i="1"/>
  <c r="AN249" i="1"/>
  <c r="AS249" i="1"/>
  <c r="AX249" i="1"/>
  <c r="BC249" i="1"/>
  <c r="BL249" i="1"/>
  <c r="AI249" i="1" l="1"/>
  <c r="K249" i="1"/>
  <c r="BG249" i="1"/>
  <c r="CC249" i="1"/>
  <c r="CC72" i="42"/>
  <c r="CG249" i="1"/>
  <c r="CG72" i="42"/>
  <c r="BU249" i="1"/>
  <c r="BU72" i="42"/>
  <c r="CH249" i="1"/>
  <c r="CH72" i="42"/>
  <c r="BQ68" i="42"/>
  <c r="BQ258" i="1" s="1"/>
  <c r="CA249" i="1"/>
  <c r="CA72" i="42"/>
  <c r="BV249" i="1"/>
  <c r="BV72" i="42"/>
  <c r="BP249" i="1"/>
  <c r="BP72" i="42"/>
  <c r="CB249" i="1"/>
  <c r="CB72" i="42"/>
  <c r="BW249" i="1"/>
  <c r="BW72" i="42"/>
  <c r="BR249" i="1"/>
  <c r="BR72" i="42"/>
  <c r="BO249" i="1"/>
  <c r="BO72" i="42"/>
  <c r="BX249" i="1"/>
  <c r="BX72" i="42"/>
  <c r="Y68" i="42"/>
  <c r="Y258" i="1" s="1"/>
  <c r="CI249" i="1"/>
  <c r="Q249" i="1"/>
  <c r="CD249" i="1"/>
  <c r="AC249" i="1"/>
  <c r="W249" i="1"/>
  <c r="BA249" i="1"/>
  <c r="AU249" i="1"/>
  <c r="AO249" i="1"/>
  <c r="BK249" i="1"/>
  <c r="BM249" i="1" s="1"/>
  <c r="BK258" i="1"/>
  <c r="BO258" i="1"/>
  <c r="AY258" i="1"/>
  <c r="AT258" i="1"/>
  <c r="AF258" i="1"/>
  <c r="AC68" i="42"/>
  <c r="AE68" i="42"/>
  <c r="AO68" i="42"/>
  <c r="AI68" i="42"/>
  <c r="AX258" i="1"/>
  <c r="BD258" i="1"/>
  <c r="AS258" i="1"/>
  <c r="AN258" i="1"/>
  <c r="AU258" i="1"/>
  <c r="CG258" i="1"/>
  <c r="BU258" i="1"/>
  <c r="CA258" i="1"/>
  <c r="Q258" i="1"/>
  <c r="W258" i="1"/>
  <c r="K258" i="1"/>
  <c r="BY249" i="1" l="1"/>
  <c r="CE249" i="1"/>
  <c r="BQ249" i="1"/>
  <c r="BS249" i="1" s="1"/>
  <c r="BQ72" i="42"/>
  <c r="AQ262" i="1"/>
  <c r="AQ256" i="1"/>
  <c r="AQ263" i="1"/>
  <c r="AK68" i="42"/>
  <c r="AK258" i="1" s="1"/>
  <c r="M68" i="42"/>
  <c r="M258" i="1" s="1"/>
  <c r="S68" i="42"/>
  <c r="S258" i="1" s="1"/>
  <c r="BA258" i="1"/>
  <c r="AC258" i="1"/>
  <c r="BS258" i="1"/>
  <c r="BY258" i="1"/>
  <c r="AE258" i="1"/>
  <c r="AO258" i="1"/>
  <c r="BG258" i="1"/>
  <c r="BC258" i="1"/>
  <c r="AR256" i="1" l="1"/>
  <c r="AR263" i="1"/>
  <c r="AR262" i="1"/>
  <c r="Z256" i="1"/>
  <c r="Z263" i="1"/>
  <c r="Z262" i="1"/>
  <c r="AT243" i="1"/>
  <c r="AS263" i="1"/>
  <c r="AX243" i="1"/>
  <c r="AS262" i="1"/>
  <c r="AW243" i="1"/>
  <c r="AS256" i="1"/>
  <c r="T263" i="1"/>
  <c r="T262" i="1"/>
  <c r="T256" i="1"/>
  <c r="T243" i="1"/>
  <c r="Y262" i="1"/>
  <c r="Y256" i="1"/>
  <c r="Y263" i="1"/>
  <c r="CE258" i="1"/>
  <c r="BM258" i="1"/>
  <c r="AI258" i="1"/>
  <c r="AB263" i="1" l="1"/>
  <c r="AG264" i="1" s="1"/>
  <c r="AB262" i="1"/>
  <c r="AB256" i="1"/>
  <c r="AG243" i="1"/>
  <c r="AN263" i="1"/>
  <c r="AR264" i="1" s="1"/>
  <c r="AN256" i="1"/>
  <c r="AN262" i="1"/>
  <c r="AU262" i="1"/>
  <c r="AU256" i="1"/>
  <c r="AU263" i="1"/>
  <c r="AU243" i="1"/>
  <c r="T264" i="1"/>
  <c r="AS264" i="1"/>
  <c r="AX264" i="1"/>
  <c r="AR243" i="1"/>
  <c r="U262" i="1"/>
  <c r="U256" i="1"/>
  <c r="U243" i="1"/>
  <c r="U263" i="1"/>
  <c r="AW264" i="1"/>
  <c r="AC262" i="1"/>
  <c r="AC256" i="1"/>
  <c r="AC243" i="1"/>
  <c r="AC263" i="1"/>
  <c r="AT264" i="1"/>
  <c r="AS243" i="1"/>
  <c r="CB69" i="42"/>
  <c r="CC69" i="42"/>
  <c r="BX69" i="42"/>
  <c r="CI69" i="42"/>
  <c r="CD69" i="42"/>
  <c r="BV69" i="42"/>
  <c r="AA263" i="1" l="1"/>
  <c r="AA262" i="1"/>
  <c r="AA256" i="1"/>
  <c r="AE243" i="1"/>
  <c r="U264" i="1"/>
  <c r="AB243" i="1"/>
  <c r="AF243" i="1"/>
  <c r="W263" i="1"/>
  <c r="W262" i="1"/>
  <c r="W256" i="1"/>
  <c r="W243" i="1"/>
  <c r="BW69" i="42"/>
  <c r="CH69" i="42"/>
  <c r="CG69" i="42"/>
  <c r="CA69" i="42"/>
  <c r="BU69" i="42"/>
  <c r="V243" i="1" l="1"/>
  <c r="V263" i="1"/>
  <c r="V262" i="1"/>
  <c r="V256" i="1"/>
  <c r="Y243" i="1"/>
  <c r="Z243" i="1"/>
  <c r="AF264" i="1"/>
  <c r="AE264" i="1"/>
  <c r="AB264" i="1"/>
  <c r="AA243" i="1"/>
  <c r="BY72" i="42"/>
  <c r="AF254" i="1"/>
  <c r="CE72" i="42" l="1"/>
  <c r="BS72" i="42"/>
  <c r="AA264" i="1"/>
  <c r="Y264" i="1"/>
  <c r="V264" i="1"/>
  <c r="Z264" i="1"/>
  <c r="AZ262" i="1"/>
  <c r="AZ263" i="1"/>
  <c r="BE264" i="1" s="1"/>
  <c r="AZ256" i="1"/>
  <c r="BD243" i="1"/>
  <c r="BC243" i="1"/>
  <c r="AZ243" i="1"/>
  <c r="BE243" i="1"/>
  <c r="AL263" i="1"/>
  <c r="AQ264" i="1" s="1"/>
  <c r="AL262" i="1"/>
  <c r="AL256" i="1"/>
  <c r="AQ243" i="1"/>
  <c r="AH263" i="1"/>
  <c r="AH262" i="1"/>
  <c r="AH256" i="1"/>
  <c r="AH243" i="1"/>
  <c r="AY263" i="1"/>
  <c r="AY262" i="1"/>
  <c r="AY256" i="1"/>
  <c r="AY243" i="1"/>
  <c r="AI263" i="1"/>
  <c r="AI262" i="1"/>
  <c r="AI256" i="1"/>
  <c r="AI243" i="1"/>
  <c r="BR69" i="42"/>
  <c r="AK263" i="1" l="1"/>
  <c r="AN264" i="1" s="1"/>
  <c r="AK262" i="1"/>
  <c r="AK256" i="1"/>
  <c r="AK243" i="1"/>
  <c r="BD264" i="1"/>
  <c r="AZ264" i="1"/>
  <c r="BC264" i="1"/>
  <c r="AY264" i="1"/>
  <c r="AH264" i="1"/>
  <c r="AL243" i="1"/>
  <c r="BA263" i="1"/>
  <c r="BA262" i="1"/>
  <c r="BA256" i="1"/>
  <c r="BA243" i="1"/>
  <c r="AN243" i="1"/>
  <c r="AO263" i="1"/>
  <c r="AO262" i="1"/>
  <c r="AO256" i="1"/>
  <c r="AO243" i="1"/>
  <c r="AM243" i="1"/>
  <c r="BQ69" i="42"/>
  <c r="AL264" i="1" l="1"/>
  <c r="AM264" i="1"/>
  <c r="AK264" i="1"/>
  <c r="BP69" i="42"/>
  <c r="CJ249" i="1" l="1"/>
  <c r="CK249" i="1" s="1"/>
  <c r="CJ72" i="42"/>
  <c r="BO69" i="42"/>
  <c r="CJ258" i="1" l="1"/>
  <c r="CK258" i="1" l="1"/>
  <c r="CM258" i="1"/>
  <c r="CJ69" i="42" l="1"/>
  <c r="CK72" i="42" l="1"/>
  <c r="CM72" i="42" l="1"/>
  <c r="CM249" i="1" l="1"/>
  <c r="CN249" i="1" l="1"/>
  <c r="CM69" i="42" l="1"/>
  <c r="L6" i="442" l="1"/>
  <c r="M6" i="442" l="1"/>
  <c r="N6" i="442" l="1"/>
  <c r="O6" i="442" l="1"/>
  <c r="P6" i="442" l="1"/>
  <c r="Q6" i="442" s="1"/>
  <c r="R6" i="442" s="1"/>
  <c r="S6" i="442" s="1"/>
  <c r="T6" i="442" s="1"/>
  <c r="CN69" i="42" l="1"/>
  <c r="CN258" i="1" l="1"/>
  <c r="CO69" i="42" l="1"/>
  <c r="CP72" i="42" l="1"/>
  <c r="CP258" i="1"/>
  <c r="CP249" i="1" l="1"/>
  <c r="CQ249" i="1" s="1"/>
  <c r="CQ258" i="1"/>
  <c r="CT200" i="1" l="1"/>
  <c r="CT183" i="1"/>
  <c r="CT237" i="1" l="1"/>
  <c r="CT201" i="1"/>
  <c r="CT184" i="1"/>
  <c r="DB307" i="41"/>
  <c r="CT216" i="1"/>
  <c r="CT219" i="1"/>
  <c r="CT217" i="1"/>
  <c r="CT93" i="42" l="1"/>
  <c r="CT88" i="42"/>
  <c r="CZ88" i="42" s="1"/>
  <c r="DF88" i="42" s="1"/>
  <c r="DL88" i="42" s="1"/>
  <c r="CT92" i="42"/>
  <c r="CT89" i="42"/>
  <c r="CZ89" i="42" s="1"/>
  <c r="DF89" i="42" s="1"/>
  <c r="DL89" i="42" s="1"/>
  <c r="CT94" i="42"/>
  <c r="CT90" i="42"/>
  <c r="CZ90" i="42" s="1"/>
  <c r="DF90" i="42" s="1"/>
  <c r="DL90" i="42" s="1"/>
  <c r="DB323" i="41"/>
  <c r="DB324" i="41" s="1"/>
  <c r="DB325" i="41" s="1"/>
  <c r="DB327" i="41"/>
  <c r="DB328" i="41" s="1"/>
  <c r="DB320" i="41"/>
  <c r="DB321" i="41" s="1"/>
  <c r="CT29" i="3"/>
  <c r="CT101" i="3" s="1"/>
  <c r="CT114" i="3"/>
  <c r="CT99" i="3"/>
  <c r="CT220" i="1"/>
  <c r="CT204" i="1"/>
  <c r="CT187" i="1"/>
  <c r="CT188" i="1"/>
  <c r="CT224" i="1"/>
  <c r="CT208" i="1"/>
  <c r="CT191" i="1"/>
  <c r="CT221" i="1"/>
  <c r="CT241" i="1"/>
  <c r="CT223" i="1"/>
  <c r="CT207" i="1"/>
  <c r="CT190" i="1"/>
  <c r="CT222" i="1"/>
  <c r="CT206" i="1"/>
  <c r="CT189" i="1"/>
  <c r="CT107" i="3" l="1"/>
  <c r="CT42" i="3"/>
  <c r="CT225" i="1"/>
  <c r="CT209" i="1"/>
  <c r="CT192" i="1"/>
  <c r="CT238" i="1"/>
  <c r="CT240" i="1" s="1"/>
  <c r="CT115" i="3" l="1"/>
  <c r="CT115" i="42"/>
  <c r="CT117" i="42" s="1"/>
  <c r="CZ117" i="42" s="1"/>
  <c r="CT101" i="42"/>
  <c r="CT227" i="1"/>
  <c r="CT239" i="1"/>
  <c r="CT245" i="1"/>
  <c r="CT246" i="1" s="1"/>
  <c r="CT211" i="1"/>
  <c r="CT194" i="1"/>
  <c r="CT85" i="3"/>
  <c r="DF117" i="42" l="1"/>
  <c r="DL117" i="42" s="1"/>
  <c r="CT67" i="1"/>
  <c r="CT69" i="1" s="1"/>
  <c r="CT109" i="42"/>
  <c r="CT110" i="42" s="1"/>
  <c r="CT102" i="42"/>
  <c r="CT103" i="42" s="1"/>
  <c r="CT68" i="1" l="1"/>
  <c r="CT270" i="1"/>
  <c r="CT228" i="1"/>
  <c r="CT212" i="1"/>
  <c r="CT195" i="1"/>
  <c r="CT82" i="3" l="1"/>
  <c r="CT242" i="1"/>
  <c r="CT213" i="1"/>
  <c r="CT196" i="1"/>
  <c r="CP69" i="42" l="1"/>
  <c r="CQ72" i="42" l="1"/>
  <c r="CS256" i="1" l="1"/>
  <c r="CS263" i="1"/>
  <c r="CS262" i="1"/>
  <c r="CS243" i="1"/>
  <c r="CS264" i="1" l="1"/>
  <c r="CT257" i="1" l="1"/>
  <c r="CT255" i="1" l="1"/>
  <c r="CS258" i="1" l="1"/>
  <c r="CT254" i="1" l="1"/>
  <c r="CS69" i="42" l="1"/>
  <c r="CY249" i="1" l="1"/>
  <c r="CY12" i="42"/>
  <c r="CY250" i="1" s="1"/>
  <c r="CY71" i="42"/>
  <c r="CY70" i="42" l="1"/>
  <c r="CY97" i="42"/>
  <c r="CT100" i="3" l="1"/>
  <c r="DB139" i="41" s="1"/>
  <c r="DB177" i="41" l="1"/>
  <c r="DB178" i="41" s="1"/>
  <c r="DB179" i="41"/>
  <c r="DB141" i="41"/>
  <c r="DB140" i="41"/>
  <c r="DB143" i="41"/>
  <c r="DB144" i="41" s="1"/>
  <c r="DB111" i="41"/>
  <c r="CT72" i="42"/>
  <c r="CZ72" i="42" s="1"/>
  <c r="DF72" i="42" s="1"/>
  <c r="DL72" i="42" s="1"/>
  <c r="CT249" i="1"/>
  <c r="DB248" i="41"/>
  <c r="DB115" i="41" l="1"/>
  <c r="DB112" i="41"/>
  <c r="CT69" i="42" s="1"/>
  <c r="DB113" i="41"/>
  <c r="DH111" i="41"/>
  <c r="DB281" i="41"/>
  <c r="DB282" i="41" s="1"/>
  <c r="DB254" i="41"/>
  <c r="DB260" i="41"/>
  <c r="DB249" i="41"/>
  <c r="CT250" i="1"/>
  <c r="DB172" i="41"/>
  <c r="DB171" i="41"/>
  <c r="DN111" i="41" l="1"/>
  <c r="DT111" i="41" s="1"/>
  <c r="DH113" i="41"/>
  <c r="DH281" i="41"/>
  <c r="DH282" i="41" s="1"/>
  <c r="DB116" i="41"/>
  <c r="DH115" i="41"/>
  <c r="DB117" i="41"/>
  <c r="CT24" i="3"/>
  <c r="CT97" i="3"/>
  <c r="CT30" i="3"/>
  <c r="CT98" i="3"/>
  <c r="DB255" i="41"/>
  <c r="DB251" i="41"/>
  <c r="DB250" i="41"/>
  <c r="DT281" i="41" l="1"/>
  <c r="DT282" i="41" s="1"/>
  <c r="DT113" i="41"/>
  <c r="DH117" i="41"/>
  <c r="DN115" i="41"/>
  <c r="DT115" i="41" s="1"/>
  <c r="DT117" i="41" s="1"/>
  <c r="DH11" i="41"/>
  <c r="DH12" i="41" s="1"/>
  <c r="DN113" i="41"/>
  <c r="DN281" i="41"/>
  <c r="DN282" i="41" s="1"/>
  <c r="DB257" i="41"/>
  <c r="CT102" i="3"/>
  <c r="CT66" i="3"/>
  <c r="CT67" i="3" s="1"/>
  <c r="CT31" i="3"/>
  <c r="CT69" i="3" s="1"/>
  <c r="CT70" i="3" s="1"/>
  <c r="CT60" i="3"/>
  <c r="CT64" i="3" s="1"/>
  <c r="CT96" i="3"/>
  <c r="DB256" i="41"/>
  <c r="DB252" i="41"/>
  <c r="DN11" i="41" l="1"/>
  <c r="DN12" i="41" s="1"/>
  <c r="DT11" i="41"/>
  <c r="DN117" i="41"/>
  <c r="DB181" i="41"/>
  <c r="DB180" i="41"/>
  <c r="CT256" i="1"/>
  <c r="CT160" i="3"/>
  <c r="CT104" i="3"/>
  <c r="CT243" i="1"/>
  <c r="CT156" i="3"/>
  <c r="CT263" i="1"/>
  <c r="CT103" i="3"/>
  <c r="CT133" i="3"/>
  <c r="CT144" i="3"/>
  <c r="CT145" i="3" s="1"/>
  <c r="CT262" i="1"/>
  <c r="CT139" i="3"/>
  <c r="DB261" i="41"/>
  <c r="DB258" i="41"/>
  <c r="CT149" i="3"/>
  <c r="CT251" i="1"/>
  <c r="CT253" i="1" s="1"/>
  <c r="CT61" i="42"/>
  <c r="CT62" i="42" s="1"/>
  <c r="DT12" i="41" l="1"/>
  <c r="CT137" i="3"/>
  <c r="CU135" i="3" s="1"/>
  <c r="CT264" i="1"/>
  <c r="CT140" i="3"/>
  <c r="CT165" i="3"/>
  <c r="CT146" i="3"/>
  <c r="CT148" i="3" l="1"/>
  <c r="CT231" i="1" l="1"/>
  <c r="CT248" i="1"/>
  <c r="DB146" i="41"/>
  <c r="DB159" i="41"/>
  <c r="DB162" i="41" s="1"/>
  <c r="CU236" i="1" l="1"/>
  <c r="CU182" i="1"/>
  <c r="CU199" i="1"/>
  <c r="CO85" i="42"/>
  <c r="DB173" i="41"/>
  <c r="DB189" i="41"/>
  <c r="DB163" i="41"/>
  <c r="DB66" i="41"/>
  <c r="DB192" i="41"/>
  <c r="DB161" i="41"/>
  <c r="DB184" i="41"/>
  <c r="DB160" i="41"/>
  <c r="DB174" i="41"/>
  <c r="DB170" i="41"/>
  <c r="DC22" i="41"/>
  <c r="DB148" i="41"/>
  <c r="DB147" i="41"/>
  <c r="DC150" i="41" l="1"/>
  <c r="DC108" i="41"/>
  <c r="DI108" i="41" s="1"/>
  <c r="DU108" i="41" s="1"/>
  <c r="DH170" i="41"/>
  <c r="DN170" i="41" s="1"/>
  <c r="DT170" i="41" s="1"/>
  <c r="DB187" i="41"/>
  <c r="CT68" i="42"/>
  <c r="CU203" i="1"/>
  <c r="CU186" i="1"/>
  <c r="DB69" i="41"/>
  <c r="DB67" i="41"/>
  <c r="DC24" i="41"/>
  <c r="DC23" i="41"/>
  <c r="DC165" i="41" s="1"/>
  <c r="DB176" i="41"/>
  <c r="DB175" i="41"/>
  <c r="CT258" i="1" l="1"/>
  <c r="DC152" i="41"/>
  <c r="DC153" i="41"/>
  <c r="DC167" i="41"/>
  <c r="DC168" i="41" s="1"/>
  <c r="DC151" i="41"/>
  <c r="DB120" i="41"/>
  <c r="DB119" i="41" s="1"/>
  <c r="DB70" i="41"/>
  <c r="CZ258" i="1" l="1"/>
  <c r="CU184" i="1"/>
  <c r="CU201" i="1"/>
  <c r="CU237" i="1"/>
  <c r="CU216" i="1"/>
  <c r="CU219" i="1"/>
  <c r="DB122" i="41"/>
  <c r="DC241" i="41"/>
  <c r="DC240" i="41"/>
  <c r="DC239" i="41"/>
  <c r="CU217" i="1"/>
  <c r="CU183" i="1"/>
  <c r="CU200" i="1"/>
  <c r="DF258" i="1" l="1"/>
  <c r="CU93" i="42"/>
  <c r="CY93" i="42" s="1"/>
  <c r="CZ93" i="42" s="1"/>
  <c r="DA93" i="42" s="1"/>
  <c r="DB93" i="42" s="1"/>
  <c r="DE93" i="42" s="1"/>
  <c r="DF93" i="42" s="1"/>
  <c r="DG93" i="42" s="1"/>
  <c r="DH93" i="42" s="1"/>
  <c r="DK93" i="42" s="1"/>
  <c r="DL93" i="42" s="1"/>
  <c r="DM93" i="42" s="1"/>
  <c r="DN93" i="42" s="1"/>
  <c r="CU90" i="42"/>
  <c r="DA90" i="42" s="1"/>
  <c r="DG90" i="42" s="1"/>
  <c r="DM90" i="42" s="1"/>
  <c r="CU88" i="42"/>
  <c r="DA88" i="42" s="1"/>
  <c r="DG88" i="42" s="1"/>
  <c r="DM88" i="42" s="1"/>
  <c r="CU94" i="42"/>
  <c r="CU92" i="42"/>
  <c r="CU89" i="42"/>
  <c r="DA89" i="42" s="1"/>
  <c r="DG89" i="42" s="1"/>
  <c r="DM89" i="42" s="1"/>
  <c r="CU208" i="1"/>
  <c r="CU224" i="1"/>
  <c r="CU191" i="1"/>
  <c r="CU222" i="1"/>
  <c r="CU189" i="1"/>
  <c r="CU206" i="1"/>
  <c r="DC307" i="41"/>
  <c r="CW125" i="42"/>
  <c r="CU223" i="1"/>
  <c r="CU190" i="1"/>
  <c r="CU241" i="1"/>
  <c r="CU207" i="1"/>
  <c r="CU99" i="3"/>
  <c r="CU101" i="3"/>
  <c r="DH124" i="41"/>
  <c r="CU114" i="3" l="1"/>
  <c r="CU192" i="1"/>
  <c r="CU209" i="1"/>
  <c r="CU225" i="1"/>
  <c r="DH127" i="41"/>
  <c r="DH126" i="41"/>
  <c r="DH139" i="41"/>
  <c r="DK134" i="41"/>
  <c r="DK135" i="41"/>
  <c r="CU187" i="1"/>
  <c r="CU220" i="1"/>
  <c r="CU204" i="1"/>
  <c r="CU221" i="1"/>
  <c r="CU188" i="1"/>
  <c r="CU238" i="1"/>
  <c r="CU240" i="1" s="1"/>
  <c r="CU194" i="1" l="1"/>
  <c r="CU211" i="1"/>
  <c r="CU227" i="1"/>
  <c r="CU239" i="1"/>
  <c r="CU245" i="1"/>
  <c r="CU246" i="1" s="1"/>
  <c r="DH141" i="41"/>
  <c r="DH140" i="41"/>
  <c r="CZ249" i="1"/>
  <c r="DH248" i="41"/>
  <c r="CZ71" i="42"/>
  <c r="CZ12" i="42"/>
  <c r="DH249" i="41" l="1"/>
  <c r="CZ250" i="1"/>
  <c r="CZ97" i="42"/>
  <c r="CZ70" i="42"/>
  <c r="DH254" i="41"/>
  <c r="CU228" i="1" l="1"/>
  <c r="CU212" i="1"/>
  <c r="CU195" i="1"/>
  <c r="DH251" i="41"/>
  <c r="DH255" i="41"/>
  <c r="DH250" i="41"/>
  <c r="CU270" i="1" l="1"/>
  <c r="CU213" i="1"/>
  <c r="CU242" i="1"/>
  <c r="CU196" i="1"/>
  <c r="DH256" i="41"/>
  <c r="DH252" i="41"/>
  <c r="DH257" i="41"/>
  <c r="DH258" i="41" l="1"/>
  <c r="CU82" i="3" l="1"/>
  <c r="CU254" i="1" l="1"/>
  <c r="DM135" i="41" l="1"/>
  <c r="DN135" i="41" l="1"/>
  <c r="DP135" i="41" l="1"/>
  <c r="DO135" i="41" l="1"/>
  <c r="DQ135" i="41" s="1"/>
  <c r="DQ134" i="41"/>
  <c r="CU231" i="1" l="1"/>
  <c r="DG117" i="41" l="1"/>
  <c r="DJ115" i="41"/>
  <c r="DP115" i="41" s="1"/>
  <c r="DV115" i="41" l="1"/>
  <c r="DS117" i="41"/>
  <c r="DP11" i="41"/>
  <c r="DM117" i="41"/>
  <c r="DJ11" i="41"/>
  <c r="DV11" i="41" l="1"/>
  <c r="DV12" i="41" s="1"/>
  <c r="DP12" i="41"/>
  <c r="DJ12" i="41"/>
  <c r="DC8" i="41"/>
  <c r="DD8" i="41" s="1"/>
  <c r="DD9" i="41" l="1"/>
  <c r="DD36" i="41"/>
  <c r="DD155" i="41"/>
  <c r="DD10" i="41"/>
  <c r="DD17" i="41"/>
  <c r="DD18" i="41" s="1"/>
  <c r="DG8" i="41"/>
  <c r="DG36" i="41" s="1"/>
  <c r="DC155" i="41"/>
  <c r="DC9" i="41"/>
  <c r="DC10" i="41"/>
  <c r="DC36" i="41"/>
  <c r="DC17" i="41"/>
  <c r="DC327" i="41"/>
  <c r="DE11" i="41"/>
  <c r="DC323" i="41"/>
  <c r="DC12" i="41"/>
  <c r="DD19" i="41" l="1"/>
  <c r="DD157" i="41"/>
  <c r="DD156" i="41"/>
  <c r="DD50" i="41"/>
  <c r="DD54" i="41"/>
  <c r="DD37" i="41"/>
  <c r="DD38" i="41"/>
  <c r="DE8" i="41"/>
  <c r="DG9" i="41"/>
  <c r="DG17" i="41"/>
  <c r="DH8" i="41"/>
  <c r="DH9" i="41" s="1"/>
  <c r="DC157" i="41"/>
  <c r="DC156" i="41"/>
  <c r="DC324" i="41"/>
  <c r="DC325" i="41" s="1"/>
  <c r="DC37" i="41"/>
  <c r="DC38" i="41"/>
  <c r="DC54" i="41"/>
  <c r="DC50" i="41"/>
  <c r="DE12" i="41"/>
  <c r="DG37" i="41"/>
  <c r="DC328" i="41"/>
  <c r="DC18" i="41"/>
  <c r="DD20" i="41" s="1"/>
  <c r="DC320" i="41"/>
  <c r="DC321" i="41" s="1"/>
  <c r="DD56" i="41" l="1"/>
  <c r="DD55" i="41"/>
  <c r="DD44" i="41"/>
  <c r="DD40" i="41" s="1"/>
  <c r="DD58" i="41"/>
  <c r="DD51" i="41"/>
  <c r="DD52" i="41"/>
  <c r="DD26" i="41"/>
  <c r="DH10" i="41"/>
  <c r="DH36" i="41"/>
  <c r="DH54" i="41" s="1"/>
  <c r="DH17" i="41"/>
  <c r="DE9" i="41"/>
  <c r="DE36" i="41"/>
  <c r="DE37" i="41" s="1"/>
  <c r="DG50" i="41"/>
  <c r="DG51" i="41" s="1"/>
  <c r="L14" i="442"/>
  <c r="DG10" i="41"/>
  <c r="DE50" i="41"/>
  <c r="DE51" i="41" s="1"/>
  <c r="DG54" i="41"/>
  <c r="DG56" i="41" s="1"/>
  <c r="DC217" i="41"/>
  <c r="DC214" i="41"/>
  <c r="DC215" i="41" s="1"/>
  <c r="DC51" i="41"/>
  <c r="DC52" i="41"/>
  <c r="DC19" i="41"/>
  <c r="DC20" i="41"/>
  <c r="DC26" i="41"/>
  <c r="DC27" i="41" s="1"/>
  <c r="DC28" i="41" s="1"/>
  <c r="DC55" i="41"/>
  <c r="DC44" i="41"/>
  <c r="DC40" i="41" s="1"/>
  <c r="DE54" i="41"/>
  <c r="DE55" i="41" s="1"/>
  <c r="DC56" i="41"/>
  <c r="DC58" i="41"/>
  <c r="DD27" i="41" l="1"/>
  <c r="DD28" i="41" s="1"/>
  <c r="DD60" i="41"/>
  <c r="DD59" i="41"/>
  <c r="DD41" i="41"/>
  <c r="DD42" i="41"/>
  <c r="DD45" i="41"/>
  <c r="DD46" i="41"/>
  <c r="L15" i="442"/>
  <c r="L90" i="442"/>
  <c r="DC219" i="41"/>
  <c r="DH37" i="41"/>
  <c r="DH50" i="41"/>
  <c r="DH52" i="41" s="1"/>
  <c r="DH38" i="41"/>
  <c r="DG52" i="41"/>
  <c r="DG44" i="41"/>
  <c r="DG40" i="41" s="1"/>
  <c r="DG41" i="41" s="1"/>
  <c r="DG38" i="41"/>
  <c r="DG55" i="41"/>
  <c r="DC41" i="41"/>
  <c r="DC42" i="41"/>
  <c r="DC59" i="41"/>
  <c r="DC73" i="41"/>
  <c r="DC60" i="41"/>
  <c r="DC62" i="41"/>
  <c r="DC45" i="41"/>
  <c r="DE44" i="41"/>
  <c r="DC46" i="41"/>
  <c r="DH56" i="41"/>
  <c r="DH55" i="41"/>
  <c r="DH44" i="41"/>
  <c r="L91" i="442" l="1"/>
  <c r="L95" i="442"/>
  <c r="L96" i="442" s="1"/>
  <c r="L134" i="442"/>
  <c r="DG45" i="41"/>
  <c r="DH40" i="41"/>
  <c r="DH41" i="41" s="1"/>
  <c r="DH51" i="41"/>
  <c r="DE40" i="41"/>
  <c r="DE41" i="41" s="1"/>
  <c r="DG42" i="41"/>
  <c r="DG46" i="41"/>
  <c r="DC64" i="41"/>
  <c r="DC63" i="41"/>
  <c r="DH46" i="41"/>
  <c r="DH45" i="41"/>
  <c r="DE45" i="41"/>
  <c r="DE48" i="41"/>
  <c r="DC74" i="41"/>
  <c r="L135" i="442" l="1"/>
  <c r="L139" i="442"/>
  <c r="L140" i="442" s="1"/>
  <c r="DH42" i="41"/>
  <c r="CU100" i="3" l="1"/>
  <c r="CU248" i="1"/>
  <c r="DC139" i="41"/>
  <c r="DC146" i="41"/>
  <c r="DC159" i="41"/>
  <c r="DC143" i="41" l="1"/>
  <c r="DC144" i="41" s="1"/>
  <c r="DD141" i="41"/>
  <c r="DD143" i="41"/>
  <c r="DD144" i="41" s="1"/>
  <c r="DC66" i="41"/>
  <c r="DD160" i="41"/>
  <c r="CV68" i="42" s="1"/>
  <c r="DD162" i="41"/>
  <c r="DC248" i="41"/>
  <c r="DC177" i="41"/>
  <c r="DC178" i="41" s="1"/>
  <c r="DC148" i="41"/>
  <c r="DD148" i="41"/>
  <c r="DC147" i="41"/>
  <c r="DC179" i="41"/>
  <c r="DC174" i="41"/>
  <c r="DC176" i="41" s="1"/>
  <c r="DC249" i="41"/>
  <c r="DC170" i="41"/>
  <c r="DI170" i="41" s="1"/>
  <c r="DO170" i="41" s="1"/>
  <c r="DU170" i="41" s="1"/>
  <c r="DC161" i="41"/>
  <c r="DC141" i="41"/>
  <c r="DC163" i="41"/>
  <c r="DC160" i="41"/>
  <c r="CU68" i="42" s="1"/>
  <c r="DC173" i="41"/>
  <c r="DC162" i="41"/>
  <c r="DC67" i="41"/>
  <c r="DC69" i="41"/>
  <c r="CU249" i="1"/>
  <c r="DC111" i="41"/>
  <c r="DD113" i="41" s="1"/>
  <c r="CP85" i="42"/>
  <c r="CW13" i="1"/>
  <c r="CV182" i="1"/>
  <c r="CV199" i="1"/>
  <c r="CV236" i="1"/>
  <c r="DC140" i="41"/>
  <c r="CV258" i="1" l="1"/>
  <c r="CU258" i="1"/>
  <c r="DC175" i="41"/>
  <c r="DC250" i="41"/>
  <c r="DC251" i="41"/>
  <c r="DC255" i="41"/>
  <c r="CW29" i="1"/>
  <c r="CW30" i="1" s="1"/>
  <c r="DC70" i="41"/>
  <c r="DE18" i="41"/>
  <c r="DE19" i="41" s="1"/>
  <c r="DE22" i="41"/>
  <c r="L11" i="442"/>
  <c r="L9" i="442" s="1"/>
  <c r="CW14" i="1"/>
  <c r="CW153" i="1"/>
  <c r="CW182" i="1"/>
  <c r="CW236" i="1"/>
  <c r="DE111" i="41"/>
  <c r="DI111" i="41"/>
  <c r="DC112" i="41"/>
  <c r="CU69" i="42" s="1"/>
  <c r="DC113" i="41"/>
  <c r="DC281" i="41"/>
  <c r="DE281" i="41" s="1"/>
  <c r="DE284" i="41" s="1"/>
  <c r="DC115" i="41"/>
  <c r="DD117" i="41" s="1"/>
  <c r="DC254" i="41"/>
  <c r="CU250" i="1"/>
  <c r="DB258" i="1" l="1"/>
  <c r="DA258" i="1"/>
  <c r="DC257" i="41"/>
  <c r="DC256" i="41"/>
  <c r="DC252" i="41"/>
  <c r="DC188" i="41"/>
  <c r="DC183" i="41"/>
  <c r="DD186" i="41" s="1"/>
  <c r="DD187" i="41" s="1"/>
  <c r="DC282" i="41"/>
  <c r="DE282" i="41" s="1"/>
  <c r="DE285" i="41" s="1"/>
  <c r="L12" i="442"/>
  <c r="L17" i="442"/>
  <c r="L18" i="442" s="1"/>
  <c r="L19" i="442"/>
  <c r="L20" i="442" s="1"/>
  <c r="CU97" i="3"/>
  <c r="L189" i="442"/>
  <c r="L198" i="442" s="1"/>
  <c r="DE115" i="41"/>
  <c r="DE116" i="41" s="1"/>
  <c r="DE139" i="41"/>
  <c r="DE112" i="41"/>
  <c r="DC120" i="41"/>
  <c r="DC119" i="41" s="1"/>
  <c r="DE105" i="41"/>
  <c r="DI115" i="41"/>
  <c r="DI11" i="41" s="1"/>
  <c r="DC116" i="41"/>
  <c r="DC117" i="41"/>
  <c r="CW24" i="1"/>
  <c r="CV203" i="1"/>
  <c r="CV186" i="1"/>
  <c r="DE23" i="41"/>
  <c r="DE165" i="41" s="1"/>
  <c r="DE150" i="41"/>
  <c r="DJ113" i="41"/>
  <c r="DI281" i="41"/>
  <c r="DK281" i="41" s="1"/>
  <c r="DK284" i="41" s="1"/>
  <c r="DK111" i="41"/>
  <c r="DO111" i="41"/>
  <c r="DU111" i="41" s="1"/>
  <c r="DI113" i="41"/>
  <c r="DE58" i="41"/>
  <c r="DD62" i="41"/>
  <c r="DD73" i="41"/>
  <c r="DH258" i="1" l="1"/>
  <c r="DC142" i="41"/>
  <c r="DD142" i="41"/>
  <c r="DE106" i="41"/>
  <c r="DD120" i="41"/>
  <c r="DD119" i="41" s="1"/>
  <c r="DD122" i="41" s="1"/>
  <c r="DG258" i="1"/>
  <c r="DU113" i="41"/>
  <c r="DU281" i="41"/>
  <c r="DV113" i="41"/>
  <c r="DW111" i="41"/>
  <c r="DI282" i="41"/>
  <c r="DK282" i="41" s="1"/>
  <c r="DK285" i="41" s="1"/>
  <c r="DC258" i="41"/>
  <c r="M189" i="442"/>
  <c r="M198" i="442" s="1"/>
  <c r="DK112" i="41"/>
  <c r="DI12" i="41"/>
  <c r="DK11" i="41"/>
  <c r="DI8" i="41"/>
  <c r="CW186" i="1"/>
  <c r="L41" i="442"/>
  <c r="DB142" i="41"/>
  <c r="DE180" i="41"/>
  <c r="DE140" i="41"/>
  <c r="DA142" i="41"/>
  <c r="DE59" i="41"/>
  <c r="DE62" i="41"/>
  <c r="DE63" i="41" s="1"/>
  <c r="DE167" i="41"/>
  <c r="DJ117" i="41"/>
  <c r="DO115" i="41"/>
  <c r="DU115" i="41" s="1"/>
  <c r="DI117" i="41"/>
  <c r="DD240" i="41"/>
  <c r="DD241" i="41"/>
  <c r="DD239" i="41"/>
  <c r="DC122" i="41"/>
  <c r="DC184" i="41"/>
  <c r="DC185" i="41"/>
  <c r="DC186" i="41"/>
  <c r="DC187" i="41" s="1"/>
  <c r="DC194" i="41"/>
  <c r="DE73" i="41"/>
  <c r="DE74" i="41" s="1"/>
  <c r="DD74" i="41"/>
  <c r="DD63" i="41"/>
  <c r="DD64" i="41"/>
  <c r="DQ111" i="41"/>
  <c r="N189" i="442" s="1"/>
  <c r="N198" i="442" s="1"/>
  <c r="DO113" i="41"/>
  <c r="DP113" i="41"/>
  <c r="DO281" i="41"/>
  <c r="DQ281" i="41" s="1"/>
  <c r="DQ284" i="41" s="1"/>
  <c r="CW16" i="1"/>
  <c r="CV183" i="1"/>
  <c r="CV200" i="1"/>
  <c r="DC191" i="41"/>
  <c r="DC189" i="41"/>
  <c r="DC190" i="41"/>
  <c r="DW112" i="41" l="1"/>
  <c r="O189" i="442"/>
  <c r="O198" i="442" s="1"/>
  <c r="DU282" i="41"/>
  <c r="DW282" i="41" s="1"/>
  <c r="DW281" i="41"/>
  <c r="DW284" i="41" s="1"/>
  <c r="DU117" i="41"/>
  <c r="DV117" i="41"/>
  <c r="DU11" i="41"/>
  <c r="DO11" i="41"/>
  <c r="DO12" i="41" s="1"/>
  <c r="CV217" i="1"/>
  <c r="DO117" i="41"/>
  <c r="DP117" i="41"/>
  <c r="DI17" i="41"/>
  <c r="DI9" i="41"/>
  <c r="DI10" i="41"/>
  <c r="DJ8" i="41"/>
  <c r="DI36" i="41"/>
  <c r="CU61" i="42"/>
  <c r="CU62" i="42" s="1"/>
  <c r="CU149" i="3"/>
  <c r="CU251" i="1"/>
  <c r="CV201" i="1"/>
  <c r="CV184" i="1"/>
  <c r="CV237" i="1"/>
  <c r="DD217" i="41"/>
  <c r="CV216" i="1"/>
  <c r="CV219" i="1"/>
  <c r="CW31" i="1"/>
  <c r="CW32" i="1" s="1"/>
  <c r="DK12" i="41"/>
  <c r="DK115" i="41"/>
  <c r="DK116" i="41" s="1"/>
  <c r="DC192" i="41"/>
  <c r="DC193" i="41"/>
  <c r="L22" i="442"/>
  <c r="CW17" i="1"/>
  <c r="CW183" i="1"/>
  <c r="CW19" i="1"/>
  <c r="DO282" i="41"/>
  <c r="DQ282" i="41" s="1"/>
  <c r="DQ285" i="41" s="1"/>
  <c r="DI124" i="41"/>
  <c r="DE240" i="41"/>
  <c r="DE241" i="41"/>
  <c r="DE168" i="41"/>
  <c r="DE239" i="41" s="1"/>
  <c r="DE254" i="41"/>
  <c r="DQ112" i="41"/>
  <c r="L42" i="442"/>
  <c r="CU253" i="1" l="1"/>
  <c r="DQ11" i="41"/>
  <c r="DQ12" i="41" s="1"/>
  <c r="DU12" i="41"/>
  <c r="DW11" i="41"/>
  <c r="DW285" i="41"/>
  <c r="CW10" i="1"/>
  <c r="CW11" i="1"/>
  <c r="CW20" i="1"/>
  <c r="CW50" i="1"/>
  <c r="CW184" i="1"/>
  <c r="CW237" i="1"/>
  <c r="CW216" i="1"/>
  <c r="CW219" i="1"/>
  <c r="CW25" i="1"/>
  <c r="CV187" i="1"/>
  <c r="CV204" i="1"/>
  <c r="CV220" i="1"/>
  <c r="CV221" i="1"/>
  <c r="CV188" i="1"/>
  <c r="CW45" i="1"/>
  <c r="CV208" i="1"/>
  <c r="CV191" i="1"/>
  <c r="CV224" i="1"/>
  <c r="CW122" i="42"/>
  <c r="CW217" i="1"/>
  <c r="L23" i="442"/>
  <c r="L25" i="442"/>
  <c r="L33" i="442"/>
  <c r="L27" i="442"/>
  <c r="CW33" i="1"/>
  <c r="CW34" i="1" s="1"/>
  <c r="CW41" i="1"/>
  <c r="CV207" i="1"/>
  <c r="CV190" i="1"/>
  <c r="CV223" i="1"/>
  <c r="CV241" i="1"/>
  <c r="CW72" i="1"/>
  <c r="DI54" i="41"/>
  <c r="DI37" i="41"/>
  <c r="DI38" i="41"/>
  <c r="DI50" i="41"/>
  <c r="DI126" i="41"/>
  <c r="DI127" i="41"/>
  <c r="DI139" i="41"/>
  <c r="CW37" i="1"/>
  <c r="CV189" i="1"/>
  <c r="CV222" i="1"/>
  <c r="CV206" i="1"/>
  <c r="DD307" i="41"/>
  <c r="CW31" i="42"/>
  <c r="DK8" i="41"/>
  <c r="DJ36" i="41"/>
  <c r="DM8" i="41"/>
  <c r="DJ17" i="41"/>
  <c r="DJ9" i="41"/>
  <c r="DJ10" i="41"/>
  <c r="DQ115" i="41" l="1"/>
  <c r="DQ116" i="41" s="1"/>
  <c r="DW12" i="41"/>
  <c r="DW115" i="41"/>
  <c r="DA12" i="42"/>
  <c r="DA249" i="1"/>
  <c r="DI141" i="41"/>
  <c r="DI248" i="41"/>
  <c r="DI140" i="41"/>
  <c r="DI51" i="41"/>
  <c r="DI52" i="41"/>
  <c r="CY112" i="42"/>
  <c r="L28" i="442"/>
  <c r="L185" i="442"/>
  <c r="L200" i="442"/>
  <c r="CW26" i="1"/>
  <c r="DD211" i="41"/>
  <c r="CV231" i="1"/>
  <c r="CW231" i="1"/>
  <c r="CW16" i="42"/>
  <c r="CW26" i="42"/>
  <c r="DJ37" i="41"/>
  <c r="DJ38" i="41"/>
  <c r="DJ50" i="41"/>
  <c r="DK36" i="41"/>
  <c r="DK37" i="41" s="1"/>
  <c r="DJ54" i="41"/>
  <c r="DK54" i="41" s="1"/>
  <c r="DK55" i="41" s="1"/>
  <c r="CW38" i="1"/>
  <c r="CW39" i="1"/>
  <c r="CW189" i="1"/>
  <c r="CW222" i="1"/>
  <c r="CW71" i="1"/>
  <c r="CW101" i="1"/>
  <c r="CW127" i="42"/>
  <c r="CW42" i="1"/>
  <c r="CW43" i="1"/>
  <c r="CW190" i="1"/>
  <c r="CW223" i="1"/>
  <c r="CW241" i="1"/>
  <c r="CW25" i="42"/>
  <c r="CY125" i="42"/>
  <c r="CW9" i="1"/>
  <c r="DM10" i="41"/>
  <c r="DM9" i="41"/>
  <c r="DN8" i="41"/>
  <c r="DM17" i="41"/>
  <c r="DM36" i="41"/>
  <c r="DD320" i="41"/>
  <c r="DD321" i="41" s="1"/>
  <c r="DD327" i="41"/>
  <c r="DD328" i="41" s="1"/>
  <c r="DD323" i="41"/>
  <c r="DD324" i="41" s="1"/>
  <c r="DD325" i="41" s="1"/>
  <c r="M14" i="442"/>
  <c r="M15" i="442" s="1"/>
  <c r="M91" i="442" s="1"/>
  <c r="DK9" i="41"/>
  <c r="CW36" i="42"/>
  <c r="CW58" i="1"/>
  <c r="CW238" i="1" s="1"/>
  <c r="CW240" i="1" s="1"/>
  <c r="CV192" i="1"/>
  <c r="CV209" i="1"/>
  <c r="CV225" i="1"/>
  <c r="DD214" i="41"/>
  <c r="CW124" i="42"/>
  <c r="CW46" i="1"/>
  <c r="CW47" i="1"/>
  <c r="CW191" i="1"/>
  <c r="CW224" i="1"/>
  <c r="CV238" i="1"/>
  <c r="CV240" i="1" s="1"/>
  <c r="CW187" i="1"/>
  <c r="CW220" i="1"/>
  <c r="CW188" i="1"/>
  <c r="CW221" i="1"/>
  <c r="DI55" i="41"/>
  <c r="DI56" i="41"/>
  <c r="DI44" i="41"/>
  <c r="DW116" i="41" l="1"/>
  <c r="L48" i="442"/>
  <c r="DN10" i="41"/>
  <c r="DN9" i="41"/>
  <c r="DO8" i="41"/>
  <c r="DN17" i="41"/>
  <c r="DN36" i="41"/>
  <c r="DJ44" i="41"/>
  <c r="DK44" i="41" s="1"/>
  <c r="DJ55" i="41"/>
  <c r="DJ56" i="41"/>
  <c r="DD212" i="41"/>
  <c r="DE211" i="41"/>
  <c r="DE212" i="41" s="1"/>
  <c r="DI249" i="41"/>
  <c r="DA97" i="42"/>
  <c r="DA250" i="1"/>
  <c r="DI45" i="41"/>
  <c r="DI46" i="41"/>
  <c r="CW29" i="3"/>
  <c r="CV101" i="3"/>
  <c r="CW101" i="3" s="1"/>
  <c r="CW61" i="1"/>
  <c r="CW62" i="1" s="1"/>
  <c r="DD215" i="41"/>
  <c r="DD219" i="41"/>
  <c r="CW59" i="1"/>
  <c r="CW192" i="1"/>
  <c r="CW225" i="1"/>
  <c r="M90" i="442"/>
  <c r="M135" i="442"/>
  <c r="N135" i="442" s="1"/>
  <c r="DM54" i="41"/>
  <c r="DM38" i="41"/>
  <c r="DM37" i="41"/>
  <c r="DM50" i="41"/>
  <c r="DJ51" i="41"/>
  <c r="DJ52" i="41"/>
  <c r="DE177" i="41"/>
  <c r="DE178" i="41" s="1"/>
  <c r="DE179" i="41"/>
  <c r="DK50" i="41"/>
  <c r="DK51" i="41" s="1"/>
  <c r="DI254" i="41"/>
  <c r="CW64" i="1"/>
  <c r="CV194" i="1"/>
  <c r="CV227" i="1"/>
  <c r="CV239" i="1"/>
  <c r="CV211" i="1"/>
  <c r="CV245" i="1"/>
  <c r="CV246" i="1" s="1"/>
  <c r="CW41" i="3"/>
  <c r="CV114" i="3"/>
  <c r="CW114" i="3" s="1"/>
  <c r="M101" i="442"/>
  <c r="N101" i="442" s="1"/>
  <c r="DI40" i="41"/>
  <c r="O135" i="442" l="1"/>
  <c r="P135" i="442" s="1"/>
  <c r="Q135" i="442" s="1"/>
  <c r="R135" i="442" s="1"/>
  <c r="S135" i="442" s="1"/>
  <c r="T135" i="442" s="1"/>
  <c r="O101" i="442"/>
  <c r="P101" i="442" s="1"/>
  <c r="Q101" i="442" s="1"/>
  <c r="R101" i="442" s="1"/>
  <c r="S101" i="442" s="1"/>
  <c r="T101" i="442" s="1"/>
  <c r="DJ40" i="41"/>
  <c r="DK40" i="41" s="1"/>
  <c r="DK41" i="41" s="1"/>
  <c r="CW79" i="1"/>
  <c r="CW77" i="1"/>
  <c r="DI41" i="41"/>
  <c r="DI42" i="41"/>
  <c r="L36" i="442"/>
  <c r="L49" i="442" s="1"/>
  <c r="CW65" i="1"/>
  <c r="CW98" i="1"/>
  <c r="CW194" i="1"/>
  <c r="CW227" i="1"/>
  <c r="CW239" i="1"/>
  <c r="DM52" i="41"/>
  <c r="DM51" i="41"/>
  <c r="M134" i="442"/>
  <c r="DK45" i="41"/>
  <c r="DK48" i="41"/>
  <c r="DI251" i="41"/>
  <c r="DI250" i="41"/>
  <c r="DI255" i="41"/>
  <c r="DN54" i="41"/>
  <c r="DN38" i="41"/>
  <c r="DN37" i="41"/>
  <c r="DN50" i="41"/>
  <c r="DJ45" i="41"/>
  <c r="DJ46" i="41"/>
  <c r="CW99" i="1"/>
  <c r="CW100" i="1" s="1"/>
  <c r="CW93" i="1"/>
  <c r="CW94" i="1" s="1"/>
  <c r="DM55" i="41"/>
  <c r="DM44" i="41"/>
  <c r="DM40" i="41" s="1"/>
  <c r="DM56" i="41"/>
  <c r="DP8" i="41"/>
  <c r="DS8" i="41" s="1"/>
  <c r="DO17" i="41"/>
  <c r="DO36" i="41"/>
  <c r="DO10" i="41"/>
  <c r="DO9" i="41"/>
  <c r="DS36" i="41" l="1"/>
  <c r="DS9" i="41"/>
  <c r="DT8" i="41"/>
  <c r="DS17" i="41"/>
  <c r="DJ42" i="41"/>
  <c r="DJ41" i="41"/>
  <c r="CW84" i="1"/>
  <c r="DM41" i="41"/>
  <c r="DM42" i="41"/>
  <c r="DN56" i="41"/>
  <c r="DN55" i="41"/>
  <c r="DN44" i="41"/>
  <c r="DN40" i="41" s="1"/>
  <c r="N134" i="442"/>
  <c r="O134" i="442" s="1"/>
  <c r="CW80" i="1"/>
  <c r="DO37" i="41"/>
  <c r="DO50" i="41"/>
  <c r="DO54" i="41"/>
  <c r="DO38" i="41"/>
  <c r="DM46" i="41"/>
  <c r="DM45" i="41"/>
  <c r="CW102" i="1"/>
  <c r="DN52" i="41"/>
  <c r="DN51" i="41"/>
  <c r="DI256" i="41"/>
  <c r="DI252" i="41"/>
  <c r="DP9" i="41"/>
  <c r="DQ8" i="41"/>
  <c r="DS10" i="41" s="1"/>
  <c r="DP17" i="41"/>
  <c r="DP36" i="41"/>
  <c r="DP10" i="41"/>
  <c r="DI257" i="41"/>
  <c r="L31" i="442"/>
  <c r="L32" i="442" s="1"/>
  <c r="L37" i="442"/>
  <c r="L47" i="442"/>
  <c r="L39" i="442" l="1"/>
  <c r="DT9" i="41"/>
  <c r="DT36" i="41"/>
  <c r="DT10" i="41"/>
  <c r="DU8" i="41"/>
  <c r="DT17" i="41"/>
  <c r="DS54" i="41"/>
  <c r="DS37" i="41"/>
  <c r="DS50" i="41"/>
  <c r="CW228" i="1"/>
  <c r="CW86" i="1"/>
  <c r="CW87" i="1" s="1"/>
  <c r="CW195" i="1"/>
  <c r="CW89" i="1"/>
  <c r="CV212" i="1"/>
  <c r="CV195" i="1"/>
  <c r="CV228" i="1"/>
  <c r="DO51" i="41"/>
  <c r="DO52" i="41"/>
  <c r="N14" i="442"/>
  <c r="DQ9" i="41"/>
  <c r="DI258" i="41"/>
  <c r="DN42" i="41"/>
  <c r="DN41" i="41"/>
  <c r="CV10" i="3"/>
  <c r="CW106" i="1"/>
  <c r="DP38" i="41"/>
  <c r="DP37" i="41"/>
  <c r="DP50" i="41"/>
  <c r="DQ36" i="41"/>
  <c r="DQ37" i="41" s="1"/>
  <c r="DP54" i="41"/>
  <c r="DQ54" i="41" s="1"/>
  <c r="DQ55" i="41" s="1"/>
  <c r="CW103" i="1"/>
  <c r="CW104" i="1" s="1"/>
  <c r="CV270" i="1"/>
  <c r="CW270" i="1" s="1"/>
  <c r="DN46" i="41"/>
  <c r="DN45" i="41"/>
  <c r="DO44" i="41"/>
  <c r="DO56" i="41"/>
  <c r="DO55" i="41"/>
  <c r="CW245" i="1"/>
  <c r="CW246" i="1" s="1"/>
  <c r="L75" i="442" l="1"/>
  <c r="L76" i="442" s="1"/>
  <c r="L159" i="442"/>
  <c r="L115" i="442"/>
  <c r="DS52" i="41"/>
  <c r="DS51" i="41"/>
  <c r="DU17" i="41"/>
  <c r="DU9" i="41"/>
  <c r="DU36" i="41"/>
  <c r="DU10" i="41"/>
  <c r="DV8" i="41"/>
  <c r="DT54" i="41"/>
  <c r="DT37" i="41"/>
  <c r="DT50" i="41"/>
  <c r="DT38" i="41"/>
  <c r="DS38" i="41"/>
  <c r="DS55" i="41"/>
  <c r="DS56" i="41"/>
  <c r="DS44" i="41"/>
  <c r="CW242" i="1"/>
  <c r="CW196" i="1"/>
  <c r="DO45" i="41"/>
  <c r="DO46" i="41"/>
  <c r="CW95" i="1"/>
  <c r="CW96" i="1" s="1"/>
  <c r="DP52" i="41"/>
  <c r="DP51" i="41"/>
  <c r="DQ50" i="41"/>
  <c r="DQ51" i="41" s="1"/>
  <c r="CW107" i="1"/>
  <c r="CW108" i="1"/>
  <c r="CW109" i="1" s="1"/>
  <c r="P134" i="442"/>
  <c r="CV82" i="3"/>
  <c r="CW10" i="3"/>
  <c r="CV213" i="1"/>
  <c r="CV196" i="1"/>
  <c r="CV242" i="1"/>
  <c r="DP44" i="41"/>
  <c r="DP56" i="41"/>
  <c r="DP55" i="41"/>
  <c r="CW55" i="42"/>
  <c r="N15" i="442"/>
  <c r="DO40" i="41"/>
  <c r="DS40" i="41" l="1"/>
  <c r="DS45" i="41"/>
  <c r="DS46" i="41"/>
  <c r="DV9" i="41"/>
  <c r="DV36" i="41"/>
  <c r="DV10" i="41"/>
  <c r="DW8" i="41"/>
  <c r="DV17" i="41"/>
  <c r="DU54" i="41"/>
  <c r="DU37" i="41"/>
  <c r="DU38" i="41"/>
  <c r="DU50" i="41"/>
  <c r="DT51" i="41"/>
  <c r="DT52" i="41"/>
  <c r="DT56" i="41"/>
  <c r="DT44" i="41"/>
  <c r="DT55" i="41"/>
  <c r="N91" i="442"/>
  <c r="DO42" i="41"/>
  <c r="DO41" i="41"/>
  <c r="DP46" i="41"/>
  <c r="DP45" i="41"/>
  <c r="CW82" i="3"/>
  <c r="Q134" i="442"/>
  <c r="DP40" i="41"/>
  <c r="DQ40" i="41" s="1"/>
  <c r="DQ41" i="41" s="1"/>
  <c r="DQ44" i="41"/>
  <c r="N90" i="442" l="1"/>
  <c r="DT45" i="41"/>
  <c r="DT46" i="41"/>
  <c r="DT40" i="41"/>
  <c r="DU55" i="41"/>
  <c r="DU56" i="41"/>
  <c r="DU44" i="41"/>
  <c r="DU40" i="41" s="1"/>
  <c r="DW9" i="41"/>
  <c r="O14" i="442"/>
  <c r="O15" i="442" s="1"/>
  <c r="DV50" i="41"/>
  <c r="DW36" i="41"/>
  <c r="DW37" i="41" s="1"/>
  <c r="DV54" i="41"/>
  <c r="DV37" i="41"/>
  <c r="DV38" i="41"/>
  <c r="DU52" i="41"/>
  <c r="DU51" i="41"/>
  <c r="DS42" i="41"/>
  <c r="DS41" i="41"/>
  <c r="DQ45" i="41"/>
  <c r="DQ48" i="41"/>
  <c r="DP42" i="41"/>
  <c r="DP41" i="41"/>
  <c r="R134" i="442"/>
  <c r="O91" i="442" l="1"/>
  <c r="O90" i="442" s="1"/>
  <c r="P15" i="442"/>
  <c r="P91" i="442" s="1"/>
  <c r="DU42" i="41"/>
  <c r="DU41" i="41"/>
  <c r="DV55" i="41"/>
  <c r="DV56" i="41"/>
  <c r="DV44" i="41"/>
  <c r="DW44" i="41" s="1"/>
  <c r="DV52" i="41"/>
  <c r="DV51" i="41"/>
  <c r="DW50" i="41"/>
  <c r="DW51" i="41" s="1"/>
  <c r="DU46" i="41"/>
  <c r="DU45" i="41"/>
  <c r="DW54" i="41"/>
  <c r="DW55" i="41" s="1"/>
  <c r="DT41" i="41"/>
  <c r="DT42" i="41"/>
  <c r="S134" i="442"/>
  <c r="T134" i="442" s="1"/>
  <c r="Q15" i="442" l="1"/>
  <c r="R15" i="442" s="1"/>
  <c r="S15" i="442" s="1"/>
  <c r="T15" i="442" s="1"/>
  <c r="P14" i="442"/>
  <c r="DV40" i="41"/>
  <c r="DW40" i="41" s="1"/>
  <c r="DW41" i="41" s="1"/>
  <c r="P90" i="442"/>
  <c r="DW48" i="41"/>
  <c r="DW45" i="41"/>
  <c r="DV45" i="41"/>
  <c r="DV46" i="41"/>
  <c r="DV42" i="41" l="1"/>
  <c r="Q14" i="442"/>
  <c r="R14" i="442" s="1"/>
  <c r="Q91" i="442"/>
  <c r="Q90" i="442" s="1"/>
  <c r="DV41" i="41"/>
  <c r="T91" i="442"/>
  <c r="R91" i="442"/>
  <c r="R90" i="442" l="1"/>
  <c r="S91" i="442"/>
  <c r="S14" i="442"/>
  <c r="T14" i="442" s="1"/>
  <c r="S90" i="442" l="1"/>
  <c r="T90" i="442" s="1"/>
  <c r="K82" i="442" l="1"/>
  <c r="DE77" i="41" l="1"/>
  <c r="DC78" i="41"/>
  <c r="DC79" i="41"/>
  <c r="DE79" i="41" l="1"/>
  <c r="DE80" i="41" l="1"/>
  <c r="DC81" i="41"/>
  <c r="DC82" i="41"/>
  <c r="DE82" i="41" l="1"/>
  <c r="DE83" i="41"/>
  <c r="DE85" i="41" s="1"/>
  <c r="DC84" i="41"/>
  <c r="DC85" i="41"/>
  <c r="DE86" i="41" l="1"/>
  <c r="DE89" i="41" s="1"/>
  <c r="DC87" i="41"/>
  <c r="DC88" i="41"/>
  <c r="DC89" i="41"/>
  <c r="DC92" i="41" s="1"/>
  <c r="DC93" i="41"/>
  <c r="DI93" i="41" s="1"/>
  <c r="DC94" i="41"/>
  <c r="DI94" i="41" s="1"/>
  <c r="DI92" i="41" l="1"/>
  <c r="DC98" i="41"/>
  <c r="DC100" i="41"/>
  <c r="DC99" i="41"/>
  <c r="DC95" i="41"/>
  <c r="DC101" i="41" s="1"/>
  <c r="DE88" i="41"/>
  <c r="DO92" i="41"/>
  <c r="DI95" i="41"/>
  <c r="DO94" i="41"/>
  <c r="DU94" i="41" s="1"/>
  <c r="DU95" i="41" s="1"/>
  <c r="DO93" i="41"/>
  <c r="DI101" i="41" l="1"/>
  <c r="DO95" i="41"/>
  <c r="DU101" i="41" s="1"/>
  <c r="DO101" i="41" l="1"/>
  <c r="CU85" i="3" l="1"/>
  <c r="CU102" i="42" s="1"/>
  <c r="CU87" i="3"/>
  <c r="CU73" i="42" s="1"/>
  <c r="CU96" i="3"/>
  <c r="CU98" i="3"/>
  <c r="CU107" i="3"/>
  <c r="CU255" i="1" s="1"/>
  <c r="CU120" i="3"/>
  <c r="CU146" i="42" s="1"/>
  <c r="CU67" i="1"/>
  <c r="CU68" i="1" s="1"/>
  <c r="CU257" i="1"/>
  <c r="CU129" i="3" l="1"/>
  <c r="CU102" i="3"/>
  <c r="CU144" i="3" s="1"/>
  <c r="CU145" i="3" s="1"/>
  <c r="CU69" i="1"/>
  <c r="CU101" i="42"/>
  <c r="CU115" i="42"/>
  <c r="CU115" i="3"/>
  <c r="CU169" i="42"/>
  <c r="CU172" i="42" s="1"/>
  <c r="CU145" i="42"/>
  <c r="CV145" i="42" s="1"/>
  <c r="CV146" i="42" s="1"/>
  <c r="CU109" i="42"/>
  <c r="CU71" i="42"/>
  <c r="CU74" i="42"/>
  <c r="DA74" i="42" l="1"/>
  <c r="DG74" i="42" s="1"/>
  <c r="DM74" i="42" s="1"/>
  <c r="CU256" i="1"/>
  <c r="CU263" i="1"/>
  <c r="CU264" i="1" s="1"/>
  <c r="DC180" i="41"/>
  <c r="CU156" i="3"/>
  <c r="DC181" i="41"/>
  <c r="CU103" i="3"/>
  <c r="CU104" i="3"/>
  <c r="CU139" i="3"/>
  <c r="CU133" i="3"/>
  <c r="CU137" i="3" s="1"/>
  <c r="CV135" i="3" s="1"/>
  <c r="CU160" i="3"/>
  <c r="CU243" i="1"/>
  <c r="CU262" i="1"/>
  <c r="CU178" i="42"/>
  <c r="CU179" i="42" s="1"/>
  <c r="CU110" i="42"/>
  <c r="CU117" i="42"/>
  <c r="CU75" i="42"/>
  <c r="CU70" i="42"/>
  <c r="CU72" i="42"/>
  <c r="DA72" i="42" s="1"/>
  <c r="CU103" i="42"/>
  <c r="CW145" i="42"/>
  <c r="CU181" i="42"/>
  <c r="DG117" i="42" l="1"/>
  <c r="DM117" i="42" s="1"/>
  <c r="DA117" i="42"/>
  <c r="CU165" i="3"/>
  <c r="CU140" i="3"/>
  <c r="CU146" i="3"/>
  <c r="CU148" i="3" s="1"/>
  <c r="CW146" i="42"/>
  <c r="CW152" i="42" s="1"/>
  <c r="DA71" i="42"/>
  <c r="DG72" i="42"/>
  <c r="DM72" i="42" s="1"/>
  <c r="DA70" i="42" l="1"/>
  <c r="CW47" i="3"/>
  <c r="CV56" i="3"/>
  <c r="CW56" i="3" s="1"/>
  <c r="CV120" i="3"/>
  <c r="CY51" i="42" l="1"/>
  <c r="CV56" i="42"/>
  <c r="CW51" i="42"/>
  <c r="CV139" i="42"/>
  <c r="CY177" i="42"/>
  <c r="CY178" i="42" s="1"/>
  <c r="CY179" i="42" s="1"/>
  <c r="CW19" i="42"/>
  <c r="CV129" i="3"/>
  <c r="CW120" i="3"/>
  <c r="CW129" i="3" s="1"/>
  <c r="CV133" i="42" l="1"/>
  <c r="CV135" i="42"/>
  <c r="CW139" i="42"/>
  <c r="CV169" i="42"/>
  <c r="CW56" i="42"/>
  <c r="CW133" i="42" s="1"/>
  <c r="CW134" i="42" s="1"/>
  <c r="DC177" i="42"/>
  <c r="DC178" i="42" s="1"/>
  <c r="CV57" i="42"/>
  <c r="CW135" i="42"/>
  <c r="CW136" i="42" s="1"/>
  <c r="CZ51" i="42"/>
  <c r="CZ177" i="42"/>
  <c r="CZ178" i="42" s="1"/>
  <c r="CY139" i="42"/>
  <c r="CV181" i="42" l="1"/>
  <c r="CW181" i="42" s="1"/>
  <c r="CW169" i="42"/>
  <c r="CV172" i="42"/>
  <c r="DA51" i="42"/>
  <c r="DA177" i="42"/>
  <c r="DA178" i="42" s="1"/>
  <c r="CZ139" i="42"/>
  <c r="CW57" i="42"/>
  <c r="CW254" i="1" s="1"/>
  <c r="CV254" i="1"/>
  <c r="CZ179" i="42"/>
  <c r="CV178" i="42" l="1"/>
  <c r="CV179" i="42" s="1"/>
  <c r="CW172" i="42"/>
  <c r="CW178" i="42" s="1"/>
  <c r="CW179" i="42" s="1"/>
  <c r="DA179" i="42"/>
  <c r="DB51" i="42"/>
  <c r="DB177" i="42"/>
  <c r="DB178" i="42" s="1"/>
  <c r="DA139" i="42"/>
  <c r="DB179" i="42" l="1"/>
  <c r="DC51" i="42"/>
  <c r="DE51" i="42"/>
  <c r="DB139" i="42"/>
  <c r="DC139" i="42" s="1"/>
  <c r="DE177" i="42"/>
  <c r="DE178" i="42" s="1"/>
  <c r="DF51" i="42" l="1"/>
  <c r="DF177" i="42"/>
  <c r="DF178" i="42" s="1"/>
  <c r="DE139" i="42"/>
  <c r="DE179" i="42"/>
  <c r="DI177" i="42"/>
  <c r="DI178" i="42" s="1"/>
  <c r="DC179" i="42"/>
  <c r="DF179" i="42" l="1"/>
  <c r="DG51" i="42"/>
  <c r="DG177" i="42"/>
  <c r="DG178" i="42" s="1"/>
  <c r="DF139" i="42"/>
  <c r="DG179" i="42" l="1"/>
  <c r="DH51" i="42"/>
  <c r="DG139" i="42"/>
  <c r="DH177" i="42"/>
  <c r="DH178" i="42" s="1"/>
  <c r="DK177" i="42" l="1"/>
  <c r="DK178" i="42" s="1"/>
  <c r="DK51" i="42"/>
  <c r="DH179" i="42"/>
  <c r="DI51" i="42"/>
  <c r="DO177" i="42" s="1"/>
  <c r="DO178" i="42" s="1"/>
  <c r="DH139" i="42"/>
  <c r="DI139" i="42" s="1"/>
  <c r="DK179" i="42" l="1"/>
  <c r="DL177" i="42"/>
  <c r="DL178" i="42" s="1"/>
  <c r="DK139" i="42"/>
  <c r="DL51" i="42"/>
  <c r="DI179" i="42"/>
  <c r="DM51" i="42" l="1"/>
  <c r="DM177" i="42"/>
  <c r="DM178" i="42" s="1"/>
  <c r="DL139" i="42"/>
  <c r="DL179" i="42"/>
  <c r="DM179" i="42" l="1"/>
  <c r="DN177" i="42"/>
  <c r="DN178" i="42" s="1"/>
  <c r="DM139" i="42"/>
  <c r="DN51" i="42"/>
  <c r="DO51" i="42" l="1"/>
  <c r="DO179" i="42" s="1"/>
  <c r="DN139" i="42"/>
  <c r="DO139" i="42" s="1"/>
  <c r="DN179" i="42"/>
  <c r="Q53" i="442" l="1"/>
  <c r="R53" i="442" s="1"/>
  <c r="S53" i="442" s="1"/>
  <c r="T53" i="442" s="1"/>
  <c r="DD172" i="41" l="1"/>
  <c r="DD171" i="41"/>
  <c r="CV149" i="3" l="1"/>
  <c r="CV61" i="42"/>
  <c r="CV62" i="42" s="1"/>
  <c r="CW10" i="42"/>
  <c r="CV251" i="1"/>
  <c r="CV253" i="1" s="1"/>
  <c r="CY72" i="1"/>
  <c r="CY71" i="1" s="1"/>
  <c r="CY101" i="1" l="1"/>
  <c r="CW149" i="3"/>
  <c r="CW251" i="1"/>
  <c r="CW253" i="1" s="1"/>
  <c r="L71" i="442"/>
  <c r="M71" i="442" l="1"/>
  <c r="L127" i="442"/>
  <c r="L171" i="442" s="1"/>
  <c r="M127" i="442" l="1"/>
  <c r="M171" i="442" s="1"/>
  <c r="N71" i="442"/>
  <c r="N127" i="442" s="1"/>
  <c r="N171" i="442" s="1"/>
  <c r="CV250" i="1"/>
  <c r="CY25" i="3"/>
  <c r="CW66" i="42"/>
  <c r="CW12" i="42"/>
  <c r="L43" i="442" s="1"/>
  <c r="L45" i="442" s="1"/>
  <c r="CW25" i="3" l="1"/>
  <c r="L44" i="442"/>
  <c r="L46" i="442" s="1"/>
  <c r="CV97" i="3"/>
  <c r="CW250" i="1"/>
  <c r="CY97" i="3"/>
  <c r="CZ25" i="3"/>
  <c r="CZ97" i="3" s="1"/>
  <c r="CW97" i="3" l="1"/>
  <c r="DA25" i="3"/>
  <c r="DA97" i="3" s="1"/>
  <c r="CV17" i="42"/>
  <c r="CW17" i="42" s="1"/>
  <c r="CW14" i="42"/>
  <c r="DE183" i="41"/>
  <c r="DE186" i="41" l="1"/>
  <c r="CW23" i="42"/>
  <c r="CV27" i="42"/>
  <c r="CV248" i="1"/>
  <c r="DE151" i="41"/>
  <c r="CW83" i="42"/>
  <c r="CW33" i="42"/>
  <c r="CW248" i="1" s="1"/>
  <c r="CW79" i="42"/>
  <c r="DE146" i="41"/>
  <c r="DE147" i="41" s="1"/>
  <c r="CW28" i="3"/>
  <c r="DG150" i="41"/>
  <c r="CW27" i="42" l="1"/>
  <c r="DE159" i="41"/>
  <c r="CV100" i="3"/>
  <c r="CW100" i="3" s="1"/>
  <c r="DG153" i="41"/>
  <c r="DG152" i="41"/>
  <c r="DG155" i="41"/>
  <c r="CY13" i="1"/>
  <c r="DD173" i="41"/>
  <c r="DD66" i="41"/>
  <c r="DD174" i="41"/>
  <c r="DD170" i="41"/>
  <c r="DJ170" i="41" s="1"/>
  <c r="DP170" i="41" s="1"/>
  <c r="DV170" i="41" s="1"/>
  <c r="DE163" i="41" l="1"/>
  <c r="DE184" i="41"/>
  <c r="DE160" i="41"/>
  <c r="CW68" i="42" s="1"/>
  <c r="DD175" i="41"/>
  <c r="DD176" i="41"/>
  <c r="DE174" i="41"/>
  <c r="DE175" i="41" s="1"/>
  <c r="DE187" i="41"/>
  <c r="DG141" i="41"/>
  <c r="DG143" i="41"/>
  <c r="DG144" i="41" s="1"/>
  <c r="CV249" i="1"/>
  <c r="CW249" i="1" s="1"/>
  <c r="DH143" i="41"/>
  <c r="DH144" i="41" s="1"/>
  <c r="DI143" i="41"/>
  <c r="DI144" i="41" s="1"/>
  <c r="DE142" i="41"/>
  <c r="DD248" i="41"/>
  <c r="DD67" i="41"/>
  <c r="DD69" i="41"/>
  <c r="DG156" i="41"/>
  <c r="DG157" i="41"/>
  <c r="CS85" i="42"/>
  <c r="CY199" i="1"/>
  <c r="CY236" i="1"/>
  <c r="CY182" i="1"/>
  <c r="CY15" i="1"/>
  <c r="CY14" i="1"/>
  <c r="DG18" i="41"/>
  <c r="CY29" i="1"/>
  <c r="CY24" i="1" s="1"/>
  <c r="DG22" i="41"/>
  <c r="DE119" i="41" l="1"/>
  <c r="DG20" i="41"/>
  <c r="DG19" i="41"/>
  <c r="DG26" i="41"/>
  <c r="DG27" i="41" s="1"/>
  <c r="DG28" i="41" s="1"/>
  <c r="CW258" i="1"/>
  <c r="CY186" i="1"/>
  <c r="CY203" i="1"/>
  <c r="DD70" i="41"/>
  <c r="DG24" i="41"/>
  <c r="DG86" i="41"/>
  <c r="DG80" i="41"/>
  <c r="DG23" i="41"/>
  <c r="DG165" i="41" s="1"/>
  <c r="DG58" i="41"/>
  <c r="DG105" i="41"/>
  <c r="DG77" i="41"/>
  <c r="DG83" i="41"/>
  <c r="DH260" i="41"/>
  <c r="DE248" i="41"/>
  <c r="DD249" i="41"/>
  <c r="DD254" i="41"/>
  <c r="DG107" i="41" l="1"/>
  <c r="DG106" i="41"/>
  <c r="CY16" i="1"/>
  <c r="CY19" i="1" s="1"/>
  <c r="DG159" i="41" s="1"/>
  <c r="DG167" i="41"/>
  <c r="DG82" i="41"/>
  <c r="DG81" i="41"/>
  <c r="DD255" i="41"/>
  <c r="DD251" i="41"/>
  <c r="DE249" i="41"/>
  <c r="DD250" i="41"/>
  <c r="DG60" i="41"/>
  <c r="DG59" i="41"/>
  <c r="DG62" i="41"/>
  <c r="DG73" i="41"/>
  <c r="DG88" i="41"/>
  <c r="DG89" i="41"/>
  <c r="DG87" i="41"/>
  <c r="DG85" i="41"/>
  <c r="DG84" i="41"/>
  <c r="DE122" i="41"/>
  <c r="DJ124" i="41"/>
  <c r="DG78" i="41"/>
  <c r="DG79" i="41"/>
  <c r="CY20" i="1" l="1"/>
  <c r="CY37" i="1"/>
  <c r="CY237" i="1"/>
  <c r="CY66" i="42"/>
  <c r="CY21" i="1"/>
  <c r="CY50" i="1"/>
  <c r="CY184" i="1"/>
  <c r="CY45" i="1"/>
  <c r="CY115" i="42"/>
  <c r="CY201" i="1"/>
  <c r="DG217" i="41"/>
  <c r="CY122" i="42"/>
  <c r="CY120" i="42" s="1"/>
  <c r="CY41" i="1"/>
  <c r="CY31" i="42"/>
  <c r="CY216" i="1"/>
  <c r="CY219" i="1"/>
  <c r="DG64" i="41"/>
  <c r="DG63" i="41"/>
  <c r="DE255" i="41"/>
  <c r="DE250" i="41"/>
  <c r="DE256" i="41" s="1"/>
  <c r="DE252" i="41"/>
  <c r="DJ127" i="41"/>
  <c r="DJ126" i="41"/>
  <c r="DK124" i="41"/>
  <c r="DJ139" i="41"/>
  <c r="DD257" i="41"/>
  <c r="DE251" i="41"/>
  <c r="DE257" i="41" s="1"/>
  <c r="CY200" i="1"/>
  <c r="CY183" i="1"/>
  <c r="CY18" i="1"/>
  <c r="CY217" i="1"/>
  <c r="CY17" i="1"/>
  <c r="CY31" i="1"/>
  <c r="CY25" i="1" s="1"/>
  <c r="DG74" i="41"/>
  <c r="DD256" i="41"/>
  <c r="DD252" i="41"/>
  <c r="DG241" i="41"/>
  <c r="DG240" i="41"/>
  <c r="DG168" i="41"/>
  <c r="DG239" i="41" s="1"/>
  <c r="CY26" i="42" l="1"/>
  <c r="CY41" i="3" s="1"/>
  <c r="CY32" i="42"/>
  <c r="CY30" i="42" s="1"/>
  <c r="CY36" i="42"/>
  <c r="CY29" i="3" s="1"/>
  <c r="CY101" i="3" s="1"/>
  <c r="CY16" i="42"/>
  <c r="CY189" i="1"/>
  <c r="CY39" i="1"/>
  <c r="CY222" i="1"/>
  <c r="CY40" i="1"/>
  <c r="DG307" i="41"/>
  <c r="CY206" i="1"/>
  <c r="DG169" i="41"/>
  <c r="CY33" i="42"/>
  <c r="DG161" i="41"/>
  <c r="DG162" i="41"/>
  <c r="DG160" i="41"/>
  <c r="DG163" i="41"/>
  <c r="DG66" i="41"/>
  <c r="CY223" i="1"/>
  <c r="CY207" i="1"/>
  <c r="CY241" i="1"/>
  <c r="CY44" i="1"/>
  <c r="CY58" i="1"/>
  <c r="CY238" i="1" s="1"/>
  <c r="CY240" i="1" s="1"/>
  <c r="CY190" i="1"/>
  <c r="CY43" i="1"/>
  <c r="CY105" i="42"/>
  <c r="CY34" i="3"/>
  <c r="CY107" i="3" s="1"/>
  <c r="DG146" i="41"/>
  <c r="CZ125" i="42"/>
  <c r="CY25" i="42"/>
  <c r="CY47" i="1"/>
  <c r="CY208" i="1"/>
  <c r="CY48" i="1"/>
  <c r="CY224" i="1"/>
  <c r="CY191" i="1"/>
  <c r="CY33" i="1"/>
  <c r="DJ141" i="41"/>
  <c r="DJ140" i="41"/>
  <c r="DB12" i="42"/>
  <c r="DJ143" i="41"/>
  <c r="DJ144" i="41" s="1"/>
  <c r="DB249" i="1"/>
  <c r="DC249" i="1" s="1"/>
  <c r="DJ248" i="41"/>
  <c r="L181" i="442"/>
  <c r="DE258" i="41"/>
  <c r="DH261" i="41"/>
  <c r="DD258" i="41"/>
  <c r="DK126" i="41"/>
  <c r="DK128" i="41"/>
  <c r="M190" i="442"/>
  <c r="DK139" i="41"/>
  <c r="DJ142" i="41" s="1"/>
  <c r="CY220" i="1"/>
  <c r="CY187" i="1"/>
  <c r="CY204" i="1"/>
  <c r="CY188" i="1"/>
  <c r="CY221" i="1"/>
  <c r="CY26" i="1"/>
  <c r="CY26" i="3" l="1"/>
  <c r="CY98" i="3" s="1"/>
  <c r="DG327" i="41"/>
  <c r="DG328" i="41" s="1"/>
  <c r="DG320" i="41"/>
  <c r="DG321" i="41" s="1"/>
  <c r="DG323" i="41"/>
  <c r="DG324" i="41" s="1"/>
  <c r="DG325" i="41" s="1"/>
  <c r="CY83" i="42"/>
  <c r="CY248" i="1"/>
  <c r="CY79" i="42"/>
  <c r="DH150" i="41"/>
  <c r="CY28" i="3"/>
  <c r="CY100" i="3" s="1"/>
  <c r="CY84" i="42"/>
  <c r="CZ112" i="42"/>
  <c r="CY109" i="42"/>
  <c r="DG148" i="41"/>
  <c r="DG147" i="41"/>
  <c r="DG171" i="41"/>
  <c r="DG173" i="41"/>
  <c r="DG172" i="41"/>
  <c r="DG174" i="41"/>
  <c r="DG69" i="41"/>
  <c r="DG70" i="41" s="1"/>
  <c r="DG67" i="41"/>
  <c r="CY255" i="1"/>
  <c r="CY59" i="1"/>
  <c r="CY192" i="1"/>
  <c r="CY225" i="1"/>
  <c r="CY209" i="1"/>
  <c r="CY37" i="42"/>
  <c r="CY46" i="42" s="1"/>
  <c r="CY42" i="3"/>
  <c r="CY114" i="3"/>
  <c r="CY115" i="3" s="1"/>
  <c r="DG179" i="41"/>
  <c r="DG214" i="41"/>
  <c r="DG211" i="41"/>
  <c r="CY61" i="1"/>
  <c r="DG177" i="41"/>
  <c r="DG178" i="41" s="1"/>
  <c r="DB97" i="42"/>
  <c r="DB250" i="1"/>
  <c r="DC12" i="42"/>
  <c r="DB25" i="3"/>
  <c r="CY34" i="1"/>
  <c r="CY64" i="1"/>
  <c r="DK180" i="41"/>
  <c r="DH142" i="41"/>
  <c r="DI142" i="41"/>
  <c r="DK140" i="41"/>
  <c r="M41" i="442"/>
  <c r="DG142" i="41"/>
  <c r="L184" i="442"/>
  <c r="L183" i="442"/>
  <c r="L191" i="442"/>
  <c r="L203" i="442" s="1"/>
  <c r="L204" i="442" s="1"/>
  <c r="DK248" i="41"/>
  <c r="DJ249" i="41"/>
  <c r="M192" i="442"/>
  <c r="M195" i="442"/>
  <c r="DJ254" i="41"/>
  <c r="CY106" i="42" l="1"/>
  <c r="CY107" i="42" s="1"/>
  <c r="CY19" i="42" s="1"/>
  <c r="CY13" i="3"/>
  <c r="CY85" i="3" s="1"/>
  <c r="CY257" i="1" s="1"/>
  <c r="DH152" i="41"/>
  <c r="DH155" i="41"/>
  <c r="CZ13" i="1"/>
  <c r="DH153" i="41"/>
  <c r="DG175" i="41"/>
  <c r="DG176" i="41"/>
  <c r="M42" i="442"/>
  <c r="DK142" i="41"/>
  <c r="DK254" i="41"/>
  <c r="CY227" i="1"/>
  <c r="CY194" i="1"/>
  <c r="CY211" i="1"/>
  <c r="CY239" i="1"/>
  <c r="CY93" i="1"/>
  <c r="CY99" i="1"/>
  <c r="CY65" i="1"/>
  <c r="CY77" i="1"/>
  <c r="CY245" i="1"/>
  <c r="CY246" i="1" s="1"/>
  <c r="CY62" i="1"/>
  <c r="DC250" i="1"/>
  <c r="M43" i="442"/>
  <c r="DG215" i="41"/>
  <c r="DG219" i="41"/>
  <c r="DB97" i="3"/>
  <c r="DC97" i="3" s="1"/>
  <c r="DC25" i="3"/>
  <c r="DG212" i="41"/>
  <c r="DJ251" i="41"/>
  <c r="DJ255" i="41"/>
  <c r="DJ250" i="41"/>
  <c r="DK249" i="41"/>
  <c r="CY67" i="1" l="1"/>
  <c r="CY69" i="1" s="1"/>
  <c r="DH156" i="41"/>
  <c r="DH157" i="41"/>
  <c r="CZ182" i="1"/>
  <c r="DH22" i="41"/>
  <c r="DH18" i="41"/>
  <c r="CZ29" i="1"/>
  <c r="CZ24" i="1" s="1"/>
  <c r="CZ14" i="1"/>
  <c r="CT85" i="42"/>
  <c r="CZ236" i="1"/>
  <c r="CZ199" i="1"/>
  <c r="CZ15" i="1"/>
  <c r="CY92" i="42"/>
  <c r="CY100" i="42"/>
  <c r="DK255" i="41"/>
  <c r="DK250" i="41"/>
  <c r="DK256" i="41" s="1"/>
  <c r="DK252" i="41"/>
  <c r="CY100" i="1"/>
  <c r="CY102" i="1"/>
  <c r="CY103" i="1" s="1"/>
  <c r="CY104" i="1" s="1"/>
  <c r="DK251" i="41"/>
  <c r="DK257" i="41" s="1"/>
  <c r="DJ257" i="41"/>
  <c r="M45" i="442"/>
  <c r="M44" i="442"/>
  <c r="M46" i="442" s="1"/>
  <c r="DJ252" i="41"/>
  <c r="DJ256" i="41"/>
  <c r="CY79" i="1"/>
  <c r="CY94" i="1"/>
  <c r="CY68" i="1" l="1"/>
  <c r="DH58" i="41"/>
  <c r="DH86" i="41"/>
  <c r="DH23" i="41"/>
  <c r="DH165" i="41" s="1"/>
  <c r="DH83" i="41"/>
  <c r="DH77" i="41"/>
  <c r="DH80" i="41"/>
  <c r="DH24" i="41"/>
  <c r="DH105" i="41"/>
  <c r="CZ186" i="1"/>
  <c r="CZ203" i="1"/>
  <c r="DH19" i="41"/>
  <c r="DH26" i="41"/>
  <c r="DH27" i="41" s="1"/>
  <c r="DH28" i="41" s="1"/>
  <c r="DH20" i="41"/>
  <c r="DJ258" i="41"/>
  <c r="M181" i="442"/>
  <c r="M191" i="442" s="1"/>
  <c r="DK258" i="41"/>
  <c r="CY84" i="1"/>
  <c r="DH79" i="41" l="1"/>
  <c r="DH78" i="41"/>
  <c r="DH73" i="41"/>
  <c r="DH74" i="41" s="1"/>
  <c r="DH59" i="41"/>
  <c r="DH60" i="41"/>
  <c r="DH62" i="41"/>
  <c r="DG120" i="41"/>
  <c r="DG119" i="41" s="1"/>
  <c r="DG122" i="41" s="1"/>
  <c r="DM124" i="41" s="1"/>
  <c r="CZ16" i="1"/>
  <c r="DH106" i="41"/>
  <c r="DH107" i="41"/>
  <c r="DH167" i="41"/>
  <c r="DH85" i="41"/>
  <c r="DH84" i="41"/>
  <c r="DH82" i="41"/>
  <c r="DH81" i="41"/>
  <c r="DH88" i="41"/>
  <c r="DH89" i="41"/>
  <c r="DH87" i="41"/>
  <c r="CY270" i="1"/>
  <c r="CY95" i="1"/>
  <c r="CY195" i="1"/>
  <c r="CY228" i="1"/>
  <c r="CY212" i="1"/>
  <c r="CY86" i="1"/>
  <c r="CY89" i="1"/>
  <c r="CY106" i="1"/>
  <c r="CZ18" i="1" l="1"/>
  <c r="CZ31" i="1"/>
  <c r="CZ33" i="1" s="1"/>
  <c r="CZ17" i="1"/>
  <c r="CZ183" i="1"/>
  <c r="CZ200" i="1"/>
  <c r="CZ19" i="1"/>
  <c r="DH241" i="41"/>
  <c r="DH240" i="41"/>
  <c r="DH168" i="41"/>
  <c r="DH239" i="41" s="1"/>
  <c r="DM139" i="41"/>
  <c r="DM126" i="41"/>
  <c r="DM127" i="41"/>
  <c r="DH63" i="41"/>
  <c r="DH64" i="41"/>
  <c r="CY107" i="1"/>
  <c r="CY108" i="1"/>
  <c r="CY109" i="1" s="1"/>
  <c r="CY55" i="42"/>
  <c r="CY10" i="3"/>
  <c r="CY96" i="1"/>
  <c r="CY196" i="1"/>
  <c r="CY87" i="1"/>
  <c r="CY213" i="1"/>
  <c r="CY242" i="1"/>
  <c r="CZ25" i="1" l="1"/>
  <c r="CZ187" i="1" s="1"/>
  <c r="DE249" i="1"/>
  <c r="DM140" i="41"/>
  <c r="DM143" i="41"/>
  <c r="DM144" i="41" s="1"/>
  <c r="DE71" i="42"/>
  <c r="DE70" i="42" s="1"/>
  <c r="DM248" i="41"/>
  <c r="DM249" i="41" s="1"/>
  <c r="DM141" i="41"/>
  <c r="DE12" i="42"/>
  <c r="CZ217" i="1"/>
  <c r="CZ21" i="1"/>
  <c r="CZ37" i="1"/>
  <c r="DH217" i="41"/>
  <c r="CZ50" i="1"/>
  <c r="CZ66" i="42"/>
  <c r="CZ31" i="42"/>
  <c r="CZ122" i="42"/>
  <c r="CZ120" i="42" s="1"/>
  <c r="CZ20" i="1"/>
  <c r="CZ41" i="1"/>
  <c r="DH159" i="41"/>
  <c r="CZ201" i="1"/>
  <c r="CZ184" i="1"/>
  <c r="CZ45" i="1"/>
  <c r="CZ237" i="1"/>
  <c r="CZ115" i="42"/>
  <c r="CZ216" i="1"/>
  <c r="CZ219" i="1"/>
  <c r="CZ204" i="1"/>
  <c r="CZ34" i="1"/>
  <c r="CY82" i="3"/>
  <c r="CZ221" i="1" l="1"/>
  <c r="CZ220" i="1"/>
  <c r="CZ26" i="1"/>
  <c r="CZ188" i="1"/>
  <c r="CZ36" i="42"/>
  <c r="CZ29" i="3" s="1"/>
  <c r="CZ101" i="3" s="1"/>
  <c r="CZ16" i="42"/>
  <c r="CZ26" i="42"/>
  <c r="CZ41" i="3" s="1"/>
  <c r="CZ114" i="3" s="1"/>
  <c r="CZ32" i="42"/>
  <c r="CZ30" i="42" s="1"/>
  <c r="DE25" i="3"/>
  <c r="DE97" i="3" s="1"/>
  <c r="DE97" i="42"/>
  <c r="DE250" i="1"/>
  <c r="CZ48" i="1"/>
  <c r="CZ224" i="1"/>
  <c r="CZ208" i="1"/>
  <c r="CZ191" i="1"/>
  <c r="CZ47" i="1"/>
  <c r="CZ223" i="1"/>
  <c r="CZ207" i="1"/>
  <c r="CZ44" i="1"/>
  <c r="CZ241" i="1"/>
  <c r="CZ190" i="1"/>
  <c r="CZ58" i="1"/>
  <c r="CZ43" i="1"/>
  <c r="CZ222" i="1"/>
  <c r="CZ206" i="1"/>
  <c r="CZ189" i="1"/>
  <c r="DH307" i="41"/>
  <c r="CZ39" i="1"/>
  <c r="CZ40" i="1"/>
  <c r="DM254" i="41"/>
  <c r="DH160" i="41"/>
  <c r="DH162" i="41"/>
  <c r="DH169" i="41"/>
  <c r="DH161" i="41"/>
  <c r="DH163" i="41"/>
  <c r="CZ33" i="42"/>
  <c r="DH66" i="41"/>
  <c r="DM255" i="41"/>
  <c r="DM251" i="41"/>
  <c r="DM257" i="41" s="1"/>
  <c r="DM250" i="41"/>
  <c r="CZ105" i="42"/>
  <c r="CZ34" i="3"/>
  <c r="DA125" i="42"/>
  <c r="CZ25" i="42"/>
  <c r="CZ61" i="1" l="1"/>
  <c r="CZ62" i="1" s="1"/>
  <c r="DH177" i="41"/>
  <c r="DH178" i="41" s="1"/>
  <c r="DH211" i="41"/>
  <c r="DH212" i="41" s="1"/>
  <c r="DH179" i="41"/>
  <c r="DA112" i="42"/>
  <c r="CZ109" i="42"/>
  <c r="DH323" i="41"/>
  <c r="DH324" i="41" s="1"/>
  <c r="DH325" i="41" s="1"/>
  <c r="DH320" i="41"/>
  <c r="DH321" i="41" s="1"/>
  <c r="DH327" i="41"/>
  <c r="DH328" i="41" s="1"/>
  <c r="CZ37" i="42"/>
  <c r="CZ46" i="42" s="1"/>
  <c r="DH67" i="41"/>
  <c r="DH69" i="41"/>
  <c r="DH70" i="41" s="1"/>
  <c r="DH171" i="41"/>
  <c r="DH173" i="41"/>
  <c r="DH172" i="41"/>
  <c r="DH174" i="41"/>
  <c r="CZ59" i="1"/>
  <c r="CZ225" i="1"/>
  <c r="CZ209" i="1"/>
  <c r="DH214" i="41"/>
  <c r="CZ192" i="1"/>
  <c r="CZ64" i="1"/>
  <c r="CZ238" i="1"/>
  <c r="CZ240" i="1" s="1"/>
  <c r="DM252" i="41"/>
  <c r="DM256" i="41"/>
  <c r="CZ248" i="1"/>
  <c r="CZ79" i="42"/>
  <c r="DI150" i="41"/>
  <c r="CZ83" i="42"/>
  <c r="CZ28" i="3"/>
  <c r="CZ100" i="3" s="1"/>
  <c r="CZ84" i="42"/>
  <c r="DH146" i="41"/>
  <c r="CZ26" i="3"/>
  <c r="CZ98" i="3" s="1"/>
  <c r="CZ107" i="3"/>
  <c r="CZ255" i="1" s="1"/>
  <c r="CZ42" i="3"/>
  <c r="CZ211" i="1" l="1"/>
  <c r="CZ65" i="1"/>
  <c r="CZ245" i="1"/>
  <c r="CZ246" i="1" s="1"/>
  <c r="CZ99" i="1"/>
  <c r="CZ100" i="1" s="1"/>
  <c r="CZ227" i="1"/>
  <c r="CZ239" i="1"/>
  <c r="CZ93" i="1"/>
  <c r="CZ94" i="1" s="1"/>
  <c r="CZ194" i="1"/>
  <c r="DH147" i="41"/>
  <c r="DH148" i="41"/>
  <c r="DI153" i="41"/>
  <c r="DI152" i="41"/>
  <c r="DA13" i="1"/>
  <c r="DI155" i="41"/>
  <c r="DM258" i="41"/>
  <c r="CZ13" i="3"/>
  <c r="CZ85" i="3" s="1"/>
  <c r="CZ257" i="1" s="1"/>
  <c r="CZ106" i="42"/>
  <c r="CZ107" i="42" s="1"/>
  <c r="CZ19" i="42" s="1"/>
  <c r="CZ115" i="3"/>
  <c r="DH215" i="41"/>
  <c r="DH219" i="41"/>
  <c r="DH175" i="41"/>
  <c r="DH176" i="41"/>
  <c r="CZ100" i="42" l="1"/>
  <c r="CZ92" i="42"/>
  <c r="DI156" i="41"/>
  <c r="DI157" i="41"/>
  <c r="DA14" i="1"/>
  <c r="DA236" i="1"/>
  <c r="DI18" i="41"/>
  <c r="DA29" i="1"/>
  <c r="DA24" i="1" s="1"/>
  <c r="DA199" i="1"/>
  <c r="DA182" i="1"/>
  <c r="DI22" i="41"/>
  <c r="CU85" i="42"/>
  <c r="DA15" i="1"/>
  <c r="CZ67" i="1"/>
  <c r="DI86" i="41" l="1"/>
  <c r="DI58" i="41"/>
  <c r="DI77" i="41"/>
  <c r="DI23" i="41"/>
  <c r="DI165" i="41" s="1"/>
  <c r="DI83" i="41"/>
  <c r="DI80" i="41"/>
  <c r="DI105" i="41"/>
  <c r="DI24" i="41"/>
  <c r="DI19" i="41"/>
  <c r="DI26" i="41"/>
  <c r="DI27" i="41" s="1"/>
  <c r="DI28" i="41" s="1"/>
  <c r="DI20" i="41"/>
  <c r="DA203" i="1"/>
  <c r="DA186" i="1"/>
  <c r="CZ69" i="1"/>
  <c r="CZ68" i="1"/>
  <c r="DA16" i="1" l="1"/>
  <c r="DH120" i="41"/>
  <c r="DH119" i="41" s="1"/>
  <c r="DH122" i="41" s="1"/>
  <c r="DN124" i="41" s="1"/>
  <c r="DI106" i="41"/>
  <c r="DI107" i="41"/>
  <c r="DI167" i="41"/>
  <c r="DI78" i="41"/>
  <c r="DI79" i="41"/>
  <c r="DI82" i="41"/>
  <c r="DI81" i="41"/>
  <c r="DI62" i="41"/>
  <c r="DI73" i="41"/>
  <c r="DI74" i="41" s="1"/>
  <c r="DI60" i="41"/>
  <c r="DI59" i="41"/>
  <c r="DI84" i="41"/>
  <c r="DI85" i="41"/>
  <c r="DI87" i="41"/>
  <c r="DI88" i="41"/>
  <c r="DI89" i="41"/>
  <c r="DI64" i="41" l="1"/>
  <c r="DI63" i="41"/>
  <c r="DN139" i="41"/>
  <c r="DN127" i="41"/>
  <c r="DN126" i="41"/>
  <c r="DI241" i="41"/>
  <c r="DI240" i="41"/>
  <c r="DI168" i="41"/>
  <c r="DI239" i="41" s="1"/>
  <c r="DA17" i="1"/>
  <c r="DA183" i="1"/>
  <c r="DA200" i="1"/>
  <c r="DA31" i="1"/>
  <c r="DA18" i="1"/>
  <c r="DA19" i="1"/>
  <c r="DA25" i="1" l="1"/>
  <c r="DA33" i="1"/>
  <c r="DA20" i="1"/>
  <c r="DA201" i="1"/>
  <c r="DA122" i="42"/>
  <c r="DA120" i="42" s="1"/>
  <c r="DA41" i="1"/>
  <c r="DA50" i="1"/>
  <c r="DA66" i="42"/>
  <c r="DI217" i="41"/>
  <c r="DA31" i="42"/>
  <c r="DA45" i="1"/>
  <c r="DA237" i="1"/>
  <c r="DA37" i="1"/>
  <c r="DI159" i="41"/>
  <c r="DA184" i="1"/>
  <c r="DA21" i="1"/>
  <c r="DA115" i="42"/>
  <c r="DA216" i="1"/>
  <c r="DA219" i="1"/>
  <c r="DN143" i="41"/>
  <c r="DN144" i="41" s="1"/>
  <c r="DN141" i="41"/>
  <c r="DF12" i="42"/>
  <c r="DF71" i="42"/>
  <c r="DF70" i="42" s="1"/>
  <c r="DF249" i="1"/>
  <c r="DN140" i="41"/>
  <c r="DN248" i="41"/>
  <c r="DA217" i="1"/>
  <c r="DI162" i="41" l="1"/>
  <c r="DA33" i="42"/>
  <c r="DI163" i="41"/>
  <c r="DI161" i="41"/>
  <c r="DI169" i="41"/>
  <c r="DI160" i="41"/>
  <c r="DI66" i="41"/>
  <c r="DA191" i="1"/>
  <c r="DA47" i="1"/>
  <c r="DA208" i="1"/>
  <c r="DA48" i="1"/>
  <c r="DA224" i="1"/>
  <c r="DN249" i="41"/>
  <c r="DN260" i="41"/>
  <c r="DF25" i="3"/>
  <c r="DF97" i="3" s="1"/>
  <c r="DF97" i="42"/>
  <c r="DF250" i="1"/>
  <c r="DA105" i="42"/>
  <c r="DA34" i="3"/>
  <c r="DA107" i="3" s="1"/>
  <c r="DA255" i="1" s="1"/>
  <c r="DA222" i="1"/>
  <c r="DA40" i="1"/>
  <c r="DA39" i="1"/>
  <c r="DI307" i="41"/>
  <c r="DA189" i="1"/>
  <c r="DA206" i="1"/>
  <c r="DA241" i="1"/>
  <c r="DA58" i="1"/>
  <c r="DA238" i="1" s="1"/>
  <c r="DA240" i="1" s="1"/>
  <c r="DA207" i="1"/>
  <c r="DA223" i="1"/>
  <c r="DA43" i="1"/>
  <c r="DA190" i="1"/>
  <c r="DA44" i="1"/>
  <c r="DA34" i="1"/>
  <c r="DN254" i="41"/>
  <c r="DA16" i="42"/>
  <c r="DA36" i="42"/>
  <c r="DA29" i="3" s="1"/>
  <c r="DA101" i="3" s="1"/>
  <c r="DA26" i="42"/>
  <c r="DA41" i="3" s="1"/>
  <c r="DA32" i="42"/>
  <c r="DA30" i="42" s="1"/>
  <c r="DA25" i="42"/>
  <c r="DB125" i="42"/>
  <c r="DC125" i="42" s="1"/>
  <c r="DA187" i="1"/>
  <c r="DA220" i="1"/>
  <c r="DA204" i="1"/>
  <c r="DA26" i="1"/>
  <c r="DA188" i="1"/>
  <c r="DA221" i="1"/>
  <c r="DA37" i="42" l="1"/>
  <c r="DA46" i="42" s="1"/>
  <c r="DI179" i="41"/>
  <c r="DI177" i="41"/>
  <c r="DI178" i="41" s="1"/>
  <c r="DA61" i="1"/>
  <c r="DA62" i="1" s="1"/>
  <c r="DI211" i="41"/>
  <c r="DI212" i="41" s="1"/>
  <c r="DA42" i="3"/>
  <c r="DA114" i="3"/>
  <c r="DA115" i="3" s="1"/>
  <c r="DA225" i="1"/>
  <c r="DA209" i="1"/>
  <c r="DI214" i="41"/>
  <c r="DA59" i="1"/>
  <c r="DA192" i="1"/>
  <c r="DI323" i="41"/>
  <c r="DI324" i="41" s="1"/>
  <c r="DI325" i="41" s="1"/>
  <c r="DI320" i="41"/>
  <c r="DI321" i="41" s="1"/>
  <c r="DI327" i="41"/>
  <c r="DI328" i="41" s="1"/>
  <c r="DI69" i="41"/>
  <c r="DI70" i="41" s="1"/>
  <c r="DI67" i="41"/>
  <c r="DA64" i="1"/>
  <c r="DA109" i="42"/>
  <c r="DB112" i="42"/>
  <c r="DA79" i="42"/>
  <c r="DA28" i="3"/>
  <c r="DA100" i="3" s="1"/>
  <c r="DA84" i="42"/>
  <c r="DA248" i="1"/>
  <c r="DA83" i="42"/>
  <c r="DJ150" i="41"/>
  <c r="DI146" i="41"/>
  <c r="DA26" i="3"/>
  <c r="DA98" i="3" s="1"/>
  <c r="DN255" i="41"/>
  <c r="DN250" i="41"/>
  <c r="DN251" i="41"/>
  <c r="DN257" i="41" s="1"/>
  <c r="DI173" i="41"/>
  <c r="DI171" i="41"/>
  <c r="DI172" i="41"/>
  <c r="DI174" i="41"/>
  <c r="DI176" i="41" l="1"/>
  <c r="DI175" i="41"/>
  <c r="DI147" i="41"/>
  <c r="DI148" i="41"/>
  <c r="DN252" i="41"/>
  <c r="DN256" i="41"/>
  <c r="DB13" i="1"/>
  <c r="DJ153" i="41"/>
  <c r="DJ155" i="41"/>
  <c r="DJ152" i="41"/>
  <c r="DA106" i="42"/>
  <c r="DA107" i="42" s="1"/>
  <c r="DA19" i="42" s="1"/>
  <c r="DA13" i="3"/>
  <c r="DA85" i="3" s="1"/>
  <c r="DA257" i="1" s="1"/>
  <c r="DA239" i="1"/>
  <c r="DA93" i="1"/>
  <c r="DA94" i="1" s="1"/>
  <c r="DA227" i="1"/>
  <c r="DA65" i="1"/>
  <c r="DA194" i="1"/>
  <c r="DA245" i="1"/>
  <c r="DA246" i="1" s="1"/>
  <c r="DA99" i="1"/>
  <c r="DA100" i="1" s="1"/>
  <c r="DA211" i="1"/>
  <c r="DI215" i="41"/>
  <c r="DI219" i="41"/>
  <c r="DA67" i="1" l="1"/>
  <c r="DA69" i="1" s="1"/>
  <c r="DA92" i="42"/>
  <c r="DA100" i="42"/>
  <c r="CV85" i="42"/>
  <c r="DB236" i="1"/>
  <c r="DB29" i="1"/>
  <c r="DB15" i="1"/>
  <c r="DC13" i="1"/>
  <c r="DB182" i="1"/>
  <c r="DB14" i="1"/>
  <c r="DJ18" i="41"/>
  <c r="DB199" i="1"/>
  <c r="DJ22" i="41"/>
  <c r="DJ157" i="41"/>
  <c r="DJ156" i="41"/>
  <c r="DN261" i="41"/>
  <c r="DN258" i="41"/>
  <c r="DA68" i="1" l="1"/>
  <c r="DJ19" i="41"/>
  <c r="DJ26" i="41"/>
  <c r="DJ27" i="41" s="1"/>
  <c r="DJ28" i="41" s="1"/>
  <c r="DK18" i="41"/>
  <c r="DK19" i="41" s="1"/>
  <c r="DJ20" i="41"/>
  <c r="DC14" i="1"/>
  <c r="DC236" i="1"/>
  <c r="DC182" i="1"/>
  <c r="M11" i="442"/>
  <c r="DC153" i="1"/>
  <c r="DJ105" i="41"/>
  <c r="DJ23" i="41"/>
  <c r="DJ165" i="41" s="1"/>
  <c r="DJ58" i="41"/>
  <c r="DJ80" i="41"/>
  <c r="DJ83" i="41"/>
  <c r="DK22" i="41"/>
  <c r="DJ77" i="41"/>
  <c r="DJ24" i="41"/>
  <c r="DJ86" i="41"/>
  <c r="DB24" i="1"/>
  <c r="DC29" i="1"/>
  <c r="DC30" i="1" s="1"/>
  <c r="DK150" i="41" l="1"/>
  <c r="DK23" i="41"/>
  <c r="DK165" i="41" s="1"/>
  <c r="DJ89" i="41"/>
  <c r="DJ88" i="41"/>
  <c r="DK86" i="41"/>
  <c r="DJ87" i="41"/>
  <c r="DJ85" i="41"/>
  <c r="DJ84" i="41"/>
  <c r="DK83" i="41"/>
  <c r="DJ106" i="41"/>
  <c r="DI120" i="41"/>
  <c r="DI119" i="41" s="1"/>
  <c r="DJ120" i="41"/>
  <c r="DJ119" i="41" s="1"/>
  <c r="DJ122" i="41" s="1"/>
  <c r="DP124" i="41" s="1"/>
  <c r="DK105" i="41"/>
  <c r="DK106" i="41" s="1"/>
  <c r="DB16" i="1"/>
  <c r="DJ107" i="41"/>
  <c r="DJ167" i="41"/>
  <c r="DJ81" i="41"/>
  <c r="DJ82" i="41"/>
  <c r="DK80" i="41"/>
  <c r="M12" i="442"/>
  <c r="M9" i="442"/>
  <c r="M19" i="442"/>
  <c r="M20" i="442" s="1"/>
  <c r="M140" i="442" s="1"/>
  <c r="M17" i="442"/>
  <c r="M18" i="442" s="1"/>
  <c r="DB203" i="1"/>
  <c r="DC24" i="1"/>
  <c r="DB186" i="1"/>
  <c r="DJ79" i="41"/>
  <c r="DJ78" i="41"/>
  <c r="DK77" i="41"/>
  <c r="DJ60" i="41"/>
  <c r="DK58" i="41"/>
  <c r="DJ59" i="41"/>
  <c r="DJ73" i="41"/>
  <c r="DJ62" i="41"/>
  <c r="DK62" i="41" l="1"/>
  <c r="DK63" i="41" s="1"/>
  <c r="DK59" i="41"/>
  <c r="DK82" i="41"/>
  <c r="DI122" i="41"/>
  <c r="DK119" i="41"/>
  <c r="DJ63" i="41"/>
  <c r="DJ64" i="41"/>
  <c r="DB200" i="1"/>
  <c r="DC16" i="1"/>
  <c r="DB18" i="1"/>
  <c r="DB17" i="1"/>
  <c r="DB31" i="1"/>
  <c r="DB183" i="1"/>
  <c r="DB19" i="1"/>
  <c r="DK73" i="41"/>
  <c r="DK74" i="41" s="1"/>
  <c r="DJ74" i="41"/>
  <c r="DK79" i="41"/>
  <c r="M139" i="442"/>
  <c r="M131" i="442" s="1"/>
  <c r="M96" i="442"/>
  <c r="M95" i="442" s="1"/>
  <c r="M87" i="442" s="1"/>
  <c r="DK85" i="41"/>
  <c r="DK88" i="41"/>
  <c r="DK89" i="41"/>
  <c r="DK94" i="41" s="1"/>
  <c r="DK100" i="41" s="1"/>
  <c r="DC186" i="1"/>
  <c r="DJ168" i="41"/>
  <c r="DJ239" i="41" s="1"/>
  <c r="DJ240" i="41"/>
  <c r="DJ241" i="41"/>
  <c r="DP126" i="41"/>
  <c r="DP139" i="41"/>
  <c r="DK167" i="41"/>
  <c r="DB25" i="1" l="1"/>
  <c r="DC31" i="1"/>
  <c r="DC32" i="1" s="1"/>
  <c r="DB33" i="1"/>
  <c r="DO124" i="41"/>
  <c r="DK122" i="41"/>
  <c r="DH249" i="1"/>
  <c r="DP248" i="41"/>
  <c r="DP249" i="41" s="1"/>
  <c r="DP140" i="41"/>
  <c r="DH12" i="42"/>
  <c r="M98" i="442"/>
  <c r="M93" i="442"/>
  <c r="M94" i="442" s="1"/>
  <c r="M88" i="442"/>
  <c r="DB21" i="1"/>
  <c r="DB201" i="1"/>
  <c r="DB66" i="42"/>
  <c r="DC66" i="42" s="1"/>
  <c r="DB122" i="42"/>
  <c r="DB45" i="1"/>
  <c r="DB41" i="1"/>
  <c r="DJ159" i="41"/>
  <c r="DB184" i="1"/>
  <c r="DJ217" i="41"/>
  <c r="DB237" i="1"/>
  <c r="DB50" i="1"/>
  <c r="DB20" i="1"/>
  <c r="DB37" i="1"/>
  <c r="DB31" i="42"/>
  <c r="DB216" i="1"/>
  <c r="DB219" i="1"/>
  <c r="DK93" i="41"/>
  <c r="DK99" i="41" s="1"/>
  <c r="DK95" i="41"/>
  <c r="DK101" i="41" s="1"/>
  <c r="M137" i="442"/>
  <c r="M138" i="442" s="1"/>
  <c r="M132" i="442"/>
  <c r="M142" i="442"/>
  <c r="DB217" i="1"/>
  <c r="DK240" i="41"/>
  <c r="DK168" i="41"/>
  <c r="DK239" i="41" s="1"/>
  <c r="DK241" i="41"/>
  <c r="DK92" i="41"/>
  <c r="DK98" i="41" s="1"/>
  <c r="DC17" i="1"/>
  <c r="DC183" i="1"/>
  <c r="M22" i="442"/>
  <c r="DC19" i="1"/>
  <c r="M33" i="442" l="1"/>
  <c r="M25" i="442"/>
  <c r="M23" i="442"/>
  <c r="M27" i="442"/>
  <c r="DB206" i="1"/>
  <c r="DC37" i="1"/>
  <c r="DB189" i="1"/>
  <c r="DB39" i="1"/>
  <c r="DB222" i="1"/>
  <c r="DJ307" i="41"/>
  <c r="DB40" i="1"/>
  <c r="DB224" i="1"/>
  <c r="DC45" i="1"/>
  <c r="DB47" i="1"/>
  <c r="DB48" i="1"/>
  <c r="DB191" i="1"/>
  <c r="DB208" i="1"/>
  <c r="DC25" i="1"/>
  <c r="DB204" i="1"/>
  <c r="DB187" i="1"/>
  <c r="DB220" i="1"/>
  <c r="DB26" i="1"/>
  <c r="DB221" i="1"/>
  <c r="DB188" i="1"/>
  <c r="DC122" i="42"/>
  <c r="DB120" i="42"/>
  <c r="M103" i="442"/>
  <c r="M104" i="442" s="1"/>
  <c r="M99" i="442"/>
  <c r="M109" i="442"/>
  <c r="DP254" i="41"/>
  <c r="DQ124" i="41"/>
  <c r="DO126" i="41"/>
  <c r="DO127" i="41"/>
  <c r="DO139" i="41"/>
  <c r="DP127" i="41"/>
  <c r="M147" i="442"/>
  <c r="M148" i="442" s="1"/>
  <c r="M143" i="442"/>
  <c r="M153" i="442"/>
  <c r="DJ161" i="41"/>
  <c r="DJ169" i="41"/>
  <c r="DJ163" i="41"/>
  <c r="DK159" i="41"/>
  <c r="DJ160" i="41"/>
  <c r="DB33" i="42"/>
  <c r="DJ162" i="41"/>
  <c r="DJ66" i="41"/>
  <c r="DP255" i="41"/>
  <c r="DP251" i="41"/>
  <c r="DP257" i="41" s="1"/>
  <c r="DP250" i="41"/>
  <c r="DC33" i="1"/>
  <c r="DC34" i="1" s="1"/>
  <c r="DB34" i="1"/>
  <c r="DC217" i="1"/>
  <c r="DC184" i="1"/>
  <c r="DC10" i="1"/>
  <c r="DC20" i="1"/>
  <c r="DC50" i="1"/>
  <c r="DC237" i="1"/>
  <c r="DK181" i="41"/>
  <c r="DC11" i="1"/>
  <c r="DC216" i="1"/>
  <c r="DC219" i="1"/>
  <c r="DC31" i="42"/>
  <c r="DB36" i="42"/>
  <c r="DB26" i="42"/>
  <c r="DB32" i="42"/>
  <c r="DC32" i="42" s="1"/>
  <c r="DB16" i="42"/>
  <c r="DC16" i="42" s="1"/>
  <c r="DB207" i="1"/>
  <c r="DB43" i="1"/>
  <c r="DB44" i="1"/>
  <c r="DB241" i="1"/>
  <c r="DB223" i="1"/>
  <c r="DB58" i="1"/>
  <c r="DB190" i="1"/>
  <c r="DC41" i="1"/>
  <c r="DH97" i="42"/>
  <c r="DH250" i="1"/>
  <c r="DI12" i="42"/>
  <c r="DB30" i="42" l="1"/>
  <c r="DC30" i="42" s="1"/>
  <c r="DJ211" i="41"/>
  <c r="DB225" i="1"/>
  <c r="DB59" i="1"/>
  <c r="DJ214" i="41"/>
  <c r="DB209" i="1"/>
  <c r="DC58" i="1"/>
  <c r="DC238" i="1" s="1"/>
  <c r="DC240" i="1" s="1"/>
  <c r="DB192" i="1"/>
  <c r="DB41" i="3"/>
  <c r="DC26" i="42"/>
  <c r="CY11" i="1"/>
  <c r="DB25" i="42"/>
  <c r="DC25" i="42" s="1"/>
  <c r="DE125" i="42"/>
  <c r="M28" i="442"/>
  <c r="M185" i="442"/>
  <c r="M200" i="442"/>
  <c r="M203" i="442" s="1"/>
  <c r="M204" i="442" s="1"/>
  <c r="DC36" i="42"/>
  <c r="DB29" i="3"/>
  <c r="DJ69" i="41"/>
  <c r="DJ70" i="41" s="1"/>
  <c r="DJ67" i="41"/>
  <c r="DK160" i="41"/>
  <c r="DC68" i="42" s="1"/>
  <c r="DK163" i="41"/>
  <c r="DC124" i="42"/>
  <c r="DC26" i="1"/>
  <c r="DJ179" i="41"/>
  <c r="DJ177" i="41"/>
  <c r="DJ178" i="41" s="1"/>
  <c r="DB61" i="1"/>
  <c r="DC187" i="1"/>
  <c r="DC220" i="1"/>
  <c r="DC188" i="1"/>
  <c r="DC221" i="1"/>
  <c r="DC190" i="1"/>
  <c r="DC42" i="1"/>
  <c r="DC43" i="1"/>
  <c r="DC127" i="42"/>
  <c r="DC223" i="1"/>
  <c r="DC241" i="1"/>
  <c r="DC231" i="1"/>
  <c r="CY10" i="1"/>
  <c r="DP252" i="41"/>
  <c r="DP256" i="41"/>
  <c r="N190" i="442"/>
  <c r="DQ128" i="41"/>
  <c r="DQ126" i="41"/>
  <c r="DQ139" i="41"/>
  <c r="DC191" i="1"/>
  <c r="DC46" i="1"/>
  <c r="DC224" i="1"/>
  <c r="DC47" i="1"/>
  <c r="DJ323" i="41"/>
  <c r="DJ324" i="41" s="1"/>
  <c r="DJ325" i="41" s="1"/>
  <c r="DJ327" i="41"/>
  <c r="DJ328" i="41" s="1"/>
  <c r="DJ320" i="41"/>
  <c r="DJ321" i="41" s="1"/>
  <c r="DC189" i="1"/>
  <c r="DC222" i="1"/>
  <c r="DC39" i="1"/>
  <c r="DC38" i="1"/>
  <c r="N43" i="442"/>
  <c r="N44" i="442" s="1"/>
  <c r="DI250" i="1"/>
  <c r="DC9" i="1"/>
  <c r="DB64" i="1"/>
  <c r="DB248" i="1"/>
  <c r="DB28" i="3"/>
  <c r="DB84" i="42"/>
  <c r="DM150" i="41"/>
  <c r="DC33" i="42"/>
  <c r="DB79" i="42"/>
  <c r="DC79" i="42" s="1"/>
  <c r="DB83" i="42"/>
  <c r="DK151" i="41"/>
  <c r="DJ146" i="41"/>
  <c r="DJ173" i="41"/>
  <c r="DJ171" i="41"/>
  <c r="DJ172" i="41"/>
  <c r="DJ174" i="41"/>
  <c r="DO141" i="41"/>
  <c r="DP143" i="41"/>
  <c r="DP144" i="41" s="1"/>
  <c r="DG249" i="1"/>
  <c r="DI249" i="1" s="1"/>
  <c r="DG71" i="42"/>
  <c r="DG70" i="42" s="1"/>
  <c r="DO140" i="41"/>
  <c r="DO248" i="41"/>
  <c r="DG12" i="42"/>
  <c r="DO143" i="41"/>
  <c r="DO144" i="41" s="1"/>
  <c r="DP141" i="41"/>
  <c r="DB238" i="1"/>
  <c r="DB240" i="1" s="1"/>
  <c r="CY231" i="1" l="1"/>
  <c r="DB37" i="42"/>
  <c r="DB46" i="42" s="1"/>
  <c r="DC46" i="42" s="1"/>
  <c r="DK177" i="41"/>
  <c r="DK178" i="41" s="1"/>
  <c r="CZ10" i="1"/>
  <c r="DA10" i="1" s="1"/>
  <c r="DC28" i="3"/>
  <c r="DB100" i="3"/>
  <c r="DC100" i="3" s="1"/>
  <c r="N195" i="442"/>
  <c r="N192" i="442"/>
  <c r="DB62" i="1"/>
  <c r="DC61" i="1"/>
  <c r="DC62" i="1" s="1"/>
  <c r="DC41" i="3"/>
  <c r="DB114" i="3"/>
  <c r="DC114" i="3" s="1"/>
  <c r="DJ215" i="41"/>
  <c r="DJ219" i="41"/>
  <c r="DG25" i="3"/>
  <c r="DG97" i="42"/>
  <c r="DG250" i="1"/>
  <c r="DK174" i="41"/>
  <c r="DK175" i="41" s="1"/>
  <c r="DJ176" i="41"/>
  <c r="DJ175" i="41"/>
  <c r="DK146" i="41"/>
  <c r="DK147" i="41" s="1"/>
  <c r="DJ148" i="41"/>
  <c r="DJ147" i="41"/>
  <c r="DC248" i="1"/>
  <c r="DC83" i="42"/>
  <c r="DB227" i="1"/>
  <c r="DB194" i="1"/>
  <c r="DB239" i="1"/>
  <c r="DB211" i="1"/>
  <c r="DB99" i="1"/>
  <c r="DB93" i="1"/>
  <c r="DB65" i="1"/>
  <c r="DC64" i="1"/>
  <c r="DB245" i="1"/>
  <c r="DB246" i="1" s="1"/>
  <c r="DO142" i="41"/>
  <c r="N41" i="442"/>
  <c r="DQ180" i="41"/>
  <c r="DM142" i="41"/>
  <c r="DN142" i="41"/>
  <c r="DQ140" i="41"/>
  <c r="DP142" i="41"/>
  <c r="DP258" i="41"/>
  <c r="DO249" i="41"/>
  <c r="DQ248" i="41"/>
  <c r="DM153" i="41"/>
  <c r="DM155" i="41"/>
  <c r="DE13" i="1"/>
  <c r="DM152" i="41"/>
  <c r="DC37" i="42"/>
  <c r="DC258" i="1"/>
  <c r="DK179" i="41"/>
  <c r="DC192" i="1"/>
  <c r="DC225" i="1"/>
  <c r="DC59" i="1"/>
  <c r="DO254" i="41"/>
  <c r="DC29" i="3"/>
  <c r="DB101" i="3"/>
  <c r="DC101" i="3" s="1"/>
  <c r="CZ11" i="1"/>
  <c r="CY9" i="1"/>
  <c r="DJ212" i="41"/>
  <c r="DK211" i="41"/>
  <c r="DK212" i="41" s="1"/>
  <c r="CZ231" i="1" l="1"/>
  <c r="N45" i="442"/>
  <c r="N42" i="442"/>
  <c r="N46" i="442"/>
  <c r="DB94" i="1"/>
  <c r="DC93" i="1"/>
  <c r="DC94" i="1" s="1"/>
  <c r="DH25" i="3"/>
  <c r="DI25" i="3" s="1"/>
  <c r="DG97" i="3"/>
  <c r="DE182" i="1"/>
  <c r="DE14" i="1"/>
  <c r="DE29" i="1"/>
  <c r="DE15" i="1"/>
  <c r="DE199" i="1"/>
  <c r="DM22" i="41"/>
  <c r="DE236" i="1"/>
  <c r="DM18" i="41"/>
  <c r="DO251" i="41"/>
  <c r="DQ249" i="41"/>
  <c r="DO255" i="41"/>
  <c r="DO250" i="41"/>
  <c r="DQ142" i="41"/>
  <c r="DB100" i="1"/>
  <c r="DC99" i="1"/>
  <c r="DC100" i="1" s="1"/>
  <c r="DA11" i="1"/>
  <c r="DB11" i="1" s="1"/>
  <c r="CZ9" i="1"/>
  <c r="DB10" i="1"/>
  <c r="DM156" i="41"/>
  <c r="DM157" i="41"/>
  <c r="DQ254" i="41"/>
  <c r="DC194" i="1"/>
  <c r="DC239" i="1"/>
  <c r="DC227" i="1"/>
  <c r="DC98" i="1"/>
  <c r="M36" i="442"/>
  <c r="DC65" i="1"/>
  <c r="DB231" i="1" l="1"/>
  <c r="DH97" i="3"/>
  <c r="DI97" i="3" s="1"/>
  <c r="M37" i="442"/>
  <c r="M31" i="442"/>
  <c r="M32" i="442" s="1"/>
  <c r="M108" i="442" s="1"/>
  <c r="M107" i="442" s="1"/>
  <c r="M112" i="442" s="1"/>
  <c r="M115" i="442" s="1"/>
  <c r="M47" i="442"/>
  <c r="DB9" i="1"/>
  <c r="DO252" i="41"/>
  <c r="DO256" i="41"/>
  <c r="DM80" i="41"/>
  <c r="DM105" i="41"/>
  <c r="DM58" i="41"/>
  <c r="DM24" i="41"/>
  <c r="DM23" i="41"/>
  <c r="DM165" i="41" s="1"/>
  <c r="DM86" i="41"/>
  <c r="DM83" i="41"/>
  <c r="DM77" i="41"/>
  <c r="DE24" i="1"/>
  <c r="DA231" i="1"/>
  <c r="DA9" i="1"/>
  <c r="DQ252" i="41"/>
  <c r="DQ250" i="41"/>
  <c r="DQ256" i="41" s="1"/>
  <c r="DQ255" i="41"/>
  <c r="DM26" i="41"/>
  <c r="DM27" i="41" s="1"/>
  <c r="DM28" i="41" s="1"/>
  <c r="DM20" i="41"/>
  <c r="DM19" i="41"/>
  <c r="DQ251" i="41"/>
  <c r="DQ257" i="41" s="1"/>
  <c r="DO257" i="41"/>
  <c r="DM78" i="41" l="1"/>
  <c r="DM79" i="41"/>
  <c r="M113" i="442"/>
  <c r="N181" i="442"/>
  <c r="DQ258" i="41"/>
  <c r="DM84" i="41"/>
  <c r="DM85" i="41"/>
  <c r="DM73" i="41"/>
  <c r="DM74" i="41" s="1"/>
  <c r="DM62" i="41"/>
  <c r="DM59" i="41"/>
  <c r="DM60" i="41"/>
  <c r="DO258" i="41"/>
  <c r="M152" i="442"/>
  <c r="M151" i="442" s="1"/>
  <c r="M156" i="442" s="1"/>
  <c r="M159" i="442" s="1"/>
  <c r="DE203" i="1"/>
  <c r="DE186" i="1"/>
  <c r="DM89" i="41"/>
  <c r="DM88" i="41"/>
  <c r="DM87" i="41"/>
  <c r="DM107" i="41"/>
  <c r="DM106" i="41"/>
  <c r="DE16" i="1"/>
  <c r="DM167" i="41"/>
  <c r="DM81" i="41"/>
  <c r="DM82" i="41"/>
  <c r="DM64" i="41" l="1"/>
  <c r="DM63" i="41"/>
  <c r="DM241" i="41"/>
  <c r="DM240" i="41"/>
  <c r="DM168" i="41"/>
  <c r="DM239" i="41" s="1"/>
  <c r="DE18" i="1"/>
  <c r="DE200" i="1"/>
  <c r="DE31" i="1"/>
  <c r="DE33" i="1" s="1"/>
  <c r="DE17" i="1"/>
  <c r="DE183" i="1"/>
  <c r="DE19" i="1"/>
  <c r="DE217" i="1" s="1"/>
  <c r="M157" i="442"/>
  <c r="N182" i="442"/>
  <c r="N191" i="442"/>
  <c r="DE25" i="1" l="1"/>
  <c r="DE187" i="1" s="1"/>
  <c r="DE50" i="1"/>
  <c r="DM217" i="41"/>
  <c r="DE41" i="1"/>
  <c r="DE66" i="42"/>
  <c r="DE20" i="1"/>
  <c r="DE237" i="1"/>
  <c r="DM159" i="41"/>
  <c r="DE201" i="1"/>
  <c r="DE184" i="1"/>
  <c r="DE122" i="42"/>
  <c r="DE120" i="42" s="1"/>
  <c r="DE115" i="42"/>
  <c r="DE34" i="3" s="1"/>
  <c r="DE107" i="3" s="1"/>
  <c r="DE21" i="1"/>
  <c r="DE45" i="1"/>
  <c r="DE31" i="42"/>
  <c r="DE37" i="1"/>
  <c r="DE216" i="1"/>
  <c r="DE219" i="1"/>
  <c r="DE34" i="1"/>
  <c r="DE188" i="1" l="1"/>
  <c r="DE220" i="1"/>
  <c r="DE204" i="1"/>
  <c r="DE221" i="1"/>
  <c r="DE26" i="1"/>
  <c r="DE25" i="42"/>
  <c r="DF125" i="42"/>
  <c r="DE16" i="42"/>
  <c r="DE36" i="42"/>
  <c r="DE29" i="3" s="1"/>
  <c r="DE101" i="3" s="1"/>
  <c r="DE32" i="42"/>
  <c r="DE30" i="42" s="1"/>
  <c r="DE26" i="42"/>
  <c r="DE41" i="3" s="1"/>
  <c r="DE43" i="1"/>
  <c r="DE58" i="1"/>
  <c r="DM179" i="41" s="1"/>
  <c r="DE190" i="1"/>
  <c r="DE44" i="1"/>
  <c r="DE207" i="1"/>
  <c r="DE241" i="1"/>
  <c r="DE223" i="1"/>
  <c r="DE47" i="1"/>
  <c r="DE48" i="1"/>
  <c r="DE191" i="1"/>
  <c r="DE208" i="1"/>
  <c r="DE224" i="1"/>
  <c r="DE189" i="1"/>
  <c r="DE206" i="1"/>
  <c r="DE40" i="1"/>
  <c r="DE39" i="1"/>
  <c r="DE222" i="1"/>
  <c r="DM307" i="41"/>
  <c r="DE255" i="1"/>
  <c r="DM162" i="41"/>
  <c r="DE33" i="42"/>
  <c r="DM161" i="41"/>
  <c r="DM160" i="41"/>
  <c r="DM169" i="41"/>
  <c r="DM163" i="41"/>
  <c r="DM66" i="41"/>
  <c r="DM177" i="41" l="1"/>
  <c r="DM178" i="41" s="1"/>
  <c r="DE26" i="3"/>
  <c r="DE98" i="3" s="1"/>
  <c r="DE61" i="1"/>
  <c r="DE62" i="1" s="1"/>
  <c r="DE248" i="1"/>
  <c r="DE84" i="42"/>
  <c r="DN150" i="41"/>
  <c r="DE79" i="42"/>
  <c r="DE83" i="42"/>
  <c r="DE28" i="3"/>
  <c r="DE100" i="3" s="1"/>
  <c r="DM146" i="41"/>
  <c r="DM323" i="41"/>
  <c r="DM324" i="41" s="1"/>
  <c r="DM325" i="41" s="1"/>
  <c r="DM327" i="41"/>
  <c r="DM328" i="41" s="1"/>
  <c r="DM320" i="41"/>
  <c r="DM321" i="41" s="1"/>
  <c r="DE42" i="3"/>
  <c r="DE114" i="3"/>
  <c r="DE115" i="3" s="1"/>
  <c r="DM171" i="41"/>
  <c r="DM172" i="41"/>
  <c r="DM173" i="41"/>
  <c r="DM174" i="41"/>
  <c r="DE27" i="3"/>
  <c r="DE99" i="3" s="1"/>
  <c r="DE37" i="42"/>
  <c r="DE46" i="42" s="1"/>
  <c r="DE64" i="1"/>
  <c r="DE225" i="1"/>
  <c r="DE209" i="1"/>
  <c r="DE59" i="1"/>
  <c r="DE192" i="1"/>
  <c r="DM214" i="41"/>
  <c r="DE238" i="1"/>
  <c r="DE240" i="1" s="1"/>
  <c r="DM69" i="41"/>
  <c r="DM70" i="41" s="1"/>
  <c r="DM67" i="41"/>
  <c r="DM211" i="41"/>
  <c r="DM212" i="41" s="1"/>
  <c r="DE227" i="1" l="1"/>
  <c r="DE93" i="1"/>
  <c r="DE94" i="1" s="1"/>
  <c r="DE194" i="1"/>
  <c r="DE65" i="1"/>
  <c r="DE239" i="1"/>
  <c r="DE99" i="1"/>
  <c r="DE100" i="1" s="1"/>
  <c r="DE211" i="1"/>
  <c r="DE245" i="1"/>
  <c r="DE246" i="1" s="1"/>
  <c r="DM148" i="41"/>
  <c r="DM147" i="41"/>
  <c r="DF13" i="1"/>
  <c r="DN152" i="41"/>
  <c r="DN153" i="41"/>
  <c r="DN155" i="41"/>
  <c r="DM175" i="41"/>
  <c r="DM176" i="41"/>
  <c r="DM215" i="41"/>
  <c r="DM219" i="41"/>
  <c r="DE24" i="3"/>
  <c r="DE96" i="3" s="1"/>
  <c r="DF199" i="1" l="1"/>
  <c r="DF15" i="1"/>
  <c r="DN22" i="41"/>
  <c r="DF182" i="1"/>
  <c r="DF236" i="1"/>
  <c r="DN18" i="41"/>
  <c r="DF14" i="1"/>
  <c r="DF29" i="1"/>
  <c r="DF24" i="1" s="1"/>
  <c r="DN157" i="41"/>
  <c r="DN156" i="41"/>
  <c r="DN24" i="41" l="1"/>
  <c r="DN77" i="41"/>
  <c r="DN86" i="41"/>
  <c r="DN83" i="41"/>
  <c r="DN105" i="41"/>
  <c r="DN80" i="41"/>
  <c r="DN58" i="41"/>
  <c r="DN23" i="41"/>
  <c r="DN165" i="41" s="1"/>
  <c r="DN19" i="41"/>
  <c r="DN20" i="41"/>
  <c r="DN26" i="41"/>
  <c r="DN27" i="41" s="1"/>
  <c r="DN28" i="41" s="1"/>
  <c r="DF203" i="1"/>
  <c r="DF186" i="1"/>
  <c r="DN84" i="41" l="1"/>
  <c r="DN85" i="41"/>
  <c r="DN60" i="41"/>
  <c r="DN62" i="41"/>
  <c r="DN59" i="41"/>
  <c r="DN73" i="41"/>
  <c r="DN74" i="41" s="1"/>
  <c r="DN87" i="41"/>
  <c r="DN88" i="41"/>
  <c r="DN89" i="41"/>
  <c r="DN82" i="41"/>
  <c r="DN81" i="41"/>
  <c r="DN79" i="41"/>
  <c r="DN78" i="41"/>
  <c r="DN106" i="41"/>
  <c r="DF16" i="1"/>
  <c r="DM120" i="41"/>
  <c r="DM119" i="41" s="1"/>
  <c r="DM122" i="41" s="1"/>
  <c r="DS124" i="41" s="1"/>
  <c r="DN107" i="41"/>
  <c r="DN167" i="41"/>
  <c r="DN241" i="41" l="1"/>
  <c r="DN240" i="41"/>
  <c r="DN168" i="41"/>
  <c r="DN239" i="41" s="1"/>
  <c r="DN63" i="41"/>
  <c r="DN64" i="41"/>
  <c r="DS127" i="41"/>
  <c r="DS126" i="41"/>
  <c r="DS139" i="41"/>
  <c r="DF31" i="1"/>
  <c r="DF17" i="1"/>
  <c r="DF183" i="1"/>
  <c r="DF200" i="1"/>
  <c r="DF18" i="1"/>
  <c r="DF19" i="1"/>
  <c r="DF217" i="1" l="1"/>
  <c r="DF122" i="42"/>
  <c r="DF120" i="42" s="1"/>
  <c r="DF45" i="1"/>
  <c r="DN159" i="41"/>
  <c r="DF21" i="1"/>
  <c r="DF37" i="1"/>
  <c r="DF115" i="42"/>
  <c r="DF34" i="3" s="1"/>
  <c r="DF50" i="1"/>
  <c r="DF41" i="1"/>
  <c r="DF184" i="1"/>
  <c r="DN217" i="41"/>
  <c r="DF31" i="42"/>
  <c r="DF201" i="1"/>
  <c r="DF20" i="1"/>
  <c r="DF237" i="1"/>
  <c r="DF66" i="42"/>
  <c r="DF216" i="1"/>
  <c r="DF219" i="1"/>
  <c r="DK249" i="1"/>
  <c r="DK12" i="42"/>
  <c r="DS248" i="41"/>
  <c r="DS249" i="41" s="1"/>
  <c r="DS141" i="41"/>
  <c r="DS143" i="41"/>
  <c r="DS144" i="41" s="1"/>
  <c r="DS140" i="41"/>
  <c r="DK71" i="42"/>
  <c r="DK70" i="42" s="1"/>
  <c r="DF25" i="1"/>
  <c r="DF33" i="1"/>
  <c r="DF107" i="3" l="1"/>
  <c r="DF255" i="1" s="1"/>
  <c r="DS250" i="41"/>
  <c r="DS251" i="41"/>
  <c r="DS257" i="41" s="1"/>
  <c r="DS255" i="41"/>
  <c r="DS254" i="41"/>
  <c r="DK97" i="42"/>
  <c r="DK25" i="3"/>
  <c r="DK97" i="3" s="1"/>
  <c r="DF206" i="1"/>
  <c r="DF39" i="1"/>
  <c r="DN307" i="41"/>
  <c r="DF222" i="1"/>
  <c r="DF40" i="1"/>
  <c r="DF189" i="1"/>
  <c r="DF48" i="1"/>
  <c r="DF47" i="1"/>
  <c r="DF191" i="1"/>
  <c r="DF208" i="1"/>
  <c r="DF224" i="1"/>
  <c r="DF190" i="1"/>
  <c r="DF223" i="1"/>
  <c r="DF241" i="1"/>
  <c r="DF43" i="1"/>
  <c r="DF58" i="1"/>
  <c r="DF64" i="1" s="1"/>
  <c r="DF207" i="1"/>
  <c r="DF44" i="1"/>
  <c r="DF25" i="42"/>
  <c r="DG125" i="42"/>
  <c r="DF16" i="42"/>
  <c r="DF36" i="42"/>
  <c r="DF29" i="3" s="1"/>
  <c r="DF101" i="3" s="1"/>
  <c r="DF26" i="42"/>
  <c r="DF41" i="3" s="1"/>
  <c r="DF114" i="3" s="1"/>
  <c r="DF32" i="42"/>
  <c r="DF30" i="42" s="1"/>
  <c r="DF34" i="1"/>
  <c r="DF220" i="1"/>
  <c r="DF204" i="1"/>
  <c r="DF187" i="1"/>
  <c r="DF188" i="1"/>
  <c r="DF26" i="1"/>
  <c r="DF221" i="1"/>
  <c r="DN162" i="41"/>
  <c r="DN169" i="41"/>
  <c r="DN163" i="41"/>
  <c r="DN160" i="41"/>
  <c r="DF33" i="42"/>
  <c r="DN161" i="41"/>
  <c r="DN66" i="41"/>
  <c r="DF115" i="3" l="1"/>
  <c r="DF238" i="1"/>
  <c r="DF240" i="1" s="1"/>
  <c r="DF227" i="1"/>
  <c r="DF245" i="1"/>
  <c r="DF246" i="1" s="1"/>
  <c r="DF99" i="1"/>
  <c r="DF100" i="1" s="1"/>
  <c r="DF211" i="1"/>
  <c r="DF65" i="1"/>
  <c r="DF194" i="1"/>
  <c r="DF239" i="1"/>
  <c r="DF93" i="1"/>
  <c r="DF94" i="1" s="1"/>
  <c r="DS256" i="41"/>
  <c r="DS252" i="41"/>
  <c r="DF248" i="1"/>
  <c r="DO150" i="41"/>
  <c r="DF79" i="42"/>
  <c r="DF84" i="42"/>
  <c r="DF83" i="42"/>
  <c r="DF28" i="3"/>
  <c r="DF100" i="3" s="1"/>
  <c r="DN146" i="41"/>
  <c r="DF42" i="3"/>
  <c r="DN67" i="41"/>
  <c r="DN69" i="41"/>
  <c r="DN70" i="41" s="1"/>
  <c r="DN179" i="41"/>
  <c r="DN177" i="41"/>
  <c r="DN178" i="41" s="1"/>
  <c r="DF61" i="1"/>
  <c r="DF62" i="1" s="1"/>
  <c r="DF37" i="42"/>
  <c r="DF46" i="42" s="1"/>
  <c r="DF27" i="3"/>
  <c r="DF99" i="3" s="1"/>
  <c r="DN211" i="41"/>
  <c r="DN212" i="41" s="1"/>
  <c r="DF225" i="1"/>
  <c r="DF59" i="1"/>
  <c r="DN214" i="41"/>
  <c r="DF192" i="1"/>
  <c r="DF209" i="1"/>
  <c r="DN173" i="41"/>
  <c r="DN172" i="41"/>
  <c r="DN171" i="41"/>
  <c r="DN174" i="41"/>
  <c r="DF26" i="3"/>
  <c r="DN327" i="41"/>
  <c r="DN328" i="41" s="1"/>
  <c r="DN323" i="41"/>
  <c r="DN324" i="41" s="1"/>
  <c r="DN325" i="41" s="1"/>
  <c r="DN320" i="41"/>
  <c r="DN321" i="41" s="1"/>
  <c r="DF24" i="3" l="1"/>
  <c r="DF96" i="3" s="1"/>
  <c r="DF98" i="3"/>
  <c r="DG13" i="1"/>
  <c r="DO152" i="41"/>
  <c r="DO155" i="41"/>
  <c r="DO153" i="41"/>
  <c r="DN176" i="41"/>
  <c r="DN175" i="41"/>
  <c r="DS258" i="41"/>
  <c r="DN215" i="41"/>
  <c r="DN219" i="41"/>
  <c r="DN147" i="41"/>
  <c r="DN148" i="41"/>
  <c r="DG14" i="1" l="1"/>
  <c r="DG182" i="1"/>
  <c r="DG29" i="1"/>
  <c r="DG15" i="1"/>
  <c r="DO22" i="41"/>
  <c r="DG199" i="1"/>
  <c r="DO18" i="41"/>
  <c r="DG236" i="1"/>
  <c r="DO156" i="41"/>
  <c r="DO157" i="41"/>
  <c r="DO20" i="41" l="1"/>
  <c r="DO19" i="41"/>
  <c r="DO26" i="41"/>
  <c r="DO27" i="41" s="1"/>
  <c r="DO28" i="41" s="1"/>
  <c r="DO24" i="41"/>
  <c r="DO105" i="41"/>
  <c r="DO86" i="41"/>
  <c r="DO58" i="41"/>
  <c r="DO83" i="41"/>
  <c r="DO80" i="41"/>
  <c r="DO77" i="41"/>
  <c r="DO23" i="41"/>
  <c r="DO165" i="41" s="1"/>
  <c r="DG24" i="1"/>
  <c r="DO84" i="41" l="1"/>
  <c r="DO85" i="41"/>
  <c r="DO59" i="41"/>
  <c r="DO62" i="41"/>
  <c r="DO60" i="41"/>
  <c r="DO73" i="41"/>
  <c r="DO74" i="41" s="1"/>
  <c r="DO79" i="41"/>
  <c r="DO78" i="41"/>
  <c r="DO88" i="41"/>
  <c r="DO87" i="41"/>
  <c r="DO89" i="41"/>
  <c r="DG186" i="1"/>
  <c r="DG203" i="1"/>
  <c r="DO82" i="41"/>
  <c r="DO81" i="41"/>
  <c r="DO106" i="41"/>
  <c r="DO107" i="41"/>
  <c r="DG16" i="1"/>
  <c r="DN120" i="41"/>
  <c r="DN119" i="41" s="1"/>
  <c r="DN122" i="41" s="1"/>
  <c r="DT124" i="41" s="1"/>
  <c r="DO167" i="41"/>
  <c r="DT126" i="41" l="1"/>
  <c r="DT127" i="41"/>
  <c r="DT139" i="41"/>
  <c r="DO63" i="41"/>
  <c r="DO64" i="41"/>
  <c r="DG183" i="1"/>
  <c r="DG31" i="1"/>
  <c r="DG17" i="1"/>
  <c r="DG200" i="1"/>
  <c r="DG18" i="1"/>
  <c r="DG19" i="1"/>
  <c r="DO241" i="41"/>
  <c r="DO240" i="41"/>
  <c r="DO168" i="41"/>
  <c r="DO239" i="41" s="1"/>
  <c r="DG217" i="1" l="1"/>
  <c r="DG122" i="42"/>
  <c r="DG120" i="42" s="1"/>
  <c r="DG115" i="42"/>
  <c r="DG34" i="3" s="1"/>
  <c r="DG107" i="3" s="1"/>
  <c r="DG41" i="1"/>
  <c r="DG237" i="1"/>
  <c r="DG50" i="1"/>
  <c r="DG45" i="1"/>
  <c r="DG37" i="1"/>
  <c r="DG31" i="42"/>
  <c r="DG20" i="1"/>
  <c r="DG184" i="1"/>
  <c r="DO217" i="41"/>
  <c r="DG66" i="42"/>
  <c r="DG21" i="1"/>
  <c r="DO159" i="41"/>
  <c r="DG201" i="1"/>
  <c r="DG216" i="1"/>
  <c r="DG219" i="1"/>
  <c r="DG25" i="1"/>
  <c r="DG33" i="1"/>
  <c r="DL249" i="1"/>
  <c r="DT140" i="41"/>
  <c r="DL71" i="42"/>
  <c r="DL70" i="42" s="1"/>
  <c r="DT143" i="41"/>
  <c r="DT144" i="41" s="1"/>
  <c r="DT141" i="41"/>
  <c r="DL12" i="42"/>
  <c r="DT248" i="41"/>
  <c r="DO163" i="41" l="1"/>
  <c r="DO160" i="41"/>
  <c r="DO169" i="41"/>
  <c r="DG33" i="42"/>
  <c r="DO161" i="41"/>
  <c r="DO162" i="41"/>
  <c r="DO66" i="41"/>
  <c r="DG190" i="1"/>
  <c r="DG58" i="1"/>
  <c r="DG64" i="1" s="1"/>
  <c r="DG223" i="1"/>
  <c r="DG43" i="1"/>
  <c r="DG241" i="1"/>
  <c r="DG44" i="1"/>
  <c r="DG207" i="1"/>
  <c r="DG34" i="1"/>
  <c r="DG208" i="1"/>
  <c r="DG224" i="1"/>
  <c r="DG48" i="1"/>
  <c r="DG47" i="1"/>
  <c r="DG191" i="1"/>
  <c r="DL97" i="42"/>
  <c r="DL25" i="3"/>
  <c r="DL97" i="3" s="1"/>
  <c r="DT254" i="41"/>
  <c r="DG204" i="1"/>
  <c r="DG220" i="1"/>
  <c r="DG187" i="1"/>
  <c r="DG26" i="1"/>
  <c r="DG188" i="1"/>
  <c r="DG221" i="1"/>
  <c r="DH125" i="42"/>
  <c r="DI125" i="42" s="1"/>
  <c r="DG25" i="42"/>
  <c r="DT249" i="41"/>
  <c r="DT260" i="41"/>
  <c r="DG255" i="1"/>
  <c r="DG39" i="1"/>
  <c r="DO307" i="41"/>
  <c r="DG189" i="1"/>
  <c r="DG222" i="1"/>
  <c r="DG206" i="1"/>
  <c r="DG40" i="1"/>
  <c r="DG26" i="42"/>
  <c r="DG41" i="3" s="1"/>
  <c r="DG16" i="42"/>
  <c r="DG36" i="42"/>
  <c r="DG29" i="3" s="1"/>
  <c r="DG101" i="3" s="1"/>
  <c r="DG32" i="42"/>
  <c r="DG30" i="42" s="1"/>
  <c r="DG238" i="1" l="1"/>
  <c r="DG240" i="1" s="1"/>
  <c r="DG239" i="1"/>
  <c r="DG93" i="1"/>
  <c r="DG94" i="1" s="1"/>
  <c r="DG65" i="1"/>
  <c r="DG211" i="1"/>
  <c r="DG227" i="1"/>
  <c r="DG194" i="1"/>
  <c r="DG99" i="1"/>
  <c r="DG100" i="1" s="1"/>
  <c r="DG245" i="1"/>
  <c r="DG246" i="1" s="1"/>
  <c r="DG83" i="42"/>
  <c r="DG28" i="3"/>
  <c r="DG100" i="3" s="1"/>
  <c r="DG84" i="42"/>
  <c r="DG79" i="42"/>
  <c r="DP150" i="41"/>
  <c r="DG248" i="1"/>
  <c r="DO146" i="41"/>
  <c r="DO67" i="41"/>
  <c r="DO69" i="41"/>
  <c r="DO70" i="41" s="1"/>
  <c r="DG42" i="3"/>
  <c r="DG114" i="3"/>
  <c r="DG115" i="3" s="1"/>
  <c r="DG26" i="3"/>
  <c r="DT251" i="41"/>
  <c r="DT257" i="41" s="1"/>
  <c r="DT255" i="41"/>
  <c r="DT250" i="41"/>
  <c r="DO173" i="41"/>
  <c r="DO172" i="41"/>
  <c r="DO171" i="41"/>
  <c r="DO174" i="41"/>
  <c r="DG37" i="42"/>
  <c r="DG46" i="42" s="1"/>
  <c r="DG27" i="3"/>
  <c r="DG99" i="3" s="1"/>
  <c r="DO327" i="41"/>
  <c r="DO328" i="41" s="1"/>
  <c r="DO320" i="41"/>
  <c r="DO321" i="41" s="1"/>
  <c r="DO323" i="41"/>
  <c r="DO324" i="41" s="1"/>
  <c r="DO325" i="41" s="1"/>
  <c r="DO211" i="41"/>
  <c r="DO212" i="41" s="1"/>
  <c r="DO177" i="41"/>
  <c r="DO178" i="41" s="1"/>
  <c r="DO179" i="41"/>
  <c r="DG61" i="1"/>
  <c r="DG62" i="1" s="1"/>
  <c r="DG59" i="1"/>
  <c r="DG225" i="1"/>
  <c r="DG192" i="1"/>
  <c r="DG209" i="1"/>
  <c r="DO214" i="41"/>
  <c r="DG24" i="3" l="1"/>
  <c r="DG96" i="3" s="1"/>
  <c r="DG98" i="3"/>
  <c r="DO175" i="41"/>
  <c r="DO176" i="41"/>
  <c r="DT252" i="41"/>
  <c r="DT256" i="41"/>
  <c r="DO148" i="41"/>
  <c r="DO147" i="41"/>
  <c r="DO215" i="41"/>
  <c r="DO219" i="41"/>
  <c r="DP155" i="41"/>
  <c r="DP152" i="41"/>
  <c r="DH13" i="1"/>
  <c r="DP153" i="41"/>
  <c r="DP157" i="41" l="1"/>
  <c r="DP156" i="41"/>
  <c r="DH199" i="1"/>
  <c r="DH236" i="1"/>
  <c r="DH29" i="1"/>
  <c r="DH14" i="1"/>
  <c r="DI13" i="1"/>
  <c r="DH15" i="1"/>
  <c r="DP22" i="41"/>
  <c r="DH182" i="1"/>
  <c r="DP18" i="41"/>
  <c r="DT258" i="41"/>
  <c r="DT261" i="41"/>
  <c r="DQ18" i="41" l="1"/>
  <c r="DQ19" i="41" s="1"/>
  <c r="DP26" i="41"/>
  <c r="DP27" i="41" s="1"/>
  <c r="DP28" i="41" s="1"/>
  <c r="DP20" i="41"/>
  <c r="DP19" i="41"/>
  <c r="DI182" i="1"/>
  <c r="N11" i="442"/>
  <c r="DI236" i="1"/>
  <c r="DI14" i="1"/>
  <c r="DI153" i="1"/>
  <c r="DP23" i="41"/>
  <c r="DP165" i="41" s="1"/>
  <c r="DP58" i="41"/>
  <c r="DP24" i="41"/>
  <c r="DP83" i="41"/>
  <c r="DP77" i="41"/>
  <c r="DP86" i="41"/>
  <c r="DP105" i="41"/>
  <c r="DQ22" i="41"/>
  <c r="DP80" i="41"/>
  <c r="DH24" i="1"/>
  <c r="DI29" i="1"/>
  <c r="DI30" i="1" s="1"/>
  <c r="DQ23" i="41" l="1"/>
  <c r="DQ165" i="41" s="1"/>
  <c r="DQ150" i="41"/>
  <c r="DP84" i="41"/>
  <c r="DP85" i="41"/>
  <c r="DQ83" i="41"/>
  <c r="DH186" i="1"/>
  <c r="DH203" i="1"/>
  <c r="DI24" i="1"/>
  <c r="DP106" i="41"/>
  <c r="DQ105" i="41"/>
  <c r="DQ106" i="41" s="1"/>
  <c r="DP107" i="41"/>
  <c r="DO120" i="41"/>
  <c r="DO119" i="41" s="1"/>
  <c r="DP120" i="41"/>
  <c r="DP119" i="41" s="1"/>
  <c r="DP122" i="41" s="1"/>
  <c r="DV124" i="41" s="1"/>
  <c r="DH16" i="1"/>
  <c r="DP167" i="41"/>
  <c r="DP87" i="41"/>
  <c r="DQ86" i="41"/>
  <c r="DP88" i="41"/>
  <c r="DP89" i="41"/>
  <c r="DP59" i="41"/>
  <c r="DP62" i="41"/>
  <c r="DP73" i="41"/>
  <c r="DP60" i="41"/>
  <c r="DQ58" i="41"/>
  <c r="N12" i="442"/>
  <c r="N19" i="442"/>
  <c r="N20" i="442" s="1"/>
  <c r="N140" i="442" s="1"/>
  <c r="N17" i="442"/>
  <c r="N18" i="442" s="1"/>
  <c r="N9" i="442"/>
  <c r="DP81" i="41"/>
  <c r="DQ80" i="41"/>
  <c r="DP82" i="41"/>
  <c r="DQ77" i="41"/>
  <c r="DP78" i="41"/>
  <c r="DP79" i="41"/>
  <c r="N96" i="442" l="1"/>
  <c r="N95" i="442" s="1"/>
  <c r="N87" i="442" s="1"/>
  <c r="N139" i="442"/>
  <c r="N131" i="442" s="1"/>
  <c r="DP241" i="41"/>
  <c r="DP168" i="41"/>
  <c r="DP239" i="41" s="1"/>
  <c r="DP240" i="41"/>
  <c r="DI186" i="1"/>
  <c r="DQ79" i="41"/>
  <c r="DQ73" i="41"/>
  <c r="DQ74" i="41" s="1"/>
  <c r="DP74" i="41"/>
  <c r="DH17" i="1"/>
  <c r="DH18" i="1"/>
  <c r="DH31" i="1"/>
  <c r="DH200" i="1"/>
  <c r="DI16" i="1"/>
  <c r="DH183" i="1"/>
  <c r="DH19" i="1"/>
  <c r="DP64" i="41"/>
  <c r="DP63" i="41"/>
  <c r="DQ88" i="41"/>
  <c r="DQ89" i="41"/>
  <c r="DQ95" i="41" s="1"/>
  <c r="DQ101" i="41" s="1"/>
  <c r="DV126" i="41"/>
  <c r="DV139" i="41"/>
  <c r="DQ167" i="41"/>
  <c r="DQ82" i="41"/>
  <c r="DQ62" i="41"/>
  <c r="DQ63" i="41" s="1"/>
  <c r="DQ59" i="41"/>
  <c r="DQ119" i="41"/>
  <c r="DO122" i="41"/>
  <c r="DQ85" i="41"/>
  <c r="DQ94" i="41" l="1"/>
  <c r="DQ100" i="41" s="1"/>
  <c r="DN249" i="1"/>
  <c r="DV248" i="41"/>
  <c r="DV249" i="41" s="1"/>
  <c r="DV140" i="41"/>
  <c r="DN12" i="42"/>
  <c r="DI183" i="1"/>
  <c r="N22" i="442"/>
  <c r="DI17" i="1"/>
  <c r="DI19" i="1"/>
  <c r="DQ92" i="41"/>
  <c r="DQ98" i="41" s="1"/>
  <c r="DQ240" i="41"/>
  <c r="DQ241" i="41"/>
  <c r="DQ168" i="41"/>
  <c r="DQ239" i="41" s="1"/>
  <c r="DH217" i="1"/>
  <c r="DH122" i="42"/>
  <c r="DH237" i="1"/>
  <c r="DH20" i="1"/>
  <c r="DP217" i="41"/>
  <c r="DH41" i="1"/>
  <c r="DH50" i="1"/>
  <c r="DH31" i="42"/>
  <c r="DH201" i="1"/>
  <c r="DH66" i="42"/>
  <c r="DI66" i="42" s="1"/>
  <c r="DH21" i="1"/>
  <c r="DH184" i="1"/>
  <c r="DH37" i="1"/>
  <c r="DP159" i="41"/>
  <c r="DH45" i="1"/>
  <c r="DH216" i="1"/>
  <c r="DH219" i="1"/>
  <c r="DH25" i="1"/>
  <c r="DI31" i="1"/>
  <c r="DI32" i="1" s="1"/>
  <c r="DH33" i="1"/>
  <c r="N142" i="442"/>
  <c r="N137" i="442"/>
  <c r="N138" i="442" s="1"/>
  <c r="N132" i="442"/>
  <c r="DU124" i="41"/>
  <c r="DQ122" i="41"/>
  <c r="DQ93" i="41"/>
  <c r="DQ99" i="41" s="1"/>
  <c r="N98" i="442"/>
  <c r="N93" i="442"/>
  <c r="N94" i="442" s="1"/>
  <c r="N88" i="442"/>
  <c r="DW124" i="41" l="1"/>
  <c r="DU127" i="41"/>
  <c r="DU139" i="41"/>
  <c r="DU126" i="41"/>
  <c r="DV127" i="41"/>
  <c r="N153" i="442"/>
  <c r="N143" i="442"/>
  <c r="DI31" i="42"/>
  <c r="DN97" i="42"/>
  <c r="DO12" i="42"/>
  <c r="O43" i="442" s="1"/>
  <c r="N103" i="442"/>
  <c r="N104" i="442" s="1"/>
  <c r="N109" i="442"/>
  <c r="N99" i="442"/>
  <c r="N147" i="442"/>
  <c r="N148" i="442" s="1"/>
  <c r="DI33" i="1"/>
  <c r="DI34" i="1" s="1"/>
  <c r="DH34" i="1"/>
  <c r="DH208" i="1"/>
  <c r="DI45" i="1"/>
  <c r="DH224" i="1"/>
  <c r="DH47" i="1"/>
  <c r="DH191" i="1"/>
  <c r="DH48" i="1"/>
  <c r="DH32" i="42"/>
  <c r="DI32" i="42" s="1"/>
  <c r="DH36" i="42"/>
  <c r="DH26" i="42"/>
  <c r="DH16" i="42"/>
  <c r="DI16" i="42" s="1"/>
  <c r="DI217" i="1"/>
  <c r="DQ181" i="41"/>
  <c r="DI50" i="1"/>
  <c r="DI184" i="1"/>
  <c r="DI20" i="1"/>
  <c r="DI11" i="1"/>
  <c r="DI10" i="1"/>
  <c r="DI237" i="1"/>
  <c r="DI216" i="1"/>
  <c r="DI219" i="1"/>
  <c r="DV254" i="41"/>
  <c r="DP162" i="41"/>
  <c r="DQ159" i="41"/>
  <c r="DP160" i="41"/>
  <c r="DH33" i="42"/>
  <c r="DP163" i="41"/>
  <c r="DP161" i="41"/>
  <c r="DP169" i="41"/>
  <c r="DP66" i="41"/>
  <c r="DH190" i="1"/>
  <c r="DH223" i="1"/>
  <c r="DH207" i="1"/>
  <c r="DH241" i="1"/>
  <c r="DH43" i="1"/>
  <c r="DH44" i="1"/>
  <c r="DI41" i="1"/>
  <c r="DH58" i="1"/>
  <c r="DH238" i="1" s="1"/>
  <c r="DH240" i="1" s="1"/>
  <c r="DV250" i="41"/>
  <c r="DV255" i="41"/>
  <c r="DV251" i="41"/>
  <c r="DV257" i="41" s="1"/>
  <c r="DI25" i="1"/>
  <c r="DH204" i="1"/>
  <c r="DH220" i="1"/>
  <c r="DH187" i="1"/>
  <c r="DH221" i="1"/>
  <c r="DH26" i="1"/>
  <c r="DH188" i="1"/>
  <c r="DH39" i="1"/>
  <c r="DP307" i="41"/>
  <c r="DH40" i="1"/>
  <c r="DH222" i="1"/>
  <c r="DH206" i="1"/>
  <c r="DH189" i="1"/>
  <c r="DI37" i="1"/>
  <c r="DI122" i="42"/>
  <c r="DH120" i="42"/>
  <c r="N25" i="442"/>
  <c r="N33" i="442"/>
  <c r="N23" i="442"/>
  <c r="N27" i="442"/>
  <c r="DI124" i="42" l="1"/>
  <c r="DP320" i="41"/>
  <c r="DP321" i="41" s="1"/>
  <c r="DP323" i="41"/>
  <c r="DP324" i="41" s="1"/>
  <c r="DP325" i="41" s="1"/>
  <c r="DP327" i="41"/>
  <c r="DP328" i="41" s="1"/>
  <c r="DV252" i="41"/>
  <c r="DV256" i="41"/>
  <c r="DI231" i="1"/>
  <c r="DE10" i="1"/>
  <c r="DI224" i="1"/>
  <c r="DI47" i="1"/>
  <c r="DI46" i="1"/>
  <c r="DI191" i="1"/>
  <c r="DI220" i="1"/>
  <c r="DI187" i="1"/>
  <c r="DI188" i="1"/>
  <c r="DI221" i="1"/>
  <c r="DP211" i="41"/>
  <c r="DH192" i="1"/>
  <c r="DH59" i="1"/>
  <c r="DP214" i="41"/>
  <c r="DH209" i="1"/>
  <c r="DH225" i="1"/>
  <c r="DI58" i="1"/>
  <c r="DI238" i="1" s="1"/>
  <c r="DI240" i="1" s="1"/>
  <c r="DP67" i="41"/>
  <c r="DP69" i="41"/>
  <c r="DP70" i="41" s="1"/>
  <c r="DH84" i="42"/>
  <c r="DH28" i="3"/>
  <c r="DH79" i="42"/>
  <c r="DI79" i="42" s="1"/>
  <c r="DH248" i="1"/>
  <c r="DS150" i="41"/>
  <c r="DH83" i="42"/>
  <c r="DI33" i="42"/>
  <c r="DQ151" i="41"/>
  <c r="DP146" i="41"/>
  <c r="DE11" i="1"/>
  <c r="DI26" i="42"/>
  <c r="DH41" i="3"/>
  <c r="O44" i="442"/>
  <c r="DU141" i="41"/>
  <c r="DM12" i="42"/>
  <c r="DV143" i="41"/>
  <c r="DV144" i="41" s="1"/>
  <c r="DU140" i="41"/>
  <c r="DU248" i="41"/>
  <c r="DM71" i="42"/>
  <c r="DM70" i="42" s="1"/>
  <c r="DU143" i="41"/>
  <c r="DU144" i="41" s="1"/>
  <c r="DM249" i="1"/>
  <c r="DO249" i="1" s="1"/>
  <c r="DV141" i="41"/>
  <c r="N185" i="442"/>
  <c r="N28" i="442"/>
  <c r="DI43" i="1"/>
  <c r="DI127" i="42"/>
  <c r="DI42" i="1"/>
  <c r="DI190" i="1"/>
  <c r="DI223" i="1"/>
  <c r="DI241" i="1"/>
  <c r="DP173" i="41"/>
  <c r="DP172" i="41"/>
  <c r="DP171" i="41"/>
  <c r="DP174" i="41"/>
  <c r="DI9" i="1"/>
  <c r="DI36" i="42"/>
  <c r="DH29" i="3"/>
  <c r="DH64" i="1"/>
  <c r="DK125" i="42"/>
  <c r="DH25" i="42"/>
  <c r="DI25" i="42" s="1"/>
  <c r="N200" i="442"/>
  <c r="N203" i="442" s="1"/>
  <c r="N204" i="442" s="1"/>
  <c r="DI222" i="1"/>
  <c r="DI39" i="1"/>
  <c r="DI189" i="1"/>
  <c r="DI38" i="1"/>
  <c r="DI26" i="1"/>
  <c r="DH61" i="1"/>
  <c r="DP177" i="41"/>
  <c r="DP178" i="41" s="1"/>
  <c r="DP179" i="41"/>
  <c r="DQ160" i="41"/>
  <c r="DI68" i="42" s="1"/>
  <c r="DI258" i="1" s="1"/>
  <c r="DQ163" i="41"/>
  <c r="DH30" i="42"/>
  <c r="O190" i="442"/>
  <c r="DW139" i="41"/>
  <c r="DW126" i="41"/>
  <c r="DW128" i="41"/>
  <c r="DQ179" i="41" l="1"/>
  <c r="DE9" i="1"/>
  <c r="DF11" i="1"/>
  <c r="DG11" i="1" s="1"/>
  <c r="DH37" i="42"/>
  <c r="DH46" i="42" s="1"/>
  <c r="DI46" i="42" s="1"/>
  <c r="DI30" i="42"/>
  <c r="DI37" i="42" s="1"/>
  <c r="DH27" i="3"/>
  <c r="DH62" i="1"/>
  <c r="DI61" i="1"/>
  <c r="DI62" i="1" s="1"/>
  <c r="DH227" i="1"/>
  <c r="DH211" i="1"/>
  <c r="DH99" i="1"/>
  <c r="DI64" i="1"/>
  <c r="DH93" i="1"/>
  <c r="DH245" i="1"/>
  <c r="DH246" i="1" s="1"/>
  <c r="DH194" i="1"/>
  <c r="DH239" i="1"/>
  <c r="DH65" i="1"/>
  <c r="DU249" i="41"/>
  <c r="DW248" i="41"/>
  <c r="DI41" i="3"/>
  <c r="DH114" i="3"/>
  <c r="DI114" i="3" s="1"/>
  <c r="DQ146" i="41"/>
  <c r="DQ147" i="41" s="1"/>
  <c r="DP148" i="41"/>
  <c r="DP147" i="41"/>
  <c r="DS155" i="41"/>
  <c r="DK13" i="1"/>
  <c r="DS153" i="41"/>
  <c r="DS152" i="41"/>
  <c r="DV258" i="41"/>
  <c r="DH101" i="3"/>
  <c r="DI101" i="3" s="1"/>
  <c r="DI29" i="3"/>
  <c r="DU254" i="41"/>
  <c r="DQ211" i="41"/>
  <c r="DQ212" i="41" s="1"/>
  <c r="DP212" i="41"/>
  <c r="DF10" i="1"/>
  <c r="DE231" i="1"/>
  <c r="DU142" i="41"/>
  <c r="DT142" i="41"/>
  <c r="DW180" i="41"/>
  <c r="O41" i="442"/>
  <c r="DW140" i="41"/>
  <c r="DS142" i="41"/>
  <c r="DV142" i="41"/>
  <c r="DI248" i="1"/>
  <c r="DI83" i="42"/>
  <c r="DP215" i="41"/>
  <c r="DP219" i="41"/>
  <c r="O192" i="442"/>
  <c r="P192" i="442" s="1"/>
  <c r="O195" i="442"/>
  <c r="DP175" i="41"/>
  <c r="DQ174" i="41"/>
  <c r="DQ175" i="41" s="1"/>
  <c r="DP176" i="41"/>
  <c r="DM97" i="42"/>
  <c r="DM25" i="3"/>
  <c r="DN25" i="3" s="1"/>
  <c r="DO25" i="3" s="1"/>
  <c r="DI28" i="3"/>
  <c r="DH100" i="3"/>
  <c r="DI100" i="3" s="1"/>
  <c r="DQ177" i="41"/>
  <c r="DQ178" i="41" s="1"/>
  <c r="DI225" i="1"/>
  <c r="DI59" i="1"/>
  <c r="DI192" i="1"/>
  <c r="DF9" i="1" l="1"/>
  <c r="Q192" i="442"/>
  <c r="R192" i="442" s="1"/>
  <c r="S192" i="442" s="1"/>
  <c r="T192" i="442" s="1"/>
  <c r="DH100" i="1"/>
  <c r="DI99" i="1"/>
  <c r="DI100" i="1" s="1"/>
  <c r="DM97" i="3"/>
  <c r="DN97" i="3"/>
  <c r="DW142" i="41"/>
  <c r="DF231" i="1"/>
  <c r="DG10" i="1"/>
  <c r="DG9" i="1" s="1"/>
  <c r="DK199" i="1"/>
  <c r="DS22" i="41"/>
  <c r="DK182" i="1"/>
  <c r="DK236" i="1"/>
  <c r="DK29" i="1"/>
  <c r="DK15" i="1"/>
  <c r="DK14" i="1"/>
  <c r="DS18" i="41"/>
  <c r="DU255" i="41"/>
  <c r="DU251" i="41"/>
  <c r="DU250" i="41"/>
  <c r="DW249" i="41"/>
  <c r="DI27" i="3"/>
  <c r="DH99" i="3"/>
  <c r="DI99" i="3" s="1"/>
  <c r="DH11" i="1"/>
  <c r="DW254" i="41"/>
  <c r="DS157" i="41"/>
  <c r="DS156" i="41"/>
  <c r="DI93" i="1"/>
  <c r="DI94" i="1" s="1"/>
  <c r="DH94" i="1"/>
  <c r="O46" i="442"/>
  <c r="O42" i="442"/>
  <c r="P42" i="442" s="1"/>
  <c r="Q42" i="442" s="1"/>
  <c r="R42" i="442" s="1"/>
  <c r="S42" i="442" s="1"/>
  <c r="T42" i="442" s="1"/>
  <c r="O45" i="442"/>
  <c r="P45" i="442" s="1"/>
  <c r="Q45" i="442" s="1"/>
  <c r="R45" i="442" s="1"/>
  <c r="DI239" i="1"/>
  <c r="DI227" i="1"/>
  <c r="DI194" i="1"/>
  <c r="DI98" i="1"/>
  <c r="N36" i="442"/>
  <c r="DI65" i="1"/>
  <c r="DW255" i="41" l="1"/>
  <c r="DW252" i="41"/>
  <c r="DW250" i="41"/>
  <c r="DW256" i="41" s="1"/>
  <c r="N47" i="442"/>
  <c r="N37" i="442"/>
  <c r="N31" i="442"/>
  <c r="N32" i="442" s="1"/>
  <c r="N108" i="442" s="1"/>
  <c r="N107" i="442" s="1"/>
  <c r="N112" i="442" s="1"/>
  <c r="N115" i="442" s="1"/>
  <c r="DU256" i="41"/>
  <c r="DU252" i="41"/>
  <c r="DS24" i="41"/>
  <c r="DS80" i="41"/>
  <c r="DS23" i="41"/>
  <c r="DS165" i="41" s="1"/>
  <c r="DS105" i="41"/>
  <c r="DS77" i="41"/>
  <c r="DS58" i="41"/>
  <c r="DS83" i="41"/>
  <c r="DS86" i="41"/>
  <c r="DU257" i="41"/>
  <c r="DW251" i="41"/>
  <c r="DW257" i="41" s="1"/>
  <c r="DS19" i="41"/>
  <c r="DS26" i="41"/>
  <c r="DS27" i="41" s="1"/>
  <c r="DS28" i="41" s="1"/>
  <c r="DS20" i="41"/>
  <c r="DK24" i="1"/>
  <c r="DG231" i="1"/>
  <c r="DH10" i="1"/>
  <c r="DH231" i="1" s="1"/>
  <c r="DO97" i="3"/>
  <c r="S45" i="442" l="1"/>
  <c r="T45" i="442" s="1"/>
  <c r="DS84" i="41"/>
  <c r="DS85" i="41"/>
  <c r="DS59" i="41"/>
  <c r="DS62" i="41"/>
  <c r="DS73" i="41"/>
  <c r="DS74" i="41" s="1"/>
  <c r="DS60" i="41"/>
  <c r="DS82" i="41"/>
  <c r="DS81" i="41"/>
  <c r="DH9" i="1"/>
  <c r="DS79" i="41"/>
  <c r="DS78" i="41"/>
  <c r="N113" i="442"/>
  <c r="DW258" i="41"/>
  <c r="O181" i="442"/>
  <c r="DK203" i="1"/>
  <c r="DK186" i="1"/>
  <c r="DS87" i="41"/>
  <c r="DS89" i="41"/>
  <c r="DS88" i="41"/>
  <c r="DS107" i="41"/>
  <c r="DS106" i="41"/>
  <c r="DK16" i="1"/>
  <c r="DS167" i="41"/>
  <c r="DU258" i="41"/>
  <c r="N152" i="442"/>
  <c r="N151" i="442" s="1"/>
  <c r="N156" i="442" s="1"/>
  <c r="N159" i="442" s="1"/>
  <c r="DS63" i="41" l="1"/>
  <c r="DS64" i="41"/>
  <c r="O182" i="442"/>
  <c r="O191" i="442"/>
  <c r="P190" i="442"/>
  <c r="N157" i="442"/>
  <c r="DS168" i="41"/>
  <c r="DS239" i="41" s="1"/>
  <c r="DS241" i="41"/>
  <c r="DS240" i="41"/>
  <c r="DK200" i="1"/>
  <c r="DK17" i="1"/>
  <c r="DK31" i="1"/>
  <c r="DK18" i="1"/>
  <c r="DK183" i="1"/>
  <c r="DK19" i="1"/>
  <c r="DK217" i="1" s="1"/>
  <c r="DK25" i="1" l="1"/>
  <c r="DK33" i="1"/>
  <c r="DK34" i="1" s="1"/>
  <c r="DK50" i="1"/>
  <c r="DK201" i="1"/>
  <c r="DK31" i="42"/>
  <c r="DK184" i="1"/>
  <c r="DK37" i="1"/>
  <c r="DK66" i="42"/>
  <c r="DK237" i="1"/>
  <c r="DK41" i="1"/>
  <c r="DK21" i="1"/>
  <c r="DS159" i="41"/>
  <c r="DK122" i="42"/>
  <c r="DK120" i="42" s="1"/>
  <c r="DS217" i="41"/>
  <c r="DK20" i="1"/>
  <c r="DK45" i="1"/>
  <c r="DK115" i="42"/>
  <c r="DK34" i="3" s="1"/>
  <c r="DK107" i="3" s="1"/>
  <c r="DK216" i="1"/>
  <c r="DK219" i="1"/>
  <c r="DK189" i="1" l="1"/>
  <c r="DK222" i="1"/>
  <c r="DK39" i="1"/>
  <c r="DK206" i="1"/>
  <c r="DS307" i="41"/>
  <c r="DK40" i="1"/>
  <c r="DK223" i="1"/>
  <c r="DK58" i="1"/>
  <c r="DK238" i="1" s="1"/>
  <c r="DK240" i="1" s="1"/>
  <c r="DK43" i="1"/>
  <c r="DK44" i="1"/>
  <c r="DK241" i="1"/>
  <c r="DK207" i="1"/>
  <c r="DK190" i="1"/>
  <c r="DK255" i="1"/>
  <c r="DL125" i="42"/>
  <c r="DK25" i="42"/>
  <c r="DK26" i="42"/>
  <c r="DK41" i="3" s="1"/>
  <c r="DK36" i="42"/>
  <c r="DK29" i="3" s="1"/>
  <c r="DK101" i="3" s="1"/>
  <c r="DK32" i="42"/>
  <c r="DK30" i="42" s="1"/>
  <c r="DK16" i="42"/>
  <c r="DK26" i="3" s="1"/>
  <c r="DK47" i="1"/>
  <c r="DK208" i="1"/>
  <c r="DK224" i="1"/>
  <c r="DK191" i="1"/>
  <c r="DK48" i="1"/>
  <c r="DS162" i="41"/>
  <c r="DS160" i="41"/>
  <c r="DS169" i="41"/>
  <c r="DS161" i="41"/>
  <c r="DS163" i="41"/>
  <c r="DK33" i="42"/>
  <c r="DS66" i="41"/>
  <c r="DK204" i="1"/>
  <c r="DK220" i="1"/>
  <c r="DK187" i="1"/>
  <c r="DK221" i="1"/>
  <c r="DK188" i="1"/>
  <c r="DK26" i="1"/>
  <c r="DK98" i="3" l="1"/>
  <c r="DK83" i="42"/>
  <c r="DK28" i="3"/>
  <c r="DK100" i="3" s="1"/>
  <c r="DK84" i="42"/>
  <c r="DT150" i="41"/>
  <c r="DK79" i="42"/>
  <c r="DS146" i="41"/>
  <c r="DK27" i="3"/>
  <c r="DK99" i="3" s="1"/>
  <c r="DK37" i="42"/>
  <c r="DK46" i="42" s="1"/>
  <c r="DK64" i="1"/>
  <c r="DK209" i="1"/>
  <c r="DK225" i="1"/>
  <c r="DK59" i="1"/>
  <c r="DK192" i="1"/>
  <c r="DS214" i="41"/>
  <c r="DS171" i="41"/>
  <c r="DS172" i="41"/>
  <c r="DS173" i="41"/>
  <c r="DS174" i="41"/>
  <c r="DS211" i="41"/>
  <c r="DS212" i="41" s="1"/>
  <c r="DS179" i="41"/>
  <c r="DS177" i="41"/>
  <c r="DS178" i="41" s="1"/>
  <c r="DK61" i="1"/>
  <c r="DK62" i="1" s="1"/>
  <c r="DS69" i="41"/>
  <c r="DS70" i="41" s="1"/>
  <c r="DS67" i="41"/>
  <c r="DK42" i="3"/>
  <c r="DK114" i="3"/>
  <c r="DK115" i="3" s="1"/>
  <c r="DS327" i="41"/>
  <c r="DS328" i="41" s="1"/>
  <c r="DS323" i="41"/>
  <c r="DS324" i="41" s="1"/>
  <c r="DS325" i="41" s="1"/>
  <c r="DS320" i="41"/>
  <c r="DS321" i="41" s="1"/>
  <c r="DS175" i="41" l="1"/>
  <c r="DS176" i="41"/>
  <c r="DS215" i="41"/>
  <c r="DS219" i="41"/>
  <c r="DS148" i="41"/>
  <c r="DS147" i="41"/>
  <c r="DK194" i="1"/>
  <c r="DK65" i="1"/>
  <c r="DK239" i="1"/>
  <c r="DK93" i="1"/>
  <c r="DK94" i="1" s="1"/>
  <c r="DK227" i="1"/>
  <c r="DK99" i="1"/>
  <c r="DK100" i="1" s="1"/>
  <c r="DK211" i="1"/>
  <c r="DK245" i="1"/>
  <c r="DK246" i="1" s="1"/>
  <c r="DL13" i="1"/>
  <c r="DT153" i="41"/>
  <c r="DT155" i="41"/>
  <c r="DT152" i="41"/>
  <c r="DK24" i="3"/>
  <c r="DK96" i="3" s="1"/>
  <c r="DL199" i="1" l="1"/>
  <c r="DL14" i="1"/>
  <c r="DT18" i="41"/>
  <c r="DL15" i="1"/>
  <c r="DL236" i="1"/>
  <c r="DL182" i="1"/>
  <c r="DT22" i="41"/>
  <c r="DL29" i="1"/>
  <c r="DT156" i="41"/>
  <c r="DT157" i="41"/>
  <c r="DT86" i="41" l="1"/>
  <c r="DT83" i="41"/>
  <c r="DT80" i="41"/>
  <c r="DT24" i="41"/>
  <c r="DT105" i="41"/>
  <c r="DT77" i="41"/>
  <c r="DT23" i="41"/>
  <c r="DT165" i="41" s="1"/>
  <c r="DT58" i="41"/>
  <c r="DT26" i="41"/>
  <c r="DT27" i="41" s="1"/>
  <c r="DT28" i="41" s="1"/>
  <c r="DT20" i="41"/>
  <c r="DT19" i="41"/>
  <c r="DL24" i="1"/>
  <c r="DT59" i="41" l="1"/>
  <c r="DT62" i="41"/>
  <c r="DT73" i="41"/>
  <c r="DT74" i="41" s="1"/>
  <c r="DT60" i="41"/>
  <c r="DT81" i="41"/>
  <c r="DT82" i="41"/>
  <c r="DT78" i="41"/>
  <c r="DT79" i="41"/>
  <c r="DT85" i="41"/>
  <c r="DT84" i="41"/>
  <c r="DL186" i="1"/>
  <c r="DL203" i="1"/>
  <c r="DS120" i="41"/>
  <c r="DS119" i="41" s="1"/>
  <c r="DS122" i="41" s="1"/>
  <c r="DT106" i="41"/>
  <c r="DT107" i="41"/>
  <c r="DL16" i="1"/>
  <c r="DT167" i="41"/>
  <c r="DT87" i="41"/>
  <c r="DT88" i="41"/>
  <c r="DT89" i="41"/>
  <c r="DT63" i="41" l="1"/>
  <c r="DT64" i="41"/>
  <c r="DT168" i="41"/>
  <c r="DT239" i="41" s="1"/>
  <c r="DT241" i="41"/>
  <c r="DT240" i="41"/>
  <c r="DL17" i="1"/>
  <c r="DL183" i="1"/>
  <c r="DL200" i="1"/>
  <c r="DL31" i="1"/>
  <c r="DL18" i="1"/>
  <c r="DL19" i="1"/>
  <c r="DL217" i="1" l="1"/>
  <c r="DL45" i="1"/>
  <c r="DL115" i="42"/>
  <c r="DL34" i="3" s="1"/>
  <c r="DL107" i="3" s="1"/>
  <c r="DL37" i="1"/>
  <c r="DL66" i="42"/>
  <c r="DL201" i="1"/>
  <c r="DL31" i="42"/>
  <c r="DL50" i="1"/>
  <c r="DL20" i="1"/>
  <c r="DL237" i="1"/>
  <c r="DT159" i="41"/>
  <c r="DL122" i="42"/>
  <c r="DL120" i="42" s="1"/>
  <c r="DL184" i="1"/>
  <c r="DL41" i="1"/>
  <c r="DT217" i="41"/>
  <c r="DL21" i="1"/>
  <c r="DL216" i="1"/>
  <c r="DL219" i="1"/>
  <c r="DL25" i="1"/>
  <c r="DL33" i="1"/>
  <c r="DL222" i="1" l="1"/>
  <c r="DL189" i="1"/>
  <c r="DT307" i="41"/>
  <c r="DL206" i="1"/>
  <c r="DL40" i="1"/>
  <c r="DL39" i="1"/>
  <c r="DL255" i="1"/>
  <c r="DL34" i="1"/>
  <c r="DT161" i="41"/>
  <c r="DT163" i="41"/>
  <c r="DT162" i="41"/>
  <c r="DT169" i="41"/>
  <c r="DL33" i="42"/>
  <c r="DT160" i="41"/>
  <c r="DT66" i="41"/>
  <c r="DL220" i="1"/>
  <c r="DL204" i="1"/>
  <c r="DL187" i="1"/>
  <c r="DL26" i="1"/>
  <c r="DL221" i="1"/>
  <c r="DL188" i="1"/>
  <c r="DL32" i="42"/>
  <c r="DL30" i="42" s="1"/>
  <c r="DL36" i="42"/>
  <c r="DL29" i="3" s="1"/>
  <c r="DL101" i="3" s="1"/>
  <c r="DL16" i="42"/>
  <c r="DL26" i="42"/>
  <c r="DL41" i="3" s="1"/>
  <c r="DL191" i="1"/>
  <c r="DL224" i="1"/>
  <c r="DL208" i="1"/>
  <c r="DL47" i="1"/>
  <c r="DL48" i="1"/>
  <c r="DL241" i="1"/>
  <c r="DL190" i="1"/>
  <c r="DL58" i="1"/>
  <c r="DL64" i="1" s="1"/>
  <c r="DL43" i="1"/>
  <c r="DL223" i="1"/>
  <c r="DL44" i="1"/>
  <c r="DL207" i="1"/>
  <c r="DL25" i="42"/>
  <c r="DM125" i="42"/>
  <c r="DL26" i="3" l="1"/>
  <c r="DL98" i="3" s="1"/>
  <c r="DL194" i="1"/>
  <c r="DL227" i="1"/>
  <c r="DL65" i="1"/>
  <c r="DL239" i="1"/>
  <c r="DL245" i="1"/>
  <c r="DL246" i="1" s="1"/>
  <c r="DL211" i="1"/>
  <c r="DL99" i="1"/>
  <c r="DL100" i="1" s="1"/>
  <c r="DL93" i="1"/>
  <c r="DL94" i="1" s="1"/>
  <c r="DL83" i="42"/>
  <c r="DU150" i="41"/>
  <c r="DL28" i="3"/>
  <c r="DL100" i="3" s="1"/>
  <c r="DL84" i="42"/>
  <c r="DL79" i="42"/>
  <c r="DT146" i="41"/>
  <c r="DT327" i="41"/>
  <c r="DT328" i="41" s="1"/>
  <c r="DT320" i="41"/>
  <c r="DT321" i="41" s="1"/>
  <c r="DT323" i="41"/>
  <c r="DT324" i="41" s="1"/>
  <c r="DT325" i="41" s="1"/>
  <c r="DL238" i="1"/>
  <c r="DL240" i="1" s="1"/>
  <c r="DT172" i="41"/>
  <c r="DT173" i="41"/>
  <c r="DT171" i="41"/>
  <c r="DT174" i="41"/>
  <c r="DL37" i="42"/>
  <c r="DL46" i="42" s="1"/>
  <c r="DL27" i="3"/>
  <c r="DL99" i="3" s="1"/>
  <c r="DT211" i="41"/>
  <c r="DT212" i="41" s="1"/>
  <c r="DT179" i="41"/>
  <c r="DT177" i="41"/>
  <c r="DT178" i="41" s="1"/>
  <c r="DT67" i="41"/>
  <c r="DT69" i="41"/>
  <c r="DT70" i="41" s="1"/>
  <c r="DL61" i="1"/>
  <c r="DL62" i="1" s="1"/>
  <c r="DL209" i="1"/>
  <c r="DT214" i="41"/>
  <c r="DL225" i="1"/>
  <c r="DL192" i="1"/>
  <c r="DL59" i="1"/>
  <c r="DL42" i="3"/>
  <c r="DL114" i="3"/>
  <c r="DL115" i="3" s="1"/>
  <c r="DL24" i="3" l="1"/>
  <c r="DL96" i="3" s="1"/>
  <c r="DT215" i="41"/>
  <c r="DT219" i="41"/>
  <c r="DT175" i="41"/>
  <c r="DT176" i="41"/>
  <c r="DT148" i="41"/>
  <c r="DT147" i="41"/>
  <c r="DU152" i="41"/>
  <c r="DU155" i="41"/>
  <c r="DU153" i="41"/>
  <c r="DM13" i="1"/>
  <c r="DU156" i="41" l="1"/>
  <c r="DU157" i="41"/>
  <c r="DM182" i="1"/>
  <c r="DM199" i="1"/>
  <c r="DM15" i="1"/>
  <c r="DM29" i="1"/>
  <c r="DU22" i="41"/>
  <c r="DU18" i="41"/>
  <c r="DM14" i="1"/>
  <c r="DM236" i="1"/>
  <c r="DU86" i="41" l="1"/>
  <c r="DU23" i="41"/>
  <c r="DU165" i="41" s="1"/>
  <c r="DU77" i="41"/>
  <c r="DU58" i="41"/>
  <c r="DU80" i="41"/>
  <c r="DU105" i="41"/>
  <c r="DU83" i="41"/>
  <c r="DU24" i="41"/>
  <c r="DM24" i="1"/>
  <c r="DU20" i="41"/>
  <c r="DU26" i="41"/>
  <c r="DU27" i="41" s="1"/>
  <c r="DU28" i="41" s="1"/>
  <c r="DU19" i="41"/>
  <c r="DU60" i="41" l="1"/>
  <c r="DU73" i="41"/>
  <c r="DU74" i="41" s="1"/>
  <c r="DU59" i="41"/>
  <c r="DU62" i="41"/>
  <c r="DU85" i="41"/>
  <c r="DU84" i="41"/>
  <c r="DU78" i="41"/>
  <c r="DU79" i="41"/>
  <c r="DM203" i="1"/>
  <c r="DM186" i="1"/>
  <c r="DM16" i="1"/>
  <c r="DT120" i="41"/>
  <c r="DT119" i="41" s="1"/>
  <c r="DT122" i="41" s="1"/>
  <c r="DU107" i="41"/>
  <c r="DU106" i="41"/>
  <c r="DU167" i="41"/>
  <c r="DU81" i="41"/>
  <c r="DU82" i="41"/>
  <c r="DU87" i="41"/>
  <c r="DU88" i="41"/>
  <c r="DU89" i="41"/>
  <c r="DU168" i="41" l="1"/>
  <c r="DU239" i="41" s="1"/>
  <c r="DU241" i="41"/>
  <c r="DU240" i="41"/>
  <c r="DM18" i="1"/>
  <c r="DM31" i="1"/>
  <c r="DM183" i="1"/>
  <c r="DM200" i="1"/>
  <c r="DM17" i="1"/>
  <c r="DM19" i="1"/>
  <c r="DU63" i="41"/>
  <c r="DU64" i="41"/>
  <c r="DM21" i="1" l="1"/>
  <c r="DM115" i="42"/>
  <c r="DM34" i="3" s="1"/>
  <c r="DM107" i="3" s="1"/>
  <c r="DM255" i="1" s="1"/>
  <c r="DM37" i="1"/>
  <c r="DM20" i="1"/>
  <c r="DU217" i="41"/>
  <c r="DM50" i="1"/>
  <c r="DM66" i="42"/>
  <c r="DM122" i="42"/>
  <c r="DM120" i="42" s="1"/>
  <c r="DM184" i="1"/>
  <c r="DM237" i="1"/>
  <c r="DU159" i="41"/>
  <c r="DM201" i="1"/>
  <c r="DM45" i="1"/>
  <c r="DM41" i="1"/>
  <c r="DM31" i="42"/>
  <c r="DM216" i="1"/>
  <c r="DM219" i="1"/>
  <c r="DM217" i="1"/>
  <c r="DM25" i="1"/>
  <c r="DM33" i="1"/>
  <c r="DU160" i="41" l="1"/>
  <c r="DU162" i="41"/>
  <c r="DU163" i="41"/>
  <c r="DM33" i="42"/>
  <c r="DU161" i="41"/>
  <c r="DU169" i="41"/>
  <c r="DU66" i="41"/>
  <c r="DM222" i="1"/>
  <c r="DM40" i="1"/>
  <c r="DM39" i="1"/>
  <c r="DU307" i="41"/>
  <c r="DM189" i="1"/>
  <c r="DM206" i="1"/>
  <c r="DM34" i="1"/>
  <c r="DM43" i="1"/>
  <c r="DM223" i="1"/>
  <c r="DM44" i="1"/>
  <c r="DM58" i="1"/>
  <c r="DM238" i="1" s="1"/>
  <c r="DM240" i="1" s="1"/>
  <c r="DM241" i="1"/>
  <c r="DM207" i="1"/>
  <c r="DM190" i="1"/>
  <c r="DM26" i="42"/>
  <c r="DM41" i="3" s="1"/>
  <c r="DM36" i="42"/>
  <c r="DM29" i="3" s="1"/>
  <c r="DM101" i="3" s="1"/>
  <c r="DM16" i="42"/>
  <c r="DM32" i="42"/>
  <c r="DM30" i="42" s="1"/>
  <c r="DM204" i="1"/>
  <c r="DM187" i="1"/>
  <c r="DM220" i="1"/>
  <c r="DM221" i="1"/>
  <c r="DM26" i="1"/>
  <c r="DM188" i="1"/>
  <c r="DM48" i="1"/>
  <c r="DM224" i="1"/>
  <c r="DM191" i="1"/>
  <c r="DM208" i="1"/>
  <c r="DM47" i="1"/>
  <c r="DM25" i="42"/>
  <c r="DN125" i="42"/>
  <c r="DO125" i="42" s="1"/>
  <c r="DM26" i="3" l="1"/>
  <c r="DM98" i="3" s="1"/>
  <c r="DM83" i="42"/>
  <c r="DV150" i="41"/>
  <c r="DM28" i="3"/>
  <c r="DM100" i="3" s="1"/>
  <c r="DM79" i="42"/>
  <c r="DM84" i="42"/>
  <c r="DU146" i="41"/>
  <c r="DU179" i="41"/>
  <c r="DM61" i="1"/>
  <c r="DM62" i="1" s="1"/>
  <c r="DU177" i="41"/>
  <c r="DU178" i="41" s="1"/>
  <c r="DM42" i="3"/>
  <c r="DM114" i="3"/>
  <c r="DM115" i="3" s="1"/>
  <c r="DU211" i="41"/>
  <c r="DU212" i="41" s="1"/>
  <c r="DM59" i="1"/>
  <c r="DM192" i="1"/>
  <c r="DM209" i="1"/>
  <c r="DU214" i="41"/>
  <c r="DM225" i="1"/>
  <c r="DM64" i="1"/>
  <c r="DU327" i="41"/>
  <c r="DU328" i="41" s="1"/>
  <c r="DU320" i="41"/>
  <c r="DU321" i="41" s="1"/>
  <c r="DU323" i="41"/>
  <c r="DU324" i="41" s="1"/>
  <c r="DU325" i="41" s="1"/>
  <c r="DU69" i="41"/>
  <c r="DU70" i="41" s="1"/>
  <c r="DU67" i="41"/>
  <c r="DM27" i="3"/>
  <c r="DM99" i="3" s="1"/>
  <c r="DM37" i="42"/>
  <c r="DM46" i="42" s="1"/>
  <c r="DU171" i="41"/>
  <c r="DU172" i="41"/>
  <c r="DU173" i="41"/>
  <c r="DU174" i="41"/>
  <c r="DM194" i="1" l="1"/>
  <c r="DM65" i="1"/>
  <c r="DM99" i="1"/>
  <c r="DM100" i="1" s="1"/>
  <c r="DM227" i="1"/>
  <c r="DM245" i="1"/>
  <c r="DM246" i="1" s="1"/>
  <c r="DM239" i="1"/>
  <c r="DM211" i="1"/>
  <c r="DM93" i="1"/>
  <c r="DM94" i="1" s="1"/>
  <c r="DU147" i="41"/>
  <c r="DU148" i="41"/>
  <c r="DN13" i="1"/>
  <c r="DV152" i="41"/>
  <c r="DV153" i="41"/>
  <c r="DV155" i="41"/>
  <c r="DU176" i="41"/>
  <c r="DU175" i="41"/>
  <c r="DU215" i="41"/>
  <c r="DU219" i="41"/>
  <c r="DM24" i="3"/>
  <c r="DM96" i="3" s="1"/>
  <c r="DN14" i="1" l="1"/>
  <c r="DV18" i="41"/>
  <c r="DV22" i="41"/>
  <c r="DN15" i="1"/>
  <c r="DN236" i="1"/>
  <c r="DN29" i="1"/>
  <c r="DN182" i="1"/>
  <c r="DN199" i="1"/>
  <c r="DO13" i="1"/>
  <c r="DV156" i="41"/>
  <c r="DV157" i="41"/>
  <c r="DV83" i="41" l="1"/>
  <c r="DV105" i="41"/>
  <c r="DV58" i="41"/>
  <c r="DV23" i="41"/>
  <c r="DV165" i="41" s="1"/>
  <c r="DV77" i="41"/>
  <c r="DV86" i="41"/>
  <c r="DV80" i="41"/>
  <c r="DV24" i="41"/>
  <c r="DW22" i="41"/>
  <c r="DO236" i="1"/>
  <c r="DO153" i="1"/>
  <c r="DO14" i="1"/>
  <c r="O11" i="442"/>
  <c r="DO182" i="1"/>
  <c r="DN24" i="1"/>
  <c r="DO29" i="1"/>
  <c r="DO30" i="1" s="1"/>
  <c r="DW18" i="41"/>
  <c r="DW19" i="41" s="1"/>
  <c r="DV19" i="41"/>
  <c r="DV20" i="41"/>
  <c r="DV26" i="41"/>
  <c r="DV27" i="41" s="1"/>
  <c r="DV28" i="41" s="1"/>
  <c r="DO24" i="1" l="1"/>
  <c r="DN203" i="1"/>
  <c r="DN186" i="1"/>
  <c r="O12" i="442"/>
  <c r="O9" i="442"/>
  <c r="O19" i="442"/>
  <c r="O17" i="442"/>
  <c r="O18" i="442" s="1"/>
  <c r="DV81" i="41"/>
  <c r="DW80" i="41"/>
  <c r="DV82" i="41"/>
  <c r="DV60" i="41"/>
  <c r="DW58" i="41"/>
  <c r="DV59" i="41"/>
  <c r="DV62" i="41"/>
  <c r="DV73" i="41"/>
  <c r="DW86" i="41"/>
  <c r="DV87" i="41"/>
  <c r="DV88" i="41"/>
  <c r="DV89" i="41"/>
  <c r="DN16" i="1"/>
  <c r="DW105" i="41"/>
  <c r="DW106" i="41" s="1"/>
  <c r="DU120" i="41"/>
  <c r="DU119" i="41" s="1"/>
  <c r="DV107" i="41"/>
  <c r="DV106" i="41"/>
  <c r="DV120" i="41"/>
  <c r="DV119" i="41" s="1"/>
  <c r="DV122" i="41" s="1"/>
  <c r="DV167" i="41"/>
  <c r="DW150" i="41"/>
  <c r="DW23" i="41"/>
  <c r="DW165" i="41" s="1"/>
  <c r="DV79" i="41"/>
  <c r="DV78" i="41"/>
  <c r="DW77" i="41"/>
  <c r="DW79" i="41" s="1"/>
  <c r="DV84" i="41"/>
  <c r="DV85" i="41"/>
  <c r="DW83" i="41"/>
  <c r="DW85" i="41" l="1"/>
  <c r="DN183" i="1"/>
  <c r="DN31" i="1"/>
  <c r="DN200" i="1"/>
  <c r="DO16" i="1"/>
  <c r="DN18" i="1"/>
  <c r="DN17" i="1"/>
  <c r="DN19" i="1"/>
  <c r="DW89" i="41"/>
  <c r="DW92" i="41" s="1"/>
  <c r="DW98" i="41" s="1"/>
  <c r="DW88" i="41"/>
  <c r="DW62" i="41"/>
  <c r="DW63" i="41" s="1"/>
  <c r="DW59" i="41"/>
  <c r="O20" i="442"/>
  <c r="O96" i="442" s="1"/>
  <c r="DV74" i="41"/>
  <c r="DW73" i="41"/>
  <c r="DW74" i="41" s="1"/>
  <c r="DV241" i="41"/>
  <c r="DV168" i="41"/>
  <c r="DV239" i="41" s="1"/>
  <c r="DV240" i="41"/>
  <c r="DW119" i="41"/>
  <c r="DU122" i="41"/>
  <c r="DW122" i="41" s="1"/>
  <c r="DV63" i="41"/>
  <c r="DV64" i="41"/>
  <c r="DW167" i="41"/>
  <c r="DW82" i="41"/>
  <c r="DO186" i="1"/>
  <c r="P20" i="442" l="1"/>
  <c r="O140" i="442"/>
  <c r="O139" i="442" s="1"/>
  <c r="O131" i="442" s="1"/>
  <c r="DW93" i="41"/>
  <c r="DW99" i="41" s="1"/>
  <c r="O95" i="442"/>
  <c r="DN25" i="1"/>
  <c r="DO31" i="1"/>
  <c r="DO32" i="1" s="1"/>
  <c r="DN33" i="1"/>
  <c r="DW168" i="41"/>
  <c r="DW239" i="41" s="1"/>
  <c r="DW240" i="41"/>
  <c r="DW241" i="41"/>
  <c r="DN122" i="42"/>
  <c r="DN21" i="1"/>
  <c r="DV217" i="41"/>
  <c r="DN37" i="1"/>
  <c r="DN45" i="1"/>
  <c r="DN237" i="1"/>
  <c r="DN20" i="1"/>
  <c r="DN184" i="1"/>
  <c r="DN50" i="1"/>
  <c r="DN66" i="42"/>
  <c r="DO66" i="42" s="1"/>
  <c r="DV159" i="41"/>
  <c r="DN41" i="1"/>
  <c r="DN201" i="1"/>
  <c r="DN31" i="42"/>
  <c r="DN216" i="1"/>
  <c r="DN219" i="1"/>
  <c r="DO183" i="1"/>
  <c r="O22" i="442"/>
  <c r="DO17" i="1"/>
  <c r="DO19" i="1"/>
  <c r="DW94" i="41"/>
  <c r="DW100" i="41" s="1"/>
  <c r="DW95" i="41"/>
  <c r="DW101" i="41" s="1"/>
  <c r="DN217" i="1"/>
  <c r="Q20" i="442" l="1"/>
  <c r="Q96" i="442" s="1"/>
  <c r="P140" i="442"/>
  <c r="P139" i="442" s="1"/>
  <c r="P131" i="442" s="1"/>
  <c r="DO217" i="1"/>
  <c r="DO11" i="1"/>
  <c r="DO20" i="1"/>
  <c r="DO10" i="1"/>
  <c r="DO50" i="1"/>
  <c r="DO237" i="1"/>
  <c r="DO184" i="1"/>
  <c r="DW181" i="41"/>
  <c r="DO216" i="1"/>
  <c r="DO219" i="1"/>
  <c r="DO31" i="42"/>
  <c r="DN32" i="42"/>
  <c r="DO32" i="42" s="1"/>
  <c r="DN26" i="42"/>
  <c r="DN36" i="42"/>
  <c r="DN16" i="42"/>
  <c r="DO16" i="42" s="1"/>
  <c r="DO25" i="1"/>
  <c r="DN204" i="1"/>
  <c r="DN220" i="1"/>
  <c r="DN187" i="1"/>
  <c r="DN188" i="1"/>
  <c r="DN221" i="1"/>
  <c r="DN26" i="1"/>
  <c r="DN208" i="1"/>
  <c r="DO45" i="1"/>
  <c r="DN191" i="1"/>
  <c r="DN47" i="1"/>
  <c r="DN48" i="1"/>
  <c r="DN224" i="1"/>
  <c r="O87" i="442"/>
  <c r="O23" i="442"/>
  <c r="O25" i="442"/>
  <c r="O33" i="442"/>
  <c r="O27" i="442"/>
  <c r="DN190" i="1"/>
  <c r="DN223" i="1"/>
  <c r="DN44" i="1"/>
  <c r="DN58" i="1"/>
  <c r="DN241" i="1"/>
  <c r="DO41" i="1"/>
  <c r="DN207" i="1"/>
  <c r="DN43" i="1"/>
  <c r="DO122" i="42"/>
  <c r="DN120" i="42"/>
  <c r="DN25" i="42" s="1"/>
  <c r="DO25" i="42" s="1"/>
  <c r="DN34" i="1"/>
  <c r="DO33" i="1"/>
  <c r="DO34" i="1" s="1"/>
  <c r="O132" i="442"/>
  <c r="O142" i="442"/>
  <c r="O137" i="442"/>
  <c r="O138" i="442" s="1"/>
  <c r="DV161" i="41"/>
  <c r="DV169" i="41"/>
  <c r="DV162" i="41"/>
  <c r="DN33" i="42"/>
  <c r="DV160" i="41"/>
  <c r="DV163" i="41"/>
  <c r="DW159" i="41"/>
  <c r="DV66" i="41"/>
  <c r="DN189" i="1"/>
  <c r="DV307" i="41"/>
  <c r="DN222" i="1"/>
  <c r="DO37" i="1"/>
  <c r="DN40" i="1"/>
  <c r="DN39" i="1"/>
  <c r="DN206" i="1"/>
  <c r="P96" i="442"/>
  <c r="P95" i="442" s="1"/>
  <c r="P87" i="442" s="1"/>
  <c r="P19" i="442"/>
  <c r="R20" i="442" l="1"/>
  <c r="Q140" i="442"/>
  <c r="Q139" i="442" s="1"/>
  <c r="Q131" i="442" s="1"/>
  <c r="DO9" i="1"/>
  <c r="P93" i="442"/>
  <c r="P98" i="442"/>
  <c r="P103" i="442" s="1"/>
  <c r="P88" i="442"/>
  <c r="Q19" i="442"/>
  <c r="P11" i="442"/>
  <c r="DO189" i="1"/>
  <c r="DO222" i="1"/>
  <c r="DO39" i="1"/>
  <c r="DO38" i="1"/>
  <c r="DV69" i="41"/>
  <c r="DV70" i="41" s="1"/>
  <c r="DV67" i="41"/>
  <c r="DN28" i="3"/>
  <c r="DN84" i="42"/>
  <c r="DN79" i="42"/>
  <c r="DO79" i="42" s="1"/>
  <c r="DO33" i="42"/>
  <c r="DO83" i="42" s="1"/>
  <c r="DN83" i="42"/>
  <c r="DW151" i="41"/>
  <c r="DV146" i="41"/>
  <c r="DV177" i="41"/>
  <c r="DV178" i="41" s="1"/>
  <c r="DN225" i="1"/>
  <c r="DV214" i="41"/>
  <c r="DN209" i="1"/>
  <c r="DN59" i="1"/>
  <c r="DO58" i="1"/>
  <c r="DO238" i="1" s="1"/>
  <c r="DO240" i="1" s="1"/>
  <c r="DN192" i="1"/>
  <c r="O185" i="442"/>
  <c r="O28" i="442"/>
  <c r="O98" i="442"/>
  <c r="O88" i="442"/>
  <c r="O93" i="442"/>
  <c r="O94" i="442" s="1"/>
  <c r="DN238" i="1"/>
  <c r="DN240" i="1" s="1"/>
  <c r="P137" i="442"/>
  <c r="P138" i="442" s="1"/>
  <c r="P142" i="442"/>
  <c r="P132" i="442"/>
  <c r="DW160" i="41"/>
  <c r="DO68" i="42" s="1"/>
  <c r="DW163" i="41"/>
  <c r="O153" i="442"/>
  <c r="O143" i="442"/>
  <c r="DO26" i="1"/>
  <c r="DV179" i="41"/>
  <c r="DN61" i="1"/>
  <c r="DV211" i="41"/>
  <c r="DN30" i="42"/>
  <c r="Q95" i="442"/>
  <c r="Q87" i="442" s="1"/>
  <c r="Q93" i="442" s="1"/>
  <c r="DV323" i="41"/>
  <c r="DV324" i="41" s="1"/>
  <c r="DV325" i="41" s="1"/>
  <c r="DV327" i="41"/>
  <c r="DV328" i="41" s="1"/>
  <c r="DV320" i="41"/>
  <c r="DV321" i="41" s="1"/>
  <c r="DV172" i="41"/>
  <c r="DV173" i="41"/>
  <c r="DV171" i="41"/>
  <c r="DV174" i="41"/>
  <c r="DO42" i="1"/>
  <c r="DO223" i="1"/>
  <c r="DO241" i="1"/>
  <c r="DO127" i="42"/>
  <c r="DO190" i="1"/>
  <c r="DO43" i="1"/>
  <c r="P25" i="442"/>
  <c r="O200" i="442"/>
  <c r="O203" i="442" s="1"/>
  <c r="O204" i="442" s="1"/>
  <c r="DO46" i="1"/>
  <c r="DO47" i="1"/>
  <c r="DO191" i="1"/>
  <c r="DO224" i="1"/>
  <c r="DO36" i="42"/>
  <c r="DN29" i="3"/>
  <c r="DK11" i="1"/>
  <c r="DL11" i="1" s="1"/>
  <c r="DM11" i="1" s="1"/>
  <c r="O147" i="442"/>
  <c r="O148" i="442" s="1"/>
  <c r="DN64" i="1"/>
  <c r="DO124" i="42"/>
  <c r="DO187" i="1"/>
  <c r="DO220" i="1"/>
  <c r="DO188" i="1"/>
  <c r="DO221" i="1"/>
  <c r="DO26" i="42"/>
  <c r="DN41" i="3"/>
  <c r="DO231" i="1"/>
  <c r="DK10" i="1"/>
  <c r="R140" i="442" l="1"/>
  <c r="R96" i="442"/>
  <c r="Q94" i="442"/>
  <c r="DW179" i="41"/>
  <c r="DK9" i="1"/>
  <c r="DV176" i="41"/>
  <c r="DV175" i="41"/>
  <c r="DW174" i="41"/>
  <c r="DW175" i="41" s="1"/>
  <c r="Q142" i="442"/>
  <c r="Q132" i="442"/>
  <c r="P147" i="442"/>
  <c r="P148" i="442" s="1"/>
  <c r="P143" i="442"/>
  <c r="P153" i="442"/>
  <c r="O109" i="442"/>
  <c r="O99" i="442"/>
  <c r="DV147" i="41"/>
  <c r="DW146" i="41"/>
  <c r="DW147" i="41" s="1"/>
  <c r="DV148" i="41"/>
  <c r="DN114" i="3"/>
  <c r="DO114" i="3" s="1"/>
  <c r="DO41" i="3"/>
  <c r="DN194" i="1"/>
  <c r="DN245" i="1"/>
  <c r="DN246" i="1" s="1"/>
  <c r="DN227" i="1"/>
  <c r="DN239" i="1"/>
  <c r="DN99" i="1"/>
  <c r="DO64" i="1"/>
  <c r="DN211" i="1"/>
  <c r="DN65" i="1"/>
  <c r="DN93" i="1"/>
  <c r="Q88" i="442"/>
  <c r="Q98" i="442"/>
  <c r="Q103" i="442" s="1"/>
  <c r="Q104" i="442" s="1"/>
  <c r="DN37" i="42"/>
  <c r="DN46" i="42" s="1"/>
  <c r="DO46" i="42" s="1"/>
  <c r="DN27" i="3"/>
  <c r="DO30" i="42"/>
  <c r="DO37" i="42" s="1"/>
  <c r="O103" i="442"/>
  <c r="O104" i="442" s="1"/>
  <c r="DV215" i="41"/>
  <c r="DV219" i="41"/>
  <c r="P22" i="442"/>
  <c r="P27" i="442" s="1"/>
  <c r="P12" i="442"/>
  <c r="P181" i="442" s="1"/>
  <c r="P9" i="442"/>
  <c r="P17" i="442"/>
  <c r="P18" i="442" s="1"/>
  <c r="DW211" i="41"/>
  <c r="DW212" i="41" s="1"/>
  <c r="DV212" i="41"/>
  <c r="DW177" i="41"/>
  <c r="DW178" i="41" s="1"/>
  <c r="DO225" i="1"/>
  <c r="DO59" i="1"/>
  <c r="DO192" i="1"/>
  <c r="DO28" i="3"/>
  <c r="DN100" i="3"/>
  <c r="DO100" i="3" s="1"/>
  <c r="R19" i="442"/>
  <c r="Q11" i="442"/>
  <c r="P109" i="442"/>
  <c r="P99" i="442"/>
  <c r="DL10" i="1"/>
  <c r="DL9" i="1" s="1"/>
  <c r="DK231" i="1"/>
  <c r="DN11" i="1"/>
  <c r="DO29" i="3"/>
  <c r="DN101" i="3"/>
  <c r="DO101" i="3" s="1"/>
  <c r="P200" i="442"/>
  <c r="Q25" i="442"/>
  <c r="Q137" i="442"/>
  <c r="Q138" i="442" s="1"/>
  <c r="R139" i="442"/>
  <c r="R131" i="442" s="1"/>
  <c r="R95" i="442"/>
  <c r="R87" i="442" s="1"/>
  <c r="S20" i="442"/>
  <c r="DN62" i="1"/>
  <c r="DO61" i="1"/>
  <c r="DO62" i="1" s="1"/>
  <c r="P94" i="442"/>
  <c r="S140" i="442" l="1"/>
  <c r="S96" i="442"/>
  <c r="R93" i="442"/>
  <c r="R94" i="442" s="1"/>
  <c r="R88" i="442"/>
  <c r="R98" i="442"/>
  <c r="R137" i="442"/>
  <c r="R138" i="442" s="1"/>
  <c r="R142" i="442"/>
  <c r="R132" i="442"/>
  <c r="Q17" i="442"/>
  <c r="Q18" i="442" s="1"/>
  <c r="Q12" i="442"/>
  <c r="Q181" i="442" s="1"/>
  <c r="Q22" i="442"/>
  <c r="Q9" i="442"/>
  <c r="P28" i="442"/>
  <c r="P185" i="442"/>
  <c r="P33" i="442"/>
  <c r="P23" i="442"/>
  <c r="Q109" i="442"/>
  <c r="Q99" i="442"/>
  <c r="DO98" i="1"/>
  <c r="DO65" i="1"/>
  <c r="DO194" i="1"/>
  <c r="DO239" i="1"/>
  <c r="DO227" i="1"/>
  <c r="O36" i="442"/>
  <c r="P104" i="442"/>
  <c r="Q143" i="442"/>
  <c r="Q153" i="442"/>
  <c r="DM10" i="1"/>
  <c r="DL231" i="1"/>
  <c r="S19" i="442"/>
  <c r="R11" i="442"/>
  <c r="DO27" i="3"/>
  <c r="DN99" i="3"/>
  <c r="DO99" i="3" s="1"/>
  <c r="DO93" i="1"/>
  <c r="DO94" i="1" s="1"/>
  <c r="DN94" i="1"/>
  <c r="DO99" i="1"/>
  <c r="DO100" i="1" s="1"/>
  <c r="DN100" i="1"/>
  <c r="S95" i="442"/>
  <c r="S87" i="442" s="1"/>
  <c r="T20" i="442"/>
  <c r="S139" i="442"/>
  <c r="S131" i="442" s="1"/>
  <c r="S137" i="442" s="1"/>
  <c r="Q200" i="442"/>
  <c r="R25" i="442"/>
  <c r="P189" i="442"/>
  <c r="P182" i="442"/>
  <c r="P191" i="442"/>
  <c r="P203" i="442" s="1"/>
  <c r="P204" i="442" s="1"/>
  <c r="Q190" i="442"/>
  <c r="Q147" i="442"/>
  <c r="Q148" i="442" s="1"/>
  <c r="T140" i="442" l="1"/>
  <c r="T96" i="442"/>
  <c r="S138" i="442"/>
  <c r="Q191" i="442"/>
  <c r="Q203" i="442" s="1"/>
  <c r="Q204" i="442" s="1"/>
  <c r="R9" i="442"/>
  <c r="R12" i="442"/>
  <c r="R181" i="442" s="1"/>
  <c r="R22" i="442"/>
  <c r="R17" i="442"/>
  <c r="R18" i="442" s="1"/>
  <c r="O37" i="442"/>
  <c r="O31" i="442"/>
  <c r="O32" i="442" s="1"/>
  <c r="P32" i="442" s="1"/>
  <c r="Q32" i="442" s="1"/>
  <c r="R32" i="442" s="1"/>
  <c r="S32" i="442" s="1"/>
  <c r="T32" i="442" s="1"/>
  <c r="O47" i="442"/>
  <c r="S142" i="442"/>
  <c r="S132" i="442"/>
  <c r="S11" i="442"/>
  <c r="S17" i="442" s="1"/>
  <c r="T19" i="442"/>
  <c r="T11" i="442" s="1"/>
  <c r="R103" i="442"/>
  <c r="R104" i="442" s="1"/>
  <c r="R109" i="442"/>
  <c r="R99" i="442"/>
  <c r="R200" i="442"/>
  <c r="S25" i="442"/>
  <c r="T139" i="442"/>
  <c r="T131" i="442" s="1"/>
  <c r="T95" i="442"/>
  <c r="T87" i="442" s="1"/>
  <c r="Q27" i="442"/>
  <c r="Q33" i="442"/>
  <c r="Q23" i="442"/>
  <c r="R147" i="442"/>
  <c r="R148" i="442" s="1"/>
  <c r="R143" i="442"/>
  <c r="R153" i="442"/>
  <c r="S98" i="442"/>
  <c r="S88" i="442"/>
  <c r="S93" i="442"/>
  <c r="S94" i="442" s="1"/>
  <c r="DN10" i="1"/>
  <c r="DM231" i="1"/>
  <c r="DM9" i="1"/>
  <c r="Q182" i="442"/>
  <c r="R190" i="442"/>
  <c r="Q189" i="442"/>
  <c r="R191" i="442" l="1"/>
  <c r="R203" i="442" s="1"/>
  <c r="R204" i="442" s="1"/>
  <c r="S18" i="442"/>
  <c r="T17" i="442"/>
  <c r="T18" i="442" s="1"/>
  <c r="Q185" i="442"/>
  <c r="Q28" i="442"/>
  <c r="T88" i="442"/>
  <c r="T98" i="442"/>
  <c r="T103" i="442" s="1"/>
  <c r="O152" i="442"/>
  <c r="O151" i="442" s="1"/>
  <c r="O156" i="442" s="1"/>
  <c r="O159" i="442" s="1"/>
  <c r="R27" i="442"/>
  <c r="R33" i="442"/>
  <c r="R23" i="442"/>
  <c r="P41" i="442"/>
  <c r="T132" i="442"/>
  <c r="T142" i="442"/>
  <c r="T137" i="442"/>
  <c r="T138" i="442" s="1"/>
  <c r="T9" i="442"/>
  <c r="T12" i="442"/>
  <c r="S143" i="442"/>
  <c r="S153" i="442"/>
  <c r="R182" i="442"/>
  <c r="S190" i="442"/>
  <c r="R189" i="442"/>
  <c r="DN231" i="1"/>
  <c r="DN9" i="1"/>
  <c r="S200" i="442"/>
  <c r="T25" i="442"/>
  <c r="T200" i="442" s="1"/>
  <c r="S22" i="442"/>
  <c r="S12" i="442"/>
  <c r="S181" i="442" s="1"/>
  <c r="S9" i="442"/>
  <c r="S103" i="442"/>
  <c r="S104" i="442" s="1"/>
  <c r="S99" i="442"/>
  <c r="S109" i="442"/>
  <c r="S147" i="442"/>
  <c r="O108" i="442"/>
  <c r="O107" i="442" s="1"/>
  <c r="O112" i="442" s="1"/>
  <c r="O115" i="442" s="1"/>
  <c r="T93" i="442"/>
  <c r="T94" i="442" s="1"/>
  <c r="Q41" i="442" l="1"/>
  <c r="P108" i="442"/>
  <c r="P107" i="442" s="1"/>
  <c r="P112" i="442" s="1"/>
  <c r="P115" i="442" s="1"/>
  <c r="P31" i="442"/>
  <c r="P36" i="442" s="1"/>
  <c r="P39" i="442" s="1"/>
  <c r="O157" i="442"/>
  <c r="S148" i="442"/>
  <c r="T190" i="442"/>
  <c r="S189" i="442"/>
  <c r="T181" i="442"/>
  <c r="S182" i="442"/>
  <c r="P43" i="442"/>
  <c r="P44" i="442" s="1"/>
  <c r="P46" i="442" s="1"/>
  <c r="R185" i="442"/>
  <c r="R28" i="442"/>
  <c r="T104" i="442"/>
  <c r="S27" i="442"/>
  <c r="S23" i="442"/>
  <c r="S33" i="442"/>
  <c r="S191" i="442"/>
  <c r="S203" i="442" s="1"/>
  <c r="S204" i="442" s="1"/>
  <c r="T99" i="442"/>
  <c r="T109" i="442"/>
  <c r="O113" i="442"/>
  <c r="T22" i="442"/>
  <c r="T147" i="442"/>
  <c r="T148" i="442" s="1"/>
  <c r="T153" i="442"/>
  <c r="T143" i="442"/>
  <c r="T191" i="442" l="1"/>
  <c r="T203" i="442" s="1"/>
  <c r="T204" i="442" s="1"/>
  <c r="T27" i="442"/>
  <c r="T23" i="442"/>
  <c r="T33" i="442"/>
  <c r="P75" i="442"/>
  <c r="P37" i="442"/>
  <c r="P47" i="442"/>
  <c r="R41" i="442"/>
  <c r="S185" i="442"/>
  <c r="S28" i="442"/>
  <c r="T189" i="442"/>
  <c r="T182" i="442"/>
  <c r="Q108" i="442"/>
  <c r="Q107" i="442" s="1"/>
  <c r="Q112" i="442" s="1"/>
  <c r="Q115" i="442" s="1"/>
  <c r="Q31" i="442"/>
  <c r="Q36" i="442" s="1"/>
  <c r="Q39" i="442" s="1"/>
  <c r="Q43" i="442"/>
  <c r="Q44" i="442" s="1"/>
  <c r="Q46" i="442" s="1"/>
  <c r="P113" i="442"/>
  <c r="S41" i="442" l="1"/>
  <c r="P152" i="442"/>
  <c r="P151" i="442" s="1"/>
  <c r="P156" i="442" s="1"/>
  <c r="P159" i="442" s="1"/>
  <c r="T185" i="442"/>
  <c r="T28" i="442"/>
  <c r="R43" i="442"/>
  <c r="R44" i="442" s="1"/>
  <c r="R46" i="442" s="1"/>
  <c r="R108" i="442"/>
  <c r="R107" i="442" s="1"/>
  <c r="R112" i="442" s="1"/>
  <c r="R115" i="442" s="1"/>
  <c r="R31" i="442"/>
  <c r="R36" i="442" s="1"/>
  <c r="R39" i="442" s="1"/>
  <c r="Q113" i="442"/>
  <c r="Q37" i="442"/>
  <c r="Q75" i="442"/>
  <c r="Q76" i="442" s="1"/>
  <c r="Q47" i="442"/>
  <c r="T41" i="442" l="1"/>
  <c r="T43" i="442" s="1"/>
  <c r="R113" i="442"/>
  <c r="P157" i="442"/>
  <c r="S43" i="442"/>
  <c r="S44" i="442" s="1"/>
  <c r="S46" i="442" s="1"/>
  <c r="Q152" i="442"/>
  <c r="Q151" i="442" s="1"/>
  <c r="Q156" i="442" s="1"/>
  <c r="Q159" i="442" s="1"/>
  <c r="R37" i="442"/>
  <c r="R75" i="442"/>
  <c r="R47" i="442"/>
  <c r="S108" i="442"/>
  <c r="S107" i="442" s="1"/>
  <c r="S112" i="442" s="1"/>
  <c r="S115" i="442" s="1"/>
  <c r="S31" i="442"/>
  <c r="S36" i="442" s="1"/>
  <c r="S39" i="442" s="1"/>
  <c r="T44" i="442" l="1"/>
  <c r="T46" i="442" s="1"/>
  <c r="Q157" i="442"/>
  <c r="S75" i="442"/>
  <c r="S76" i="442" s="1"/>
  <c r="S37" i="442"/>
  <c r="S47" i="442"/>
  <c r="R152" i="442"/>
  <c r="R151" i="442" s="1"/>
  <c r="R156" i="442" s="1"/>
  <c r="R159" i="442" s="1"/>
  <c r="R80" i="442"/>
  <c r="Q80" i="442" s="1"/>
  <c r="R76" i="442"/>
  <c r="R82" i="442" s="1"/>
  <c r="T108" i="442"/>
  <c r="T107" i="442" s="1"/>
  <c r="T112" i="442" s="1"/>
  <c r="T115" i="442" s="1"/>
  <c r="T31" i="442"/>
  <c r="T36" i="442" s="1"/>
  <c r="T39" i="442" s="1"/>
  <c r="S113" i="442"/>
  <c r="Q78" i="442" l="1"/>
  <c r="Q82" i="442" s="1"/>
  <c r="P80" i="442"/>
  <c r="T75" i="442"/>
  <c r="T76" i="442" s="1"/>
  <c r="T37" i="442"/>
  <c r="T47" i="442"/>
  <c r="T113" i="442"/>
  <c r="S152" i="442"/>
  <c r="S151" i="442" s="1"/>
  <c r="S156" i="442" s="1"/>
  <c r="S159" i="442" s="1"/>
  <c r="R157" i="442"/>
  <c r="P78" i="442" l="1"/>
  <c r="O80" i="442"/>
  <c r="N80" i="442" s="1"/>
  <c r="S157" i="442"/>
  <c r="T152" i="442"/>
  <c r="T151" i="442" s="1"/>
  <c r="T156" i="442" s="1"/>
  <c r="T159" i="442" s="1"/>
  <c r="N83" i="442" l="1"/>
  <c r="M80" i="442"/>
  <c r="T157" i="442"/>
  <c r="M83" i="442" l="1"/>
  <c r="L80" i="442"/>
  <c r="L83" i="442" l="1"/>
  <c r="L78" i="442"/>
  <c r="L82" i="442" s="1"/>
  <c r="CW32" i="42"/>
  <c r="CY27" i="3"/>
  <c r="CY24" i="3" l="1"/>
  <c r="CZ27" i="3"/>
  <c r="CY99" i="3"/>
  <c r="CW30" i="42"/>
  <c r="CW37" i="42" s="1"/>
  <c r="CV37" i="42"/>
  <c r="CV46" i="42" s="1"/>
  <c r="CV186" i="42" s="1"/>
  <c r="CW186" i="42" l="1"/>
  <c r="CW185" i="42" s="1"/>
  <c r="CV184" i="42"/>
  <c r="CY96" i="3"/>
  <c r="CW27" i="3"/>
  <c r="CV99" i="3"/>
  <c r="CZ24" i="3"/>
  <c r="DA27" i="3"/>
  <c r="DA99" i="3" s="1"/>
  <c r="CV59" i="42"/>
  <c r="CW46" i="42"/>
  <c r="CZ99" i="3"/>
  <c r="CY184" i="42" l="1"/>
  <c r="CV185" i="42"/>
  <c r="CW99" i="3"/>
  <c r="CW59" i="42"/>
  <c r="CW60" i="42" s="1"/>
  <c r="CV60" i="42"/>
  <c r="DA24" i="3"/>
  <c r="DB27" i="3"/>
  <c r="DB99" i="3" s="1"/>
  <c r="DC99" i="3" s="1"/>
  <c r="CZ96" i="3"/>
  <c r="CY54" i="42" l="1"/>
  <c r="CY56" i="42" s="1"/>
  <c r="CZ184" i="42"/>
  <c r="CY185" i="42"/>
  <c r="DC27" i="3"/>
  <c r="DA96" i="3"/>
  <c r="CW13" i="3"/>
  <c r="CV85" i="3"/>
  <c r="CZ54" i="42" l="1"/>
  <c r="CZ185" i="42"/>
  <c r="DA184" i="42"/>
  <c r="CY135" i="42"/>
  <c r="CY57" i="42"/>
  <c r="CY133" i="42"/>
  <c r="CV257" i="1"/>
  <c r="CV67" i="1"/>
  <c r="CW85" i="3"/>
  <c r="CV102" i="42"/>
  <c r="CY102" i="42" s="1"/>
  <c r="CZ102" i="42" s="1"/>
  <c r="DA102" i="42" s="1"/>
  <c r="CV109" i="42"/>
  <c r="DA54" i="42" l="1"/>
  <c r="DA185" i="42"/>
  <c r="DB184" i="42"/>
  <c r="CY254" i="1"/>
  <c r="CY59" i="42"/>
  <c r="L51" i="442"/>
  <c r="CW257" i="1"/>
  <c r="CV68" i="1"/>
  <c r="CW67" i="1"/>
  <c r="CV69" i="1"/>
  <c r="CV110" i="42"/>
  <c r="CW109" i="42"/>
  <c r="CW110" i="42" s="1"/>
  <c r="DE184" i="42" l="1"/>
  <c r="DB54" i="42"/>
  <c r="DC54" i="42" s="1"/>
  <c r="DC184" i="42" s="1"/>
  <c r="DC185" i="42" s="1"/>
  <c r="DB185" i="42"/>
  <c r="CW68" i="1"/>
  <c r="CW69" i="1"/>
  <c r="L52" i="442"/>
  <c r="CW15" i="3"/>
  <c r="CV87" i="3"/>
  <c r="CW87" i="3" s="1"/>
  <c r="DE185" i="42" l="1"/>
  <c r="DF184" i="42"/>
  <c r="DE54" i="42"/>
  <c r="CV73" i="42"/>
  <c r="DF54" i="42" l="1"/>
  <c r="DG184" i="42"/>
  <c r="DF185" i="42"/>
  <c r="CW73" i="42"/>
  <c r="CV74" i="42"/>
  <c r="CV71" i="42"/>
  <c r="DH184" i="42" l="1"/>
  <c r="DG185" i="42"/>
  <c r="DG54" i="42"/>
  <c r="CV70" i="42"/>
  <c r="CW71" i="42"/>
  <c r="CW72" i="42" s="1"/>
  <c r="CV72" i="42"/>
  <c r="DB72" i="42" s="1"/>
  <c r="CV75" i="42"/>
  <c r="DK184" i="42" l="1"/>
  <c r="DH185" i="42"/>
  <c r="DH54" i="42"/>
  <c r="DI54" i="42" s="1"/>
  <c r="DI184" i="42" s="1"/>
  <c r="DI185" i="42" s="1"/>
  <c r="CY73" i="42"/>
  <c r="CY75" i="42" s="1"/>
  <c r="DH72" i="42"/>
  <c r="DB71" i="42"/>
  <c r="CW26" i="3"/>
  <c r="CV24" i="3"/>
  <c r="CV98" i="3"/>
  <c r="CV30" i="3"/>
  <c r="DK54" i="42" l="1"/>
  <c r="DL184" i="42"/>
  <c r="DK185" i="42"/>
  <c r="CZ73" i="42"/>
  <c r="CZ75" i="42" s="1"/>
  <c r="CY14" i="42"/>
  <c r="DG183" i="41" s="1"/>
  <c r="DB70" i="42"/>
  <c r="DC71" i="42"/>
  <c r="DC72" i="42" s="1"/>
  <c r="DB26" i="3"/>
  <c r="CW24" i="3"/>
  <c r="CV96" i="3"/>
  <c r="CW96" i="3" s="1"/>
  <c r="CY15" i="3"/>
  <c r="CW30" i="3"/>
  <c r="CV31" i="3"/>
  <c r="CW98" i="3"/>
  <c r="CW102" i="3" s="1"/>
  <c r="CV102" i="3"/>
  <c r="DN72" i="42"/>
  <c r="DN71" i="42" s="1"/>
  <c r="DH71" i="42"/>
  <c r="DL54" i="42" l="1"/>
  <c r="DL185" i="42"/>
  <c r="DM184" i="42"/>
  <c r="DD180" i="41"/>
  <c r="DD181" i="41"/>
  <c r="DG184" i="41"/>
  <c r="DG186" i="41"/>
  <c r="DG187" i="41" s="1"/>
  <c r="DN70" i="42"/>
  <c r="DN26" i="3"/>
  <c r="DO71" i="42"/>
  <c r="DO72" i="42" s="1"/>
  <c r="CV243" i="1"/>
  <c r="CV156" i="3"/>
  <c r="CV103" i="3"/>
  <c r="CV104" i="3"/>
  <c r="CV256" i="1"/>
  <c r="CV262" i="1"/>
  <c r="CW104" i="3"/>
  <c r="CW243" i="1"/>
  <c r="CW103" i="3"/>
  <c r="CW262" i="1"/>
  <c r="CW256" i="1"/>
  <c r="CW156" i="3"/>
  <c r="CW31" i="3"/>
  <c r="L54" i="442"/>
  <c r="DA73" i="42"/>
  <c r="DA75" i="42" s="1"/>
  <c r="DH70" i="42"/>
  <c r="DI71" i="42"/>
  <c r="DI72" i="42" s="1"/>
  <c r="DH26" i="3"/>
  <c r="CZ15" i="3"/>
  <c r="CZ87" i="3" s="1"/>
  <c r="CY87" i="3"/>
  <c r="CY30" i="3"/>
  <c r="DB24" i="3"/>
  <c r="DB98" i="3"/>
  <c r="DC98" i="3" s="1"/>
  <c r="DC26" i="3"/>
  <c r="CY23" i="42"/>
  <c r="CZ14" i="42" s="1"/>
  <c r="DN184" i="42" l="1"/>
  <c r="DM185" i="42"/>
  <c r="DM54" i="42"/>
  <c r="DH183" i="41"/>
  <c r="CZ23" i="42"/>
  <c r="DC24" i="3"/>
  <c r="DB96" i="3"/>
  <c r="DC96" i="3" s="1"/>
  <c r="DB73" i="42"/>
  <c r="DB75" i="42" s="1"/>
  <c r="DA14" i="42"/>
  <c r="DI183" i="41" s="1"/>
  <c r="DN98" i="3"/>
  <c r="DO98" i="3" s="1"/>
  <c r="DO26" i="3"/>
  <c r="DN24" i="3"/>
  <c r="L53" i="442"/>
  <c r="CY31" i="3"/>
  <c r="CY69" i="3" s="1"/>
  <c r="CY70" i="3" s="1"/>
  <c r="CY66" i="3"/>
  <c r="CY67" i="3" s="1"/>
  <c r="CY60" i="3"/>
  <c r="DH24" i="3"/>
  <c r="DI26" i="3"/>
  <c r="DH98" i="3"/>
  <c r="DI98" i="3" s="1"/>
  <c r="CY102" i="3"/>
  <c r="DA15" i="3"/>
  <c r="DA87" i="3" s="1"/>
  <c r="DN185" i="42" l="1"/>
  <c r="DN54" i="42"/>
  <c r="DO54" i="42" s="1"/>
  <c r="DO184" i="42" s="1"/>
  <c r="DO185" i="42" s="1"/>
  <c r="DC73" i="42"/>
  <c r="DI186" i="41"/>
  <c r="DI187" i="41" s="1"/>
  <c r="DI184" i="41"/>
  <c r="DO24" i="3"/>
  <c r="DN96" i="3"/>
  <c r="DO96" i="3" s="1"/>
  <c r="DE73" i="42"/>
  <c r="CY103" i="3"/>
  <c r="DG181" i="41"/>
  <c r="CY160" i="3"/>
  <c r="DG180" i="41"/>
  <c r="CY262" i="1"/>
  <c r="CY243" i="1"/>
  <c r="CY256" i="1"/>
  <c r="CY104" i="3"/>
  <c r="CY156" i="3"/>
  <c r="CY144" i="3"/>
  <c r="CY145" i="3" s="1"/>
  <c r="CY263" i="1"/>
  <c r="CY133" i="3"/>
  <c r="CY139" i="3"/>
  <c r="DA23" i="42"/>
  <c r="DB14" i="42" s="1"/>
  <c r="DB15" i="3"/>
  <c r="DC15" i="3" s="1"/>
  <c r="DH96" i="3"/>
  <c r="DI96" i="3" s="1"/>
  <c r="DI24" i="3"/>
  <c r="DH184" i="41"/>
  <c r="DH186" i="41"/>
  <c r="DH187" i="41" s="1"/>
  <c r="DB87" i="3" l="1"/>
  <c r="DC87" i="3" s="1"/>
  <c r="DJ183" i="41"/>
  <c r="DC14" i="42"/>
  <c r="DK183" i="41" s="1"/>
  <c r="DB23" i="42"/>
  <c r="DC23" i="42" s="1"/>
  <c r="CY165" i="3"/>
  <c r="CY140" i="3"/>
  <c r="CY146" i="3"/>
  <c r="DE15" i="3"/>
  <c r="DE75" i="42"/>
  <c r="CY148" i="3" l="1"/>
  <c r="DJ186" i="41"/>
  <c r="DJ187" i="41" s="1"/>
  <c r="DJ184" i="41"/>
  <c r="DF73" i="42"/>
  <c r="DF15" i="3" s="1"/>
  <c r="DF87" i="3" s="1"/>
  <c r="DE14" i="42"/>
  <c r="DM183" i="41" s="1"/>
  <c r="DE87" i="3"/>
  <c r="DK186" i="41"/>
  <c r="DK187" i="41" s="1"/>
  <c r="DK184" i="41"/>
  <c r="DF75" i="42" l="1"/>
  <c r="DG73" i="42" s="1"/>
  <c r="DG15" i="3" s="1"/>
  <c r="DE23" i="42"/>
  <c r="DM184" i="41"/>
  <c r="DM186" i="41"/>
  <c r="DM187" i="41" s="1"/>
  <c r="DF14" i="42" l="1"/>
  <c r="DN183" i="41" s="1"/>
  <c r="DN184" i="41" s="1"/>
  <c r="DG75" i="42"/>
  <c r="DH73" i="42" s="1"/>
  <c r="DI73" i="42" s="1"/>
  <c r="DG87" i="3"/>
  <c r="DN186" i="41" l="1"/>
  <c r="DN187" i="41" s="1"/>
  <c r="DF23" i="42"/>
  <c r="DG14" i="42" s="1"/>
  <c r="DO183" i="41" s="1"/>
  <c r="DO186" i="41" s="1"/>
  <c r="DO187" i="41" s="1"/>
  <c r="DH75" i="42"/>
  <c r="DK73" i="42" s="1"/>
  <c r="DK75" i="42" s="1"/>
  <c r="DH15" i="3"/>
  <c r="DO184" i="41" l="1"/>
  <c r="DG23" i="42"/>
  <c r="DH14" i="42" s="1"/>
  <c r="DL73" i="42"/>
  <c r="DI15" i="3"/>
  <c r="DH87" i="3"/>
  <c r="DI87" i="3" s="1"/>
  <c r="DK15" i="3"/>
  <c r="DH23" i="42" l="1"/>
  <c r="DI23" i="42" s="1"/>
  <c r="DP183" i="41"/>
  <c r="DP186" i="41" s="1"/>
  <c r="DP187" i="41" s="1"/>
  <c r="DI14" i="42"/>
  <c r="DQ183" i="41" s="1"/>
  <c r="DQ186" i="41" s="1"/>
  <c r="DQ187" i="41" s="1"/>
  <c r="DL75" i="42"/>
  <c r="DK87" i="3"/>
  <c r="DL15" i="3"/>
  <c r="DL87" i="3" s="1"/>
  <c r="DP184" i="41" l="1"/>
  <c r="DQ184" i="41"/>
  <c r="DK14" i="42"/>
  <c r="DM73" i="42"/>
  <c r="DS183" i="41" l="1"/>
  <c r="DK23" i="42"/>
  <c r="DL14" i="42" s="1"/>
  <c r="DM15" i="3"/>
  <c r="DM75" i="42"/>
  <c r="DT183" i="41" l="1"/>
  <c r="DT184" i="41" s="1"/>
  <c r="DL23" i="42"/>
  <c r="DM14" i="42" s="1"/>
  <c r="DU183" i="41" s="1"/>
  <c r="DS184" i="41"/>
  <c r="DS186" i="41"/>
  <c r="DS187" i="41" s="1"/>
  <c r="DN73" i="42"/>
  <c r="DO73" i="42" s="1"/>
  <c r="DM87" i="3"/>
  <c r="DT186" i="41" l="1"/>
  <c r="DT187" i="41" s="1"/>
  <c r="DN15" i="3"/>
  <c r="DO15" i="3" s="1"/>
  <c r="DN75" i="42"/>
  <c r="DM23" i="42"/>
  <c r="DU184" i="41"/>
  <c r="DU186" i="41"/>
  <c r="DU187" i="41" s="1"/>
  <c r="DN87" i="3" l="1"/>
  <c r="DO87" i="3" s="1"/>
  <c r="DN14" i="42"/>
  <c r="DN23" i="42" s="1"/>
  <c r="DO23" i="42" s="1"/>
  <c r="DV183" i="41" l="1"/>
  <c r="DV184" i="41" s="1"/>
  <c r="DO14" i="42"/>
  <c r="DW183" i="41" s="1"/>
  <c r="DW184" i="41" s="1"/>
  <c r="CV66" i="3"/>
  <c r="CV67" i="3" s="1"/>
  <c r="CW34" i="3"/>
  <c r="CV69" i="3"/>
  <c r="CV70" i="3" s="1"/>
  <c r="CV107" i="3"/>
  <c r="CV115" i="42" s="1"/>
  <c r="CV42" i="3"/>
  <c r="CW42" i="3" s="1"/>
  <c r="DV186" i="41" l="1"/>
  <c r="DV187" i="41" s="1"/>
  <c r="DW186" i="41"/>
  <c r="DW187" i="41" s="1"/>
  <c r="CV60" i="3"/>
  <c r="CW60" i="3" s="1"/>
  <c r="CV117" i="42"/>
  <c r="DB117" i="42" s="1"/>
  <c r="CW115" i="42"/>
  <c r="CV255" i="1"/>
  <c r="CV160" i="3"/>
  <c r="CV263" i="1"/>
  <c r="CW107" i="3"/>
  <c r="CV115" i="3"/>
  <c r="CV133" i="3" s="1"/>
  <c r="CV144" i="3"/>
  <c r="CV145" i="3" s="1"/>
  <c r="CV139" i="3"/>
  <c r="CV101" i="42"/>
  <c r="CW69" i="3"/>
  <c r="CW70" i="3" s="1"/>
  <c r="CW66" i="3"/>
  <c r="CW67" i="3" s="1"/>
  <c r="CV64" i="3" l="1"/>
  <c r="CW64" i="3" s="1"/>
  <c r="DB115" i="42"/>
  <c r="DH117" i="42"/>
  <c r="DN117" i="42" s="1"/>
  <c r="CV165" i="3"/>
  <c r="CV140" i="3"/>
  <c r="CV146" i="3"/>
  <c r="CV264" i="1"/>
  <c r="CY264" i="1"/>
  <c r="CW115" i="3"/>
  <c r="CW155" i="3"/>
  <c r="DE181" i="41"/>
  <c r="CW263" i="1"/>
  <c r="CW255" i="1"/>
  <c r="CW158" i="3"/>
  <c r="CW144" i="3"/>
  <c r="CW145" i="3" s="1"/>
  <c r="CW139" i="3"/>
  <c r="CW160" i="3"/>
  <c r="CW161" i="3" s="1"/>
  <c r="CW101" i="42"/>
  <c r="CV103" i="42"/>
  <c r="CY101" i="42"/>
  <c r="CV137" i="3"/>
  <c r="CW133" i="3"/>
  <c r="CW137" i="3" s="1"/>
  <c r="CY135" i="3" s="1"/>
  <c r="L56" i="442"/>
  <c r="CW117" i="42"/>
  <c r="CY62" i="3" l="1"/>
  <c r="CZ62" i="3" s="1"/>
  <c r="DA62" i="3" s="1"/>
  <c r="DB62" i="3" s="1"/>
  <c r="DC62" i="3" s="1"/>
  <c r="L58" i="442"/>
  <c r="L57" i="442"/>
  <c r="DC115" i="42"/>
  <c r="DB34" i="3"/>
  <c r="DB105" i="42"/>
  <c r="CY103" i="42"/>
  <c r="CZ101" i="42"/>
  <c r="DC135" i="3"/>
  <c r="CY137" i="3"/>
  <c r="CZ135" i="3" s="1"/>
  <c r="CW140" i="3"/>
  <c r="CW151" i="3"/>
  <c r="CW165" i="3"/>
  <c r="CV148" i="3"/>
  <c r="CW146" i="3"/>
  <c r="DH115" i="42"/>
  <c r="DN115" i="42"/>
  <c r="CY64" i="3" l="1"/>
  <c r="CY10" i="42" s="1"/>
  <c r="CY251" i="1" s="1"/>
  <c r="CY253" i="1" s="1"/>
  <c r="CZ103" i="42"/>
  <c r="DA101" i="42"/>
  <c r="DN34" i="3"/>
  <c r="DO115" i="42"/>
  <c r="DC117" i="42"/>
  <c r="M56" i="442"/>
  <c r="M57" i="442" s="1"/>
  <c r="DE112" i="42"/>
  <c r="DE105" i="42"/>
  <c r="DB109" i="42"/>
  <c r="DI115" i="42"/>
  <c r="DH34" i="3"/>
  <c r="CW147" i="3"/>
  <c r="CW148" i="3"/>
  <c r="L206" i="442"/>
  <c r="L208" i="442" s="1"/>
  <c r="L60" i="442"/>
  <c r="L117" i="442" s="1"/>
  <c r="DB107" i="3"/>
  <c r="DC34" i="3"/>
  <c r="DB42" i="3"/>
  <c r="DC42" i="3" s="1"/>
  <c r="L161" i="442" l="1"/>
  <c r="L118" i="442"/>
  <c r="L119" i="442"/>
  <c r="CY61" i="42"/>
  <c r="CY62" i="42" s="1"/>
  <c r="CY149" i="3"/>
  <c r="CY17" i="42"/>
  <c r="CY27" i="42" s="1"/>
  <c r="CY60" i="42" s="1"/>
  <c r="CZ72" i="1"/>
  <c r="CZ71" i="1" s="1"/>
  <c r="L61" i="442"/>
  <c r="L62" i="442"/>
  <c r="DO117" i="42"/>
  <c r="O56" i="442"/>
  <c r="O57" i="442" s="1"/>
  <c r="P57" i="442" s="1"/>
  <c r="DB115" i="3"/>
  <c r="DC107" i="3"/>
  <c r="DB255" i="1"/>
  <c r="DC109" i="42"/>
  <c r="DC110" i="42" s="1"/>
  <c r="DB106" i="42"/>
  <c r="DB13" i="3"/>
  <c r="DN42" i="3"/>
  <c r="DO42" i="3" s="1"/>
  <c r="DN107" i="3"/>
  <c r="DO34" i="3"/>
  <c r="DH107" i="3"/>
  <c r="DI34" i="3"/>
  <c r="DH42" i="3"/>
  <c r="DI42" i="3" s="1"/>
  <c r="DF112" i="42"/>
  <c r="DE109" i="42"/>
  <c r="DF105" i="42"/>
  <c r="DA103" i="42"/>
  <c r="DB101" i="42"/>
  <c r="DI117" i="42"/>
  <c r="N56" i="442"/>
  <c r="N57" i="442" s="1"/>
  <c r="L162" i="442" l="1"/>
  <c r="L163" i="442"/>
  <c r="DC101" i="42"/>
  <c r="DE101" i="42"/>
  <c r="P56" i="442"/>
  <c r="Q57" i="442"/>
  <c r="DE106" i="42"/>
  <c r="DB107" i="42"/>
  <c r="DB19" i="42" s="1"/>
  <c r="DH115" i="3"/>
  <c r="DI107" i="3"/>
  <c r="DH255" i="1"/>
  <c r="DO107" i="3"/>
  <c r="DN115" i="3"/>
  <c r="DN255" i="1"/>
  <c r="DC255" i="1"/>
  <c r="DC155" i="3"/>
  <c r="DC115" i="3"/>
  <c r="CZ77" i="1"/>
  <c r="CZ101" i="1"/>
  <c r="DC13" i="3"/>
  <c r="DB85" i="3"/>
  <c r="DF109" i="42"/>
  <c r="DG112" i="42"/>
  <c r="DG105" i="42"/>
  <c r="DE13" i="3"/>
  <c r="CZ102" i="1" l="1"/>
  <c r="CZ103" i="1" s="1"/>
  <c r="DO155" i="3"/>
  <c r="DO115" i="3"/>
  <c r="DO255" i="1"/>
  <c r="DG109" i="42"/>
  <c r="DH112" i="42"/>
  <c r="DH105" i="42"/>
  <c r="DB257" i="1"/>
  <c r="DB67" i="1"/>
  <c r="DB102" i="42"/>
  <c r="DC85" i="3"/>
  <c r="DF101" i="42"/>
  <c r="DF106" i="42"/>
  <c r="DE107" i="42"/>
  <c r="DE19" i="42" s="1"/>
  <c r="Q56" i="442"/>
  <c r="R57" i="442"/>
  <c r="CZ79" i="1"/>
  <c r="CZ84" i="1" s="1"/>
  <c r="DF13" i="3"/>
  <c r="DE85" i="3"/>
  <c r="DI255" i="1"/>
  <c r="DI155" i="3"/>
  <c r="DI115" i="3"/>
  <c r="DB100" i="42"/>
  <c r="DB92" i="42"/>
  <c r="DC19" i="42"/>
  <c r="DC257" i="1" l="1"/>
  <c r="M51" i="442"/>
  <c r="M52" i="442" s="1"/>
  <c r="DH109" i="42"/>
  <c r="DI109" i="42" s="1"/>
  <c r="DI110" i="42" s="1"/>
  <c r="DK112" i="42"/>
  <c r="DK105" i="42"/>
  <c r="DG13" i="3"/>
  <c r="DG106" i="42"/>
  <c r="DF107" i="42"/>
  <c r="DF19" i="42" s="1"/>
  <c r="DE102" i="42"/>
  <c r="DB103" i="42"/>
  <c r="CZ195" i="1"/>
  <c r="CZ228" i="1"/>
  <c r="CZ212" i="1"/>
  <c r="CZ86" i="1"/>
  <c r="CZ89" i="1"/>
  <c r="DE257" i="1"/>
  <c r="DE67" i="1"/>
  <c r="DE92" i="42"/>
  <c r="DE100" i="42"/>
  <c r="DF85" i="3"/>
  <c r="R56" i="442"/>
  <c r="S57" i="442"/>
  <c r="DG101" i="42"/>
  <c r="DB68" i="1"/>
  <c r="DB69" i="1"/>
  <c r="DC67" i="1"/>
  <c r="CZ104" i="1" l="1"/>
  <c r="CZ270" i="1"/>
  <c r="CZ95" i="1"/>
  <c r="DL112" i="42"/>
  <c r="DL105" i="42"/>
  <c r="DK109" i="42"/>
  <c r="CZ106" i="1"/>
  <c r="DH106" i="42"/>
  <c r="DG107" i="42"/>
  <c r="DG19" i="42" s="1"/>
  <c r="S56" i="442"/>
  <c r="T57" i="442"/>
  <c r="T56" i="442" s="1"/>
  <c r="DF92" i="42"/>
  <c r="DF100" i="42"/>
  <c r="DF257" i="1"/>
  <c r="DF67" i="1"/>
  <c r="CZ242" i="1"/>
  <c r="CZ213" i="1"/>
  <c r="CZ87" i="1"/>
  <c r="CZ196" i="1"/>
  <c r="DH13" i="3"/>
  <c r="DI13" i="3" s="1"/>
  <c r="DC69" i="1"/>
  <c r="DC68" i="1"/>
  <c r="DH101" i="42"/>
  <c r="DE69" i="1"/>
  <c r="DE68" i="1"/>
  <c r="DF102" i="42"/>
  <c r="DE103" i="42"/>
  <c r="DG85" i="3"/>
  <c r="CZ107" i="1" l="1"/>
  <c r="CZ108" i="1"/>
  <c r="CZ109" i="1" s="1"/>
  <c r="CZ55" i="42"/>
  <c r="CZ10" i="3"/>
  <c r="DF68" i="1"/>
  <c r="DF69" i="1"/>
  <c r="DK13" i="3"/>
  <c r="CZ96" i="1"/>
  <c r="DG257" i="1"/>
  <c r="DG67" i="1"/>
  <c r="DH85" i="3"/>
  <c r="DG100" i="42"/>
  <c r="DG92" i="42"/>
  <c r="DI101" i="42"/>
  <c r="DK101" i="42"/>
  <c r="DK106" i="42"/>
  <c r="DH107" i="42"/>
  <c r="DH19" i="42" s="1"/>
  <c r="DL109" i="42"/>
  <c r="DM112" i="42"/>
  <c r="DM105" i="42"/>
  <c r="DG102" i="42"/>
  <c r="DF103" i="42"/>
  <c r="DH257" i="1" l="1"/>
  <c r="DH67" i="1"/>
  <c r="DI67" i="1" s="1"/>
  <c r="DI85" i="3"/>
  <c r="DN112" i="42"/>
  <c r="DM109" i="42"/>
  <c r="DN105" i="42"/>
  <c r="CZ56" i="42"/>
  <c r="DG68" i="1"/>
  <c r="DG69" i="1"/>
  <c r="DL106" i="42"/>
  <c r="DK107" i="42"/>
  <c r="DK19" i="42" s="1"/>
  <c r="DL13" i="3"/>
  <c r="DL85" i="3" s="1"/>
  <c r="DK85" i="3"/>
  <c r="CZ82" i="3"/>
  <c r="CZ30" i="3"/>
  <c r="DI19" i="42"/>
  <c r="DH92" i="42"/>
  <c r="DH100" i="42"/>
  <c r="DH102" i="42"/>
  <c r="DG103" i="42"/>
  <c r="DL101" i="42"/>
  <c r="DL257" i="1" l="1"/>
  <c r="DL67" i="1"/>
  <c r="DK102" i="42"/>
  <c r="DH103" i="42"/>
  <c r="DI69" i="1"/>
  <c r="DI68" i="1"/>
  <c r="CZ102" i="3"/>
  <c r="DN109" i="42"/>
  <c r="DO109" i="42" s="1"/>
  <c r="DO110" i="42" s="1"/>
  <c r="DH69" i="1"/>
  <c r="DH68" i="1"/>
  <c r="CZ66" i="3"/>
  <c r="CZ67" i="3" s="1"/>
  <c r="CZ31" i="3"/>
  <c r="CZ69" i="3" s="1"/>
  <c r="CZ70" i="3" s="1"/>
  <c r="CZ60" i="3"/>
  <c r="CZ64" i="3" s="1"/>
  <c r="CZ10" i="42" s="1"/>
  <c r="CZ133" i="42"/>
  <c r="CZ135" i="42"/>
  <c r="CZ57" i="42"/>
  <c r="DM13" i="3"/>
  <c r="N51" i="442"/>
  <c r="N52" i="442" s="1"/>
  <c r="DI257" i="1"/>
  <c r="DM101" i="42"/>
  <c r="DK92" i="42"/>
  <c r="DK100" i="42"/>
  <c r="DK67" i="1"/>
  <c r="DK257" i="1"/>
  <c r="DM106" i="42"/>
  <c r="DL107" i="42"/>
  <c r="DL19" i="42" s="1"/>
  <c r="CZ149" i="3" l="1"/>
  <c r="CZ251" i="1"/>
  <c r="CZ253" i="1" s="1"/>
  <c r="CZ61" i="42"/>
  <c r="CZ62" i="42" s="1"/>
  <c r="CZ17" i="42"/>
  <c r="CZ27" i="42" s="1"/>
  <c r="DA72" i="1"/>
  <c r="DH180" i="41"/>
  <c r="CZ262" i="1"/>
  <c r="CZ104" i="3"/>
  <c r="DH181" i="41"/>
  <c r="CZ103" i="3"/>
  <c r="CZ156" i="3"/>
  <c r="CZ243" i="1"/>
  <c r="CZ256" i="1"/>
  <c r="CZ160" i="3"/>
  <c r="CZ263" i="1"/>
  <c r="CZ133" i="3"/>
  <c r="CZ139" i="3"/>
  <c r="CZ144" i="3"/>
  <c r="CZ145" i="3" s="1"/>
  <c r="DL102" i="42"/>
  <c r="DK103" i="42"/>
  <c r="DN13" i="3"/>
  <c r="DO13" i="3" s="1"/>
  <c r="DL68" i="1"/>
  <c r="DL69" i="1"/>
  <c r="DN106" i="42"/>
  <c r="DN107" i="42" s="1"/>
  <c r="DN19" i="42" s="1"/>
  <c r="DM107" i="42"/>
  <c r="DM19" i="42" s="1"/>
  <c r="CZ254" i="1"/>
  <c r="CZ59" i="42"/>
  <c r="DN101" i="42"/>
  <c r="DL100" i="42"/>
  <c r="DL92" i="42"/>
  <c r="DK68" i="1"/>
  <c r="DK69" i="1"/>
  <c r="DM85" i="3"/>
  <c r="CZ60" i="42" l="1"/>
  <c r="DN85" i="3"/>
  <c r="DN67" i="1" s="1"/>
  <c r="DM257" i="1"/>
  <c r="DM67" i="1"/>
  <c r="CZ137" i="3"/>
  <c r="DA135" i="3" s="1"/>
  <c r="DA71" i="1"/>
  <c r="DM102" i="42"/>
  <c r="DL103" i="42"/>
  <c r="DM92" i="42"/>
  <c r="DM100" i="42"/>
  <c r="CZ264" i="1"/>
  <c r="DO101" i="42"/>
  <c r="DO19" i="42"/>
  <c r="DN100" i="42"/>
  <c r="DN92" i="42"/>
  <c r="CZ165" i="3"/>
  <c r="CZ140" i="3"/>
  <c r="CZ146" i="3"/>
  <c r="DN257" i="1" l="1"/>
  <c r="DO85" i="3"/>
  <c r="DO257" i="1" s="1"/>
  <c r="DN68" i="1"/>
  <c r="DN69" i="1"/>
  <c r="DN102" i="42"/>
  <c r="DN103" i="42" s="1"/>
  <c r="DM103" i="42"/>
  <c r="CZ148" i="3"/>
  <c r="DA77" i="1"/>
  <c r="DA101" i="1"/>
  <c r="DM68" i="1"/>
  <c r="DM69" i="1"/>
  <c r="DO67" i="1"/>
  <c r="O51" i="442" l="1"/>
  <c r="O52" i="442" s="1"/>
  <c r="P52" i="442" s="1"/>
  <c r="Q52" i="442" s="1"/>
  <c r="DA79" i="1"/>
  <c r="DA84" i="1" s="1"/>
  <c r="DO69" i="1"/>
  <c r="DO68" i="1"/>
  <c r="DA102" i="1"/>
  <c r="DA103" i="1" s="1"/>
  <c r="P51" i="442" l="1"/>
  <c r="DA89" i="1"/>
  <c r="DA212" i="1"/>
  <c r="DA228" i="1"/>
  <c r="DA195" i="1"/>
  <c r="DA86" i="1"/>
  <c r="R52" i="442"/>
  <c r="Q51" i="442"/>
  <c r="DA104" i="1" l="1"/>
  <c r="DA270" i="1"/>
  <c r="DA95" i="1"/>
  <c r="DA196" i="1"/>
  <c r="DA87" i="1"/>
  <c r="DA213" i="1"/>
  <c r="DA242" i="1"/>
  <c r="S52" i="442"/>
  <c r="R51" i="442"/>
  <c r="DA106" i="1"/>
  <c r="DA96" i="1" l="1"/>
  <c r="S51" i="442"/>
  <c r="T52" i="442"/>
  <c r="T51" i="442" s="1"/>
  <c r="DA107" i="1"/>
  <c r="DA108" i="1"/>
  <c r="DA109" i="1" s="1"/>
  <c r="DA10" i="3"/>
  <c r="DA55" i="42"/>
  <c r="DA56" i="42" l="1"/>
  <c r="DA30" i="3"/>
  <c r="DA82" i="3"/>
  <c r="DA102" i="3" l="1"/>
  <c r="DA31" i="3"/>
  <c r="DA69" i="3" s="1"/>
  <c r="DA70" i="3" s="1"/>
  <c r="DA66" i="3"/>
  <c r="DA67" i="3" s="1"/>
  <c r="DA60" i="3"/>
  <c r="DA64" i="3" s="1"/>
  <c r="DA10" i="42" s="1"/>
  <c r="DA135" i="42"/>
  <c r="DA133" i="42"/>
  <c r="DA57" i="42"/>
  <c r="DA160" i="3" l="1"/>
  <c r="DA104" i="3"/>
  <c r="DA103" i="3"/>
  <c r="DI181" i="41"/>
  <c r="DA156" i="3"/>
  <c r="DA262" i="1"/>
  <c r="DI180" i="41"/>
  <c r="DA256" i="1"/>
  <c r="DA243" i="1"/>
  <c r="DA263" i="1"/>
  <c r="DA144" i="3"/>
  <c r="DA145" i="3" s="1"/>
  <c r="DA133" i="3"/>
  <c r="DA139" i="3"/>
  <c r="DA149" i="3"/>
  <c r="DA61" i="42"/>
  <c r="DA62" i="42" s="1"/>
  <c r="DA17" i="42"/>
  <c r="DA27" i="42" s="1"/>
  <c r="DA251" i="1"/>
  <c r="DA253" i="1" s="1"/>
  <c r="DB72" i="1"/>
  <c r="DA254" i="1"/>
  <c r="DA59" i="42"/>
  <c r="DA60" i="42" l="1"/>
  <c r="DA140" i="3"/>
  <c r="DA165" i="3"/>
  <c r="DA146" i="3"/>
  <c r="DA264" i="1"/>
  <c r="DA137" i="3"/>
  <c r="DB135" i="3" s="1"/>
  <c r="DB71" i="1"/>
  <c r="DC72" i="1"/>
  <c r="DB77" i="1" l="1"/>
  <c r="DB101" i="1"/>
  <c r="DC71" i="1"/>
  <c r="DA148" i="3"/>
  <c r="M48" i="442" l="1"/>
  <c r="DB102" i="1"/>
  <c r="DB103" i="1" s="1"/>
  <c r="DC101" i="1"/>
  <c r="DB79" i="1"/>
  <c r="DC79" i="1" s="1"/>
  <c r="DC77" i="1"/>
  <c r="DC80" i="1" l="1"/>
  <c r="DC102" i="1"/>
  <c r="M49" i="442"/>
  <c r="DC84" i="1"/>
  <c r="DB84" i="1"/>
  <c r="DC245" i="1" l="1"/>
  <c r="DC246" i="1" s="1"/>
  <c r="DB195" i="1"/>
  <c r="DB228" i="1"/>
  <c r="DB212" i="1"/>
  <c r="DB89" i="1"/>
  <c r="DC89" i="1" s="1"/>
  <c r="DB86" i="1"/>
  <c r="DB270" i="1"/>
  <c r="DC270" i="1" s="1"/>
  <c r="DB104" i="1"/>
  <c r="DC103" i="1"/>
  <c r="DC104" i="1" s="1"/>
  <c r="DB95" i="1"/>
  <c r="DC195" i="1"/>
  <c r="DC228" i="1"/>
  <c r="DC86" i="1"/>
  <c r="M39" i="442"/>
  <c r="M75" i="442" s="1"/>
  <c r="DB106" i="1"/>
  <c r="DC87" i="1" l="1"/>
  <c r="DC196" i="1"/>
  <c r="DC242" i="1"/>
  <c r="DB108" i="1"/>
  <c r="DB109" i="1" s="1"/>
  <c r="DB107" i="1"/>
  <c r="DB10" i="3"/>
  <c r="DC106" i="1"/>
  <c r="DB55" i="42"/>
  <c r="M76" i="442"/>
  <c r="M78" i="442"/>
  <c r="DB96" i="1"/>
  <c r="DC95" i="1"/>
  <c r="DC96" i="1" s="1"/>
  <c r="DB242" i="1"/>
  <c r="DB196" i="1"/>
  <c r="DB213" i="1"/>
  <c r="DB87" i="1"/>
  <c r="M82" i="442" l="1"/>
  <c r="DC10" i="3"/>
  <c r="DB30" i="3"/>
  <c r="DB82" i="3"/>
  <c r="DC107" i="1"/>
  <c r="DC108" i="1"/>
  <c r="DC109" i="1" s="1"/>
  <c r="DC55" i="42"/>
  <c r="DC56" i="42" s="1"/>
  <c r="DC133" i="42" s="1"/>
  <c r="DC134" i="42" s="1"/>
  <c r="DB56" i="42"/>
  <c r="DB31" i="3" l="1"/>
  <c r="DB69" i="3" s="1"/>
  <c r="DB70" i="3" s="1"/>
  <c r="DB66" i="3"/>
  <c r="DB67" i="3" s="1"/>
  <c r="DC30" i="3"/>
  <c r="DB60" i="3"/>
  <c r="DB102" i="3"/>
  <c r="DC82" i="3"/>
  <c r="DC102" i="3" s="1"/>
  <c r="DB133" i="42"/>
  <c r="DB57" i="42"/>
  <c r="DB135" i="42"/>
  <c r="DC135" i="42" s="1"/>
  <c r="DC136" i="42" s="1"/>
  <c r="DB64" i="3" l="1"/>
  <c r="DC60" i="3"/>
  <c r="DC66" i="3"/>
  <c r="DC67" i="3" s="1"/>
  <c r="M54" i="442"/>
  <c r="DC31" i="3"/>
  <c r="DC69" i="3" s="1"/>
  <c r="DC70" i="3" s="1"/>
  <c r="DB243" i="1"/>
  <c r="DB160" i="3"/>
  <c r="DB156" i="3"/>
  <c r="DJ181" i="41"/>
  <c r="DB104" i="3"/>
  <c r="DB256" i="1"/>
  <c r="DJ180" i="41"/>
  <c r="DB262" i="1"/>
  <c r="DB103" i="3"/>
  <c r="DB133" i="3"/>
  <c r="DB144" i="3"/>
  <c r="DB145" i="3" s="1"/>
  <c r="DB263" i="1"/>
  <c r="DB139" i="3"/>
  <c r="DB254" i="1"/>
  <c r="DC57" i="42"/>
  <c r="DC254" i="1" s="1"/>
  <c r="DB59" i="42"/>
  <c r="DC103" i="3"/>
  <c r="DC263" i="1"/>
  <c r="DC256" i="1"/>
  <c r="DC262" i="1"/>
  <c r="DC243" i="1"/>
  <c r="DC158" i="3"/>
  <c r="DC104" i="3"/>
  <c r="DC156" i="3"/>
  <c r="DC139" i="3"/>
  <c r="DC144" i="3"/>
  <c r="DC145" i="3" s="1"/>
  <c r="DC160" i="3"/>
  <c r="DC161" i="3" s="1"/>
  <c r="DB137" i="3" l="1"/>
  <c r="DC133" i="3"/>
  <c r="DC137" i="3" s="1"/>
  <c r="DE135" i="3" s="1"/>
  <c r="DI135" i="3" s="1"/>
  <c r="DC59" i="42"/>
  <c r="DB264" i="1"/>
  <c r="DB165" i="3"/>
  <c r="DB140" i="3"/>
  <c r="DB146" i="3"/>
  <c r="DE62" i="3"/>
  <c r="DF62" i="3" s="1"/>
  <c r="DG62" i="3" s="1"/>
  <c r="DH62" i="3" s="1"/>
  <c r="DI62" i="3" s="1"/>
  <c r="DC64" i="3"/>
  <c r="DB10" i="42"/>
  <c r="DC151" i="3"/>
  <c r="DC165" i="3"/>
  <c r="DC140" i="3"/>
  <c r="M58" i="442"/>
  <c r="M53" i="442"/>
  <c r="DB148" i="3" l="1"/>
  <c r="DC146" i="3"/>
  <c r="DB149" i="3"/>
  <c r="DB17" i="42"/>
  <c r="DB61" i="42"/>
  <c r="DB62" i="42" s="1"/>
  <c r="DB251" i="1"/>
  <c r="DB253" i="1" s="1"/>
  <c r="DE72" i="1"/>
  <c r="DC10" i="42"/>
  <c r="DC17" i="42" l="1"/>
  <c r="DB27" i="42"/>
  <c r="DE71" i="1"/>
  <c r="DC149" i="3"/>
  <c r="DC251" i="1"/>
  <c r="DC253" i="1" s="1"/>
  <c r="DF72" i="1"/>
  <c r="DF71" i="1" s="1"/>
  <c r="DC148" i="3"/>
  <c r="DC147" i="3"/>
  <c r="M206" i="442"/>
  <c r="M208" i="442" s="1"/>
  <c r="M60" i="442"/>
  <c r="DE101" i="1" l="1"/>
  <c r="DE77" i="1"/>
  <c r="M61" i="442"/>
  <c r="M62" i="442"/>
  <c r="DF77" i="1"/>
  <c r="DF101" i="1"/>
  <c r="DF102" i="1" s="1"/>
  <c r="DF103" i="1" s="1"/>
  <c r="DC27" i="42"/>
  <c r="DC60" i="42" s="1"/>
  <c r="DB60" i="42"/>
  <c r="DF79" i="1" l="1"/>
  <c r="DF84" i="1" s="1"/>
  <c r="M163" i="442"/>
  <c r="M161" i="442" s="1"/>
  <c r="M162" i="442" s="1"/>
  <c r="M119" i="442"/>
  <c r="M117" i="442" s="1"/>
  <c r="M118" i="442" s="1"/>
  <c r="DE102" i="1"/>
  <c r="DE79" i="1"/>
  <c r="DE84" i="1" s="1"/>
  <c r="DF195" i="1" l="1"/>
  <c r="DF212" i="1"/>
  <c r="DF228" i="1"/>
  <c r="DF89" i="1"/>
  <c r="DF86" i="1"/>
  <c r="DE228" i="1"/>
  <c r="DE195" i="1"/>
  <c r="DE212" i="1"/>
  <c r="DE89" i="1"/>
  <c r="DE86" i="1"/>
  <c r="DF270" i="1"/>
  <c r="DF95" i="1"/>
  <c r="DF96" i="1" s="1"/>
  <c r="DF106" i="1"/>
  <c r="DF196" i="1" l="1"/>
  <c r="DF242" i="1"/>
  <c r="DF213" i="1"/>
  <c r="DF87" i="1"/>
  <c r="DF107" i="1"/>
  <c r="DF108" i="1"/>
  <c r="DF109" i="1" s="1"/>
  <c r="DE213" i="1"/>
  <c r="DE242" i="1"/>
  <c r="DE196" i="1"/>
  <c r="DE87" i="1"/>
  <c r="DE103" i="1" l="1"/>
  <c r="DE106" i="1" s="1"/>
  <c r="DE10" i="3" s="1"/>
  <c r="DE30" i="3" l="1"/>
  <c r="DE82" i="3"/>
  <c r="DF10" i="3"/>
  <c r="DE107" i="1"/>
  <c r="DE108" i="1"/>
  <c r="DE109" i="1" s="1"/>
  <c r="DE55" i="42"/>
  <c r="DE270" i="1"/>
  <c r="DE95" i="1"/>
  <c r="DF30" i="3" l="1"/>
  <c r="DE56" i="42"/>
  <c r="DF55" i="42"/>
  <c r="DE102" i="3"/>
  <c r="DE31" i="3"/>
  <c r="DE69" i="3" s="1"/>
  <c r="DE70" i="3" s="1"/>
  <c r="DE66" i="3"/>
  <c r="DE67" i="3" s="1"/>
  <c r="DE60" i="3"/>
  <c r="DE64" i="3" s="1"/>
  <c r="DE10" i="42" s="1"/>
  <c r="DE96" i="1"/>
  <c r="DF82" i="3"/>
  <c r="DF102" i="3" s="1"/>
  <c r="DF56" i="42" l="1"/>
  <c r="DE251" i="1"/>
  <c r="DE253" i="1" s="1"/>
  <c r="DE17" i="42"/>
  <c r="DE27" i="42" s="1"/>
  <c r="DE61" i="42"/>
  <c r="DE62" i="42" s="1"/>
  <c r="DE149" i="3"/>
  <c r="DG72" i="1"/>
  <c r="DE135" i="42"/>
  <c r="DE133" i="42"/>
  <c r="DE57" i="42"/>
  <c r="DF262" i="1"/>
  <c r="DF160" i="3"/>
  <c r="DF243" i="1"/>
  <c r="DF139" i="3"/>
  <c r="DF256" i="1"/>
  <c r="DF104" i="3"/>
  <c r="DF144" i="3"/>
  <c r="DF145" i="3" s="1"/>
  <c r="DF103" i="3"/>
  <c r="DF156" i="3"/>
  <c r="DF133" i="3"/>
  <c r="DF263" i="1"/>
  <c r="DE104" i="3"/>
  <c r="DE156" i="3"/>
  <c r="DE144" i="3"/>
  <c r="DE145" i="3" s="1"/>
  <c r="DE243" i="1"/>
  <c r="DE262" i="1"/>
  <c r="DE160" i="3"/>
  <c r="DE103" i="3"/>
  <c r="DE256" i="1"/>
  <c r="DE263" i="1"/>
  <c r="DE133" i="3"/>
  <c r="DE139" i="3"/>
  <c r="DF31" i="3"/>
  <c r="DF69" i="3" s="1"/>
  <c r="DF70" i="3" s="1"/>
  <c r="DF66" i="3"/>
  <c r="DF67" i="3" s="1"/>
  <c r="DF60" i="3"/>
  <c r="DF64" i="3" s="1"/>
  <c r="DF10" i="42" s="1"/>
  <c r="DE264" i="1" l="1"/>
  <c r="DF264" i="1"/>
  <c r="DF165" i="3"/>
  <c r="DF140" i="3"/>
  <c r="DF146" i="3"/>
  <c r="DF148" i="3" s="1"/>
  <c r="DG71" i="1"/>
  <c r="DE137" i="3"/>
  <c r="DF135" i="3" s="1"/>
  <c r="DF137" i="3" s="1"/>
  <c r="DG135" i="3" s="1"/>
  <c r="DE140" i="3"/>
  <c r="DE165" i="3"/>
  <c r="DE146" i="3"/>
  <c r="DE59" i="42"/>
  <c r="DE60" i="42" s="1"/>
  <c r="DE254" i="1"/>
  <c r="DF61" i="42"/>
  <c r="DF62" i="42" s="1"/>
  <c r="DF251" i="1"/>
  <c r="DF253" i="1" s="1"/>
  <c r="DF17" i="42"/>
  <c r="DF27" i="42" s="1"/>
  <c r="DF149" i="3"/>
  <c r="DH72" i="1"/>
  <c r="DH71" i="1" s="1"/>
  <c r="DF135" i="42"/>
  <c r="DF133" i="42"/>
  <c r="DF57" i="42"/>
  <c r="DI71" i="1" l="1"/>
  <c r="N48" i="442" s="1"/>
  <c r="DG77" i="1"/>
  <c r="DG101" i="1"/>
  <c r="DF59" i="42"/>
  <c r="DF60" i="42" s="1"/>
  <c r="DF254" i="1"/>
  <c r="DH77" i="1"/>
  <c r="DH101" i="1"/>
  <c r="DH102" i="1" s="1"/>
  <c r="DH103" i="1" s="1"/>
  <c r="DE148" i="3"/>
  <c r="DI72" i="1"/>
  <c r="DI101" i="1" l="1"/>
  <c r="DG102" i="1"/>
  <c r="DG103" i="1" s="1"/>
  <c r="DI77" i="1"/>
  <c r="DG79" i="1"/>
  <c r="DG84" i="1" s="1"/>
  <c r="DH106" i="1"/>
  <c r="DH79" i="1"/>
  <c r="DH84" i="1" s="1"/>
  <c r="N49" i="442"/>
  <c r="DH195" i="1" l="1"/>
  <c r="DH212" i="1"/>
  <c r="DH86" i="1"/>
  <c r="DH89" i="1"/>
  <c r="DH228" i="1"/>
  <c r="DI79" i="1"/>
  <c r="DI80" i="1" s="1"/>
  <c r="DI245" i="1" s="1"/>
  <c r="DI246" i="1" s="1"/>
  <c r="DG212" i="1"/>
  <c r="DG86" i="1"/>
  <c r="DG195" i="1"/>
  <c r="DG89" i="1"/>
  <c r="DG228" i="1"/>
  <c r="DH108" i="1"/>
  <c r="DH109" i="1" s="1"/>
  <c r="DH107" i="1"/>
  <c r="DH270" i="1"/>
  <c r="DH95" i="1"/>
  <c r="DH96" i="1" s="1"/>
  <c r="DI102" i="1"/>
  <c r="DI84" i="1" l="1"/>
  <c r="DI228" i="1" s="1"/>
  <c r="DG270" i="1"/>
  <c r="DI270" i="1" s="1"/>
  <c r="DI103" i="1"/>
  <c r="DI104" i="1" s="1"/>
  <c r="DG95" i="1"/>
  <c r="DH87" i="1"/>
  <c r="DH213" i="1"/>
  <c r="DH242" i="1"/>
  <c r="DH196" i="1"/>
  <c r="DI89" i="1"/>
  <c r="DG106" i="1"/>
  <c r="DG242" i="1"/>
  <c r="DG196" i="1"/>
  <c r="DG213" i="1"/>
  <c r="DG87" i="1"/>
  <c r="N39" i="442" l="1"/>
  <c r="N75" i="442" s="1"/>
  <c r="N76" i="442" s="1"/>
  <c r="DI86" i="1"/>
  <c r="DI195" i="1"/>
  <c r="DG108" i="1"/>
  <c r="DG109" i="1" s="1"/>
  <c r="DG107" i="1"/>
  <c r="DG10" i="3"/>
  <c r="DI106" i="1"/>
  <c r="DG55" i="42"/>
  <c r="DG96" i="1"/>
  <c r="DI95" i="1"/>
  <c r="DI96" i="1" s="1"/>
  <c r="DI87" i="1" l="1"/>
  <c r="N78" i="442"/>
  <c r="N82" i="442" s="1"/>
  <c r="DI196" i="1"/>
  <c r="DI242" i="1"/>
  <c r="DI107" i="1"/>
  <c r="DI108" i="1"/>
  <c r="DI109" i="1" s="1"/>
  <c r="DG30" i="3"/>
  <c r="DG82" i="3"/>
  <c r="DH10" i="3"/>
  <c r="DH82" i="3" s="1"/>
  <c r="DH102" i="3" s="1"/>
  <c r="DG56" i="42"/>
  <c r="DH55" i="42"/>
  <c r="DG102" i="3" l="1"/>
  <c r="DH243" i="1" s="1"/>
  <c r="DI82" i="3"/>
  <c r="DI102" i="3" s="1"/>
  <c r="DG133" i="42"/>
  <c r="DG135" i="42"/>
  <c r="DG57" i="42"/>
  <c r="DG66" i="3"/>
  <c r="DG67" i="3" s="1"/>
  <c r="DG60" i="3"/>
  <c r="DG64" i="3" s="1"/>
  <c r="DG10" i="42" s="1"/>
  <c r="DG31" i="3"/>
  <c r="DG69" i="3" s="1"/>
  <c r="DG70" i="3" s="1"/>
  <c r="DH56" i="42"/>
  <c r="DI55" i="42"/>
  <c r="DI56" i="42" s="1"/>
  <c r="DI133" i="42" s="1"/>
  <c r="DI134" i="42" s="1"/>
  <c r="DH262" i="1"/>
  <c r="DH256" i="1"/>
  <c r="DH103" i="3"/>
  <c r="DH160" i="3"/>
  <c r="DH144" i="3"/>
  <c r="DH145" i="3" s="1"/>
  <c r="CA180" i="41"/>
  <c r="DH104" i="3"/>
  <c r="DH156" i="3"/>
  <c r="DH139" i="3"/>
  <c r="DH133" i="3"/>
  <c r="DH263" i="1"/>
  <c r="DI10" i="3"/>
  <c r="DH30" i="3"/>
  <c r="DH135" i="42" l="1"/>
  <c r="DI135" i="42" s="1"/>
  <c r="DI136" i="42" s="1"/>
  <c r="DH133" i="42"/>
  <c r="DH57" i="42"/>
  <c r="DH140" i="3"/>
  <c r="DH146" i="3"/>
  <c r="DH148" i="3" s="1"/>
  <c r="DH165" i="3"/>
  <c r="DG149" i="3"/>
  <c r="DG17" i="42"/>
  <c r="DG27" i="42" s="1"/>
  <c r="DG251" i="1"/>
  <c r="DG253" i="1" s="1"/>
  <c r="DG61" i="42"/>
  <c r="DG62" i="42" s="1"/>
  <c r="DG103" i="3"/>
  <c r="DG160" i="3"/>
  <c r="DG104" i="3"/>
  <c r="DG262" i="1"/>
  <c r="DG243" i="1"/>
  <c r="DG156" i="3"/>
  <c r="DG256" i="1"/>
  <c r="DG144" i="3"/>
  <c r="DG145" i="3" s="1"/>
  <c r="DG139" i="3"/>
  <c r="DG133" i="3"/>
  <c r="DG263" i="1"/>
  <c r="DH66" i="3"/>
  <c r="DH67" i="3" s="1"/>
  <c r="DH31" i="3"/>
  <c r="DH69" i="3" s="1"/>
  <c r="DH70" i="3" s="1"/>
  <c r="DI30" i="3"/>
  <c r="DH60" i="3"/>
  <c r="DI156" i="3"/>
  <c r="DI263" i="1"/>
  <c r="DI256" i="1"/>
  <c r="DI158" i="3"/>
  <c r="DI104" i="3"/>
  <c r="DI243" i="1"/>
  <c r="DI139" i="3"/>
  <c r="DI262" i="1"/>
  <c r="DI103" i="3"/>
  <c r="DI160" i="3"/>
  <c r="DI161" i="3" s="1"/>
  <c r="DI144" i="3"/>
  <c r="DI145" i="3" s="1"/>
  <c r="DG59" i="42"/>
  <c r="DG254" i="1"/>
  <c r="DG60" i="42" l="1"/>
  <c r="DI31" i="3"/>
  <c r="DI69" i="3" s="1"/>
  <c r="DI70" i="3" s="1"/>
  <c r="DI66" i="3"/>
  <c r="DI67" i="3" s="1"/>
  <c r="N54" i="442"/>
  <c r="DG165" i="3"/>
  <c r="DG140" i="3"/>
  <c r="DG146" i="3"/>
  <c r="DG137" i="3"/>
  <c r="DH135" i="3" s="1"/>
  <c r="DH137" i="3" s="1"/>
  <c r="DI133" i="3"/>
  <c r="DI137" i="3" s="1"/>
  <c r="DK135" i="3" s="1"/>
  <c r="DO135" i="3" s="1"/>
  <c r="DI57" i="42"/>
  <c r="DI254" i="1" s="1"/>
  <c r="DH59" i="42"/>
  <c r="DH254" i="1"/>
  <c r="DI151" i="3"/>
  <c r="DI165" i="3"/>
  <c r="DI140" i="3"/>
  <c r="DI60" i="3"/>
  <c r="DH64" i="3"/>
  <c r="DH264" i="1"/>
  <c r="DG264" i="1"/>
  <c r="DG148" i="3" l="1"/>
  <c r="DI146" i="3"/>
  <c r="DI64" i="3"/>
  <c r="DK62" i="3"/>
  <c r="DL62" i="3" s="1"/>
  <c r="DM62" i="3" s="1"/>
  <c r="DN62" i="3" s="1"/>
  <c r="DO62" i="3" s="1"/>
  <c r="DH10" i="42"/>
  <c r="DI59" i="42"/>
  <c r="N58" i="442"/>
  <c r="N53" i="442"/>
  <c r="DH61" i="42" l="1"/>
  <c r="DH62" i="42" s="1"/>
  <c r="DH149" i="3"/>
  <c r="DH251" i="1"/>
  <c r="DH253" i="1" s="1"/>
  <c r="DH17" i="42"/>
  <c r="DI10" i="42"/>
  <c r="DK72" i="1"/>
  <c r="N206" i="442"/>
  <c r="N208" i="442" s="1"/>
  <c r="DI148" i="3"/>
  <c r="DI147" i="3"/>
  <c r="N60" i="442"/>
  <c r="DI17" i="42" l="1"/>
  <c r="DH27" i="42"/>
  <c r="DI149" i="3"/>
  <c r="DI251" i="1"/>
  <c r="DI253" i="1" s="1"/>
  <c r="DL72" i="1"/>
  <c r="DL71" i="1" s="1"/>
  <c r="N61" i="442"/>
  <c r="N62" i="442"/>
  <c r="DK71" i="1"/>
  <c r="DL77" i="1" l="1"/>
  <c r="DL101" i="1"/>
  <c r="DL102" i="1" s="1"/>
  <c r="DL103" i="1" s="1"/>
  <c r="N163" i="442"/>
  <c r="N161" i="442" s="1"/>
  <c r="N162" i="442" s="1"/>
  <c r="N119" i="442"/>
  <c r="N117" i="442" s="1"/>
  <c r="N118" i="442" s="1"/>
  <c r="DK77" i="1"/>
  <c r="DK101" i="1"/>
  <c r="DI27" i="42"/>
  <c r="DI60" i="42" s="1"/>
  <c r="DH60" i="42"/>
  <c r="DK79" i="1" l="1"/>
  <c r="DL106" i="1"/>
  <c r="DK102" i="1"/>
  <c r="DK103" i="1" s="1"/>
  <c r="DL79" i="1"/>
  <c r="DL84" i="1" s="1"/>
  <c r="DK106" i="1" l="1"/>
  <c r="DL228" i="1"/>
  <c r="DL195" i="1"/>
  <c r="DL89" i="1"/>
  <c r="DL86" i="1"/>
  <c r="DL107" i="1"/>
  <c r="DL108" i="1"/>
  <c r="DL109" i="1" s="1"/>
  <c r="DL270" i="1"/>
  <c r="DL95" i="1"/>
  <c r="DL96" i="1" s="1"/>
  <c r="DK84" i="1"/>
  <c r="DK108" i="1" l="1"/>
  <c r="DK109" i="1" s="1"/>
  <c r="DK107" i="1"/>
  <c r="DK10" i="3"/>
  <c r="DK55" i="42"/>
  <c r="DK195" i="1"/>
  <c r="DK228" i="1"/>
  <c r="DK212" i="1"/>
  <c r="DK86" i="1"/>
  <c r="DK89" i="1"/>
  <c r="DL196" i="1"/>
  <c r="DL87" i="1"/>
  <c r="DL212" i="1"/>
  <c r="DK270" i="1"/>
  <c r="DK95" i="1"/>
  <c r="DK56" i="42" l="1"/>
  <c r="DL55" i="42"/>
  <c r="DK96" i="1"/>
  <c r="DK30" i="3"/>
  <c r="DK82" i="3"/>
  <c r="DL10" i="3"/>
  <c r="DL82" i="3" s="1"/>
  <c r="DL102" i="3" s="1"/>
  <c r="DK213" i="1"/>
  <c r="DK87" i="1"/>
  <c r="DK242" i="1"/>
  <c r="DK196" i="1"/>
  <c r="DL242" i="1"/>
  <c r="DL213" i="1"/>
  <c r="DL30" i="3" l="1"/>
  <c r="DL103" i="3"/>
  <c r="DL160" i="3"/>
  <c r="DL263" i="1"/>
  <c r="DL256" i="1"/>
  <c r="DL262" i="1"/>
  <c r="DL139" i="3"/>
  <c r="DL104" i="3"/>
  <c r="DL156" i="3"/>
  <c r="DL144" i="3"/>
  <c r="DL145" i="3" s="1"/>
  <c r="DL133" i="3"/>
  <c r="DK102" i="3"/>
  <c r="DK135" i="42"/>
  <c r="DK133" i="42"/>
  <c r="DK57" i="42"/>
  <c r="DK59" i="42" s="1"/>
  <c r="DK31" i="3"/>
  <c r="DK69" i="3" s="1"/>
  <c r="DK70" i="3" s="1"/>
  <c r="DK66" i="3"/>
  <c r="DK67" i="3" s="1"/>
  <c r="DK60" i="3"/>
  <c r="DK64" i="3" s="1"/>
  <c r="DK10" i="42" s="1"/>
  <c r="DL56" i="42"/>
  <c r="DK262" i="1" l="1"/>
  <c r="DK156" i="3"/>
  <c r="DK104" i="3"/>
  <c r="DK103" i="3"/>
  <c r="DK243" i="1"/>
  <c r="DK160" i="3"/>
  <c r="DK256" i="1"/>
  <c r="DK144" i="3"/>
  <c r="DK145" i="3" s="1"/>
  <c r="DK133" i="3"/>
  <c r="DK263" i="1"/>
  <c r="DK139" i="3"/>
  <c r="DK149" i="3"/>
  <c r="DK61" i="42"/>
  <c r="DK62" i="42" s="1"/>
  <c r="DK17" i="42"/>
  <c r="DK27" i="42" s="1"/>
  <c r="DK60" i="42" s="1"/>
  <c r="DM72" i="1"/>
  <c r="DL165" i="3"/>
  <c r="DL146" i="3"/>
  <c r="DL148" i="3" s="1"/>
  <c r="DL140" i="3"/>
  <c r="DL243" i="1"/>
  <c r="DL135" i="42"/>
  <c r="DL133" i="42"/>
  <c r="DL57" i="42"/>
  <c r="DL59" i="42" s="1"/>
  <c r="DL66" i="3"/>
  <c r="DL67" i="3" s="1"/>
  <c r="DL31" i="3"/>
  <c r="DL69" i="3" s="1"/>
  <c r="DL70" i="3" s="1"/>
  <c r="DL60" i="3"/>
  <c r="DL64" i="3" s="1"/>
  <c r="DL10" i="42" s="1"/>
  <c r="DK165" i="3" l="1"/>
  <c r="DK140" i="3"/>
  <c r="DK146" i="3"/>
  <c r="DK264" i="1"/>
  <c r="DL264" i="1"/>
  <c r="DL17" i="42"/>
  <c r="DL27" i="42" s="1"/>
  <c r="DL60" i="42" s="1"/>
  <c r="DL61" i="42"/>
  <c r="DL62" i="42" s="1"/>
  <c r="DL149" i="3"/>
  <c r="DN72" i="1"/>
  <c r="DN71" i="1" s="1"/>
  <c r="DK137" i="3"/>
  <c r="DL135" i="3" s="1"/>
  <c r="DL137" i="3" s="1"/>
  <c r="DM135" i="3" s="1"/>
  <c r="DM71" i="1"/>
  <c r="DO72" i="1" l="1"/>
  <c r="DN77" i="1"/>
  <c r="DN101" i="1"/>
  <c r="DN102" i="1" s="1"/>
  <c r="DN103" i="1" s="1"/>
  <c r="DM77" i="1"/>
  <c r="DM101" i="1"/>
  <c r="DO71" i="1"/>
  <c r="O48" i="442" s="1"/>
  <c r="DK148" i="3"/>
  <c r="DM79" i="1" l="1"/>
  <c r="DO77" i="1"/>
  <c r="DN79" i="1"/>
  <c r="DN84" i="1" s="1"/>
  <c r="O49" i="442"/>
  <c r="DM102" i="1"/>
  <c r="DM103" i="1" s="1"/>
  <c r="DO101" i="1"/>
  <c r="DO79" i="1" l="1"/>
  <c r="DO80" i="1" s="1"/>
  <c r="DO245" i="1" s="1"/>
  <c r="DO246" i="1" s="1"/>
  <c r="DN195" i="1"/>
  <c r="DN86" i="1"/>
  <c r="DN228" i="1"/>
  <c r="DN89" i="1"/>
  <c r="DN270" i="1"/>
  <c r="DN95" i="1"/>
  <c r="DN96" i="1" s="1"/>
  <c r="P49" i="442"/>
  <c r="P54" i="442" s="1"/>
  <c r="P58" i="442" s="1"/>
  <c r="P60" i="442" s="1"/>
  <c r="Q48" i="442"/>
  <c r="DO102" i="1"/>
  <c r="DN106" i="1"/>
  <c r="DM84" i="1"/>
  <c r="DO84" i="1" l="1"/>
  <c r="O39" i="442" s="1"/>
  <c r="O75" i="442" s="1"/>
  <c r="DM270" i="1"/>
  <c r="DO270" i="1" s="1"/>
  <c r="DO103" i="1"/>
  <c r="DO104" i="1" s="1"/>
  <c r="DM95" i="1"/>
  <c r="DN107" i="1"/>
  <c r="DN108" i="1"/>
  <c r="DN109" i="1" s="1"/>
  <c r="DN87" i="1"/>
  <c r="DN196" i="1"/>
  <c r="DM89" i="1"/>
  <c r="DO89" i="1" s="1"/>
  <c r="DM86" i="1"/>
  <c r="DM195" i="1"/>
  <c r="DM212" i="1"/>
  <c r="DM228" i="1"/>
  <c r="P62" i="442"/>
  <c r="Q49" i="442"/>
  <c r="Q54" i="442" s="1"/>
  <c r="Q58" i="442" s="1"/>
  <c r="Q60" i="442" s="1"/>
  <c r="R48" i="442"/>
  <c r="DM106" i="1"/>
  <c r="DN212" i="1"/>
  <c r="DO228" i="1" l="1"/>
  <c r="DO195" i="1"/>
  <c r="DO86" i="1"/>
  <c r="Q62" i="442"/>
  <c r="Q61" i="442"/>
  <c r="DM108" i="1"/>
  <c r="DM109" i="1" s="1"/>
  <c r="DM107" i="1"/>
  <c r="DM10" i="3"/>
  <c r="DO106" i="1"/>
  <c r="DM55" i="42"/>
  <c r="DM87" i="1"/>
  <c r="DM196" i="1"/>
  <c r="DM213" i="1"/>
  <c r="DM242" i="1"/>
  <c r="DM96" i="1"/>
  <c r="DO95" i="1"/>
  <c r="DO96" i="1" s="1"/>
  <c r="R49" i="442"/>
  <c r="R54" i="442" s="1"/>
  <c r="R58" i="442" s="1"/>
  <c r="R60" i="442" s="1"/>
  <c r="S48" i="442"/>
  <c r="DN242" i="1"/>
  <c r="P119" i="442"/>
  <c r="P117" i="442" s="1"/>
  <c r="P163" i="442"/>
  <c r="P161" i="442" s="1"/>
  <c r="DN213" i="1"/>
  <c r="O76" i="442"/>
  <c r="P76" i="442"/>
  <c r="P82" i="442" s="1"/>
  <c r="O78" i="442"/>
  <c r="DO242" i="1" l="1"/>
  <c r="DO87" i="1"/>
  <c r="DO196" i="1"/>
  <c r="O82" i="442"/>
  <c r="R61" i="442"/>
  <c r="R67" i="442"/>
  <c r="R62" i="442"/>
  <c r="DO108" i="1"/>
  <c r="DO109" i="1" s="1"/>
  <c r="DO107" i="1"/>
  <c r="S49" i="442"/>
  <c r="S54" i="442" s="1"/>
  <c r="S58" i="442" s="1"/>
  <c r="S60" i="442" s="1"/>
  <c r="T48" i="442"/>
  <c r="DM30" i="3"/>
  <c r="DM82" i="3"/>
  <c r="DN10" i="3"/>
  <c r="DN82" i="3" s="1"/>
  <c r="DN102" i="3" s="1"/>
  <c r="DM56" i="42"/>
  <c r="DN55" i="42"/>
  <c r="Q119" i="442"/>
  <c r="Q117" i="442" s="1"/>
  <c r="Q118" i="442" s="1"/>
  <c r="Q163" i="442"/>
  <c r="Q161" i="442" s="1"/>
  <c r="Q162" i="442" s="1"/>
  <c r="DO10" i="3" l="1"/>
  <c r="DN30" i="3"/>
  <c r="T49" i="442"/>
  <c r="T54" i="442" s="1"/>
  <c r="T58" i="442" s="1"/>
  <c r="T60" i="442" s="1"/>
  <c r="R119" i="442"/>
  <c r="R117" i="442" s="1"/>
  <c r="R163" i="442"/>
  <c r="R161" i="442" s="1"/>
  <c r="DN56" i="42"/>
  <c r="DO55" i="42"/>
  <c r="DO56" i="42" s="1"/>
  <c r="DO133" i="42" s="1"/>
  <c r="DO134" i="42" s="1"/>
  <c r="DM102" i="3"/>
  <c r="DN243" i="1" s="1"/>
  <c r="DO82" i="3"/>
  <c r="DO102" i="3" s="1"/>
  <c r="S61" i="442"/>
  <c r="S62" i="442"/>
  <c r="R69" i="442"/>
  <c r="Q67" i="442"/>
  <c r="DN160" i="3"/>
  <c r="DN104" i="3"/>
  <c r="DN144" i="3"/>
  <c r="DN145" i="3" s="1"/>
  <c r="DN262" i="1"/>
  <c r="DN103" i="3"/>
  <c r="DN156" i="3"/>
  <c r="DN263" i="1"/>
  <c r="DN133" i="3"/>
  <c r="DN256" i="1"/>
  <c r="DN139" i="3"/>
  <c r="DM133" i="42"/>
  <c r="DM57" i="42"/>
  <c r="DM59" i="42" s="1"/>
  <c r="DM135" i="42"/>
  <c r="DM66" i="3"/>
  <c r="DM67" i="3" s="1"/>
  <c r="DM31" i="3"/>
  <c r="DM69" i="3" s="1"/>
  <c r="DM70" i="3" s="1"/>
  <c r="DM60" i="3"/>
  <c r="DM64" i="3" s="1"/>
  <c r="DM10" i="42" s="1"/>
  <c r="S119" i="442" l="1"/>
  <c r="S117" i="442" s="1"/>
  <c r="S118" i="442" s="1"/>
  <c r="S163" i="442"/>
  <c r="S161" i="442" s="1"/>
  <c r="S162" i="442" s="1"/>
  <c r="DN165" i="3"/>
  <c r="DN140" i="3"/>
  <c r="DN146" i="3"/>
  <c r="DN148" i="3" s="1"/>
  <c r="Q69" i="442"/>
  <c r="P67" i="442"/>
  <c r="T61" i="442"/>
  <c r="T62" i="442"/>
  <c r="DM243" i="1"/>
  <c r="DM256" i="1"/>
  <c r="DM160" i="3"/>
  <c r="DM262" i="1"/>
  <c r="DM104" i="3"/>
  <c r="DM263" i="1"/>
  <c r="DM144" i="3"/>
  <c r="DM145" i="3" s="1"/>
  <c r="DM103" i="3"/>
  <c r="DM156" i="3"/>
  <c r="DM139" i="3"/>
  <c r="DM133" i="3"/>
  <c r="DN135" i="42"/>
  <c r="DO135" i="42" s="1"/>
  <c r="DO136" i="42" s="1"/>
  <c r="DN133" i="42"/>
  <c r="DN57" i="42"/>
  <c r="DM61" i="42"/>
  <c r="DM62" i="42" s="1"/>
  <c r="DM149" i="3"/>
  <c r="DM17" i="42"/>
  <c r="DM27" i="42" s="1"/>
  <c r="DM60" i="42" s="1"/>
  <c r="DO263" i="1"/>
  <c r="DO262" i="1"/>
  <c r="DO139" i="3"/>
  <c r="DO160" i="3"/>
  <c r="DO161" i="3" s="1"/>
  <c r="DO256" i="1"/>
  <c r="DO158" i="3"/>
  <c r="DO243" i="1"/>
  <c r="DO103" i="3"/>
  <c r="DO104" i="3"/>
  <c r="DO144" i="3"/>
  <c r="DO145" i="3" s="1"/>
  <c r="DO156" i="3"/>
  <c r="R167" i="442"/>
  <c r="Q167" i="442" s="1"/>
  <c r="P167" i="442" s="1"/>
  <c r="O167" i="442" s="1"/>
  <c r="N167" i="442" s="1"/>
  <c r="R162" i="442"/>
  <c r="DN31" i="3"/>
  <c r="DN69" i="3" s="1"/>
  <c r="DN70" i="3" s="1"/>
  <c r="DN66" i="3"/>
  <c r="DN67" i="3" s="1"/>
  <c r="DO30" i="3"/>
  <c r="DN60" i="3"/>
  <c r="R123" i="442"/>
  <c r="R118" i="442"/>
  <c r="DO140" i="3" l="1"/>
  <c r="DO151" i="3"/>
  <c r="DO165" i="3"/>
  <c r="Q123" i="442"/>
  <c r="R125" i="442"/>
  <c r="DM137" i="3"/>
  <c r="DN135" i="3" s="1"/>
  <c r="DN137" i="3" s="1"/>
  <c r="DO133" i="3"/>
  <c r="DO137" i="3" s="1"/>
  <c r="DO60" i="3"/>
  <c r="DN64" i="3"/>
  <c r="DO57" i="42"/>
  <c r="DN59" i="42"/>
  <c r="DM165" i="3"/>
  <c r="DM146" i="3"/>
  <c r="DM140" i="3"/>
  <c r="T119" i="442"/>
  <c r="T117" i="442" s="1"/>
  <c r="T118" i="442" s="1"/>
  <c r="T163" i="442"/>
  <c r="T161" i="442" s="1"/>
  <c r="T162" i="442" s="1"/>
  <c r="DO66" i="3"/>
  <c r="DO67" i="3" s="1"/>
  <c r="DO31" i="3"/>
  <c r="DO69" i="3" s="1"/>
  <c r="DO70" i="3" s="1"/>
  <c r="O54" i="442"/>
  <c r="N172" i="442"/>
  <c r="N169" i="442"/>
  <c r="M167" i="442"/>
  <c r="DM264" i="1"/>
  <c r="DN264" i="1"/>
  <c r="P69" i="442"/>
  <c r="O67" i="442"/>
  <c r="DO59" i="42" l="1"/>
  <c r="O58" i="442"/>
  <c r="O53" i="442"/>
  <c r="DM148" i="3"/>
  <c r="DO146" i="3"/>
  <c r="DO64" i="3"/>
  <c r="DN10" i="42"/>
  <c r="N67" i="442"/>
  <c r="O69" i="442"/>
  <c r="M172" i="442"/>
  <c r="M169" i="442"/>
  <c r="L167" i="442"/>
  <c r="Q125" i="442"/>
  <c r="P123" i="442"/>
  <c r="DO10" i="42" l="1"/>
  <c r="DO149" i="3" s="1"/>
  <c r="DN61" i="42"/>
  <c r="DN62" i="42" s="1"/>
  <c r="DN149" i="3"/>
  <c r="DN17" i="42"/>
  <c r="DO147" i="3"/>
  <c r="DO148" i="3"/>
  <c r="O206" i="442"/>
  <c r="O208" i="442" s="1"/>
  <c r="O60" i="442"/>
  <c r="P125" i="442"/>
  <c r="O123" i="442"/>
  <c r="L169" i="442"/>
  <c r="L172" i="442"/>
  <c r="N69" i="442"/>
  <c r="N72" i="442"/>
  <c r="M67" i="442"/>
  <c r="M72" i="442" l="1"/>
  <c r="L67" i="442"/>
  <c r="M69" i="442"/>
  <c r="O61" i="442"/>
  <c r="O62" i="442"/>
  <c r="P61" i="442"/>
  <c r="DO17" i="42"/>
  <c r="DN27" i="42"/>
  <c r="O125" i="442"/>
  <c r="N123" i="442"/>
  <c r="O119" i="442" l="1"/>
  <c r="O117" i="442" s="1"/>
  <c r="O163" i="442"/>
  <c r="O161" i="442" s="1"/>
  <c r="N128" i="442"/>
  <c r="N125" i="442"/>
  <c r="M123" i="442"/>
  <c r="DO27" i="42"/>
  <c r="DO60" i="42" s="1"/>
  <c r="DN60" i="42"/>
  <c r="L69" i="442"/>
  <c r="L72" i="442"/>
  <c r="O118" i="442" l="1"/>
  <c r="P118" i="442"/>
  <c r="M128" i="442"/>
  <c r="L123" i="442"/>
  <c r="M125" i="442"/>
  <c r="O162" i="442"/>
  <c r="P162" i="442"/>
  <c r="L128" i="442" l="1"/>
  <c r="L125" i="442"/>
</calcChain>
</file>

<file path=xl/comments1.xml><?xml version="1.0" encoding="utf-8"?>
<comments xmlns="http://schemas.openxmlformats.org/spreadsheetml/2006/main">
  <authors>
    <author>kweiss</author>
  </authors>
  <commentList>
    <comment ref="A1" authorId="0">
      <text>
        <r>
          <rPr>
            <b/>
            <sz val="8"/>
            <color indexed="81"/>
            <rFont val="Tahoma"/>
            <family val="2"/>
          </rPr>
          <t>卟䙄_x0001_＀＀ᶽ䪌!䵏剔䕞䅃䵟䅅彎䉅呉䅄䍟䱁⡁〲㔰〬착_x0018_＀＀_x0018_＀＀_x0008_＀＀_x0001_＀＀_x0001_＀＀酩糭锿쀞ᶽ䪌!乒坏䕞䅃䵟䅅彎䉅呉䅄䍟䱁⡁〲㠰〬착_x0018_＀＀_x0018_＀＀_x0008_＀＀_x0001_＀＀_x0001_＀＀㲎夐⦤䀇ᶽ䪌!剔䭁䕞䅃䵟䅅彎䉅呉䅄䍟䱁⡁〲㘰〬착_x0018_＀＀_x0018_＀＀_x0008_＀＀_x0001_＀＀_x0001_＀＀욨㝋↉䁊ᶽ䪌!乒坏䕞䅃䵟䅅彎䉅呉䅄䍟䱁⡁〲㔰〬착_x0018_＀＀_x0018_＀＀_x0008_＀＀_x0001_＀＀_x0001_＀＀ജⷠ䀣ᶻ䪌_x0013_剃幍䝆偟䥒䕃㐨〰㤰착_x0018_＀＀_x0018_＀＀_x0008_＀＀_x0001_＀＀_x0001_＀＀馚香_xD999_䁃ᶽ䪌_x001E_乒坏䕞䅃䵟䅅彎䅓䕌当䅃䅌㈨〰⤸_x0018_＀＀_x0018_＀＀_x0008_＀＀_x0001_＀＀_x0001_＀＀롒蔞跫䁡ᶺ䪌_x0012_剃幍⡞䍉䵟䅅彎兆⤱_x0018_＀＀_x0018_＀＀_x0008_＀＀_x0001_＀＀_x0001_＀＀豀碵꼝쐕ᶼ䪌_x000F_䉂䉂䍞彑䅃䡓〨착_x0018_＀＀_x0018_＀＀_x0008_＀＀_x0001_＀＀_x0001_＀＀쒜뀠塲䁍ᶽ䪌_x001E_幎䍅彁䕍乁䕟䥂䑔彁䅃䅌㈨〰ⰹ⤰_x0018_＀＀_x0018_＀＀_x0008_＀＀_x0001_＀＀_x0001_＀＀ⰴ嵆齫䀣ᶽ䪌_x001D_䱕䥔捞影慳敬彳瑬⡭㈱㌯⼱〲㘰착_x0018_＀＀_x0018_＀＀_x0008_＀＀_x0001_＀＀_x0001_＀＀䎖沋돧䁜ᶼ䪌_x001E_乃剑䕞䅃䵟䅅彎䅓䕌当䅃䅌㈨〰⤸_x0018_＀＀_x0018_＀＀_x0008_＀＀_x0001_＀＀_x0001_＀＀숧Ꞇ䁫ᶽ䪌_x001E_幎䍅彁䕍乁䕟䥂䑔彁䅃䅌㈨〰ⰶ⤰_x0018_＀＀_x0018_＀＀_x0008_＀＀_x0001_＀＀_x0001_＀＀馚香ᦙ쀱ᶺ䪌$剃幍彐剐䍉彅噁⡇ㄱㄯ㈯〰ⰶ⼱ㄳ㈯〰⤷_x0018_＀＀_x0018_＀＀_x0008_＀＀_x0001_＀＀_x0001_＀＀鲢坨ᔡ䁄ᶼ䪌_x001C_剔䭁灞灟楲散江獡Ŵ㠠ㄯ⼹〲㤰_x0018_＀＀_x0018_＀＀_x0008_＀＀_x0001_＀＀_x0001_＀＀晧晦♦䀴ᶻ䪌_x0012_剃幍⡞䍉䵟䅅彎奆⤱_x0018_＀＀_x0018_＀＀_x0008_＀＀_x0001_＀＀_x0001_＀＀豀碵꼝쐕ᶼ䪌_x0015_乃剑䍞彑䕄呂呟呏䱁〨착_x0018_＀＀_x0018_＀＀_x0008_＀＀_x0001_＀＀_x0001_＀＀Й๖눭㿻ᶽ䪌_x001E_乒坏䕞䅃䵟䅅彎䅓䕌当䅃䅌㈨〰⤹_x0018_＀＀_x0018_＀＀_x0008_＀＀_x0001_＀＀_x0001_＀＀尩슏ꣵ䁢ᶽ䪌!䱕䥔䕞䅃䵟䅅彎䉅呉䅄䍟䱁⡁〲㠰〬착_x0018_＀＀_x0018_＀＀_x0008_＀＀_x0001_＀＀_x0001_＀＀삃ꇊ홅䀱ᶽ䪌_x001D_佖千捞影慳敬彳瑬⡭㈱㌯⼱〲㐰착_x0018_＀＀_x0018_＀＀_x0008_＀＀_x0001_＀＀_x0001_＀＀司ꗣ撛䀴ᶼ䪌_x000F_䵏剔䍞彑䅃䡓〨착_x0018_＀＀_x0018_＀＀_x0008_＀＀_x0001_＀＀_x0001_＀＀㵱휊㢣䁝ᶼ䪌_x001A_乒坏䍞彑佃彍䡓当問協䑔⡇⤰_x0018_＀＀_x0018_＀＀_x0008_＀＀_x0001_＀＀_x0001_＀＀脆䎕겋䀿ᶽ䪌!䱕䥔䕞䅃䵟䅅彎䉅呉䅄䍟䱁⡁〲㔰〬착_x0018_＀＀_x0018_＀＀_x0008_＀＀_x0001_＀＀_x0001_＀＀龿⼚ⓝ䀟ᶽ䪌!乃剑䕞䅃䵟䅅彎䉅呉䅄䍟䱁⡁〲㠰〬착_x0018_＀＀_x0018_＀＀_x0008_＀＀_x0001_＀＀_x0001_＀＀υꛊⵜ䁏ᶼ䪌_x001E_乃剑䕞䅃䵟䅅彎䅓䕌当䅃䅌㈨〰⤹_x0018_＀＀_x0018_＀＀_x0008_＀＀_x0001_＀＀_x0001_＀＀뙆ﷳᛔ䁰ᶻ䪌_x0013_剃幍䝆偟䥒䕃㌨㐸〰착_x0018_＀＀_x0018_＀＀_x0008_＀＀_x0001_＀＀_x0001_＀＀㌳㌳㌳䀬ᶽ䪌!佖千䕞䅃䵟䅅彎䉅呉䅄䍟䱁⡁〲㠰〬착_x0018_＀＀_x0018_＀＀_x0008_＀＀_x0001_＀＀_x0001_＀＀䎖沋믧䀰ᶺ䪌#剃幍彐剐䍉彅噁⡇⼲⼱〲㘰㐬㌯⼰〲㘰착_x0018_＀＀_x0018_＀＀_x0008_＀＀_x0001_＀＀_x0001_＀＀뎼_xDB76_᪅䁂ᶼ䪌_x001B_幎䍅彁䕍乁卟䱁卅䍟䱁⡁〲㜰착_x0018_＀＀_x0018_＀＀_x0008_＀＀_x0001_＀＀_x0001_＀＀좴빶⊟䁛ᶽ䪌!乃剑䕞䅃䵟䅅彎䉅呉䅄䍟䱁⡁〲㔰〬착_x0018_＀＀_x0018_＀＀_x0008_＀＀_x0001_＀＀_x0001_＀＀쨶췺㳄䀨ᶻ䪌_x0012_剃幍⡞䍉䵟䅅彎奆⤲_x0018_＀＀_x0018_＀＀_x0008_＀＀_x0001_＀＀_x0001_＀＀豀碵꼝쐕ᶻ䪌_x0013_剃幍䝆偟䥒䕃㌨㜸㐶착_x0018_＀＀_x0018_＀＀_x0008_＀＀_x0001_＀＀_x0001_＀＀尩슏棵䁁ᶺ䪌$剃幍彐剐䍉彅噁⡇⼸⼱〲㔰ㄬ⼰ㄳ㈯〰⤵_x0018_＀＀_x0018_＀＀_x0008_＀＀_x0001_＀＀_x0001_＀＀ᜮ跱䀶ᶼ䪌_x001C_佖千灞灟楲散江獡Ŵ㠠ㄯ⼹〲㤰_x0018_＀＀_x0018_＀＀_x0008_＀＀_x0001_＀＀_x0001_＀＀＀＀＀＀耀䀮ᶼ䪌_x001E_䉂䉂䕞䅃䵟䅅彎䅓䕌当䅃䅌㈨〰⤷_x0018_＀＀_x0018_＀＀_x0008_＀＀_x0001_＀＀_x0001_＀＀鍵И䁭ᶽ䪌!佖千䕞䅃䵟䅅彎䉅呉䅄䍟䱁⡁〲㔰〬착_x0018_＀＀_x0018_＀＀_x0008_＀＀_x0001_＀＀_x0001_＀＀䷓ၢ㥘㿔ᶼ䪌_x001D_䵏剔捞影慳敬彳瑬⡭㈱㌯⼱〲㐰착_x0018_＀＀_x0018_＀＀_x0008_＀＀_x0001_＀＀_x0001_＀＀褷恁郥䀴ᶼ䪌_x0015_䉂䉂䍞彑䕄呂呟呏䱁〨착_x0018_＀＀_x0018_＀＀_x0008_＀＀_x0001_＀＀_x0001_＀＀摚_xDF3B_⅏䁣ᶺ䪌_x0012_剃幍⡞䍉䵟䅅彎兆⤳_x0018_＀＀_x0018_＀＀_x0008_＀＀_x0001_＀＀_x0001_＀＀豀碵꼝쐕ᶽ䪌_x001D_佖千捞影慳敬彳瑬⡭㈱㌯⼱〲㔰착_x0018_＀＀_x0018_＀＀_x0008_＀＀_x0001_＀＀_x0001_＀＀娝㭤࿟䀼ᶻ䪌_x0013_剃幍䝆偟䥒䕃㌨㌸㔸착_x0018_＀＀_x0018_＀＀_x0008_＀＀_x0001_＀＀_x0001_＀＀馚香香䀪ᶽ䪌_x0019_剃幍元䍟䵏卟午佟呕呓䝄〨착_x0018_＀＀_x0018_＀＀_x0008_＀＀_x0001_＀＀_x0001_＀＀＀＀＀＀䁞ᶼ䪌_x001D_乃剑捞影慳敬彳瑬⡭㈱㌯⼱〲㐰착_x0018_＀＀_x0018_＀＀_x0008_＀＀_x0001_＀＀_x0001_＀＀틲才렐䁍ᶼ䪌_x0019_幎彰牰捩彥慬瑳 ⼸㤱㈯〰찹_x0018_＀＀_x0018_＀＀_x0008_＀＀_x0001_＀＀_x0001_＀＀馚香香䀪ᶼ䪌!䉂䉂䕞䅃䵟䅅彎䉅呉䅄䍟䱁⡁〲㜰〬착_x0018_＀＀_x0018_＀＀_x0008_＀＀_x0001_＀＀_x0001_＀＀䶿攣䁍ᶼ䪌_x001A_䉂䉂䍞彑佃彍䡓当問協䑔⡇⤰_x0018_＀＀_x0018_＀＀_x0008_＀＀_x0001_＀＀_x0001_＀＀鮦⃄䀿ᶼ䪌_x001B_幎䍅彁䕍乁卟䱁卅䍟䱁⡁〲㠰착_x0018_＀＀_x0018_＀＀_x0008_＀＀_x0001_＀＀_x0001_＀＀Წ摚༻䁣ᶼ䪌_x0015_佖千䍞彑䕄呂呟呏䱁〨착_x0018_＀＀_x0018_＀＀_x0008_＀＀_x0001_＀＀_x0001_＀＀譄ꧻ㿑ᶼ䪌_x001E_䉂䉂䕞䅃䵟䅅彎䅓䕌当䅃䅌㈨〰⤸_x0018_＀＀_x0018_＀＀_x0008_＀＀_x0001_＀＀_x0001_＀＀᪠_xDD2F_舤䁳ᶺ䪌_x0019_剃幍⡞䍉䕟剘呐䑟呁䍅䙟ㅑ착_x0014_＀＀_x0018_＀＀_x0004_＀＀_x0001_＀＀_x0008_＀＀乀Aᶼ䪌_x001D_䵏剔捞影慳敬彳瑬⡭㈱㌯⼱〲㔰착_x0018_＀＀_x0018_＀＀_x0008_＀＀_x0001_＀＀_x0001_＀＀ﷴ磔曩䁅ᶼ䪌_x001C_乃剑灞灟楲散江獡Ŵ㠠ㄯ⼹〲㤰_x0018_＀＀_x0018_＀＀_x0008_＀＀_x0001_＀＀_x0001_＀＀晧晦䙦䁁ᶽ䪌_x001D_剃幍䍅彁䕍乁卟䱁卅䍟䱁⡁〲㜰착_x0018_＀＀_x0018_＀＀_x0008_＀＀_x0001_＀＀_x0001_＀＀붥េ몦䂆ᶽ䪌_x001D_佖千捞影慳敬彳瑬⡭㈱㌯⼱〲㘰착_x0018_＀＀_x0018_＀＀_x0008_＀＀_x0001_＀＀_x0001_＀＀譄⧻䁄ᶼ䪌_x001D_乃剑捞影慳敬彳瑬⡭㈱㌯⼱〲㔰착_x0018_＀＀_x0018_＀＀_x0008_＀＀_x0001_＀＀_x0001_＀＀㕀멞둉䁒ᶽ䪌 剃幍䍅彁䕍乁䕟䥂䑔彁䅃䅌㈨〰ⰸ⤰_x0018_＀＀_x0018_＀＀_x0008_＀＀_x0001_＀＀_x0001_＀＀_xDBF5_臗恳䁦ᶺ䪌#剃幍彐剐䍉彅噁⡇⼲⼱〲㐰ㄬ㌯⼱〲㔰착_x0018_＀＀_x0018_＀＀_x0008_＀＀_x0001_＀＀_x0001_＀＀楶懃졩䀯ᶽ䪌_x001B_剃幍彰牰捩彥慬瑳 ⼸㤱㈯〰찹_x0018_＀＀_x0018_＀＀_x0008_＀＀_x0001_＀＀_x0001_＀＀ᑻ䞮뫡䁅ᶼ䪌_x001A_幎煣獟污獥江浴ㄨ⼲ㄳ㈯〰⤴_x0018_＀＀_x0018_＀＀_x0008_＀＀_x0001_＀＀_x0001_＀＀豀碵꼝쐕ᶼ䪌_x001B_幎䍅彁䕍乁卟䱁卅䍟䱁⡁〲㤰착_x0018_＀＀_x0018_＀＀_x0008_＀＀_x0001_＀＀_x0001_＀＀꫎헏쩖䁤ᶽ䪌 剃幍䍅彁䕍乁䕟䥂䑔彁䅃䅌㈨〰ⰵ⤰_x0018_＀＀_x0018_＀＀_x0008_＀＀_x0001_＀＀_x0001_＀＀劔ԥ䀹胚䪎_x0013_剃幍䝆偟䥒䕃㐨〰㔴착_x0018_＀＀_x0018_＀＀_x0008_＀＀_x0001_＀＀_x0001_＀＀ꏗ㵰ᜊ䁇ᶻ䪌_x0013_剃幍䝆偟䥒䕃㌨㐹㌹착_x0018_＀＀_x0018_＀＀_x0008_＀＀_x0001_＀＀_x0001_＀＀凬Ẹ䁊ᶼ䪌_x001E_䉂䉂䕞䅃䵟䅅彎䅓䕌当䅃䅌㈨〰⤹_x0018_＀＀_x0018_＀＀_x0008_＀＀_x0001_＀＀_x0001_＀＀අ꽏岔䁷ᶼ䪌_x001D_䵏剔捞影慳敬彳瑬⡭㈱㌯⼱〲㘰착_x0018_＀＀_x0018_＀＀_x0008_＀＀_x0001_＀＀_x0001_＀＀ⴎ鶲䁓ᶽ䪌_x001D_剃幍䍅彁䕍乁卟䱁卅䍟䱁⡁〲㠰착_x0018_＀＀_x0018_＀＀_x0008_＀＀_x0001_＀＀_x0001_＀＀Ȍ蜫撖䂐ᶽ䪌!䵏剔䕞䅃䵟䅅彎䉅呉䅄䍟䱁⡁〲㤰〬착_x0018_＀＀_x0018_＀＀_x0008_＀＀_x0001_＀＀_x0001_＀＀寿軉肍䁒ᶼ䪌_x001D_乃剑捞影慳敬彳瑬⡭㈱㌯⼱〲㘰착_x0018_＀＀_x0018_＀＀_x0008_＀＀_x0001_＀＀_x0001_＀＀㭥俟잍䁚ᶼ䪌_x001A_䱕䥔䍞彑佃彍䡓当問協䑔⡇⤰_x0018_＀＀_x0018_＀＀_x0008_＀＀_x0001_＀＀_x0001_＀＀扎堐吹䀸ᶻ䪌_x0013_剃幍䝆偟䥒䕃㌨㌸㠰착_x0018_＀＀_x0018_＀＀_x0008_＀＀_x0001_＀＀_x0001_＀＀ꏗ㵰휊䀴ᶼ䪌_x001A_幎煣獟污獥江浴ㄨ⼲ㄳ㈯〰⤵_x0018_＀＀_x0018_＀＀_x0008_＀＀_x0001_＀＀_x0001_＀＀뀡桲ⶑ䁂ᶽ䪌!䵏剔䕞䅃䵟䅅彎䉅呉䅄䍟䱁⡁〲㘰〬착_x0018_＀＀_x0018_＀＀_x0008_＀＀_x0001_＀＀_x0001_＀＀첳ᐢ䥛䀠ᶽ䪌!乒坏䕞䅃䵟䅅彎䉅呉䅄䍟䱁⡁〲㤰〬착_x0018_＀＀_x0018_＀＀_x0008_＀＀_x0001_＀＀_x0001_＀＀폄攫ᨙ䀰ᶽ䪌!剔䭁䕞䅃䵟䅅彎䉅呉䅄䍟䱁⡁〲㜰〬착_x0018_＀＀_x0018_＀＀_x0008_＀＀_x0001_＀＀_x0001_＀＀早쬔䁑ᶺ䪌$剃幍彐剐䍉彅噁⡇ㄱㄯ㈯〰ⰵ⼱ㄳ㈯〰⤶_x0018_＀＀_x0018_＀＀_x0008_＀＀_x0001_＀＀_x0001_＀＀稥씙퍲䁀ᶽ䪌!乒坏䕞䅃䵟䅅彎䉅呉䅄䍟䱁⡁〲㘰〬착_x0018_＀＀_x0018_＀＀_x0008_＀＀_x0001_＀＀_x0001_＀＀毗偺䩐㿸ᶽ䪌_x001E_佖千䕞䅃䵟䅅彎䅓䕌当䅃䅌㈨〰⤷_x0018_＀＀_x0018_＀＀_x0008_＀＀_x0001_＀＀_x0001_＀＀㽽帵঺䁍ᶽ䪌_x001D_剃幍䍅彁䕍乁卟䱁卅䍟䱁⡁〲㤰착_x0018_＀＀_x0018_＀＀_x0008_＀＀_x0001_＀＀_x0001_＀＀鶲꟯藆䂓ᶺ䪌#剃幍彐剐䍉彅噁⡇⼵⼱〲㘰㜬㌯⼱〲㘰착_x0018_＀＀_x0018_＀＀_x0008_＀＀_x0001_＀＀_x0001_＀＀惕蘚낏䀻ᶻ䪌_x0013_剃幍䝆偟䥒䕃㌨㐹㜰착_x0018_＀＀_x0018_＀＀_x0008_＀＀_x0001_＀＀_x0001_＀＀䞮竡⸔䁌ᶻ䪌_x0013_剃幍䝆偟䥒䕃㌨㐸ㄹ착_x0018_＀＀_x0018_＀＀_x0008_＀＀_x0001_＀＀_x0001_＀＀㌳㌳댳䀱ᶽ䪌_x001E_幎䍅彁䕍乁䕟䥂䑔彁䅃䅌㈨〰ⰷ⤰_x0018_＀＀_x0018_＀＀_x0008_＀＀_x0001_＀＀_x0001_＀＀롑蔞쀖ᶼ䪌_x001A_幎煣獟污獥江浴ㄨ⼲ㄳ㈯〰⤶_x0018_＀＀_x0018_＀＀_x0008_＀＀_x0001_＀＀_x0001_＀＀犰酨쳭䁐ᶼ䪌_x001D_䉂䉂捞影慳敬彳瑬⡭㈱㌯⼱〲㐰착_x0018_＀＀_x0018_＀＀_x0008_＀＀_x0001_＀＀_x0001_＀＀ቯ삃_xD9CA_䁛ᶼ䪌_x000F_乃剑䍞彑䅃䡓〨착_x0018_＀＀_x0018_＀＀_x0008_＀＀_x0001_＀＀_x0001_＀＀磕⛩쀱䁮ᶼ䪌_x001C_䱕䥔灞灟楲散江獡Ŵ㠠ㄯ⼹〲㤰_x0018_＀＀_x0018_＀＀_x0008_＀＀_x0001_＀＀_x0001_＀＀竡긔慇䀺ᶽ䪌_x001E_䱕䥔䕞䅃䵟䅅彎䅓䕌当䅃䅌㈨〰⤷_x0018_＀＀_x0018_＀＀_x0008_＀＀_x0001_＀＀_x0001_＀＀⬂ᚇ䁢ᶽ䪌_x001E_佖千䕞䅃䵟䅅彎䅓䕌当䅃䅌㈨〰⤸_x0018_＀＀_x0018_＀＀_x0008_＀＀_x0001_＀＀_x0001_＀＀竡긔慇䁓ᶻ䪌_x0013_剃幍䝆偟䥒䕃㌨㠸㔵착_x0018_＀＀_x0018_＀＀_x0008_＀＀_x0001_＀＀_x0001_＀＀尩슏ꣵ䀼ᶽ䪌!䱕䥔䕞䅃䵟䅅彎䉅呉䅄䍟䱁⡁〲㤰〬착_x0018_＀＀_x0018_＀＀_x0008_＀＀_x0001_＀＀_x0001_＀＀꒩䁎䀲ᶼ䪌_x001A_乃剑䍞彑佃彍䡓当問協䑔⡇⤰_x0018_＀＀_x0018_＀＀_x0008_＀＀_x0001_＀＀_x0001_＀＀⼛ⓝ儆䁈ᶼ䪌_x001A_佖千䍞彑佃彍䡓当問協䑔⡇⤰_x0018_＀＀_x0018_＀＀_x0008_＀＀_x0001_＀＀_x0001_＀＀龿⼚ӝ䀲ᶽ䪌!䱕䥔䕞䅃䵟䅅彎䉅呉䅄䍟䱁⡁〲㘰〬착_x0018_＀＀_x0018_＀＀_x0008_＀＀_x0001_＀＀_x0001_＀＀⣶轜엂䀩ᶼ䪌_x000F_剔䭁䍞彑䅃䡓〨착_x0018_＀＀_x0018_＀＀_x0008_＀＀_x0001_＀＀_x0001_＀＀ⓝ脆殕䁦ᶼ䪌_x000C_幎元䍟十⡈⤰_x0018_＀＀_x0018_＀＀_x0008_＀＀_x0001_＀＀_x0001_＀＀鮥ᣄ䁝ᶼ䪌_x001D_剔䭁捞影慳敬彳瑬⡭㈱㌯⼱〲㐰착_x0018_＀＀_x0018_＀＀_x0008_＀＀_x0001_＀＀_x0001_＀＀䆉苐䁑ᶼ䪌_x001D_䉂䉂捞影慳敬彳瑬⡭㈱㌯⼱〲㔰착_x0018_＀＀_x0018_＀＀_x0008_＀＀_x0001_＀＀_x0001_＀＀酩糭䁠ᶽ䪌!佖千䕞䅃䵟䅅彎䉅呉䅄䍟䱁⡁〲㤰〬착_x0018_＀＀_x0018_＀＀_x0008_＀＀_x0001_＀＀_x0001_＀＀鍵ИṖ䀲ᶼ䪌_x001E_剔䭁䕞䅃䵟䅅彎䅓䕌当䅃䅌㈨〰⤷_x0018_＀＀_x0018_＀＀_x0008_＀＀_x0001_＀＀_x0001_＀＀ꏗ㵰㬊䁭ᶽ䪌!乃剑䕞䅃䵟䅅彎䉅呉䅄䍟䱁⡁〲㘰〬착_x0018_＀＀_x0018_＀＀_x0008_＀＀_x0001_＀＀_x0001_＀＀晧晦♦䀶ᶽ䪌_x001E_䱕䥔䕞䅃䵟䅅彎䅓䕌当䅃䅌㈨〰⤸_x0018_＀＀_x0018_＀＀_x0008_＀＀_x0001_＀＀_x0001_＀＀ꧼ틱前䁦ᶽ䪌_x001E_佖千䕞䅃䵟䅅彎䅓䕌当䅃䅌㈨〰⤹_x0018_＀＀_x0018_＀＀_x0008_＀＀_x0001_＀＀_x0001_＀＀錋ẩ䁕ᶺ䪌#剃幍彐剐䍉彅噁⡇⼲⼱〲㔰㐬㌯⼰〲㔰착_x0018_＀＀_x0018_＀＀_x0008_＀＀_x0001_＀＀_x0001_＀＀懇缰䀭ᶽ䪌!佖千䕞䅃䵟䅅彎䉅呉䅄䍟䱁⡁〲㘰〬착_x0018_＀＀_x0018_＀＀_x0008_＀＀_x0001_＀＀_x0001_＀＀ﯨ췒䀏ᶼ䪌_x001C_䵏剔灞灟楲散江獡Ŵ㠠ㄯ⼹〲㤰_x0018_＀＀_x0018_＀＀_x0008_＀＀_x0001_＀＀_x0001_＀＀尩슏⣵䀬ᶻ䪌_x0013_剃幍䝆偟䥒䕃㌨〹㠳착_x0018_＀＀_x0018_＀＀_x0008_＀＀_x0001_＀＀_x0001_＀＀轜_xDC28_䁄ᶼ䪌_x001D_剔䭁捞影慳敬彳瑬⡭㈱㌯⼱〲㔰착_x0018_＀＀_x0018_＀＀_x0008_＀＀_x0001_＀＀_x0001_＀＀璽ᢓค䁞ᶽ䪌_x0014_剃幍元䑟䉅彔佔䅔⡌⤰_x0018_＀＀_x0018_＀＀_x0008_＀＀_x0001_＀＀_x0001_＀＀帵䦺숌䀭ᶽ䪌_x001C_剃幍煣獟污獥江浴ㄨ⼲ㄳ㈯〰⤴_x0018_＀＀_x0018_＀＀_x0008_＀＀_x0001_＀＀_x0001_＀＀鮦⃄練䁢ᶼ䪌_x001D_䉂䉂捞影慳敬彳瑬⡭㈱㌯⼱〲㘰착_x0018_＀＀_x0018_＀＀_x0008_＀＀_x0001_＀＀_x0001_＀＀璽ᢓ䁦ᶻ䪌_x0013_剃幍䝆偟䥒䕃㌨㤹㔵착_x0018_＀＀_x0018_＀＀_x0008_＀＀_x0001_＀＀_x0001_＀＀㌳㌳ጳ䁂ᶼ䪌!䉂䉂䕞䅃䵟䅅彎䉅呉䅄䍟䱁⡁〲㠰〬착_x0018_＀＀_x0018_＀＀_x0008_＀＀_x0001_＀＀_x0001_＀＀븍夰䁌ᶼ䪌_x001E_剔䭁䕞䅃䵟䅅彎䅓䕌当䅃䅌㈨〰⤸_x0018_＀＀_x0018_＀＀_x0008_＀＀_x0001_＀＀_x0001_＀＀_xDF3C_赏嚗䁮ᶽ䪌_x001E_䱕䥔䕞䅃䵟䅅彎䅓䕌当䅃䅌㈨〰⤹_x0018_＀＀_x0018_＀＀_x0008_＀＀_x0001_＀＀_x0001_＀＀_xDA51_簛䁨ᶼ䪌!䉂䉂䕞䅃䵟䅅彎䉅呉䅄䍟䱁⡁〲㔰〬착_x0018_＀＀_x0018_＀＀_x0008_＀＀_x0001_＀＀_x0001_＀＀炤਽ꏗ䀿ᶻ䪌_x0013_剃幍䝆偟䥒䕃㌨㔸ㄸ착_x0018_＀＀_x0018_＀＀_x0008_＀＀_x0001_＀＀_x0001_＀＀㌳㌳㌳䀶ᶼ䪌_x001D_剔䭁捞影慳敬彳瑬⡭㈱㌯⼱〲㘰착_x0018_＀＀_x0018_＀＀_x0008_＀＀_x0001_＀＀_x0001_＀＀ၢ㥘ꢴ䁥ᶽ䪌 剃幍䍅彁䕍乁䕟䥂䑔彁䅃䅌㈨〰ⰹ⤰_x0018_＀＀_x0018_＀＀_x0008_＀＀_x0001_＀＀_x0001_＀＀尨슏䁯ᶽ䪌_x001C_剃幍煣獟污獥江浴ㄨ⼲ㄳ㈯〰⤵_x0018_＀＀_x0018_＀＀_x0008_＀＀_x0001_＀＀_x0001_＀＀磕⛩ᘱ䁱ᶻ䪌_x0013_剃幍䝆偟䥒䕃㌨㠹㤶착_x0018_＀＀_x0018_＀＀_x0008_＀＀_x0001_＀＀_x0001_＀＀馚香ᦙ䀼ᶼ䪌_x001E_剔䭁䕞䅃䵟䅅彎䅓䕌当䅃䅌㈨〰⤹_x0018_＀＀_x0018_＀＀_x0008_＀＀_x0001_＀＀_x0001_＀＀풕栉됢䁬ᶽ䪌 剃幍䍅彁䕍乁䕟䥂䑔彁䅃䅌㈨〰ⰶ⤰_x0018_＀＀_x0018_＀＀_x0008_＀＀_x0001_＀＀_x0001_＀＀ᇱ┱뢒䁅ᶻ䪌_x0013_剃幍䝆偟䥒䕃㌨㈸㈰착_x0018_＀＀_x0018_＀＀_x0008_＀＀_x0001_＀＀_x0001_＀＀尨䊏䀨ᶺ䪌$剃幍彐剐䍉彅噁⡇ㄱㄯ㈯〰ⰴ⼱ㄳ㈯〰⤵_x0018_＀＀_x0018_＀＀_x0008_＀＀_x0001_＀＀_x0001_＀＀玬젌὞䀱ᶼ䪌_x0015_䵏剔䍞彑䕄呂呟呏䱁〨착_x0018_＀＀_x0018_＀＀_x0008_＀＀_x0001_＀＀_x0001_＀＀ꗤ쒛뀠䀭ᶽ䪌_x001D_乒坏捞影慳敬彳瑬⡭㈱㌯⼱〲㐰착_x0018_＀＀_x0018_＀＀_x0008_＀＀_x0001_＀＀_x0001_＀＀ቯ삃䁎ᶼ䪌_x0015_乒坏䍞彑䕄呂呟呏䱁〨착_x0018_＀＀_x0018_＀＀_x0008_＀＀_x0001_＀＀_x0001_＀＀휊炣਽㾧ᶺ䪌#剃幍彐剐䍉彅噁⡇⼵⼱〲㔰㜬㌯⼱〲㔰착_x0018_＀＀_x0018_＀＀_x0008_＀＀_x0001_＀＀_x0001_＀＀푂}獒䀳ᶺ䪌$剃幍彐剐䍉彅噁⡇⼸⼱〲㐰ㄬ⼰ㄳ㈯〰⤴_x0018_＀＀_x0018_＀＀_x0008_＀＀_x0001_＀＀_x0001_＀＀ೇ왔ힿ䀭ᶼ䪌_x0015_䱕䥔䍞彑䕄呂呟呏䱁〨착_x0018_＀＀_x0018_＀＀_x0008_＀＀_x0001_＀＀_x0001_＀＀_xDD2F_ؤ閁䀎ᶼ䪌_x001A_剔䭁䍞彑佃彍䡓当問協䑔⡇⤰_x0018_＀＀_x0018_＀＀_x0008_＀＀_x0001_＀＀_x0001_＀＀赐溗̒䁄ᶻ䪌_x0013_剃幍䝆偟䥒䕃㌨㈸㘶착_x0018_＀＀_x0018_＀＀_x0008_＀＀_x0001_＀＀_x0001_＀＀＀＀＀＀䀀䀱ᶽ䪌_x001C_剃幍煣獟污獥江浴ㄨ⼲ㄳ㈯〰⤶_x0018_＀＀_x0018_＀＀_x0008_＀＀_x0001_＀＀_x0001_＀＀ꏗ㵰뼊䁻ᶽ䪌!䵏剔䕞䅃䵟䅅彎䉅呉䅄䍟䱁⡁〲㜰〬착_x0018_＀＀_x0018_＀＀_x0008_＀＀_x0001_＀＀_x0001_＀＀檔躟꓇䀶ᶽ䪌!剔䭁䕞䅃䵟䅅彎䉅呉䅄䍟䱁⡁〲㠰〬착_x0018_＀＀_x0018_＀＀_x0008_＀＀_x0001_＀＀_x0001_＀＀袥ꬌ䍸䁊ᶽ䪌!乒坏䕞䅃䵟䅅彎䉅呉䅄䍟䱁⡁〲㜰〬착_x0018_＀＀_x0018_＀＀_x0008_＀＀_x0001_＀＀_x0001_＀＀냕Ꮯᓫ쀧ᶺ䪌$剃幍彐剐䍉彅噁⡇⼸⼱〲㘰ㄬ⼰ㄳ㈯〰⤶_x0018_＀＀_x0018_＀＀_x0008_＀＀_x0001_＀＀_x0001_＀＀뫜ꞛ氺䁁ᶻ䪌_x0013_剃幍䝆偟䥒䕃㌨㘹ㄸ착_x0018_＀＀_x0018_＀＀_x0008_＀＀_x0001_＀＀_x0001_＀＀＀＀＀＀ꀀ䁊ᶽ䪌!剔䭁䕞䅃䵟䅅彎䉅呉䅄䍟䱁⡁〲㔰〬착_x0018_＀＀_x0018_＀＀_x0008_＀＀_x0001_＀＀_x0001_＀＀넝鼖䰂䁀ᶽ䪌_x001D_乒坏捞影慳敬彳瑬⡭㈱㌯⼱〲㔰착_x0018_＀＀_x0018_＀＀_x0008_＀＀_x0001_＀＀_x0001_＀＀퓽쥸䁕ᶺ䪌_x0017_剃幍⡞䍉䙟卉䅃彌剙䙟ㅙ착_x0014_＀＀_x0018_＀＀_x0004_＀＀_x0001_＀＀_x0008_＀＀乀Aᶼ䪌_x001C_乒坏灞灟楲散江獡Ŵ㠠ㄯ⼹〲㤰_x0018_＀＀_x0018_＀＀_x0008_＀＀_x0001_＀＀_x0001_＀＀凬Ẹ殅䀨ᶻ䪌_x0013_剃幍䝆偟䥒䕃㌨ㄹ㘳착_x0018_＀＀_x0018_＀＀_x0008_＀＀_x0001_＀＀_x0001_＀＀Ẹ롑䁇ᶽ䪌_x001E_幎䍅彁䕍乁䕟䥂䑔彁䅃䅌㈨〰ⰸ⤰_x0018_＀＀_x0018_＀＀_x0008_＀＀_x0001_＀＀_x0001_＀＀즅셔㿴ᶼ䪌_x001C_䉂䉂灞灟楲散江獡Ŵ㠠ㄯ⼹〲㤰_x0018_＀＀_x0018_＀＀_x0008_＀＀_x0001_＀＀_x0001_＀＀ꏗ㵰霊䁁ᶽ䪌_x001E_幎䍅彁䕍乁䕟䥂䑔彁䅃䅌㈨〰ⰵ⤰_x0018_＀＀_x0018_＀＀_x0008_＀＀_x0001_＀＀_x0001_＀＀豀碵꼝쐕ᶻ䪌_x0013_剃幍䝆偟䥒䕃㌨㤸㜴착_x0018_＀＀_x0018_＀＀_x0008_＀＀_x0001_＀＀_x0001_＀＀쳍쳌泌䁀ᶽ䪌_x001D_乒坏捞影慳敬彳瑬⡭㈱㌯⼱〲㘰착_x0018_＀＀_x0018_＀＀_x0008_＀＀_x0001_＀＀_x0001_＀＀뙆ﷳ飔䁛ᶼ䪌_x0017_幎元䍟䵏卟午佟呕呓䝄〨착_x0018_＀＀_x0018_＀＀_x0008_＀＀_x0001_＀＀_x0001_＀＀茓쫀䁎ᶺ䪌_x0018_剃幍⡞䍉䵟䅅彎䅓䕌当兆⤱_x0018_＀＀_x0018_＀＀_x0008_＀＀_x0001_＀＀_x0001_＀＀豀碵꼝쐕ᶼ䪌_x0012_幎元䑟䉅彔佔䅔⡌⤰_x0018_＀＀_x0018_＀＀_x0008_＀＀_x0001_＀＀_x0001_＀＀슏⣵轜䀆ᶺ䪌_x0017_剃幍⡞䍉䙟卉䅃彌剙䙟㉙착_x0014_＀＀_x0018_＀＀_x0004_＀＀_x0001_＀＀_x0008_＀＀乀Aᶽ䪌!䱕䥔䕞䅃䵟䅅彎䉅呉䅄䍟䱁⡁〲㜰〬착_x0018_＀＀_x0018_＀＀_x0008_＀＀_x0001_＀＀_x0001_＀＀ᖶ쯻䧮䀳ᶻ䪌_x0013_剃幍䝆偟䥒䕃㌨㌹ㄱ착_x0018_＀＀_x0018_＀＀_x0008_＀＀_x0001_＀＀_x0001_＀＀尨ʏ䁄ᶽ䪌!乃剑䕞䅃䵟䅅彎䉅呉䅄䍟䱁⡁〲㜰〬착_x0018_＀＀_x0018_＀＀_x0008_＀＀_x0001_＀＀_x0001_＀＀鬔殏嵃䁃ᶺ䪌_x0018_剃幍⡞䍉䵟䅅彎䅓䕌当奆⤱_x0018_＀＀_x0018_＀＀_x0008_＀＀_x0001_＀＀_x0001_＀＀豀碵꼝쐕ᶻ䪌_x0013_剃幍䝆偟䥒䕃㌨㜹〷착_x0018_＀＀_x0018_＀＀_x0008_＀＀_x0001_＀＀_x0001_＀＀쳍쳌쳌䀷ᶽ䪌!佖千䕞䅃䵟䅅彎䉅呉䅄䍟䱁⡁〲㜰〬착_x0018_＀＀_x0018_＀＀_x0008_＀＀_x0001_＀＀_x0001_＀＀Ȍ蜫外䀥ᶻ䪌_x0013_剃幍䝆偟䥒䕃㌨㐸㠹착_x0018_＀＀_x0018_＀＀_x0008_＀＀_x0001_＀＀_x0001_＀＀炤਽⏗䀴ᶼ䪌_x000F_䱕䥔䍞彑䅃䡓〨착_x0018_＀＀_x0018_＀＀_x0008_＀＀_x0001_＀＀_x0001_＀＀⼛ⓝ愆䁃ᶻ䪌_x0013_剃幍䝆偟䥒䕃㌨㈹㜱착_x0018_＀＀_x0018_＀＀_x0008_＀＀_x0001_＀＀_x0001_＀＀尩슏ࣵ䁆ᶽ䪌_x001E_䵏剔䕞䅃䵟䅅彎䅓䕌当䅃䅌㈨〰⤷_x0018_＀＀_x0018_＀＀_x0008_＀＀_x0001_＀＀_x0001_＀＀Წ摚Ἳ䁢ᶻ䪌_x0013_剃幍䝆偟䥒䕃㌨㌸㐶착_x0018_＀＀_x0018_＀＀_x0008_＀＀_x0001_＀＀_x0001_＀＀㌳㌳㌳䀮ᶻ䪌_x0019_剃幍⡞䍉䵟䅅彎呐䥟䍎䙟ㅙ착_x0018_＀＀_x0018_＀＀_x0008_＀＀_x0001_＀＀_x0001_＀＀豀碵꼝쐕ᶼ䪌!䉂䉂䕞䅃䵟䅅彎䉅呉䅄䍟䱁⡁〲㤰〬착_x0018_＀＀_x0018_＀＀_x0008_＀＀_x0001_＀＀_x0001_＀＀계ԗ䁔ᶺ䪌_x0018_剃幍⡞䍉䵟䅅彎䅓䕌当奆⤲_x0018_＀＀_x0018_＀＀_x0008_＀＀_x0001_＀＀_x0001_＀＀豀碵꼝쐕ᶻ䪌_x0013_剃幍䝆偟䥒䕃㌨㔹㤸착_x0018_＀＀_x0018_＀＀_x0008_＀＀_x0001_＀＀_x0001_＀＀긔呺䁏ᶼ䪌!䉂䉂䕞䅃䵟䅅彎䉅呉䅄䍟䱁⡁〲㘰〬착_x0018_＀＀_x0018_＀＀_x0008_＀＀_x0001_＀＀_x0001_＀＀罣㷙塹䀲腨䪎_x000C_剃幍䝆偟䥒䕃_x0018_＀＀_x0018_＀＀_x0008_＀＀_x0001_＀＀_x0001_＀＀ꏗ㵰ᜊ䁇ᶺ䪌_x0018_剃幍⡞䍉䵟䅅彎䅓䕌当兆⤳_x0018_＀＀_x0018_＀＀_x0008_＀＀_x0001_＀＀_x0001_＀＀豀碵꼝쐕ᶽ䪌_x000E_剃幍元䍟十⡈⤰_x0018_＀＀_x0018_＀＀_x0008_＀＀_x0001_＀＀_x0001_＀＀ﷴ磔ⓩ䂀ᶻ䪌_x0013_剃幍䝆偟䥒䕃㌨㘸㌷착_x0018_＀＀_x0018_＀＀_x0008_＀＀_x0001_＀＀_x0001_＀＀ᑻ䞮㫡䀽ᶺ䪌#剃幍彐剐䍉彅噁⡇⼵⼱〲㐰㜬㌯⼱〲㐰착_x0018_＀＀_x0018_＀＀_x0008_＀＀_x0001_＀＀_x0001_＀＀驚⅛纬䀮ᶻ䪌_x0013_剃幍䝆偟䥒䕃㌨㌸㜵착_x0018_＀＀_x0018_＀＀_x0008_＀＀_x0001_＀＀_x0001_＀＀㌳㌳䀱ᶽ䪌_x001E_䵏剔䕞䅃䵟䅅彎䅓䕌当䅃䅌㈨〰⤸_x0018_＀＀_x0018_＀＀_x0008_＀＀_x0001_＀＀_x0001_＀＀蜫_xD916_秎䁲ᶻ䪌_x0019_剃幍⡞䍉䵟䅅彎呐䥟䍎䙟㉙착_x0018_＀＀_x0018_＀＀_x0008_＀＀_x0001_＀＀_x0001_＀＀豀碵꼝쐕ᶺ䪌#剃幍彐剐䍉彅噁⡇⼲⼱〲㔰ㄬ㌯⼱〲㘰착_x0018_＀＀_x0018_＀＀_x0008_＀＀_x0001_＀＀_x0001_＀＀㫒骪ꨠ䀶ᶽ䪌_x001D_䱕䥔捞影慳敬彳瑬⡭㈱㌯⼱〲㐰착_x0018_＀＀_x0018_＀＀_x0008_＀＀_x0001_＀＀_x0001_＀＀ቯ삃Ǌ䁒ᶽ䪌 剃幍䍅彁䕍乁䕟䥂䑔彁䅃䅌㈨〰ⰷ⤰_x0018_＀＀_x0018_＀＀_x0008_＀＀_x0001_＀＀_x0001_＀＀譄ǻ䁙ᶼ䪌_x001A_䵏剔䍞彑佃彍䡓当問協䑔⡇⤰_x0018_＀＀_x0018_＀＀_x0008_＀＀_x0001_＀＀_x0001_＀＀ꧻ䋱䁓ᶼ䪌_x0015_剔䭁䍞彑䕄呂呟呏䱁〨착_x0018_＀＀_x0018_＀＀_x0008_＀＀_x0001_＀＀_x0001_＀＀좴빶᪟㿧ᶼ䪌_x000F_乒坏䍞彑䅃䡓〨착_x0018_＀＀_x0018_＀＀_x0008_＀＀_x0001_＀＀_x0001_＀＀ᑻ䞮狡䁖ᶼ䪌_x000F_佖千䍞彑䅃䡓〨착_x0018_＀＀_x0018_＀＀_x0008_＀＀_x0001_＀＀_x0001_＀＀Ẹ롑䁖ᶽ䪌_x001E_乒坏䕞䅃䵟䅅彎䅓䕌当䅃䅌㈨〰⤷_x0018_＀＀_x0018_＀＀_x0008_＀＀_x0001_＀＀_x0001_＀＀犰酨ӭ䁜ᶽ䪌_x001E_䵏剔䕞䅃䵟䅅彎䅓䕌当䅃䅌㈨〰⤹_x0018_＀＀_x0018_＀＀_x0008_＀＀_x0001_＀＀_x0001_＀＀㉢さ〪䁶ᶽ䪌!䵏剔䕞䅃䵟䅅彎䉅呉䅄䍟䱁⡁〲㠰〬착_x0018_＀＀_x0018_＀＀_x0008_＀＀_x0001_＀＀_x0001_＀＀릢⍎㴭䁍ᶽ䪌!剔䭁䕞䅃䵟䅅彎䉅呉䅄䍟䱁⡁〲㤰〬착_x0018_＀＀_x0018_＀＀_x0008_＀＀_x0001_＀＀_x0001_＀＀司ꗣ䁂ᶽ䪌_x001D_䱕䥔捞影慳敬彳瑬⡭㈱㌯⼱〲㔰착_x0018_＀＀_x0018_＀＀_x0008_＀＀_x0001_＀＀_x0001_＀＀_xDF3C_赏⚗䁖ᶼ䪌_x001E_乃剑䕞䅃䵟䅅彎䅓䕌当䅃䅌㈨〰⤷_x0018_＀＀_x0018_＀＀_x0008_＀＀_x0001_＀＀_x0001_＀＀곚峺흭䁢</t>
        </r>
      </text>
    </comment>
    <comment ref="B1" authorId="0">
      <text>
        <r>
          <rPr>
            <b/>
            <sz val="8"/>
            <color indexed="81"/>
            <rFont val="Tahoma"/>
            <family val="2"/>
          </rPr>
          <t>6737</t>
        </r>
      </text>
    </comment>
  </commentList>
</comments>
</file>

<file path=xl/comments2.xml><?xml version="1.0" encoding="utf-8"?>
<comments xmlns="http://schemas.openxmlformats.org/spreadsheetml/2006/main">
  <authors>
    <author>kweiss</author>
    <author>Andy White</author>
    <author>Phillip Rowe</author>
    <author>jonpark</author>
    <author>Jon Parker</author>
    <author>Fodderwala, Hamza (Research)</author>
    <author>Parker, Jonathan (Research)</author>
    <author>StanZ</author>
    <author>andwhite</author>
    <author>jamesfer</author>
    <author>Samson Lee</author>
    <author>Austria, Anjelo D (Research)</author>
    <author>Baer, Josh (Research)</author>
    <author>Zlotsky, Stan (Research)</author>
    <author>Andrew White</author>
  </authors>
  <commentList>
    <comment ref="AA19" authorId="0">
      <text>
        <r>
          <rPr>
            <b/>
            <sz val="8"/>
            <color indexed="81"/>
            <rFont val="Tahoma"/>
            <family val="2"/>
          </rPr>
          <t>kweiss:</t>
        </r>
        <r>
          <rPr>
            <sz val="8"/>
            <color indexed="81"/>
            <rFont val="Tahoma"/>
            <family val="2"/>
          </rPr>
          <t xml:space="preserve">
guidance 78-80mn</t>
        </r>
      </text>
    </comment>
    <comment ref="AB19" authorId="0">
      <text>
        <r>
          <rPr>
            <b/>
            <sz val="8"/>
            <color indexed="81"/>
            <rFont val="Tahoma"/>
            <family val="2"/>
          </rPr>
          <t>kweiss:</t>
        </r>
        <r>
          <rPr>
            <sz val="8"/>
            <color indexed="81"/>
            <rFont val="Tahoma"/>
            <family val="2"/>
          </rPr>
          <t xml:space="preserve">
$88 to $90 million</t>
        </r>
      </text>
    </comment>
    <comment ref="AC19" authorId="1">
      <text>
        <r>
          <rPr>
            <b/>
            <sz val="8"/>
            <color indexed="81"/>
            <rFont val="Tahoma"/>
            <family val="2"/>
          </rPr>
          <t>Andy White:</t>
        </r>
        <r>
          <rPr>
            <sz val="8"/>
            <color indexed="81"/>
            <rFont val="Tahoma"/>
            <family val="2"/>
          </rPr>
          <t xml:space="preserve">
Guidance of 307-309m
(3Q06 298-306m)
(2Q06 297-302m)
(1Q06 282-287m)</t>
        </r>
      </text>
    </comment>
    <comment ref="AE19" authorId="0">
      <text>
        <r>
          <rPr>
            <b/>
            <sz val="8"/>
            <color indexed="81"/>
            <rFont val="Tahoma"/>
            <family val="2"/>
          </rPr>
          <t>kweiss:</t>
        </r>
        <r>
          <rPr>
            <sz val="8"/>
            <color indexed="81"/>
            <rFont val="Tahoma"/>
            <family val="2"/>
          </rPr>
          <t xml:space="preserve">
guidance = $99 to $100m</t>
        </r>
      </text>
    </comment>
    <comment ref="AG19" authorId="0">
      <text>
        <r>
          <rPr>
            <b/>
            <sz val="8"/>
            <color indexed="81"/>
            <rFont val="Tahoma"/>
            <family val="2"/>
          </rPr>
          <t>kweiss:</t>
        </r>
        <r>
          <rPr>
            <sz val="8"/>
            <color indexed="81"/>
            <rFont val="Tahoma"/>
            <family val="2"/>
          </rPr>
          <t xml:space="preserve">
Guidance = $126 to $128m</t>
        </r>
      </text>
    </comment>
    <comment ref="AI19" authorId="0">
      <text>
        <r>
          <rPr>
            <b/>
            <sz val="8"/>
            <color indexed="81"/>
            <rFont val="Tahoma"/>
            <family val="2"/>
          </rPr>
          <t>kweiss:</t>
        </r>
        <r>
          <rPr>
            <sz val="8"/>
            <color indexed="81"/>
            <rFont val="Tahoma"/>
            <family val="2"/>
          </rPr>
          <t xml:space="preserve">
FY3Q06 = $460-$465m
FY4Q06 = $470 to $475m
FY1Q07 = $478 to $483m
FY2Q08 = </t>
        </r>
      </text>
    </comment>
    <comment ref="AN19" authorId="2">
      <text>
        <r>
          <rPr>
            <b/>
            <sz val="8"/>
            <color indexed="81"/>
            <rFont val="Tahoma"/>
            <family val="2"/>
          </rPr>
          <t>Phillip Rowe:</t>
        </r>
        <r>
          <rPr>
            <sz val="8"/>
            <color indexed="81"/>
            <rFont val="Tahoma"/>
            <family val="2"/>
          </rPr>
          <t xml:space="preserve">
11/15 guide 206-208</t>
        </r>
      </text>
    </comment>
    <comment ref="BU30" authorId="3">
      <text>
        <r>
          <rPr>
            <b/>
            <sz val="8"/>
            <color indexed="81"/>
            <rFont val="Tahoma"/>
            <family val="2"/>
          </rPr>
          <t>jonpark:</t>
        </r>
        <r>
          <rPr>
            <sz val="8"/>
            <color indexed="81"/>
            <rFont val="Tahoma"/>
            <family val="2"/>
          </rPr>
          <t xml:space="preserve">
90bps impact from IP licensing transaction</t>
        </r>
      </text>
    </comment>
    <comment ref="BQ38" authorId="4">
      <text>
        <r>
          <rPr>
            <b/>
            <sz val="8"/>
            <color indexed="81"/>
            <rFont val="Tahoma"/>
            <family val="2"/>
          </rPr>
          <t>Jon Parker:</t>
        </r>
        <r>
          <rPr>
            <sz val="8"/>
            <color indexed="81"/>
            <rFont val="Tahoma"/>
            <family val="2"/>
          </rPr>
          <t xml:space="preserve">
Dreamforce Assumed</t>
        </r>
      </text>
    </comment>
    <comment ref="CN46" authorId="5">
      <text>
        <r>
          <rPr>
            <b/>
            <sz val="9"/>
            <color indexed="81"/>
            <rFont val="Tahoma"/>
            <family val="2"/>
          </rPr>
          <t>Fodderwala, Hamza (Research):</t>
        </r>
        <r>
          <rPr>
            <sz val="9"/>
            <color indexed="81"/>
            <rFont val="Tahoma"/>
            <family val="2"/>
          </rPr>
          <t xml:space="preserve">
includes part of $30M in integration costs (largely upfront)</t>
        </r>
      </text>
    </comment>
    <comment ref="AS49" authorId="0">
      <text>
        <r>
          <rPr>
            <b/>
            <sz val="8"/>
            <color indexed="81"/>
            <rFont val="Tahoma"/>
            <family val="2"/>
          </rPr>
          <t>kweiss:</t>
        </r>
        <r>
          <rPr>
            <sz val="8"/>
            <color indexed="81"/>
            <rFont val="Tahoma"/>
            <family val="2"/>
          </rPr>
          <t xml:space="preserve">
guidance = $21mn</t>
        </r>
      </text>
    </comment>
    <comment ref="CA55" authorId="6">
      <text>
        <r>
          <rPr>
            <b/>
            <sz val="9"/>
            <color indexed="81"/>
            <rFont val="Tahoma"/>
            <family val="2"/>
          </rPr>
          <t>Parker, Jonathan (Research):</t>
        </r>
        <r>
          <rPr>
            <sz val="9"/>
            <color indexed="81"/>
            <rFont val="Tahoma"/>
            <family val="2"/>
          </rPr>
          <t xml:space="preserve">
Guide to $44M</t>
        </r>
      </text>
    </comment>
    <comment ref="CB55" authorId="7">
      <text>
        <r>
          <rPr>
            <b/>
            <sz val="9"/>
            <color indexed="81"/>
            <rFont val="Tahoma"/>
            <family val="2"/>
          </rPr>
          <t>StanZ:</t>
        </r>
        <r>
          <rPr>
            <sz val="9"/>
            <color indexed="81"/>
            <rFont val="Tahoma"/>
            <family val="2"/>
          </rPr>
          <t xml:space="preserve">
$36m guide</t>
        </r>
      </text>
    </comment>
    <comment ref="CC55" authorId="7">
      <text>
        <r>
          <rPr>
            <b/>
            <sz val="9"/>
            <color indexed="81"/>
            <rFont val="Tahoma"/>
            <family val="2"/>
          </rPr>
          <t>StanZ:</t>
        </r>
        <r>
          <rPr>
            <sz val="9"/>
            <color indexed="81"/>
            <rFont val="Tahoma"/>
            <family val="2"/>
          </rPr>
          <t xml:space="preserve">
guide $36M</t>
        </r>
      </text>
    </comment>
    <comment ref="CE55" authorId="6">
      <text>
        <r>
          <rPr>
            <b/>
            <sz val="9"/>
            <color indexed="81"/>
            <rFont val="Tahoma"/>
            <family val="2"/>
          </rPr>
          <t>Parker, Jonathan (Research):</t>
        </r>
        <r>
          <rPr>
            <sz val="9"/>
            <color indexed="81"/>
            <rFont val="Tahoma"/>
            <family val="2"/>
          </rPr>
          <t xml:space="preserve">
2Q guide: $151M
Guide to $149M</t>
        </r>
      </text>
    </comment>
    <comment ref="BU64" authorId="3">
      <text>
        <r>
          <rPr>
            <b/>
            <sz val="8"/>
            <color indexed="81"/>
            <rFont val="Tahoma"/>
            <family val="2"/>
          </rPr>
          <t>jonpark:</t>
        </r>
        <r>
          <rPr>
            <sz val="8"/>
            <color indexed="81"/>
            <rFont val="Tahoma"/>
            <family val="2"/>
          </rPr>
          <t xml:space="preserve">
90bps headwind from one-time IP licensing transaction</t>
        </r>
      </text>
    </comment>
    <comment ref="BJ65" authorId="3">
      <text>
        <r>
          <rPr>
            <b/>
            <sz val="8"/>
            <color indexed="81"/>
            <rFont val="Tahoma"/>
            <family val="2"/>
          </rPr>
          <t>jonpark:</t>
        </r>
        <r>
          <rPr>
            <sz val="8"/>
            <color indexed="81"/>
            <rFont val="Tahoma"/>
            <family val="2"/>
          </rPr>
          <t xml:space="preserve">
includes ~150bps from legal settlement</t>
        </r>
      </text>
    </comment>
    <comment ref="CW65" authorId="5">
      <text>
        <r>
          <rPr>
            <b/>
            <sz val="9"/>
            <color indexed="81"/>
            <rFont val="Tahoma"/>
            <family val="2"/>
          </rPr>
          <t>Fodderwala, Hamza (Research):</t>
        </r>
        <r>
          <rPr>
            <sz val="9"/>
            <color indexed="81"/>
            <rFont val="Tahoma"/>
            <family val="2"/>
          </rPr>
          <t xml:space="preserve">
LT op margin framework of 100-300 bps expansion in tact in FY18 and beyond</t>
        </r>
      </text>
    </comment>
    <comment ref="AM73" authorId="2">
      <text>
        <r>
          <rPr>
            <b/>
            <sz val="8"/>
            <color indexed="81"/>
            <rFont val="Tahoma"/>
            <family val="2"/>
          </rPr>
          <t>Phillip Rowe:</t>
        </r>
        <r>
          <rPr>
            <sz val="8"/>
            <color indexed="81"/>
            <rFont val="Tahoma"/>
            <family val="2"/>
          </rPr>
          <t xml:space="preserve">
sale of investmet</t>
        </r>
      </text>
    </comment>
    <comment ref="AM75" authorId="2">
      <text>
        <r>
          <rPr>
            <b/>
            <sz val="8"/>
            <color indexed="81"/>
            <rFont val="Tahoma"/>
            <family val="2"/>
          </rPr>
          <t>Phillip Rowe:</t>
        </r>
        <r>
          <rPr>
            <sz val="8"/>
            <color indexed="81"/>
            <rFont val="Tahoma"/>
            <family val="2"/>
          </rPr>
          <t xml:space="preserve">
sale of investment</t>
        </r>
      </text>
    </comment>
    <comment ref="AC80" authorId="1">
      <text>
        <r>
          <rPr>
            <b/>
            <sz val="8"/>
            <color indexed="81"/>
            <rFont val="Tahoma"/>
            <family val="2"/>
          </rPr>
          <t>Andy White:</t>
        </r>
        <r>
          <rPr>
            <sz val="8"/>
            <color indexed="81"/>
            <rFont val="Tahoma"/>
            <family val="2"/>
          </rPr>
          <t xml:space="preserve">
Guidance of 20% (originally 25%)</t>
        </r>
      </text>
    </comment>
    <comment ref="AI80" authorId="0">
      <text>
        <r>
          <rPr>
            <b/>
            <sz val="8"/>
            <color indexed="81"/>
            <rFont val="Tahoma"/>
            <family val="2"/>
          </rPr>
          <t>kweiss:</t>
        </r>
        <r>
          <rPr>
            <sz val="8"/>
            <color indexed="81"/>
            <rFont val="Tahoma"/>
            <family val="2"/>
          </rPr>
          <t xml:space="preserve">
Cash tax rate at about 10% of non-GAAP pre-tax</t>
        </r>
      </text>
    </comment>
    <comment ref="W86" authorId="8">
      <text>
        <r>
          <rPr>
            <b/>
            <sz val="8"/>
            <color indexed="81"/>
            <rFont val="Tahoma"/>
            <family val="2"/>
          </rPr>
          <t>andwhite:</t>
        </r>
        <r>
          <rPr>
            <sz val="8"/>
            <color indexed="81"/>
            <rFont val="Tahoma"/>
            <family val="2"/>
          </rPr>
          <t xml:space="preserve">
guidance 
4-5c</t>
        </r>
      </text>
    </comment>
    <comment ref="Z86" authorId="8">
      <text>
        <r>
          <rPr>
            <b/>
            <sz val="8"/>
            <color indexed="81"/>
            <rFont val="Tahoma"/>
            <family val="2"/>
          </rPr>
          <t>andwhite:</t>
        </r>
        <r>
          <rPr>
            <sz val="8"/>
            <color indexed="81"/>
            <rFont val="Tahoma"/>
            <family val="2"/>
          </rPr>
          <t xml:space="preserve">
Guidance 
2-4c</t>
        </r>
      </text>
    </comment>
    <comment ref="AA86" authorId="0">
      <text>
        <r>
          <rPr>
            <b/>
            <sz val="8"/>
            <color indexed="81"/>
            <rFont val="Tahoma"/>
            <family val="2"/>
          </rPr>
          <t>kweiss:</t>
        </r>
        <r>
          <rPr>
            <sz val="8"/>
            <color indexed="81"/>
            <rFont val="Tahoma"/>
            <family val="2"/>
          </rPr>
          <t xml:space="preserve">
guidance 2-4c</t>
        </r>
      </text>
    </comment>
    <comment ref="AB86" authorId="0">
      <text>
        <r>
          <rPr>
            <b/>
            <sz val="8"/>
            <color indexed="81"/>
            <rFont val="Tahoma"/>
            <family val="2"/>
          </rPr>
          <t>kweiss:</t>
        </r>
        <r>
          <rPr>
            <sz val="8"/>
            <color indexed="81"/>
            <rFont val="Tahoma"/>
            <family val="2"/>
          </rPr>
          <t xml:space="preserve">
$0.02 to $0.04</t>
        </r>
      </text>
    </comment>
    <comment ref="AC86" authorId="1">
      <text>
        <r>
          <rPr>
            <b/>
            <sz val="8"/>
            <color indexed="81"/>
            <rFont val="Tahoma"/>
            <family val="2"/>
          </rPr>
          <t xml:space="preserve">Andy White:
</t>
        </r>
        <r>
          <rPr>
            <sz val="8"/>
            <color indexed="81"/>
            <rFont val="Tahoma"/>
            <family val="2"/>
          </rPr>
          <t>(3Q06 0.15-0.17)
(2</t>
        </r>
        <r>
          <rPr>
            <sz val="8"/>
            <color indexed="81"/>
            <rFont val="Tahoma"/>
            <family val="2"/>
          </rPr>
          <t>Q06 13-16c)
(1Q06 11-14c) (originally 11-13c)</t>
        </r>
      </text>
    </comment>
    <comment ref="AE86" authorId="0">
      <text>
        <r>
          <rPr>
            <b/>
            <sz val="8"/>
            <color indexed="81"/>
            <rFont val="Tahoma"/>
            <family val="2"/>
          </rPr>
          <t>kweiss:</t>
        </r>
        <r>
          <rPr>
            <sz val="8"/>
            <color indexed="81"/>
            <rFont val="Tahoma"/>
            <family val="2"/>
          </rPr>
          <t xml:space="preserve">
guidance = $0.02 to $0.04</t>
        </r>
      </text>
    </comment>
    <comment ref="AF86" authorId="9">
      <text>
        <r>
          <rPr>
            <b/>
            <sz val="8"/>
            <color indexed="81"/>
            <rFont val="Tahoma"/>
            <family val="2"/>
          </rPr>
          <t>jamesfer:</t>
        </r>
        <r>
          <rPr>
            <sz val="8"/>
            <color indexed="81"/>
            <rFont val="Tahoma"/>
            <family val="2"/>
          </rPr>
          <t xml:space="preserve">
Guidance of $0.03 - $0.04</t>
        </r>
      </text>
    </comment>
    <comment ref="AG86" authorId="0">
      <text>
        <r>
          <rPr>
            <b/>
            <sz val="8"/>
            <color indexed="81"/>
            <rFont val="Tahoma"/>
            <family val="2"/>
          </rPr>
          <t>kweiss:</t>
        </r>
        <r>
          <rPr>
            <sz val="8"/>
            <color indexed="81"/>
            <rFont val="Tahoma"/>
            <family val="2"/>
          </rPr>
          <t xml:space="preserve">
Guidance = $0.04 to $0.05</t>
        </r>
      </text>
    </comment>
    <comment ref="AI86" authorId="0">
      <text>
        <r>
          <rPr>
            <b/>
            <sz val="8"/>
            <color indexed="81"/>
            <rFont val="Tahoma"/>
            <family val="2"/>
          </rPr>
          <t>kweiss:</t>
        </r>
        <r>
          <rPr>
            <sz val="8"/>
            <color indexed="81"/>
            <rFont val="Tahoma"/>
            <family val="2"/>
          </rPr>
          <t xml:space="preserve">
@ 3Q06 = $0.20-$0.22
@ 4Q06 = $0.20-$0.22
@ 1Q07 = $0.17-$0.19
@ 2Q07 = $0.19-$0.21</t>
        </r>
      </text>
    </comment>
    <comment ref="BJ86" authorId="3">
      <text>
        <r>
          <rPr>
            <b/>
            <sz val="8"/>
            <color indexed="81"/>
            <rFont val="Tahoma"/>
            <family val="2"/>
          </rPr>
          <t>jonpark:</t>
        </r>
        <r>
          <rPr>
            <sz val="8"/>
            <color indexed="81"/>
            <rFont val="Tahoma"/>
            <family val="2"/>
          </rPr>
          <t xml:space="preserve">
Includes $0.04 impact from legal settlemtn</t>
        </r>
      </text>
    </comment>
    <comment ref="CO103" authorId="5">
      <text>
        <r>
          <rPr>
            <b/>
            <sz val="9"/>
            <color indexed="81"/>
            <rFont val="Tahoma"/>
            <family val="2"/>
          </rPr>
          <t>Fodderwala, Hamza (Research):</t>
        </r>
        <r>
          <rPr>
            <sz val="9"/>
            <color indexed="81"/>
            <rFont val="Tahoma"/>
            <family val="2"/>
          </rPr>
          <t xml:space="preserve">
60% tax rate guide</t>
        </r>
      </text>
    </comment>
    <comment ref="CA104" authorId="6">
      <text>
        <r>
          <rPr>
            <b/>
            <sz val="9"/>
            <color indexed="81"/>
            <rFont val="Tahoma"/>
            <family val="2"/>
          </rPr>
          <t>Parker, Jonathan (Research):</t>
        </r>
        <r>
          <rPr>
            <sz val="9"/>
            <color indexed="81"/>
            <rFont val="Tahoma"/>
            <family val="2"/>
          </rPr>
          <t xml:space="preserve">
-52% guide</t>
        </r>
      </text>
    </comment>
    <comment ref="CB104" authorId="7">
      <text>
        <r>
          <rPr>
            <b/>
            <sz val="9"/>
            <color indexed="81"/>
            <rFont val="Tahoma"/>
            <family val="2"/>
          </rPr>
          <t>StanZ:</t>
        </r>
        <r>
          <rPr>
            <sz val="9"/>
            <color indexed="81"/>
            <rFont val="Tahoma"/>
            <family val="2"/>
          </rPr>
          <t xml:space="preserve">
36% guide</t>
        </r>
      </text>
    </comment>
    <comment ref="CC104" authorId="7">
      <text>
        <r>
          <rPr>
            <b/>
            <sz val="9"/>
            <color indexed="81"/>
            <rFont val="Tahoma"/>
            <family val="2"/>
          </rPr>
          <t>StanZ:</t>
        </r>
        <r>
          <rPr>
            <sz val="9"/>
            <color indexed="81"/>
            <rFont val="Tahoma"/>
            <family val="2"/>
          </rPr>
          <t xml:space="preserve">
-30% guide
</t>
        </r>
      </text>
    </comment>
    <comment ref="CE104" authorId="6">
      <text>
        <r>
          <rPr>
            <b/>
            <sz val="9"/>
            <color indexed="81"/>
            <rFont val="Tahoma"/>
            <family val="2"/>
          </rPr>
          <t>StanZ:</t>
        </r>
        <r>
          <rPr>
            <sz val="9"/>
            <color indexed="81"/>
            <rFont val="Tahoma"/>
            <family val="2"/>
          </rPr>
          <t xml:space="preserve">
2Q guide: -19%
1Q15 call: -21% guide
prior: -40% guide
</t>
        </r>
      </text>
    </comment>
    <comment ref="CG104" authorId="6">
      <text>
        <r>
          <rPr>
            <b/>
            <sz val="9"/>
            <color indexed="81"/>
            <rFont val="Tahoma"/>
            <family val="2"/>
          </rPr>
          <t>Parker, Jonathan (Research):</t>
        </r>
        <r>
          <rPr>
            <sz val="9"/>
            <color indexed="81"/>
            <rFont val="Tahoma"/>
            <family val="2"/>
          </rPr>
          <t xml:space="preserve">
-52% guide</t>
        </r>
      </text>
    </comment>
    <comment ref="CH104" authorId="7">
      <text>
        <r>
          <rPr>
            <b/>
            <sz val="9"/>
            <color indexed="81"/>
            <rFont val="Tahoma"/>
            <family val="2"/>
          </rPr>
          <t>StanZ:</t>
        </r>
        <r>
          <rPr>
            <sz val="9"/>
            <color indexed="81"/>
            <rFont val="Tahoma"/>
            <family val="2"/>
          </rPr>
          <t xml:space="preserve">
36% guide</t>
        </r>
      </text>
    </comment>
    <comment ref="CY104" authorId="5">
      <text>
        <r>
          <rPr>
            <b/>
            <sz val="9"/>
            <color indexed="81"/>
            <rFont val="Tahoma"/>
            <family val="2"/>
          </rPr>
          <t>Fodderwala, Hamza (Research):</t>
        </r>
        <r>
          <rPr>
            <sz val="9"/>
            <color indexed="81"/>
            <rFont val="Tahoma"/>
            <family val="2"/>
          </rPr>
          <t xml:space="preserve">
15% gaap tax rate in Q1</t>
        </r>
      </text>
    </comment>
    <comment ref="DC104" authorId="5">
      <text>
        <r>
          <rPr>
            <b/>
            <sz val="9"/>
            <color indexed="81"/>
            <rFont val="Tahoma"/>
            <family val="2"/>
          </rPr>
          <t>Fodderwala, Hamza (Research):</t>
        </r>
        <r>
          <rPr>
            <sz val="9"/>
            <color indexed="81"/>
            <rFont val="Tahoma"/>
            <family val="2"/>
          </rPr>
          <t xml:space="preserve">
13.5% for FY19 gaap tax rate</t>
        </r>
      </text>
    </comment>
    <comment ref="AF108" authorId="9">
      <text>
        <r>
          <rPr>
            <b/>
            <sz val="8"/>
            <color indexed="81"/>
            <rFont val="Tahoma"/>
            <family val="2"/>
          </rPr>
          <t>jamesfer:</t>
        </r>
        <r>
          <rPr>
            <sz val="8"/>
            <color indexed="81"/>
            <rFont val="Tahoma"/>
            <family val="2"/>
          </rPr>
          <t xml:space="preserve">
Guidance of loss of $0.02 - $0.04</t>
        </r>
      </text>
    </comment>
    <comment ref="AN108" authorId="2">
      <text>
        <r>
          <rPr>
            <b/>
            <sz val="8"/>
            <color indexed="81"/>
            <rFont val="Tahoma"/>
            <family val="2"/>
          </rPr>
          <t>Phillip Rowe:</t>
        </r>
        <r>
          <rPr>
            <sz val="8"/>
            <color indexed="81"/>
            <rFont val="Tahoma"/>
            <family val="2"/>
          </rPr>
          <t xml:space="preserve">
11/15 guide 0.03-0.04 on 16-18 mln stock comp and amtzn of 1.5 and 125 mln shares and tax 46% GAAP</t>
        </r>
      </text>
    </comment>
    <comment ref="AO108" authorId="2">
      <text>
        <r>
          <rPr>
            <b/>
            <sz val="8"/>
            <color indexed="81"/>
            <rFont val="Tahoma"/>
            <family val="2"/>
          </rPr>
          <t>Phillip Rowe:</t>
        </r>
        <r>
          <rPr>
            <sz val="8"/>
            <color indexed="81"/>
            <rFont val="Tahoma"/>
            <family val="2"/>
          </rPr>
          <t xml:space="preserve">
11/15 0.12-0.13 on GAAP tax of 50% and 123 mln shares</t>
        </r>
      </text>
    </comment>
    <comment ref="CO108" authorId="5">
      <text>
        <r>
          <rPr>
            <b/>
            <sz val="9"/>
            <color indexed="81"/>
            <rFont val="Tahoma"/>
            <family val="2"/>
          </rPr>
          <t>Fodderwala, Hamza (Research):</t>
        </r>
        <r>
          <rPr>
            <sz val="9"/>
            <color indexed="81"/>
            <rFont val="Tahoma"/>
            <family val="2"/>
          </rPr>
          <t xml:space="preserve">
basic shares used to calculate GAAP EPS</t>
        </r>
      </text>
    </comment>
    <comment ref="E111" authorId="8">
      <text>
        <r>
          <rPr>
            <b/>
            <sz val="8"/>
            <color indexed="81"/>
            <rFont val="Tahoma"/>
            <family val="2"/>
          </rPr>
          <t>andwhite:</t>
        </r>
        <r>
          <rPr>
            <sz val="8"/>
            <color indexed="81"/>
            <rFont val="Tahoma"/>
            <family val="2"/>
          </rPr>
          <t xml:space="preserve">
Excludes 58.024m convertible preferred stock, 10.526m options and 1.299m warrants since inclusion would have been anti-dilutivie</t>
        </r>
      </text>
    </comment>
    <comment ref="K111" authorId="8">
      <text>
        <r>
          <rPr>
            <b/>
            <sz val="8"/>
            <color indexed="81"/>
            <rFont val="Tahoma"/>
            <family val="2"/>
          </rPr>
          <t>andwhite:</t>
        </r>
        <r>
          <rPr>
            <sz val="8"/>
            <color indexed="81"/>
            <rFont val="Tahoma"/>
            <family val="2"/>
          </rPr>
          <t xml:space="preserve">
Excludes 58.024m convertible preferred stock, 10.526m options and 1.299m warrants since inclusion would have been anti-dilutivie</t>
        </r>
      </text>
    </comment>
    <comment ref="M111" authorId="8">
      <text>
        <r>
          <rPr>
            <b/>
            <sz val="8"/>
            <color indexed="81"/>
            <rFont val="Tahoma"/>
            <family val="2"/>
          </rPr>
          <t>andwhite:</t>
        </r>
        <r>
          <rPr>
            <sz val="8"/>
            <color indexed="81"/>
            <rFont val="Tahoma"/>
            <family val="2"/>
          </rPr>
          <t xml:space="preserve">
Excludes 1.896m additional options and 0.591m additiional warrants since inclusion would have been anti-dilutivie</t>
        </r>
      </text>
    </comment>
    <comment ref="Q111" authorId="8">
      <text>
        <r>
          <rPr>
            <b/>
            <sz val="8"/>
            <color indexed="81"/>
            <rFont val="Tahoma"/>
            <family val="2"/>
          </rPr>
          <t>andwhite:</t>
        </r>
        <r>
          <rPr>
            <sz val="8"/>
            <color indexed="81"/>
            <rFont val="Tahoma"/>
            <family val="2"/>
          </rPr>
          <t xml:space="preserve">
95.409
Excludes 0.901m additional options since inclusion would have been anti-dilutivie</t>
        </r>
      </text>
    </comment>
    <comment ref="T111" authorId="8">
      <text>
        <r>
          <rPr>
            <b/>
            <sz val="8"/>
            <color indexed="81"/>
            <rFont val="Tahoma"/>
            <family val="2"/>
          </rPr>
          <t>andwhite:</t>
        </r>
        <r>
          <rPr>
            <sz val="8"/>
            <color indexed="81"/>
            <rFont val="Tahoma"/>
            <family val="2"/>
          </rPr>
          <t xml:space="preserve">
Warrants Plus Options.</t>
        </r>
      </text>
    </comment>
    <comment ref="W111" authorId="8">
      <text>
        <r>
          <rPr>
            <b/>
            <sz val="8"/>
            <color indexed="81"/>
            <rFont val="Tahoma"/>
            <family val="2"/>
          </rPr>
          <t>andwhite:</t>
        </r>
        <r>
          <rPr>
            <sz val="8"/>
            <color indexed="81"/>
            <rFont val="Tahoma"/>
            <family val="2"/>
          </rPr>
          <t xml:space="preserve">
guidance 110 million</t>
        </r>
      </text>
    </comment>
    <comment ref="Z111" authorId="8">
      <text>
        <r>
          <rPr>
            <b/>
            <sz val="8"/>
            <color indexed="81"/>
            <rFont val="Tahoma"/>
            <family val="2"/>
          </rPr>
          <t>andwhite:</t>
        </r>
        <r>
          <rPr>
            <sz val="8"/>
            <color indexed="81"/>
            <rFont val="Tahoma"/>
            <family val="2"/>
          </rPr>
          <t xml:space="preserve">
guidance 119 million</t>
        </r>
      </text>
    </comment>
    <comment ref="AA111" authorId="0">
      <text>
        <r>
          <rPr>
            <b/>
            <sz val="8"/>
            <color indexed="81"/>
            <rFont val="Tahoma"/>
            <family val="2"/>
          </rPr>
          <t>kweiss:</t>
        </r>
        <r>
          <rPr>
            <sz val="8"/>
            <color indexed="81"/>
            <rFont val="Tahoma"/>
            <family val="2"/>
          </rPr>
          <t xml:space="preserve">
guidance 120m</t>
        </r>
      </text>
    </comment>
    <comment ref="AB111" authorId="0">
      <text>
        <r>
          <rPr>
            <b/>
            <sz val="8"/>
            <color indexed="81"/>
            <rFont val="Tahoma"/>
            <family val="2"/>
          </rPr>
          <t>kweiss:</t>
        </r>
        <r>
          <rPr>
            <sz val="8"/>
            <color indexed="81"/>
            <rFont val="Tahoma"/>
            <family val="2"/>
          </rPr>
          <t xml:space="preserve">
120
</t>
        </r>
      </text>
    </comment>
    <comment ref="AC111" authorId="1">
      <text>
        <r>
          <rPr>
            <b/>
            <sz val="8"/>
            <color indexed="81"/>
            <rFont val="Tahoma"/>
            <family val="2"/>
          </rPr>
          <t>Andy White:</t>
        </r>
        <r>
          <rPr>
            <sz val="8"/>
            <color indexed="81"/>
            <rFont val="Tahoma"/>
            <family val="2"/>
          </rPr>
          <t xml:space="preserve">
Guidance of 123m
(2Q06 123m)
(1Q06 123m)</t>
        </r>
      </text>
    </comment>
    <comment ref="AE111" authorId="0">
      <text>
        <r>
          <rPr>
            <b/>
            <sz val="8"/>
            <color indexed="81"/>
            <rFont val="Tahoma"/>
            <family val="2"/>
          </rPr>
          <t>kweiss:</t>
        </r>
        <r>
          <rPr>
            <sz val="8"/>
            <color indexed="81"/>
            <rFont val="Tahoma"/>
            <family val="2"/>
          </rPr>
          <t xml:space="preserve">
122</t>
        </r>
      </text>
    </comment>
    <comment ref="AF111" authorId="9">
      <text>
        <r>
          <rPr>
            <b/>
            <sz val="8"/>
            <color indexed="81"/>
            <rFont val="Tahoma"/>
            <family val="2"/>
          </rPr>
          <t>jamesfer:</t>
        </r>
        <r>
          <rPr>
            <sz val="8"/>
            <color indexed="81"/>
            <rFont val="Tahoma"/>
            <family val="2"/>
          </rPr>
          <t xml:space="preserve">
Guidance assumes 121 M</t>
        </r>
      </text>
    </comment>
    <comment ref="AI111" authorId="0">
      <text>
        <r>
          <rPr>
            <b/>
            <sz val="8"/>
            <color indexed="81"/>
            <rFont val="Tahoma"/>
            <family val="2"/>
          </rPr>
          <t>kweiss:</t>
        </r>
        <r>
          <rPr>
            <sz val="8"/>
            <color indexed="81"/>
            <rFont val="Tahoma"/>
            <family val="2"/>
          </rPr>
          <t xml:space="preserve">
@ 3Q06 = 123m
@ 4Q06 = 124m
@ 1/q07 = 122m</t>
        </r>
      </text>
    </comment>
    <comment ref="AO111" authorId="10">
      <text>
        <r>
          <rPr>
            <b/>
            <sz val="8"/>
            <color indexed="81"/>
            <rFont val="Tahoma"/>
            <family val="2"/>
          </rPr>
          <t>Samson Lee:</t>
        </r>
        <r>
          <rPr>
            <sz val="8"/>
            <color indexed="81"/>
            <rFont val="Tahoma"/>
            <family val="2"/>
          </rPr>
          <t xml:space="preserve">
@4q07 = 126m
</t>
        </r>
      </text>
    </comment>
    <comment ref="BS111" authorId="3">
      <text>
        <r>
          <rPr>
            <b/>
            <sz val="8"/>
            <color indexed="81"/>
            <rFont val="Tahoma"/>
            <family val="2"/>
          </rPr>
          <t>jonpark:</t>
        </r>
        <r>
          <rPr>
            <sz val="8"/>
            <color indexed="81"/>
            <rFont val="Tahoma"/>
            <family val="2"/>
          </rPr>
          <t xml:space="preserve">
guide to 149M</t>
        </r>
      </text>
    </comment>
    <comment ref="CA111" authorId="6">
      <text>
        <r>
          <rPr>
            <b/>
            <sz val="9"/>
            <color indexed="81"/>
            <rFont val="Tahoma"/>
            <family val="2"/>
          </rPr>
          <t>Parker, Jonathan (Research):</t>
        </r>
        <r>
          <rPr>
            <sz val="9"/>
            <color indexed="81"/>
            <rFont val="Tahoma"/>
            <family val="2"/>
          </rPr>
          <t xml:space="preserve">
655M guide</t>
        </r>
      </text>
    </comment>
    <comment ref="CB111" authorId="7">
      <text>
        <r>
          <rPr>
            <b/>
            <sz val="9"/>
            <color indexed="81"/>
            <rFont val="Tahoma"/>
            <family val="2"/>
          </rPr>
          <t>StanZ:</t>
        </r>
        <r>
          <rPr>
            <sz val="9"/>
            <color indexed="81"/>
            <rFont val="Tahoma"/>
            <family val="2"/>
          </rPr>
          <t xml:space="preserve">
655m guide</t>
        </r>
      </text>
    </comment>
    <comment ref="CC111" authorId="7">
      <text>
        <r>
          <rPr>
            <b/>
            <sz val="9"/>
            <color indexed="81"/>
            <rFont val="Tahoma"/>
            <family val="2"/>
          </rPr>
          <t>StanZ:</t>
        </r>
        <r>
          <rPr>
            <sz val="9"/>
            <color indexed="81"/>
            <rFont val="Tahoma"/>
            <family val="2"/>
          </rPr>
          <t xml:space="preserve">
664 guide
</t>
        </r>
      </text>
    </comment>
    <comment ref="CD111" authorId="7">
      <text>
        <r>
          <rPr>
            <b/>
            <sz val="9"/>
            <color indexed="81"/>
            <rFont val="Tahoma"/>
            <family val="2"/>
          </rPr>
          <t>StanZ:</t>
        </r>
        <r>
          <rPr>
            <sz val="9"/>
            <color indexed="81"/>
            <rFont val="Tahoma"/>
            <family val="2"/>
          </rPr>
          <t xml:space="preserve">
669 guide</t>
        </r>
      </text>
    </comment>
    <comment ref="CE111" authorId="6">
      <text>
        <r>
          <rPr>
            <b/>
            <sz val="9"/>
            <color indexed="81"/>
            <rFont val="Tahoma"/>
            <family val="2"/>
          </rPr>
          <t>StanZ:</t>
        </r>
        <r>
          <rPr>
            <sz val="9"/>
            <color indexed="81"/>
            <rFont val="Tahoma"/>
            <family val="2"/>
          </rPr>
          <t xml:space="preserve">
2Q guide: 657
1Q15 guide: 658M
4Q14 guide: 667M
</t>
        </r>
      </text>
    </comment>
    <comment ref="CI111" authorId="7">
      <text>
        <r>
          <rPr>
            <b/>
            <sz val="9"/>
            <color indexed="81"/>
            <rFont val="Tahoma"/>
            <family val="2"/>
          </rPr>
          <t>StanZ:</t>
        </r>
        <r>
          <rPr>
            <sz val="9"/>
            <color indexed="81"/>
            <rFont val="Tahoma"/>
            <family val="2"/>
          </rPr>
          <t xml:space="preserve">
679 guide</t>
        </r>
      </text>
    </comment>
    <comment ref="CK111" authorId="7">
      <text>
        <r>
          <rPr>
            <b/>
            <sz val="9"/>
            <color indexed="81"/>
            <rFont val="Tahoma"/>
            <family val="2"/>
          </rPr>
          <t>StanZ:</t>
        </r>
        <r>
          <rPr>
            <sz val="9"/>
            <color indexed="81"/>
            <rFont val="Tahoma"/>
            <family val="2"/>
          </rPr>
          <t xml:space="preserve">
675 guide</t>
        </r>
      </text>
    </comment>
    <comment ref="CO111" authorId="5">
      <text>
        <r>
          <rPr>
            <b/>
            <sz val="9"/>
            <color indexed="81"/>
            <rFont val="Tahoma"/>
            <family val="2"/>
          </rPr>
          <t>Fodderwala, Hamza (Research):</t>
        </r>
        <r>
          <rPr>
            <sz val="9"/>
            <color indexed="81"/>
            <rFont val="Tahoma"/>
            <family val="2"/>
          </rPr>
          <t xml:space="preserve">
711M</t>
        </r>
      </text>
    </comment>
    <comment ref="CQ111" authorId="11">
      <text>
        <r>
          <rPr>
            <sz val="9"/>
            <color indexed="81"/>
            <rFont val="Tahoma"/>
            <family val="2"/>
          </rPr>
          <t xml:space="preserve">703M guidance
</t>
        </r>
      </text>
    </comment>
    <comment ref="CY111" authorId="5">
      <text>
        <r>
          <rPr>
            <b/>
            <sz val="9"/>
            <color indexed="81"/>
            <rFont val="Tahoma"/>
            <family val="2"/>
          </rPr>
          <t>Fodderwala, Hamza (Research):</t>
        </r>
        <r>
          <rPr>
            <sz val="9"/>
            <color indexed="81"/>
            <rFont val="Tahoma"/>
            <family val="2"/>
          </rPr>
          <t xml:space="preserve">
757</t>
        </r>
      </text>
    </comment>
    <comment ref="DC111" authorId="5">
      <text>
        <r>
          <rPr>
            <b/>
            <sz val="9"/>
            <color indexed="81"/>
            <rFont val="Tahoma"/>
            <family val="2"/>
          </rPr>
          <t>Fodderwala, Hamza (Research):</t>
        </r>
        <r>
          <rPr>
            <sz val="9"/>
            <color indexed="81"/>
            <rFont val="Tahoma"/>
            <family val="2"/>
          </rPr>
          <t xml:space="preserve">
763</t>
        </r>
      </text>
    </comment>
    <comment ref="Q112" authorId="8">
      <text>
        <r>
          <rPr>
            <b/>
            <sz val="8"/>
            <color indexed="81"/>
            <rFont val="Tahoma"/>
            <family val="2"/>
          </rPr>
          <t>andwhite:</t>
        </r>
        <r>
          <rPr>
            <sz val="8"/>
            <color indexed="81"/>
            <rFont val="Tahoma"/>
            <family val="2"/>
          </rPr>
          <t xml:space="preserve">
29.605</t>
        </r>
      </text>
    </comment>
    <comment ref="BS112" authorId="3">
      <text>
        <r>
          <rPr>
            <b/>
            <sz val="8"/>
            <color indexed="81"/>
            <rFont val="Tahoma"/>
            <family val="2"/>
          </rPr>
          <t>jonpark:</t>
        </r>
        <r>
          <rPr>
            <sz val="8"/>
            <color indexed="81"/>
            <rFont val="Tahoma"/>
            <family val="2"/>
          </rPr>
          <t xml:space="preserve">
Guide to 141</t>
        </r>
      </text>
    </comment>
    <comment ref="CA112" authorId="6">
      <text>
        <r>
          <rPr>
            <b/>
            <sz val="9"/>
            <color indexed="81"/>
            <rFont val="Tahoma"/>
            <family val="2"/>
          </rPr>
          <t>Parker, Jonathan (Research):</t>
        </r>
        <r>
          <rPr>
            <sz val="9"/>
            <color indexed="81"/>
            <rFont val="Tahoma"/>
            <family val="2"/>
          </rPr>
          <t xml:space="preserve">
613M guide</t>
        </r>
      </text>
    </comment>
    <comment ref="CB112" authorId="7">
      <text>
        <r>
          <rPr>
            <b/>
            <sz val="9"/>
            <color indexed="81"/>
            <rFont val="Tahoma"/>
            <family val="2"/>
          </rPr>
          <t>StanZ:</t>
        </r>
        <r>
          <rPr>
            <sz val="9"/>
            <color indexed="81"/>
            <rFont val="Tahoma"/>
            <family val="2"/>
          </rPr>
          <t xml:space="preserve">
618M guide</t>
        </r>
      </text>
    </comment>
    <comment ref="CC112" authorId="7">
      <text>
        <r>
          <rPr>
            <b/>
            <sz val="9"/>
            <color indexed="81"/>
            <rFont val="Tahoma"/>
            <family val="2"/>
          </rPr>
          <t>StanZ:</t>
        </r>
        <r>
          <rPr>
            <sz val="9"/>
            <color indexed="81"/>
            <rFont val="Tahoma"/>
            <family val="2"/>
          </rPr>
          <t xml:space="preserve">
630 guide</t>
        </r>
      </text>
    </comment>
    <comment ref="CD112" authorId="7">
      <text>
        <r>
          <rPr>
            <b/>
            <sz val="9"/>
            <color indexed="81"/>
            <rFont val="Tahoma"/>
            <family val="2"/>
          </rPr>
          <t>StanZ:</t>
        </r>
        <r>
          <rPr>
            <sz val="9"/>
            <color indexed="81"/>
            <rFont val="Tahoma"/>
            <family val="2"/>
          </rPr>
          <t xml:space="preserve">
636 guide</t>
        </r>
      </text>
    </comment>
    <comment ref="CE112" authorId="6">
      <text>
        <r>
          <rPr>
            <b/>
            <sz val="9"/>
            <color indexed="81"/>
            <rFont val="Tahoma"/>
            <family val="2"/>
          </rPr>
          <t>StanZ:</t>
        </r>
        <r>
          <rPr>
            <sz val="9"/>
            <color indexed="81"/>
            <rFont val="Tahoma"/>
            <family val="2"/>
          </rPr>
          <t xml:space="preserve">
2Q guide: 624M
1Q15 call: 622M guide
4Q14624M guide</t>
        </r>
      </text>
    </comment>
    <comment ref="CI112" authorId="7">
      <text>
        <r>
          <rPr>
            <b/>
            <sz val="9"/>
            <color indexed="81"/>
            <rFont val="Tahoma"/>
            <family val="2"/>
          </rPr>
          <t>StanZ:</t>
        </r>
        <r>
          <rPr>
            <sz val="9"/>
            <color indexed="81"/>
            <rFont val="Tahoma"/>
            <family val="2"/>
          </rPr>
          <t xml:space="preserve">
664 guide</t>
        </r>
      </text>
    </comment>
    <comment ref="CK112" authorId="7">
      <text>
        <r>
          <rPr>
            <b/>
            <sz val="9"/>
            <color indexed="81"/>
            <rFont val="Tahoma"/>
            <family val="2"/>
          </rPr>
          <t>StanZ:</t>
        </r>
        <r>
          <rPr>
            <sz val="9"/>
            <color indexed="81"/>
            <rFont val="Tahoma"/>
            <family val="2"/>
          </rPr>
          <t xml:space="preserve">
662 guide</t>
        </r>
      </text>
    </comment>
    <comment ref="CQ112" authorId="11">
      <text>
        <r>
          <rPr>
            <b/>
            <sz val="9"/>
            <color indexed="81"/>
            <rFont val="Tahoma"/>
            <family val="2"/>
          </rPr>
          <t>Austria, Anjelo D (Research):</t>
        </r>
        <r>
          <rPr>
            <sz val="9"/>
            <color indexed="81"/>
            <rFont val="Tahoma"/>
            <family val="2"/>
          </rPr>
          <t xml:space="preserve">
688 Guide
</t>
        </r>
      </text>
    </comment>
    <comment ref="T114" authorId="8">
      <text>
        <r>
          <rPr>
            <b/>
            <sz val="8"/>
            <color indexed="81"/>
            <rFont val="Tahoma"/>
            <family val="2"/>
          </rPr>
          <t>andwhite:</t>
        </r>
        <r>
          <rPr>
            <sz val="8"/>
            <color indexed="81"/>
            <rFont val="Tahoma"/>
            <family val="2"/>
          </rPr>
          <t xml:space="preserve">
As of July 31 there were approximately 102.9m shares outstanding.</t>
        </r>
      </text>
    </comment>
    <comment ref="U114" authorId="8">
      <text>
        <r>
          <rPr>
            <b/>
            <sz val="8"/>
            <color indexed="81"/>
            <rFont val="Tahoma"/>
            <family val="2"/>
          </rPr>
          <t>andwhite:</t>
        </r>
        <r>
          <rPr>
            <sz val="8"/>
            <color indexed="81"/>
            <rFont val="Tahoma"/>
            <family val="2"/>
          </rPr>
          <t xml:space="preserve">
As of Oct 31 there were approximately 103.1m shares outstanding.</t>
        </r>
      </text>
    </comment>
    <comment ref="Y114" authorId="1">
      <text>
        <r>
          <rPr>
            <b/>
            <sz val="8"/>
            <color indexed="81"/>
            <rFont val="Tahoma"/>
            <family val="2"/>
          </rPr>
          <t>Andy White:</t>
        </r>
        <r>
          <rPr>
            <sz val="8"/>
            <color indexed="81"/>
            <rFont val="Tahoma"/>
            <family val="2"/>
          </rPr>
          <t xml:space="preserve">
approximately 106m</t>
        </r>
      </text>
    </comment>
    <comment ref="CA114" authorId="7">
      <text>
        <r>
          <rPr>
            <b/>
            <sz val="9"/>
            <color indexed="81"/>
            <rFont val="Tahoma"/>
            <family val="2"/>
          </rPr>
          <t>StanZ:</t>
        </r>
        <r>
          <rPr>
            <sz val="9"/>
            <color indexed="81"/>
            <rFont val="Tahoma"/>
            <family val="2"/>
          </rPr>
          <t xml:space="preserve">
Our estimate</t>
        </r>
      </text>
    </comment>
    <comment ref="CH114" authorId="7">
      <text>
        <r>
          <rPr>
            <b/>
            <sz val="9"/>
            <color indexed="81"/>
            <rFont val="Tahoma"/>
            <family val="2"/>
          </rPr>
          <t>StanZ:</t>
        </r>
        <r>
          <rPr>
            <sz val="9"/>
            <color indexed="81"/>
            <rFont val="Tahoma"/>
            <family val="2"/>
          </rPr>
          <t xml:space="preserve">
Update after 10Q comes out</t>
        </r>
      </text>
    </comment>
    <comment ref="BG128" authorId="4">
      <text>
        <r>
          <rPr>
            <b/>
            <sz val="8"/>
            <color indexed="81"/>
            <rFont val="Tahoma"/>
            <family val="2"/>
          </rPr>
          <t>Jon Parker:</t>
        </r>
        <r>
          <rPr>
            <sz val="8"/>
            <color indexed="81"/>
            <rFont val="Tahoma"/>
            <family val="2"/>
          </rPr>
          <t xml:space="preserve">
Was 1,545-1555 then 1595-1600</t>
        </r>
      </text>
    </comment>
    <comment ref="BM128" authorId="4">
      <text>
        <r>
          <rPr>
            <b/>
            <sz val="8"/>
            <color indexed="81"/>
            <rFont val="Tahoma"/>
            <family val="2"/>
          </rPr>
          <t>Jon Parker:</t>
        </r>
        <r>
          <rPr>
            <sz val="8"/>
            <color indexed="81"/>
            <rFont val="Tahoma"/>
            <family val="2"/>
          </rPr>
          <t xml:space="preserve">
Was $2.22-$2.23; Was $2.15-$2.17; Was $2.075-$2.1; Was $2.03-$2.05 pre-Radian6; Was $1.97-$2.0</t>
        </r>
      </text>
    </comment>
    <comment ref="BS128" authorId="3">
      <text>
        <r>
          <rPr>
            <b/>
            <sz val="8"/>
            <color indexed="81"/>
            <rFont val="Tahoma"/>
            <family val="2"/>
          </rPr>
          <t>jonpark:</t>
        </r>
        <r>
          <rPr>
            <sz val="8"/>
            <color indexed="81"/>
            <rFont val="Tahoma"/>
            <family val="2"/>
          </rPr>
          <t xml:space="preserve">
From $2.025-$3.035, From $2.99-$3.025 (post Buddy) From $2.97-$3.0 (pre Buddy Media) From $2.92-$2.95, from $2.88-$2.92</t>
        </r>
      </text>
    </comment>
    <comment ref="BY128" authorId="3">
      <text>
        <r>
          <rPr>
            <b/>
            <sz val="8"/>
            <color indexed="81"/>
            <rFont val="Tahoma"/>
            <family val="2"/>
          </rPr>
          <t>jonpark:</t>
        </r>
        <r>
          <rPr>
            <sz val="8"/>
            <color indexed="81"/>
            <rFont val="Tahoma"/>
            <family val="2"/>
          </rPr>
          <t xml:space="preserve">
Was $4.0-$4.025 post 2Q13; Was $3.955-4.0 post-ET; $3.835-$3.875B pre-ET deal; Was 3.82-3.87; Was $3.80-$3.85</t>
        </r>
      </text>
    </comment>
    <comment ref="CE128" authorId="6">
      <text>
        <r>
          <rPr>
            <b/>
            <sz val="9"/>
            <color indexed="81"/>
            <rFont val="Tahoma"/>
            <family val="2"/>
          </rPr>
          <t>StanZ:</t>
        </r>
        <r>
          <rPr>
            <sz val="9"/>
            <color indexed="81"/>
            <rFont val="Tahoma"/>
            <family val="2"/>
          </rPr>
          <t xml:space="preserve">
3Q: $5.365-$5.37
2Q: $5.34-$5.37
1Q:$5.3-$5.34
4Q:$5.15-$5.2B</t>
        </r>
      </text>
    </comment>
    <comment ref="CK128" authorId="7">
      <text>
        <r>
          <rPr>
            <b/>
            <sz val="9"/>
            <color indexed="81"/>
            <rFont val="Tahoma"/>
            <family val="2"/>
          </rPr>
          <t>StanZ:</t>
        </r>
        <r>
          <rPr>
            <sz val="9"/>
            <color indexed="81"/>
            <rFont val="Tahoma"/>
            <family val="2"/>
          </rPr>
          <t xml:space="preserve">
Q4: 6475-6520
Q1: 6520-6550
Q2: 6600-6625</t>
        </r>
      </text>
    </comment>
    <comment ref="CN128" authorId="5">
      <text>
        <r>
          <rPr>
            <b/>
            <sz val="9"/>
            <color indexed="81"/>
            <rFont val="Tahoma"/>
            <family val="2"/>
          </rPr>
          <t>Fodderwala, Hamza (Research):</t>
        </r>
        <r>
          <rPr>
            <sz val="9"/>
            <color indexed="81"/>
            <rFont val="Tahoma"/>
            <family val="2"/>
          </rPr>
          <t xml:space="preserve">
previously 2.005-2.015; DWRE expected to increase rev by 0-10M</t>
        </r>
      </text>
    </comment>
    <comment ref="CQ128" authorId="11">
      <text>
        <r>
          <rPr>
            <b/>
            <sz val="9"/>
            <color indexed="81"/>
            <rFont val="Tahoma"/>
            <family val="2"/>
          </rPr>
          <t>Austria, Anjelo D (Research):</t>
        </r>
        <r>
          <rPr>
            <sz val="9"/>
            <color indexed="81"/>
            <rFont val="Tahoma"/>
            <family val="2"/>
          </rPr>
          <t xml:space="preserve">
3Q16 Guide: 8000-8100
4Q16: 8080-8120
1Q17: 8160-8200
8260-8320, 100-120M rev from DWRE
2Q17: 8275-8325</t>
        </r>
      </text>
    </comment>
    <comment ref="CW128" authorId="5">
      <text>
        <r>
          <rPr>
            <b/>
            <sz val="9"/>
            <color indexed="81"/>
            <rFont val="Tahoma"/>
            <family val="2"/>
          </rPr>
          <t>Fodderwala, Hamza (Research):</t>
        </r>
        <r>
          <rPr>
            <sz val="9"/>
            <color indexed="81"/>
            <rFont val="Tahoma"/>
            <family val="2"/>
          </rPr>
          <t xml:space="preserve">
Q317: 10.1-10.15 
4Q17: 10.15-10.20
1Q18: 10.25-10.30
2Q18: 10.35-10.40
</t>
        </r>
      </text>
    </comment>
    <comment ref="CY128" authorId="5">
      <text>
        <r>
          <rPr>
            <b/>
            <sz val="9"/>
            <color indexed="81"/>
            <rFont val="Tahoma"/>
            <family val="2"/>
          </rPr>
          <t>Fodderwala, Hamza (Research):</t>
        </r>
        <r>
          <rPr>
            <sz val="9"/>
            <color indexed="81"/>
            <rFont val="Tahoma"/>
            <family val="2"/>
          </rPr>
          <t xml:space="preserve">
pre606: 2.925-2.935</t>
        </r>
      </text>
    </comment>
    <comment ref="DC128" authorId="5">
      <text>
        <r>
          <rPr>
            <b/>
            <sz val="9"/>
            <color indexed="81"/>
            <rFont val="Tahoma"/>
            <family val="2"/>
          </rPr>
          <t>Fodderwala, Hamza (Research):</t>
        </r>
        <r>
          <rPr>
            <sz val="9"/>
            <color indexed="81"/>
            <rFont val="Tahoma"/>
            <family val="2"/>
          </rPr>
          <t xml:space="preserve">
Q3: 12.45-12.50
pre606: 12.60-12.65</t>
        </r>
      </text>
    </comment>
    <comment ref="CY129" authorId="5">
      <text>
        <r>
          <rPr>
            <b/>
            <sz val="9"/>
            <color indexed="81"/>
            <rFont val="Tahoma"/>
            <family val="2"/>
          </rPr>
          <t>Fodderwala, Hamza (Research):</t>
        </r>
        <r>
          <rPr>
            <sz val="9"/>
            <color indexed="81"/>
            <rFont val="Tahoma"/>
            <family val="2"/>
          </rPr>
          <t xml:space="preserve">
pre606: 23-24%</t>
        </r>
      </text>
    </comment>
    <comment ref="CK130" authorId="7">
      <text>
        <r>
          <rPr>
            <b/>
            <sz val="9"/>
            <color indexed="81"/>
            <rFont val="Tahoma"/>
            <family val="2"/>
          </rPr>
          <t>StanZ:</t>
        </r>
        <r>
          <rPr>
            <sz val="9"/>
            <color indexed="81"/>
            <rFont val="Tahoma"/>
            <family val="2"/>
          </rPr>
          <t xml:space="preserve">
Q2 call: reiterated</t>
        </r>
      </text>
    </comment>
    <comment ref="CQ130" authorId="5">
      <text>
        <r>
          <rPr>
            <b/>
            <sz val="9"/>
            <color indexed="81"/>
            <rFont val="Tahoma"/>
            <family val="2"/>
          </rPr>
          <t>Fodderwala, Hamza (Research):</t>
        </r>
        <r>
          <rPr>
            <sz val="9"/>
            <color indexed="81"/>
            <rFont val="Tahoma"/>
            <family val="2"/>
          </rPr>
          <t xml:space="preserve">
4Q16: 23-24%
1Q17: 25-26%
22-23% Post DWRE acq.
2Q17: 20-21%</t>
        </r>
      </text>
    </comment>
    <comment ref="CW130" authorId="5">
      <text>
        <r>
          <rPr>
            <b/>
            <sz val="9"/>
            <color indexed="81"/>
            <rFont val="Tahoma"/>
            <family val="2"/>
          </rPr>
          <t>Fodderwala, Hamza (Research):</t>
        </r>
        <r>
          <rPr>
            <sz val="9"/>
            <color indexed="81"/>
            <rFont val="Tahoma"/>
            <family val="2"/>
          </rPr>
          <t xml:space="preserve">
1Q18: 20-21% YoY
2Q18: 20-21%</t>
        </r>
      </text>
    </comment>
    <comment ref="DC130" authorId="5">
      <text>
        <r>
          <rPr>
            <b/>
            <sz val="9"/>
            <color indexed="81"/>
            <rFont val="Tahoma"/>
            <family val="2"/>
          </rPr>
          <t>Fodderwala, Hamza (Research):</t>
        </r>
        <r>
          <rPr>
            <sz val="9"/>
            <color indexed="81"/>
            <rFont val="Tahoma"/>
            <family val="2"/>
          </rPr>
          <t xml:space="preserve">
pre606: 20-21%</t>
        </r>
      </text>
    </comment>
    <comment ref="CK131" authorId="7">
      <text>
        <r>
          <rPr>
            <b/>
            <sz val="9"/>
            <color indexed="81"/>
            <rFont val="Tahoma"/>
            <family val="2"/>
          </rPr>
          <t>StanZ:</t>
        </r>
        <r>
          <rPr>
            <sz val="9"/>
            <color indexed="81"/>
            <rFont val="Tahoma"/>
            <family val="2"/>
          </rPr>
          <t xml:space="preserve">
Q2 call: reiterated</t>
        </r>
      </text>
    </comment>
    <comment ref="DC131" authorId="5">
      <text>
        <r>
          <rPr>
            <b/>
            <sz val="9"/>
            <color indexed="81"/>
            <rFont val="Tahoma"/>
            <family val="2"/>
          </rPr>
          <t>Fodderwala, Hamza (Research):</t>
        </r>
        <r>
          <rPr>
            <sz val="9"/>
            <color indexed="81"/>
            <rFont val="Tahoma"/>
            <family val="2"/>
          </rPr>
          <t xml:space="preserve">
pre606: 125-150bps</t>
        </r>
      </text>
    </comment>
    <comment ref="BG132" authorId="4">
      <text>
        <r>
          <rPr>
            <b/>
            <sz val="8"/>
            <color indexed="81"/>
            <rFont val="Tahoma"/>
            <family val="2"/>
          </rPr>
          <t>Jon Parker:</t>
        </r>
        <r>
          <rPr>
            <sz val="8"/>
            <color indexed="81"/>
            <rFont val="Tahoma"/>
            <family val="2"/>
          </rPr>
          <t xml:space="preserve">
Was 1.13-1.15 then 1.15-1.17</t>
        </r>
      </text>
    </comment>
    <comment ref="BM132" authorId="3">
      <text>
        <r>
          <rPr>
            <b/>
            <sz val="8"/>
            <color indexed="81"/>
            <rFont val="Tahoma"/>
            <family val="2"/>
          </rPr>
          <t>jonpark:</t>
        </r>
        <r>
          <rPr>
            <sz val="8"/>
            <color indexed="81"/>
            <rFont val="Tahoma"/>
            <family val="2"/>
          </rPr>
          <t xml:space="preserve">
Was $1.30-$1.32 pre-Assistly; Was $1.24-$1.27; Was $1.35-$1.38 pre $0.11 from Radian6</t>
        </r>
      </text>
    </comment>
    <comment ref="BS132" authorId="3">
      <text>
        <r>
          <rPr>
            <b/>
            <sz val="8"/>
            <color indexed="81"/>
            <rFont val="Tahoma"/>
            <family val="2"/>
          </rPr>
          <t>jonpark:</t>
        </r>
        <r>
          <rPr>
            <sz val="8"/>
            <color indexed="81"/>
            <rFont val="Tahoma"/>
            <family val="2"/>
          </rPr>
          <t xml:space="preserve">
From 1.48-$1.51, From $1.45-$1.49, From $1.60-$1.65 (pre-Buddy Media); From 1.58-1.62</t>
        </r>
      </text>
    </comment>
    <comment ref="BU132" authorId="3">
      <text>
        <r>
          <rPr>
            <b/>
            <sz val="8"/>
            <color indexed="81"/>
            <rFont val="Tahoma"/>
            <family val="2"/>
          </rPr>
          <t>jonpark:</t>
        </r>
        <r>
          <rPr>
            <sz val="8"/>
            <color indexed="81"/>
            <rFont val="Tahoma"/>
            <family val="2"/>
          </rPr>
          <t xml:space="preserve">
0.40-0.42 pre-split</t>
        </r>
      </text>
    </comment>
    <comment ref="BV132" authorId="3">
      <text>
        <r>
          <rPr>
            <b/>
            <sz val="8"/>
            <color indexed="81"/>
            <rFont val="Tahoma"/>
            <family val="2"/>
          </rPr>
          <t>jonpark:</t>
        </r>
        <r>
          <rPr>
            <sz val="8"/>
            <color indexed="81"/>
            <rFont val="Tahoma"/>
            <family val="2"/>
          </rPr>
          <t xml:space="preserve">
$0.11-$0.12 pre-ET transaction</t>
        </r>
      </text>
    </comment>
    <comment ref="BY132" authorId="3">
      <text>
        <r>
          <rPr>
            <b/>
            <sz val="8"/>
            <color indexed="81"/>
            <rFont val="Tahoma"/>
            <family val="2"/>
          </rPr>
          <t>jonpark:</t>
        </r>
        <r>
          <rPr>
            <sz val="8"/>
            <color indexed="81"/>
            <rFont val="Tahoma"/>
            <family val="2"/>
          </rPr>
          <t xml:space="preserve">
Was $0.32-$0.34 post 2Q14; was $0.31-$0.33 post ET; $0.47-$0.49 pre-ET deal; ;1.93-1.97 pre split</t>
        </r>
      </text>
    </comment>
    <comment ref="CE132" authorId="12">
      <text>
        <r>
          <rPr>
            <sz val="9"/>
            <color indexed="81"/>
            <rFont val="Tahoma"/>
            <family val="2"/>
          </rPr>
          <t>0.50-0.52 @2Q Earnings</t>
        </r>
      </text>
    </comment>
    <comment ref="CK132" authorId="7">
      <text>
        <r>
          <rPr>
            <b/>
            <sz val="9"/>
            <color indexed="81"/>
            <rFont val="Tahoma"/>
            <family val="2"/>
          </rPr>
          <t>StanZ:</t>
        </r>
        <r>
          <rPr>
            <sz val="9"/>
            <color indexed="81"/>
            <rFont val="Tahoma"/>
            <family val="2"/>
          </rPr>
          <t xml:space="preserve">
Q4: 0.67-0.69
Q1: 0.69-0.71
Q2: 0.70-0.72</t>
        </r>
      </text>
    </comment>
    <comment ref="CN132" authorId="5">
      <text>
        <r>
          <rPr>
            <b/>
            <sz val="9"/>
            <color indexed="81"/>
            <rFont val="Tahoma"/>
            <family val="2"/>
          </rPr>
          <t>Fodderwala, Hamza (Research):</t>
        </r>
        <r>
          <rPr>
            <sz val="9"/>
            <color indexed="81"/>
            <rFont val="Tahoma"/>
            <family val="2"/>
          </rPr>
          <t xml:space="preserve">
previously 0.24-0.25; acq. related dilution of $0.03 from DWRE</t>
        </r>
      </text>
    </comment>
    <comment ref="CQ132" authorId="5">
      <text>
        <r>
          <rPr>
            <b/>
            <sz val="9"/>
            <color indexed="81"/>
            <rFont val="Tahoma"/>
            <family val="2"/>
          </rPr>
          <t>Fodderwala, Hamza (Research):</t>
        </r>
        <r>
          <rPr>
            <sz val="9"/>
            <color indexed="81"/>
            <rFont val="Tahoma"/>
            <family val="2"/>
          </rPr>
          <t xml:space="preserve">
4Q16: 0.99-1.01
1Q17: 1.00-1.02
($0.07) impact from DWRE integration cost
2Q17: 0.93-0.95</t>
        </r>
      </text>
    </comment>
    <comment ref="CW132" authorId="13">
      <text>
        <r>
          <rPr>
            <b/>
            <sz val="9"/>
            <color indexed="81"/>
            <rFont val="Tahoma"/>
            <family val="2"/>
          </rPr>
          <t>Zlotsky, Stan (Research):</t>
        </r>
        <r>
          <rPr>
            <sz val="9"/>
            <color indexed="81"/>
            <rFont val="Tahoma"/>
            <family val="2"/>
          </rPr>
          <t xml:space="preserve">
4Q17: 1.27-1.29
1Q18: 1.28-1.30
2Q18: 1.29-1.31</t>
        </r>
      </text>
    </comment>
    <comment ref="CY132" authorId="5">
      <text>
        <r>
          <rPr>
            <b/>
            <sz val="9"/>
            <color indexed="81"/>
            <rFont val="Tahoma"/>
            <family val="2"/>
          </rPr>
          <t>Fodderwala, Hamza (Research):</t>
        </r>
        <r>
          <rPr>
            <sz val="9"/>
            <color indexed="81"/>
            <rFont val="Tahoma"/>
            <family val="2"/>
          </rPr>
          <t xml:space="preserve">
pre606: 0.43-0.44</t>
        </r>
      </text>
    </comment>
    <comment ref="DC132" authorId="5">
      <text>
        <r>
          <rPr>
            <b/>
            <sz val="9"/>
            <color indexed="81"/>
            <rFont val="Tahoma"/>
            <family val="2"/>
          </rPr>
          <t>Fodderwala, Hamza (Research):</t>
        </r>
        <r>
          <rPr>
            <sz val="9"/>
            <color indexed="81"/>
            <rFont val="Tahoma"/>
            <family val="2"/>
          </rPr>
          <t xml:space="preserve">
pre606: 2.02-2.04</t>
        </r>
      </text>
    </comment>
    <comment ref="BG133" authorId="4">
      <text>
        <r>
          <rPr>
            <b/>
            <sz val="8"/>
            <color indexed="81"/>
            <rFont val="Tahoma"/>
            <family val="2"/>
          </rPr>
          <t>Jon Parker:</t>
        </r>
        <r>
          <rPr>
            <sz val="8"/>
            <color indexed="81"/>
            <rFont val="Tahoma"/>
            <family val="2"/>
          </rPr>
          <t xml:space="preserve">
Was 0.38-0.40</t>
        </r>
      </text>
    </comment>
    <comment ref="CE133" authorId="12">
      <text>
        <r>
          <rPr>
            <sz val="9"/>
            <color indexed="81"/>
            <rFont val="Tahoma"/>
            <family val="2"/>
          </rPr>
          <t xml:space="preserve">
(0.48)-(0.46) @ 2Q</t>
        </r>
      </text>
    </comment>
    <comment ref="CK133" authorId="7">
      <text>
        <r>
          <rPr>
            <b/>
            <sz val="9"/>
            <color indexed="81"/>
            <rFont val="Tahoma"/>
            <family val="2"/>
          </rPr>
          <t>StanZ:</t>
        </r>
        <r>
          <rPr>
            <sz val="9"/>
            <color indexed="81"/>
            <rFont val="Tahoma"/>
            <family val="2"/>
          </rPr>
          <t xml:space="preserve">
Q4: (0.16)-(0.14)
Q1: (0.12)-(0.10)
Q2: (0.17)-(0.15)
</t>
        </r>
      </text>
    </comment>
    <comment ref="CQ133" authorId="5">
      <text>
        <r>
          <rPr>
            <b/>
            <sz val="9"/>
            <color indexed="81"/>
            <rFont val="Tahoma"/>
            <family val="2"/>
          </rPr>
          <t>Fodderwala, Hamza (Research):</t>
        </r>
        <r>
          <rPr>
            <sz val="9"/>
            <color indexed="81"/>
            <rFont val="Tahoma"/>
            <family val="2"/>
          </rPr>
          <t xml:space="preserve">
2Q17: 0.27-0.29</t>
        </r>
      </text>
    </comment>
    <comment ref="CW133" authorId="13">
      <text>
        <r>
          <rPr>
            <b/>
            <sz val="9"/>
            <color indexed="81"/>
            <rFont val="Tahoma"/>
            <family val="2"/>
          </rPr>
          <t>Zlotsky, Stan (Research):</t>
        </r>
        <r>
          <rPr>
            <sz val="9"/>
            <color indexed="81"/>
            <rFont val="Tahoma"/>
            <family val="2"/>
          </rPr>
          <t xml:space="preserve">
4Q17: 0.05-0.07
1Q18: 0.06-0.08
2Q18: 0.07-0.09</t>
        </r>
      </text>
    </comment>
    <comment ref="CY133" authorId="5">
      <text>
        <r>
          <rPr>
            <b/>
            <sz val="9"/>
            <color indexed="81"/>
            <rFont val="Tahoma"/>
            <family val="2"/>
          </rPr>
          <t>Fodderwala, Hamza (Research):</t>
        </r>
        <r>
          <rPr>
            <sz val="9"/>
            <color indexed="81"/>
            <rFont val="Tahoma"/>
            <family val="2"/>
          </rPr>
          <t xml:space="preserve">
pre606: 0.09-0.10</t>
        </r>
      </text>
    </comment>
    <comment ref="DC133" authorId="5">
      <text>
        <r>
          <rPr>
            <b/>
            <sz val="9"/>
            <color indexed="81"/>
            <rFont val="Tahoma"/>
            <family val="2"/>
          </rPr>
          <t>Fodderwala, Hamza (Research):</t>
        </r>
        <r>
          <rPr>
            <sz val="9"/>
            <color indexed="81"/>
            <rFont val="Tahoma"/>
            <family val="2"/>
          </rPr>
          <t xml:space="preserve">
pre606: 0.61-0.63</t>
        </r>
      </text>
    </comment>
    <comment ref="W136" authorId="8">
      <text>
        <r>
          <rPr>
            <b/>
            <sz val="8"/>
            <color indexed="81"/>
            <rFont val="Tahoma"/>
            <family val="2"/>
          </rPr>
          <t>andwhite:</t>
        </r>
        <r>
          <rPr>
            <sz val="8"/>
            <color indexed="81"/>
            <rFont val="Tahoma"/>
            <family val="2"/>
          </rPr>
          <t xml:space="preserve">
As of January 31, 2004, we had an aggregate of $8.3 million of deferred stock-based compensation remaining to be amortized. We currently expect this deferred stock-based compensation balance to be amortized as follows: $3.2 million during fiscal 2005; $2.9 million during fiscal 2006; $1.9 million during fiscal 2007; and $300,000 during fiscal 2008.</t>
        </r>
      </text>
    </comment>
    <comment ref="AN150" authorId="2">
      <text>
        <r>
          <rPr>
            <b/>
            <sz val="8"/>
            <color indexed="81"/>
            <rFont val="Tahoma"/>
            <family val="2"/>
          </rPr>
          <t>Phillip Rowe:</t>
        </r>
        <r>
          <rPr>
            <sz val="8"/>
            <color indexed="81"/>
            <rFont val="Tahoma"/>
            <family val="2"/>
          </rPr>
          <t xml:space="preserve">
11/15 16-18 mln </t>
        </r>
      </text>
    </comment>
    <comment ref="CB150" authorId="7">
      <text>
        <r>
          <rPr>
            <b/>
            <sz val="9"/>
            <color indexed="81"/>
            <rFont val="Tahoma"/>
            <family val="2"/>
          </rPr>
          <t>StanZ:</t>
        </r>
        <r>
          <rPr>
            <sz val="9"/>
            <color indexed="81"/>
            <rFont val="Tahoma"/>
            <family val="2"/>
          </rPr>
          <t xml:space="preserve">
$139m guide
</t>
        </r>
      </text>
    </comment>
    <comment ref="CC150" authorId="7">
      <text>
        <r>
          <rPr>
            <b/>
            <sz val="9"/>
            <color indexed="81"/>
            <rFont val="Tahoma"/>
            <family val="2"/>
          </rPr>
          <t>StanZ:</t>
        </r>
        <r>
          <rPr>
            <sz val="9"/>
            <color indexed="81"/>
            <rFont val="Tahoma"/>
            <family val="2"/>
          </rPr>
          <t xml:space="preserve">
guide 147M
</t>
        </r>
      </text>
    </comment>
    <comment ref="CE150" authorId="6">
      <text>
        <r>
          <rPr>
            <b/>
            <sz val="9"/>
            <color indexed="81"/>
            <rFont val="Tahoma"/>
            <family val="2"/>
          </rPr>
          <t>StanZ</t>
        </r>
        <r>
          <rPr>
            <sz val="9"/>
            <color indexed="81"/>
            <rFont val="Tahoma"/>
            <family val="2"/>
          </rPr>
          <t xml:space="preserve">
2Q15 guide: $580M
1Q14 Guide: $578M
prior: $577M
</t>
        </r>
      </text>
    </comment>
    <comment ref="CK150" authorId="3">
      <text>
        <r>
          <rPr>
            <b/>
            <sz val="8"/>
            <color indexed="81"/>
            <rFont val="Tahoma"/>
            <family val="2"/>
          </rPr>
          <t>jonpark:</t>
        </r>
        <r>
          <rPr>
            <sz val="8"/>
            <color indexed="81"/>
            <rFont val="Tahoma"/>
            <family val="2"/>
          </rPr>
          <t xml:space="preserve">
4Q15: $617M</t>
        </r>
      </text>
    </comment>
    <comment ref="CO150" authorId="5">
      <text>
        <r>
          <rPr>
            <b/>
            <sz val="9"/>
            <color indexed="81"/>
            <rFont val="Tahoma"/>
            <family val="2"/>
          </rPr>
          <t>Fodderwala, Hamza (Research):</t>
        </r>
        <r>
          <rPr>
            <sz val="9"/>
            <color indexed="81"/>
            <rFont val="Tahoma"/>
            <family val="2"/>
          </rPr>
          <t xml:space="preserve">
0.28 per share from SBC in Q3</t>
        </r>
      </text>
    </comment>
    <comment ref="BS175" authorId="5">
      <text>
        <r>
          <rPr>
            <b/>
            <sz val="9"/>
            <color indexed="81"/>
            <rFont val="Tahoma"/>
            <family val="2"/>
          </rPr>
          <t>Fodderwala, Hamza (Research):</t>
        </r>
        <r>
          <rPr>
            <sz val="9"/>
            <color indexed="81"/>
            <rFont val="Tahoma"/>
            <family val="2"/>
          </rPr>
          <t xml:space="preserve">
preBuddy media
</t>
        </r>
      </text>
    </comment>
    <comment ref="A279" authorId="2">
      <text>
        <r>
          <rPr>
            <b/>
            <sz val="8"/>
            <color indexed="81"/>
            <rFont val="Tahoma"/>
            <family val="2"/>
          </rPr>
          <t>Phillip Rowe:</t>
        </r>
        <r>
          <rPr>
            <sz val="8"/>
            <color indexed="81"/>
            <rFont val="Tahoma"/>
            <family val="2"/>
          </rPr>
          <t xml:space="preserve">
shown under Quarter it describes; annual guidance appears in Q after the earnings call in which it was mentioned </t>
        </r>
      </text>
    </comment>
    <comment ref="T325" authorId="14">
      <text>
        <r>
          <rPr>
            <b/>
            <sz val="8"/>
            <color indexed="81"/>
            <rFont val="Tahoma"/>
            <family val="2"/>
          </rPr>
          <t>Andrew White:</t>
        </r>
        <r>
          <rPr>
            <sz val="8"/>
            <color indexed="81"/>
            <rFont val="Tahoma"/>
            <family val="2"/>
          </rPr>
          <t xml:space="preserve">
Given at Analyst Day</t>
        </r>
      </text>
    </comment>
    <comment ref="T331" authorId="14">
      <text>
        <r>
          <rPr>
            <b/>
            <sz val="8"/>
            <color indexed="81"/>
            <rFont val="Tahoma"/>
            <family val="2"/>
          </rPr>
          <t>Andrew White:</t>
        </r>
        <r>
          <rPr>
            <sz val="8"/>
            <color indexed="81"/>
            <rFont val="Tahoma"/>
            <family val="2"/>
          </rPr>
          <t xml:space="preserve">
Given at Analyst Day</t>
        </r>
      </text>
    </comment>
    <comment ref="T337" authorId="14">
      <text>
        <r>
          <rPr>
            <b/>
            <sz val="8"/>
            <color indexed="81"/>
            <rFont val="Tahoma"/>
            <family val="2"/>
          </rPr>
          <t>Andrew White:</t>
        </r>
        <r>
          <rPr>
            <sz val="8"/>
            <color indexed="81"/>
            <rFont val="Tahoma"/>
            <family val="2"/>
          </rPr>
          <t xml:space="preserve">
Given at Analyst Day</t>
        </r>
      </text>
    </comment>
    <comment ref="AN366" authorId="2">
      <text>
        <r>
          <rPr>
            <b/>
            <sz val="8"/>
            <color indexed="81"/>
            <rFont val="Tahoma"/>
            <family val="2"/>
          </rPr>
          <t>Phillip Rowe:</t>
        </r>
        <r>
          <rPr>
            <sz val="8"/>
            <color indexed="81"/>
            <rFont val="Tahoma"/>
            <family val="2"/>
          </rPr>
          <t xml:space="preserve">
11/15/2007: 
goal to conitnue to grow priority #1; invest in global sales capacity and infrastructure, particularly international where the opportunity; remains mostly untapped. Our costs will be impacted by the build-out of our first international data</t>
        </r>
      </text>
    </comment>
    <comment ref="AN372" authorId="2">
      <text>
        <r>
          <rPr>
            <b/>
            <sz val="8"/>
            <color indexed="81"/>
            <rFont val="Tahoma"/>
            <family val="2"/>
          </rPr>
          <t>Phillip Rowe:</t>
        </r>
        <r>
          <rPr>
            <sz val="8"/>
            <color indexed="81"/>
            <rFont val="Tahoma"/>
            <family val="2"/>
          </rPr>
          <t xml:space="preserve">
11/15/2007: 
goal to conitnue to grow priority #1; invest in global sales capacity and infrastructure, particularly international where the opportunity; remains mostly untapped. Our costs will be impacted by the build-out of our first international data</t>
        </r>
      </text>
    </comment>
  </commentList>
</comments>
</file>

<file path=xl/comments3.xml><?xml version="1.0" encoding="utf-8"?>
<comments xmlns="http://schemas.openxmlformats.org/spreadsheetml/2006/main">
  <authors>
    <author>Bogantes, Luis Diego (Research)</author>
    <author>evan bloomberg</author>
    <author>Austria, Anjelo D (Research)</author>
    <author>bloome</author>
    <author>Phillip Rowe</author>
    <author>kweiss</author>
    <author>Ross MacMillan</author>
    <author>jonpark</author>
    <author>Fodderwala, Hamza (Research)</author>
    <author>andwhite</author>
    <author>Andy White</author>
    <author>Jon Parker</author>
  </authors>
  <commentList>
    <comment ref="CC11" authorId="0">
      <text>
        <r>
          <rPr>
            <b/>
            <sz val="9"/>
            <color indexed="81"/>
            <rFont val="Tahoma"/>
            <family val="2"/>
          </rPr>
          <t>Bogantes, Luis Diego (Research):</t>
        </r>
        <r>
          <rPr>
            <sz val="9"/>
            <color indexed="81"/>
            <rFont val="Tahoma"/>
            <family val="2"/>
          </rPr>
          <t xml:space="preserve">
USD114.935M of Restricted Cash</t>
        </r>
      </text>
    </comment>
    <comment ref="J14" authorId="1">
      <text>
        <r>
          <rPr>
            <b/>
            <sz val="8"/>
            <color indexed="81"/>
            <rFont val="Tahoma"/>
            <family val="2"/>
          </rPr>
          <t>evan bloomberg:</t>
        </r>
        <r>
          <rPr>
            <sz val="8"/>
            <color indexed="81"/>
            <rFont val="Tahoma"/>
            <family val="2"/>
          </rPr>
          <t xml:space="preserve">
current =       $3.045
noncurrent = $0.390 </t>
        </r>
      </text>
    </comment>
    <comment ref="P14" authorId="1">
      <text>
        <r>
          <rPr>
            <b/>
            <sz val="8"/>
            <color indexed="81"/>
            <rFont val="Tahoma"/>
            <family val="2"/>
          </rPr>
          <t>evan bloomberg:</t>
        </r>
        <r>
          <rPr>
            <sz val="8"/>
            <color indexed="81"/>
            <rFont val="Tahoma"/>
            <family val="2"/>
          </rPr>
          <t xml:space="preserve">
current =       $8.266
noncurrent = $2.890 </t>
        </r>
      </text>
    </comment>
    <comment ref="CJ15" authorId="2">
      <text>
        <r>
          <rPr>
            <b/>
            <sz val="9"/>
            <color indexed="81"/>
            <rFont val="Tahoma"/>
            <family val="2"/>
          </rPr>
          <t>Austria, Anjelo D (Research):</t>
        </r>
        <r>
          <rPr>
            <sz val="9"/>
            <color indexed="81"/>
            <rFont val="Tahoma"/>
            <family val="2"/>
          </rPr>
          <t xml:space="preserve">
In November 2015, the FASB issued Accounting Standards Update No. 2015-17 (ASU 2015-17), "Income Taxes (Topic 740): Balance Sheet Classification of Deferred Taxes" which simplifies the presentation of deferred income taxes by requiring all deferred tax assets and liabilities to be classified as noncurrent on the balance sheet. </t>
        </r>
      </text>
    </comment>
    <comment ref="A16" authorId="3">
      <text>
        <r>
          <rPr>
            <b/>
            <sz val="8"/>
            <color indexed="81"/>
            <rFont val="Tahoma"/>
            <family val="2"/>
          </rPr>
          <t>bloome:</t>
        </r>
        <r>
          <rPr>
            <sz val="8"/>
            <color indexed="81"/>
            <rFont val="Tahoma"/>
            <family val="2"/>
          </rPr>
          <t xml:space="preserve">
Prepaid Expense included</t>
        </r>
      </text>
    </comment>
    <comment ref="AL16" authorId="4">
      <text>
        <r>
          <rPr>
            <b/>
            <sz val="8"/>
            <color indexed="81"/>
            <rFont val="Tahoma"/>
            <family val="2"/>
          </rPr>
          <t>Phillip Rowe:</t>
        </r>
        <r>
          <rPr>
            <sz val="8"/>
            <color indexed="81"/>
            <rFont val="Tahoma"/>
            <family val="2"/>
          </rPr>
          <t xml:space="preserve">
6.431 in deferred prof services costs</t>
        </r>
      </text>
    </comment>
    <comment ref="AL19" authorId="4">
      <text>
        <r>
          <rPr>
            <b/>
            <sz val="8"/>
            <color indexed="81"/>
            <rFont val="Tahoma"/>
            <family val="2"/>
          </rPr>
          <t>Phillip Rowe:</t>
        </r>
        <r>
          <rPr>
            <sz val="8"/>
            <color indexed="81"/>
            <rFont val="Tahoma"/>
            <family val="2"/>
          </rPr>
          <t xml:space="preserve">
computers 31.342 + furniture 6.86 +
leasehold 28.97 
less accum de&amp;a -30.483</t>
        </r>
      </text>
    </comment>
    <comment ref="A22" authorId="5">
      <text>
        <r>
          <rPr>
            <b/>
            <sz val="8"/>
            <color indexed="81"/>
            <rFont val="Tahoma"/>
            <family val="2"/>
          </rPr>
          <t>kweiss:</t>
        </r>
        <r>
          <rPr>
            <sz val="8"/>
            <color indexed="81"/>
            <rFont val="Tahoma"/>
            <family val="2"/>
          </rPr>
          <t xml:space="preserve">
Includes Restricted Cash</t>
        </r>
      </text>
    </comment>
    <comment ref="AL25" authorId="4">
      <text>
        <r>
          <rPr>
            <b/>
            <sz val="8"/>
            <color indexed="81"/>
            <rFont val="Tahoma"/>
            <family val="2"/>
          </rPr>
          <t>Phillip Rowe:</t>
        </r>
        <r>
          <rPr>
            <sz val="8"/>
            <color indexed="81"/>
            <rFont val="Tahoma"/>
            <family val="2"/>
          </rPr>
          <t xml:space="preserve">
23.9 capitalized sw = capitalized internal use sw dev of 12.2 + aqd tech of 11.755 mln</t>
        </r>
      </text>
    </comment>
    <comment ref="AF26" authorId="4">
      <text>
        <r>
          <rPr>
            <b/>
            <sz val="8"/>
            <color indexed="81"/>
            <rFont val="Tahoma"/>
            <family val="2"/>
          </rPr>
          <t>Phillip Rowe:</t>
        </r>
        <r>
          <rPr>
            <sz val="8"/>
            <color indexed="81"/>
            <rFont val="Tahoma"/>
            <family val="2"/>
          </rPr>
          <t xml:space="preserve">
5.626 on capitalized internal use + 5.357 mln of aqd tech</t>
        </r>
      </text>
    </comment>
    <comment ref="A33" authorId="6">
      <text>
        <r>
          <rPr>
            <b/>
            <sz val="8"/>
            <color indexed="81"/>
            <rFont val="Tahoma"/>
            <family val="2"/>
          </rPr>
          <t>Ross MacMillan:</t>
        </r>
        <r>
          <rPr>
            <sz val="8"/>
            <color indexed="81"/>
            <rFont val="Tahoma"/>
            <family val="2"/>
          </rPr>
          <t xml:space="preserve">
Steve Cakebread said that we will get unbilled deferred one a year</t>
        </r>
      </text>
    </comment>
    <comment ref="AE36" authorId="5">
      <text>
        <r>
          <rPr>
            <b/>
            <sz val="8"/>
            <color indexed="81"/>
            <rFont val="Tahoma"/>
            <family val="2"/>
          </rPr>
          <t>kweiss:</t>
        </r>
        <r>
          <rPr>
            <sz val="8"/>
            <color indexed="81"/>
            <rFont val="Tahoma"/>
            <family val="2"/>
          </rPr>
          <t xml:space="preserve">
Includes Deferred Tax Liability calculated as the difference between 45% effective tax rate and 10% cash tax rate.</t>
        </r>
      </text>
    </comment>
    <comment ref="BL43" authorId="7">
      <text>
        <r>
          <rPr>
            <b/>
            <sz val="8"/>
            <color indexed="81"/>
            <rFont val="Tahoma"/>
            <family val="2"/>
          </rPr>
          <t>jonpark:</t>
        </r>
        <r>
          <rPr>
            <sz val="8"/>
            <color indexed="81"/>
            <rFont val="Tahoma"/>
            <family val="2"/>
          </rPr>
          <t xml:space="preserve">
$75M assumed 5-year deal</t>
        </r>
      </text>
    </comment>
    <comment ref="A45" authorId="3">
      <text>
        <r>
          <rPr>
            <b/>
            <sz val="8"/>
            <color indexed="81"/>
            <rFont val="Tahoma"/>
            <family val="2"/>
          </rPr>
          <t>bloome:</t>
        </r>
        <r>
          <rPr>
            <sz val="8"/>
            <color indexed="81"/>
            <rFont val="Tahoma"/>
            <family val="2"/>
          </rPr>
          <t xml:space="preserve">
Minority Interest Included</t>
        </r>
      </text>
    </comment>
    <comment ref="CT53" authorId="8">
      <text>
        <r>
          <rPr>
            <b/>
            <sz val="9"/>
            <color indexed="81"/>
            <rFont val="Tahoma"/>
            <family val="2"/>
          </rPr>
          <t>Fodderwala, Hamza (Research):</t>
        </r>
        <r>
          <rPr>
            <sz val="9"/>
            <color indexed="81"/>
            <rFont val="Tahoma"/>
            <family val="2"/>
          </rPr>
          <t xml:space="preserve">
temporary equity, convertible 0.25% notes</t>
        </r>
      </text>
    </comment>
    <comment ref="A54" authorId="9">
      <text>
        <r>
          <rPr>
            <b/>
            <sz val="8"/>
            <color indexed="81"/>
            <rFont val="Tahoma"/>
            <family val="2"/>
          </rPr>
          <t>andwhite:</t>
        </r>
        <r>
          <rPr>
            <sz val="8"/>
            <color indexed="81"/>
            <rFont val="Tahoma"/>
            <family val="2"/>
          </rPr>
          <t xml:space="preserve">
Accumulated - balance plus annual translation adjustment.</t>
        </r>
      </text>
    </comment>
    <comment ref="AS122" authorId="5">
      <text>
        <r>
          <rPr>
            <b/>
            <sz val="8"/>
            <color indexed="81"/>
            <rFont val="Tahoma"/>
            <family val="2"/>
          </rPr>
          <t>kweiss:</t>
        </r>
        <r>
          <rPr>
            <sz val="8"/>
            <color indexed="81"/>
            <rFont val="Tahoma"/>
            <family val="2"/>
          </rPr>
          <t xml:space="preserve">
$8.6 was the acquired developed tech from Instranet</t>
        </r>
      </text>
    </comment>
    <comment ref="M141" authorId="9">
      <text>
        <r>
          <rPr>
            <b/>
            <sz val="8"/>
            <color indexed="81"/>
            <rFont val="Tahoma"/>
            <family val="2"/>
          </rPr>
          <t>andwhite:</t>
        </r>
        <r>
          <rPr>
            <sz val="8"/>
            <color indexed="81"/>
            <rFont val="Tahoma"/>
            <family val="2"/>
          </rPr>
          <t xml:space="preserve">
THEY STATE THAT THEY USED THIS ASSUMPTION</t>
        </r>
      </text>
    </comment>
    <comment ref="Q141" authorId="9">
      <text>
        <r>
          <rPr>
            <b/>
            <sz val="8"/>
            <color indexed="81"/>
            <rFont val="Tahoma"/>
            <family val="2"/>
          </rPr>
          <t>andwhite:</t>
        </r>
        <r>
          <rPr>
            <sz val="8"/>
            <color indexed="81"/>
            <rFont val="Tahoma"/>
            <family val="2"/>
          </rPr>
          <t xml:space="preserve">
THEY STATE THAT THEY USED THE ASSUMPTION OF $3.65</t>
        </r>
      </text>
    </comment>
    <comment ref="S141" authorId="9">
      <text>
        <r>
          <rPr>
            <b/>
            <sz val="8"/>
            <color indexed="81"/>
            <rFont val="Tahoma"/>
            <family val="2"/>
          </rPr>
          <t>andwhite:</t>
        </r>
        <r>
          <rPr>
            <sz val="8"/>
            <color indexed="81"/>
            <rFont val="Tahoma"/>
            <family val="2"/>
          </rPr>
          <t xml:space="preserve">
THEY STATE THAT THEY USED THIS ASSUMPTION</t>
        </r>
      </text>
    </comment>
    <comment ref="A145" authorId="9">
      <text>
        <r>
          <rPr>
            <b/>
            <sz val="8"/>
            <color indexed="81"/>
            <rFont val="Tahoma"/>
            <family val="2"/>
          </rPr>
          <t>andwhite:</t>
        </r>
        <r>
          <rPr>
            <sz val="8"/>
            <color indexed="81"/>
            <rFont val="Tahoma"/>
            <family val="2"/>
          </rPr>
          <t xml:space="preserve">
OF STOCK OPTIONS EXERCISED IN THE PERIOD</t>
        </r>
      </text>
    </comment>
    <comment ref="A154" authorId="9">
      <text>
        <r>
          <rPr>
            <b/>
            <sz val="8"/>
            <color indexed="81"/>
            <rFont val="Tahoma"/>
            <family val="2"/>
          </rPr>
          <t>andwhite:</t>
        </r>
        <r>
          <rPr>
            <sz val="8"/>
            <color indexed="81"/>
            <rFont val="Tahoma"/>
            <family val="2"/>
          </rPr>
          <t xml:space="preserve">
Outside Directors Stock Plan - 1 million authorised (authorisation will increase automatically).</t>
        </r>
      </text>
    </comment>
    <comment ref="A156" authorId="9">
      <text>
        <r>
          <rPr>
            <b/>
            <sz val="8"/>
            <color indexed="81"/>
            <rFont val="Tahoma"/>
            <family val="2"/>
          </rPr>
          <t>andwhite:</t>
        </r>
        <r>
          <rPr>
            <sz val="8"/>
            <color indexed="81"/>
            <rFont val="Tahoma"/>
            <family val="2"/>
          </rPr>
          <t xml:space="preserve">
ESPP - 1 million authorised (authorisation will increase automatically)
15% Discount to Market.
Up to 1,500 shares/year per employee (2 buying dates).</t>
        </r>
      </text>
    </comment>
    <comment ref="A195" authorId="9">
      <text>
        <r>
          <rPr>
            <b/>
            <sz val="8"/>
            <color indexed="81"/>
            <rFont val="Tahoma"/>
            <family val="2"/>
          </rPr>
          <t>andwhite:</t>
        </r>
        <r>
          <rPr>
            <sz val="8"/>
            <color indexed="81"/>
            <rFont val="Tahoma"/>
            <family val="2"/>
          </rPr>
          <t xml:space="preserve">
USE NET - OUR OPERATING NUMBER INCLUDES THE APB25 IMPACT</t>
        </r>
      </text>
    </comment>
    <comment ref="E224" authorId="9">
      <text>
        <r>
          <rPr>
            <b/>
            <sz val="8"/>
            <color indexed="81"/>
            <rFont val="Tahoma"/>
            <family val="2"/>
          </rPr>
          <t>andwhite:</t>
        </r>
        <r>
          <rPr>
            <sz val="8"/>
            <color indexed="81"/>
            <rFont val="Tahoma"/>
            <family val="2"/>
          </rPr>
          <t xml:space="preserve">
check this number when we get first 10-K.</t>
        </r>
      </text>
    </comment>
    <comment ref="K224" authorId="9">
      <text>
        <r>
          <rPr>
            <b/>
            <sz val="8"/>
            <color indexed="81"/>
            <rFont val="Tahoma"/>
            <family val="2"/>
          </rPr>
          <t>andwhite:</t>
        </r>
        <r>
          <rPr>
            <sz val="8"/>
            <color indexed="81"/>
            <rFont val="Tahoma"/>
            <family val="2"/>
          </rPr>
          <t xml:space="preserve">
check this number when we get first 10-K.</t>
        </r>
      </text>
    </comment>
    <comment ref="U230" authorId="9">
      <text>
        <r>
          <rPr>
            <b/>
            <sz val="8"/>
            <color indexed="81"/>
            <rFont val="Tahoma"/>
            <family val="2"/>
          </rPr>
          <t>andwhite:</t>
        </r>
        <r>
          <rPr>
            <sz val="8"/>
            <color indexed="81"/>
            <rFont val="Tahoma"/>
            <family val="2"/>
          </rPr>
          <t xml:space="preserve">
not sure why those granted to board members for board services are excluded!</t>
        </r>
      </text>
    </comment>
    <comment ref="V230" authorId="9">
      <text>
        <r>
          <rPr>
            <b/>
            <sz val="8"/>
            <color indexed="81"/>
            <rFont val="Tahoma"/>
            <family val="2"/>
          </rPr>
          <t>andwhite:</t>
        </r>
        <r>
          <rPr>
            <sz val="8"/>
            <color indexed="81"/>
            <rFont val="Tahoma"/>
            <family val="2"/>
          </rPr>
          <t xml:space="preserve">
not sure why those granted to board members for board services are excluded!</t>
        </r>
      </text>
    </comment>
    <comment ref="W230" authorId="9">
      <text>
        <r>
          <rPr>
            <b/>
            <sz val="8"/>
            <color indexed="81"/>
            <rFont val="Tahoma"/>
            <family val="2"/>
          </rPr>
          <t>andwhite:</t>
        </r>
        <r>
          <rPr>
            <sz val="8"/>
            <color indexed="81"/>
            <rFont val="Tahoma"/>
            <family val="2"/>
          </rPr>
          <t xml:space="preserve">
not sure why those granted to board members for board services are excluded!</t>
        </r>
      </text>
    </comment>
    <comment ref="A246" authorId="9">
      <text>
        <r>
          <rPr>
            <b/>
            <sz val="8"/>
            <color indexed="81"/>
            <rFont val="Tahoma"/>
            <family val="2"/>
          </rPr>
          <t>andwhite:</t>
        </r>
        <r>
          <rPr>
            <sz val="8"/>
            <color indexed="81"/>
            <rFont val="Tahoma"/>
            <family val="2"/>
          </rPr>
          <t xml:space="preserve">
Options issued are immediately exercisable!</t>
        </r>
      </text>
    </comment>
    <comment ref="Y246" authorId="10">
      <text>
        <r>
          <rPr>
            <b/>
            <sz val="8"/>
            <color indexed="81"/>
            <rFont val="Tahoma"/>
            <family val="2"/>
          </rPr>
          <t>Andy White:</t>
        </r>
        <r>
          <rPr>
            <sz val="8"/>
            <color indexed="81"/>
            <rFont val="Tahoma"/>
            <family val="2"/>
          </rPr>
          <t xml:space="preserve">
At April 30, 2005, options to purchase 5,246,000 shares were </t>
        </r>
        <r>
          <rPr>
            <b/>
            <sz val="8"/>
            <color indexed="81"/>
            <rFont val="Tahoma"/>
            <family val="2"/>
          </rPr>
          <t>vested</t>
        </r>
        <r>
          <rPr>
            <sz val="8"/>
            <color indexed="81"/>
            <rFont val="Tahoma"/>
            <family val="2"/>
          </rPr>
          <t xml:space="preserve"> at a weighted average exercise price of $2.59 per share</t>
        </r>
      </text>
    </comment>
    <comment ref="AA246" authorId="5">
      <text>
        <r>
          <rPr>
            <b/>
            <sz val="8"/>
            <color indexed="81"/>
            <rFont val="Tahoma"/>
            <family val="2"/>
          </rPr>
          <t>kweiss:</t>
        </r>
        <r>
          <rPr>
            <sz val="8"/>
            <color indexed="81"/>
            <rFont val="Tahoma"/>
            <family val="2"/>
          </rPr>
          <t xml:space="preserve">
options to purchase 5.329317 shares were vested at average weighted exercise price of $3.56 per share</t>
        </r>
      </text>
    </comment>
    <comment ref="AB246" authorId="5">
      <text>
        <r>
          <rPr>
            <b/>
            <sz val="8"/>
            <color indexed="81"/>
            <rFont val="Tahoma"/>
            <family val="2"/>
          </rPr>
          <t>kweiss:</t>
        </r>
        <r>
          <rPr>
            <sz val="8"/>
            <color indexed="81"/>
            <rFont val="Tahoma"/>
            <family val="2"/>
          </rPr>
          <t xml:space="preserve">
4,984,198 shares vested at an average price of $4.67</t>
        </r>
      </text>
    </comment>
    <comment ref="A247" authorId="9">
      <text>
        <r>
          <rPr>
            <b/>
            <sz val="8"/>
            <color indexed="81"/>
            <rFont val="Tahoma"/>
            <family val="2"/>
          </rPr>
          <t>andwhite:</t>
        </r>
        <r>
          <rPr>
            <sz val="8"/>
            <color indexed="81"/>
            <rFont val="Tahoma"/>
            <family val="2"/>
          </rPr>
          <t xml:space="preserve">
Options issued are immediately exercisable!</t>
        </r>
      </text>
    </comment>
    <comment ref="A248" authorId="9">
      <text>
        <r>
          <rPr>
            <b/>
            <sz val="8"/>
            <color indexed="81"/>
            <rFont val="Tahoma"/>
            <family val="2"/>
          </rPr>
          <t>andwhite:</t>
        </r>
        <r>
          <rPr>
            <sz val="8"/>
            <color indexed="81"/>
            <rFont val="Tahoma"/>
            <family val="2"/>
          </rPr>
          <t xml:space="preserve">
Options issued are immediately exercisable!</t>
        </r>
      </text>
    </comment>
    <comment ref="BI262" authorId="11">
      <text>
        <r>
          <rPr>
            <b/>
            <sz val="8"/>
            <color indexed="81"/>
            <rFont val="Tahoma"/>
            <family val="2"/>
          </rPr>
          <t>Jon Parker:</t>
        </r>
        <r>
          <rPr>
            <sz val="8"/>
            <color indexed="81"/>
            <rFont val="Tahoma"/>
            <family val="2"/>
          </rPr>
          <t xml:space="preserve">
As per guide</t>
        </r>
      </text>
    </comment>
    <comment ref="BI268" authorId="11">
      <text>
        <r>
          <rPr>
            <b/>
            <sz val="8"/>
            <color indexed="81"/>
            <rFont val="Tahoma"/>
            <family val="2"/>
          </rPr>
          <t>Jon Parker:</t>
        </r>
        <r>
          <rPr>
            <sz val="8"/>
            <color indexed="81"/>
            <rFont val="Tahoma"/>
            <family val="2"/>
          </rPr>
          <t xml:space="preserve">
As per guide</t>
        </r>
      </text>
    </comment>
    <comment ref="BV273" authorId="7">
      <text>
        <r>
          <rPr>
            <b/>
            <sz val="8"/>
            <color indexed="81"/>
            <rFont val="Tahoma"/>
            <family val="2"/>
          </rPr>
          <t>jonpark:</t>
        </r>
        <r>
          <rPr>
            <sz val="8"/>
            <color indexed="81"/>
            <rFont val="Tahoma"/>
            <family val="2"/>
          </rPr>
          <t xml:space="preserve">
two weeks</t>
        </r>
      </text>
    </comment>
    <comment ref="CB273" authorId="7">
      <text>
        <r>
          <rPr>
            <b/>
            <sz val="8"/>
            <color indexed="81"/>
            <rFont val="Tahoma"/>
            <family val="2"/>
          </rPr>
          <t>jonpark:</t>
        </r>
        <r>
          <rPr>
            <sz val="8"/>
            <color indexed="81"/>
            <rFont val="Tahoma"/>
            <family val="2"/>
          </rPr>
          <t xml:space="preserve">
two weeks</t>
        </r>
      </text>
    </comment>
    <comment ref="A275" authorId="8">
      <text>
        <r>
          <rPr>
            <b/>
            <sz val="9"/>
            <color indexed="81"/>
            <rFont val="Tahoma"/>
            <family val="2"/>
          </rPr>
          <t>Fodderwala, Hamza (Research):</t>
        </r>
        <r>
          <rPr>
            <sz val="9"/>
            <color indexed="81"/>
            <rFont val="Tahoma"/>
            <family val="2"/>
          </rPr>
          <t xml:space="preserve">
incremental uncommitted debt facility of $250M</t>
        </r>
      </text>
    </comment>
  </commentList>
</comments>
</file>

<file path=xl/comments4.xml><?xml version="1.0" encoding="utf-8"?>
<comments xmlns="http://schemas.openxmlformats.org/spreadsheetml/2006/main">
  <authors>
    <author>Jon Parker</author>
    <author>jonpark</author>
    <author>Phillip Rowe</author>
    <author>StanZ</author>
    <author>Parker, Jonathan (Research)</author>
    <author>Fodderwala, Hamza (Research)</author>
  </authors>
  <commentList>
    <comment ref="BF89" authorId="0">
      <text>
        <r>
          <rPr>
            <b/>
            <sz val="8"/>
            <color indexed="81"/>
            <rFont val="Tahoma"/>
            <family val="2"/>
          </rPr>
          <t>Jon Parker:</t>
        </r>
        <r>
          <rPr>
            <sz val="8"/>
            <color indexed="81"/>
            <rFont val="Tahoma"/>
            <family val="2"/>
          </rPr>
          <t xml:space="preserve">
One time $25M windfall</t>
        </r>
      </text>
    </comment>
    <comment ref="BJ98" authorId="1">
      <text>
        <r>
          <rPr>
            <b/>
            <sz val="8"/>
            <color indexed="81"/>
            <rFont val="Tahoma"/>
            <family val="2"/>
          </rPr>
          <t>jonpark:</t>
        </r>
        <r>
          <rPr>
            <sz val="8"/>
            <color indexed="81"/>
            <rFont val="Tahoma"/>
            <family val="2"/>
          </rPr>
          <t xml:space="preserve">
$13M of prepaid Dreamforce expenses</t>
        </r>
      </text>
    </comment>
    <comment ref="AO102" authorId="2">
      <text>
        <r>
          <rPr>
            <b/>
            <sz val="8"/>
            <color indexed="81"/>
            <rFont val="Tahoma"/>
            <family val="2"/>
          </rPr>
          <t>Phillip Rowe:</t>
        </r>
        <r>
          <rPr>
            <sz val="8"/>
            <color indexed="81"/>
            <rFont val="Tahoma"/>
            <family val="2"/>
          </rPr>
          <t xml:space="preserve">
11/07 ML 184 MLN
2/08 DB = 175 CFO</t>
        </r>
      </text>
    </comment>
    <comment ref="AU102" authorId="2">
      <text>
        <r>
          <rPr>
            <b/>
            <sz val="8"/>
            <color indexed="81"/>
            <rFont val="Tahoma"/>
            <family val="2"/>
          </rPr>
          <t>Phillip Rowe:</t>
        </r>
        <r>
          <rPr>
            <sz val="8"/>
            <color indexed="81"/>
            <rFont val="Tahoma"/>
            <family val="2"/>
          </rPr>
          <t xml:space="preserve">
11/07 ML: 228 mln
2/08 DB = 277 mn</t>
        </r>
      </text>
    </comment>
    <comment ref="BR102" authorId="1">
      <text>
        <r>
          <rPr>
            <b/>
            <sz val="8"/>
            <color indexed="81"/>
            <rFont val="Tahoma"/>
            <family val="2"/>
          </rPr>
          <t>jonpark:</t>
        </r>
        <r>
          <rPr>
            <sz val="8"/>
            <color indexed="81"/>
            <rFont val="Tahoma"/>
            <family val="2"/>
          </rPr>
          <t xml:space="preserve">
$30M benefit from invoice pulled into Q4 from Q1</t>
        </r>
      </text>
    </comment>
    <comment ref="BV102" authorId="1">
      <text>
        <r>
          <rPr>
            <b/>
            <sz val="8"/>
            <color indexed="81"/>
            <rFont val="Tahoma"/>
            <family val="2"/>
          </rPr>
          <t>jonpark:</t>
        </r>
        <r>
          <rPr>
            <sz val="8"/>
            <color indexed="81"/>
            <rFont val="Tahoma"/>
            <family val="2"/>
          </rPr>
          <t xml:space="preserve">
$30M of transaction costs</t>
        </r>
      </text>
    </comment>
    <comment ref="BY102" authorId="1">
      <text>
        <r>
          <rPr>
            <b/>
            <sz val="8"/>
            <color indexed="81"/>
            <rFont val="Tahoma"/>
            <family val="2"/>
          </rPr>
          <t>jonpark:</t>
        </r>
        <r>
          <rPr>
            <sz val="8"/>
            <color indexed="81"/>
            <rFont val="Tahoma"/>
            <family val="2"/>
          </rPr>
          <t xml:space="preserve">
$30M headwind from renewal pulled into FY13</t>
        </r>
      </text>
    </comment>
    <comment ref="CB102" authorId="3">
      <text>
        <r>
          <rPr>
            <b/>
            <sz val="9"/>
            <color indexed="81"/>
            <rFont val="Tahoma"/>
            <family val="2"/>
          </rPr>
          <t>StanZ:</t>
        </r>
        <r>
          <rPr>
            <sz val="9"/>
            <color indexed="81"/>
            <rFont val="Tahoma"/>
            <family val="2"/>
          </rPr>
          <t xml:space="preserve">
1Q call: 10% YoY growth
</t>
        </r>
      </text>
    </comment>
    <comment ref="CE102" authorId="4">
      <text>
        <r>
          <rPr>
            <b/>
            <sz val="9"/>
            <color indexed="81"/>
            <rFont val="Tahoma"/>
            <family val="2"/>
          </rPr>
          <t>StanZ:</t>
        </r>
        <r>
          <rPr>
            <sz val="9"/>
            <color indexed="81"/>
            <rFont val="Tahoma"/>
            <family val="2"/>
          </rPr>
          <t xml:space="preserve">
Guide for mid 20% growth;
reiterated on 1Q call;
on 2Q call: 26-27%
on 3Q call: 27-28%</t>
        </r>
      </text>
    </comment>
    <comment ref="CK102" authorId="3">
      <text>
        <r>
          <rPr>
            <b/>
            <sz val="9"/>
            <color indexed="81"/>
            <rFont val="Tahoma"/>
            <family val="2"/>
          </rPr>
          <t>StanZ:</t>
        </r>
        <r>
          <rPr>
            <sz val="9"/>
            <color indexed="81"/>
            <rFont val="Tahoma"/>
            <family val="2"/>
          </rPr>
          <t xml:space="preserve">
on 4Q15 call: 22-23%
on Q1 call: 24-25%
on Q2 call: reiterated</t>
        </r>
      </text>
    </comment>
    <comment ref="CQ104" authorId="5">
      <text>
        <r>
          <rPr>
            <b/>
            <sz val="9"/>
            <color indexed="81"/>
            <rFont val="Tahoma"/>
            <family val="2"/>
          </rPr>
          <t>Fodderwala, Hamza (Research):</t>
        </r>
        <r>
          <rPr>
            <sz val="9"/>
            <color indexed="81"/>
            <rFont val="Tahoma"/>
            <family val="2"/>
          </rPr>
          <t xml:space="preserve">
20-21%</t>
        </r>
      </text>
    </comment>
    <comment ref="CE107" authorId="3">
      <text>
        <r>
          <rPr>
            <b/>
            <sz val="9"/>
            <color indexed="81"/>
            <rFont val="Tahoma"/>
            <family val="2"/>
          </rPr>
          <t>StanZ:</t>
        </r>
        <r>
          <rPr>
            <sz val="9"/>
            <color indexed="81"/>
            <rFont val="Tahoma"/>
            <family val="2"/>
          </rPr>
          <t xml:space="preserve">
5-7% of revenue
</t>
        </r>
      </text>
    </comment>
  </commentList>
</comments>
</file>

<file path=xl/comments5.xml><?xml version="1.0" encoding="utf-8"?>
<comments xmlns="http://schemas.openxmlformats.org/spreadsheetml/2006/main">
  <authors>
    <author>Phillip Rowe</author>
    <author>meligo</author>
    <author>jonpark</author>
    <author>swanjenn</author>
    <author>Jon Parker</author>
    <author>Fodderwala, Hamza (Research)</author>
    <author>Zlotsky, Stan (Research)</author>
    <author>StanZ</author>
    <author>Parker, Jonathan (Research)</author>
    <author>kweiss</author>
  </authors>
  <commentList>
    <comment ref="AU8" authorId="0">
      <text>
        <r>
          <rPr>
            <b/>
            <sz val="8"/>
            <color indexed="81"/>
            <rFont val="Tahoma"/>
            <family val="2"/>
          </rPr>
          <t>Phillip Rowe:</t>
        </r>
        <r>
          <rPr>
            <sz val="8"/>
            <color indexed="81"/>
            <rFont val="Tahoma"/>
            <family val="2"/>
          </rPr>
          <t xml:space="preserve">
backed into from data provided on FQ4 call</t>
        </r>
      </text>
    </comment>
    <comment ref="AV8" authorId="0">
      <text>
        <r>
          <rPr>
            <b/>
            <sz val="8"/>
            <color indexed="81"/>
            <rFont val="Tahoma"/>
            <family val="2"/>
          </rPr>
          <t>Phillip Rowe:</t>
        </r>
        <r>
          <rPr>
            <sz val="8"/>
            <color indexed="81"/>
            <rFont val="Tahoma"/>
            <family val="2"/>
          </rPr>
          <t xml:space="preserve">
provided on 2/27 call</t>
        </r>
      </text>
    </comment>
    <comment ref="BL8" authorId="1">
      <text>
        <r>
          <rPr>
            <b/>
            <sz val="8"/>
            <color indexed="81"/>
            <rFont val="Tahoma"/>
            <family val="2"/>
          </rPr>
          <t>meligo:</t>
        </r>
        <r>
          <rPr>
            <sz val="8"/>
            <color indexed="81"/>
            <rFont val="Tahoma"/>
            <family val="2"/>
          </rPr>
          <t xml:space="preserve">
includes 500 customers from Jigsaw</t>
        </r>
      </text>
    </comment>
    <comment ref="CA8" authorId="2">
      <text>
        <r>
          <rPr>
            <b/>
            <sz val="8"/>
            <color indexed="81"/>
            <rFont val="Tahoma"/>
            <family val="2"/>
          </rPr>
          <t>jonpark:</t>
        </r>
        <r>
          <rPr>
            <sz val="8"/>
            <color indexed="81"/>
            <rFont val="Tahoma"/>
            <family val="2"/>
          </rPr>
          <t xml:space="preserve">
More than 130,000</t>
        </r>
      </text>
    </comment>
    <comment ref="AV11" authorId="0">
      <text>
        <r>
          <rPr>
            <b/>
            <sz val="8"/>
            <color indexed="81"/>
            <rFont val="Tahoma"/>
            <family val="2"/>
          </rPr>
          <t>Phillip Rowe:</t>
        </r>
        <r>
          <rPr>
            <sz val="8"/>
            <color indexed="81"/>
            <rFont val="Tahoma"/>
            <family val="2"/>
          </rPr>
          <t xml:space="preserve">
2900 mentioned on 2/27 call</t>
        </r>
      </text>
    </comment>
    <comment ref="BS11" authorId="2">
      <text>
        <r>
          <rPr>
            <b/>
            <sz val="8"/>
            <color indexed="81"/>
            <rFont val="Tahoma"/>
            <family val="2"/>
          </rPr>
          <t>jonpark:</t>
        </r>
        <r>
          <rPr>
            <sz val="8"/>
            <color indexed="81"/>
            <rFont val="Tahoma"/>
            <family val="2"/>
          </rPr>
          <t xml:space="preserve">
Record customer numbers</t>
        </r>
      </text>
    </comment>
    <comment ref="CD11" authorId="2">
      <text>
        <r>
          <rPr>
            <b/>
            <sz val="8"/>
            <color indexed="81"/>
            <rFont val="Tahoma"/>
            <family val="2"/>
          </rPr>
          <t>jonpark:</t>
        </r>
        <r>
          <rPr>
            <sz val="8"/>
            <color indexed="81"/>
            <rFont val="Tahoma"/>
            <family val="2"/>
          </rPr>
          <t xml:space="preserve">
6,000 from ExactTarget</t>
        </r>
      </text>
    </comment>
    <comment ref="AT36" authorId="0">
      <text>
        <r>
          <rPr>
            <b/>
            <sz val="8"/>
            <color indexed="81"/>
            <rFont val="Tahoma"/>
            <family val="2"/>
          </rPr>
          <t>Phillip Rowe:</t>
        </r>
        <r>
          <rPr>
            <sz val="8"/>
            <color indexed="81"/>
            <rFont val="Tahoma"/>
            <family val="2"/>
          </rPr>
          <t xml:space="preserve">
8/15/07 more than 800k subs</t>
        </r>
      </text>
    </comment>
    <comment ref="AU36" authorId="0">
      <text>
        <r>
          <rPr>
            <b/>
            <sz val="8"/>
            <color indexed="81"/>
            <rFont val="Tahoma"/>
            <family val="2"/>
          </rPr>
          <t>Phillip Rowe:</t>
        </r>
        <r>
          <rPr>
            <sz val="8"/>
            <color indexed="81"/>
            <rFont val="Tahoma"/>
            <family val="2"/>
          </rPr>
          <t xml:space="preserve">
Dreamforce 2007 Dreamforce: 
Sep 17, 2007 more than 900K subs </t>
        </r>
      </text>
    </comment>
    <comment ref="AV36" authorId="0">
      <text>
        <r>
          <rPr>
            <b/>
            <sz val="8"/>
            <color indexed="81"/>
            <rFont val="Tahoma"/>
            <family val="2"/>
          </rPr>
          <t>Phillip Rowe:</t>
        </r>
        <r>
          <rPr>
            <sz val="8"/>
            <color indexed="81"/>
            <rFont val="Tahoma"/>
            <family val="2"/>
          </rPr>
          <t xml:space="preserve">
2/27 said 1.1 mln subs
12/5/2007 celebrates millionth subscriber at lunch award ceremony</t>
        </r>
      </text>
    </comment>
    <comment ref="BB36" authorId="3">
      <text>
        <r>
          <rPr>
            <b/>
            <sz val="8"/>
            <color indexed="81"/>
            <rFont val="Tahoma"/>
            <family val="2"/>
          </rPr>
          <t>swanjenn:</t>
        </r>
        <r>
          <rPr>
            <sz val="8"/>
            <color indexed="81"/>
            <rFont val="Tahoma"/>
            <family val="2"/>
          </rPr>
          <t xml:space="preserve">
"greater than 1.5M, an increase of approx 400K from the prior FY end"</t>
        </r>
      </text>
    </comment>
    <comment ref="BH36" authorId="4">
      <text>
        <r>
          <rPr>
            <b/>
            <sz val="8"/>
            <color indexed="81"/>
            <rFont val="Tahoma"/>
            <family val="2"/>
          </rPr>
          <t>Jon Parker:</t>
        </r>
        <r>
          <rPr>
            <sz val="8"/>
            <color indexed="81"/>
            <rFont val="Tahoma"/>
            <family val="2"/>
          </rPr>
          <t xml:space="preserve">
"Greater than 2M, +500K YoY)</t>
        </r>
      </text>
    </comment>
    <comment ref="CV83" authorId="5">
      <text>
        <r>
          <rPr>
            <b/>
            <sz val="9"/>
            <color indexed="81"/>
            <rFont val="Tahoma"/>
            <family val="2"/>
          </rPr>
          <t>Fodderwala, Hamza (Research):</t>
        </r>
        <r>
          <rPr>
            <sz val="9"/>
            <color indexed="81"/>
            <rFont val="Tahoma"/>
            <family val="2"/>
          </rPr>
          <t xml:space="preserve">
estimated ~$7M from DWRE subscription rev </t>
        </r>
      </text>
    </comment>
    <comment ref="CW83" authorId="5">
      <text>
        <r>
          <rPr>
            <b/>
            <sz val="9"/>
            <color indexed="81"/>
            <rFont val="Tahoma"/>
            <family val="2"/>
          </rPr>
          <t>Fodderwala, Hamza (Research):</t>
        </r>
        <r>
          <rPr>
            <sz val="9"/>
            <color indexed="81"/>
            <rFont val="Tahoma"/>
            <family val="2"/>
          </rPr>
          <t xml:space="preserve">
includes $42M of subscription / support rev from DWRE</t>
        </r>
      </text>
    </comment>
    <comment ref="CY83" authorId="5">
      <text>
        <r>
          <rPr>
            <b/>
            <sz val="9"/>
            <color indexed="81"/>
            <rFont val="Tahoma"/>
            <family val="2"/>
          </rPr>
          <t>Fodderwala, Hamza (Research):</t>
        </r>
        <r>
          <rPr>
            <sz val="9"/>
            <color indexed="81"/>
            <rFont val="Tahoma"/>
            <family val="2"/>
          </rPr>
          <t xml:space="preserve">
includes subscrption rev from DWRE, ~11% of Marketing Cloud rev</t>
        </r>
      </text>
    </comment>
    <comment ref="DA83" authorId="6">
      <text>
        <r>
          <rPr>
            <b/>
            <sz val="9"/>
            <color indexed="81"/>
            <rFont val="Tahoma"/>
            <family val="2"/>
          </rPr>
          <t>Zlotsky, Stan (Research):</t>
        </r>
        <r>
          <rPr>
            <sz val="9"/>
            <color indexed="81"/>
            <rFont val="Tahoma"/>
            <family val="2"/>
          </rPr>
          <t xml:space="preserve">
$46M of DWRE subs rev; 2pts of growth added from Krux</t>
        </r>
      </text>
    </comment>
    <comment ref="CY85" authorId="5">
      <text>
        <r>
          <rPr>
            <b/>
            <sz val="9"/>
            <color indexed="81"/>
            <rFont val="Tahoma"/>
            <family val="2"/>
          </rPr>
          <t>Fodderwala, Hamza (Research):</t>
        </r>
        <r>
          <rPr>
            <sz val="9"/>
            <color indexed="81"/>
            <rFont val="Tahoma"/>
            <family val="2"/>
          </rPr>
          <t xml:space="preserve">
25% YoY organic growth (ex. DWRE and Krux), 11% of FY17 rev from DWRE</t>
        </r>
      </text>
    </comment>
    <comment ref="DB85" authorId="5">
      <text>
        <r>
          <rPr>
            <b/>
            <sz val="9"/>
            <color indexed="81"/>
            <rFont val="Tahoma"/>
            <family val="2"/>
          </rPr>
          <t>Fodderwala, Hamza (Research):</t>
        </r>
        <r>
          <rPr>
            <sz val="9"/>
            <color indexed="81"/>
            <rFont val="Tahoma"/>
            <family val="2"/>
          </rPr>
          <t xml:space="preserve">
36% organic, 63M from Commerce Cloud, 51M from subscription / support</t>
        </r>
      </text>
    </comment>
    <comment ref="BT111" authorId="2">
      <text>
        <r>
          <rPr>
            <b/>
            <sz val="8"/>
            <color indexed="81"/>
            <rFont val="Tahoma"/>
            <family val="2"/>
          </rPr>
          <t>jonpark:</t>
        </r>
        <r>
          <rPr>
            <sz val="8"/>
            <color indexed="81"/>
            <rFont val="Tahoma"/>
            <family val="2"/>
          </rPr>
          <t xml:space="preserve">
Normalizing for prepaid multi-year invoicing and shift in billing patterns towards annual</t>
        </r>
      </text>
    </comment>
    <comment ref="BW122" authorId="2">
      <text>
        <r>
          <rPr>
            <b/>
            <sz val="8"/>
            <color indexed="81"/>
            <rFont val="Tahoma"/>
            <family val="2"/>
          </rPr>
          <t>jonpark:</t>
        </r>
        <r>
          <rPr>
            <sz val="8"/>
            <color indexed="81"/>
            <rFont val="Tahoma"/>
            <family val="2"/>
          </rPr>
          <t xml:space="preserve">
$30M from large renewal got pulled into earlier quarter</t>
        </r>
      </text>
    </comment>
    <comment ref="CE122" authorId="2">
      <text>
        <r>
          <rPr>
            <b/>
            <sz val="8"/>
            <color indexed="81"/>
            <rFont val="Tahoma"/>
            <family val="2"/>
          </rPr>
          <t>jonpark:</t>
        </r>
        <r>
          <rPr>
            <sz val="8"/>
            <color indexed="81"/>
            <rFont val="Tahoma"/>
            <family val="2"/>
          </rPr>
          <t xml:space="preserve">
adjusting for unbilled ET effect</t>
        </r>
      </text>
    </comment>
    <comment ref="BT124" authorId="2">
      <text>
        <r>
          <rPr>
            <b/>
            <sz val="8"/>
            <color indexed="81"/>
            <rFont val="Tahoma"/>
            <family val="2"/>
          </rPr>
          <t>jonpark:</t>
        </r>
        <r>
          <rPr>
            <sz val="8"/>
            <color indexed="81"/>
            <rFont val="Tahoma"/>
            <family val="2"/>
          </rPr>
          <t xml:space="preserve">
Adjusting to include impact of shifting billing terms towards annual</t>
        </r>
      </text>
    </comment>
    <comment ref="BW124" authorId="2">
      <text>
        <r>
          <rPr>
            <b/>
            <sz val="8"/>
            <color indexed="81"/>
            <rFont val="Tahoma"/>
            <family val="2"/>
          </rPr>
          <t>jonpark:</t>
        </r>
        <r>
          <rPr>
            <sz val="8"/>
            <color indexed="81"/>
            <rFont val="Tahoma"/>
            <family val="2"/>
          </rPr>
          <t xml:space="preserve">
Adjusts to back out previous quarters invoicing already shifted to annual from renewal base; adds back benefit from new deals shifted to annual </t>
        </r>
      </text>
    </comment>
    <comment ref="BZ124" authorId="2">
      <text>
        <r>
          <rPr>
            <b/>
            <sz val="8"/>
            <color indexed="81"/>
            <rFont val="Tahoma"/>
            <family val="2"/>
          </rPr>
          <t>jonpark:</t>
        </r>
        <r>
          <rPr>
            <sz val="8"/>
            <color indexed="81"/>
            <rFont val="Tahoma"/>
            <family val="2"/>
          </rPr>
          <t xml:space="preserve">
$30M early renewed from large deal normally in Q1</t>
        </r>
      </text>
    </comment>
    <comment ref="CE124" authorId="2">
      <text>
        <r>
          <rPr>
            <b/>
            <sz val="8"/>
            <color indexed="81"/>
            <rFont val="Tahoma"/>
            <family val="2"/>
          </rPr>
          <t>jonpark:</t>
        </r>
        <r>
          <rPr>
            <sz val="8"/>
            <color indexed="81"/>
            <rFont val="Tahoma"/>
            <family val="2"/>
          </rPr>
          <t xml:space="preserve">
Including ExactTarget (assumes both new/renewed deals)</t>
        </r>
      </text>
    </comment>
    <comment ref="CF124" authorId="7">
      <text>
        <r>
          <rPr>
            <b/>
            <sz val="9"/>
            <color indexed="81"/>
            <rFont val="Tahoma"/>
            <family val="2"/>
          </rPr>
          <t>StanZ:</t>
        </r>
        <r>
          <rPr>
            <sz val="9"/>
            <color indexed="81"/>
            <rFont val="Tahoma"/>
            <family val="2"/>
          </rPr>
          <t xml:space="preserve">
adjusted for $130M of ET billings</t>
        </r>
      </text>
    </comment>
    <comment ref="CI124" authorId="7">
      <text>
        <r>
          <rPr>
            <b/>
            <sz val="9"/>
            <color indexed="81"/>
            <rFont val="Tahoma"/>
            <family val="2"/>
          </rPr>
          <t>StanZ:</t>
        </r>
        <r>
          <rPr>
            <sz val="9"/>
            <color indexed="81"/>
            <rFont val="Tahoma"/>
            <family val="2"/>
          </rPr>
          <t xml:space="preserve">
estimated $85M of ET billings</t>
        </r>
      </text>
    </comment>
    <comment ref="CV124" authorId="5">
      <text>
        <r>
          <rPr>
            <b/>
            <sz val="9"/>
            <color indexed="81"/>
            <rFont val="Tahoma"/>
            <family val="2"/>
          </rPr>
          <t>Fodderwala, Hamza (Research):</t>
        </r>
        <r>
          <rPr>
            <sz val="9"/>
            <color indexed="81"/>
            <rFont val="Tahoma"/>
            <family val="2"/>
          </rPr>
          <t xml:space="preserve">
includes DWRE (both new and renewal billings expected prior to acq)</t>
        </r>
      </text>
    </comment>
    <comment ref="CJ125" authorId="7">
      <text>
        <r>
          <rPr>
            <b/>
            <sz val="9"/>
            <color indexed="81"/>
            <rFont val="Tahoma"/>
            <family val="2"/>
          </rPr>
          <t>StanZ:</t>
        </r>
        <r>
          <rPr>
            <sz val="9"/>
            <color indexed="81"/>
            <rFont val="Tahoma"/>
            <family val="2"/>
          </rPr>
          <t xml:space="preserve">
accounting for impact of higher attrition ET deals; ex-ET attrition was flat QoQ</t>
        </r>
      </text>
    </comment>
    <comment ref="CK125" authorId="7">
      <text>
        <r>
          <rPr>
            <b/>
            <sz val="9"/>
            <color indexed="81"/>
            <rFont val="Tahoma"/>
            <family val="2"/>
          </rPr>
          <t>StanZ:</t>
        </r>
        <r>
          <rPr>
            <sz val="9"/>
            <color indexed="81"/>
            <rFont val="Tahoma"/>
            <family val="2"/>
          </rPr>
          <t xml:space="preserve">
pre 3Q15 print: lowered renewal $ assumption on strong FX move reducing deferred rev</t>
        </r>
      </text>
    </comment>
    <comment ref="CW125" authorId="5">
      <text>
        <r>
          <rPr>
            <b/>
            <sz val="9"/>
            <color indexed="81"/>
            <rFont val="Tahoma"/>
            <family val="2"/>
          </rPr>
          <t>Fodderwala, Hamza (Research):</t>
        </r>
        <r>
          <rPr>
            <sz val="9"/>
            <color indexed="81"/>
            <rFont val="Tahoma"/>
            <family val="2"/>
          </rPr>
          <t xml:space="preserve">
9% dollar attrition in Q3</t>
        </r>
      </text>
    </comment>
    <comment ref="CX125" authorId="5">
      <text>
        <r>
          <rPr>
            <b/>
            <sz val="9"/>
            <color indexed="81"/>
            <rFont val="Tahoma"/>
            <family val="2"/>
          </rPr>
          <t>Fodderwala, Hamza (Research):</t>
        </r>
        <r>
          <rPr>
            <sz val="9"/>
            <color indexed="81"/>
            <rFont val="Tahoma"/>
            <family val="2"/>
          </rPr>
          <t xml:space="preserve">
dollar attrition &lt;9%</t>
        </r>
      </text>
    </comment>
    <comment ref="DB125" authorId="5">
      <text>
        <r>
          <rPr>
            <b/>
            <sz val="9"/>
            <color indexed="81"/>
            <rFont val="Tahoma"/>
            <family val="2"/>
          </rPr>
          <t>Fodderwala, Hamza (Research):</t>
        </r>
        <r>
          <rPr>
            <sz val="9"/>
            <color indexed="81"/>
            <rFont val="Tahoma"/>
            <family val="2"/>
          </rPr>
          <t xml:space="preserve">
below 9% excl. Marketing Cloud</t>
        </r>
      </text>
    </comment>
    <comment ref="DC125" authorId="5">
      <text>
        <r>
          <rPr>
            <b/>
            <sz val="9"/>
            <color indexed="81"/>
            <rFont val="Tahoma"/>
            <family val="2"/>
          </rPr>
          <t>Fodderwala, Hamza (Research):</t>
        </r>
        <r>
          <rPr>
            <sz val="9"/>
            <color indexed="81"/>
            <rFont val="Tahoma"/>
            <family val="2"/>
          </rPr>
          <t xml:space="preserve">
approx 10% attrition, incl marketing cloud</t>
        </r>
      </text>
    </comment>
    <comment ref="DD125" authorId="5">
      <text>
        <r>
          <rPr>
            <b/>
            <sz val="9"/>
            <color indexed="81"/>
            <rFont val="Tahoma"/>
            <family val="2"/>
          </rPr>
          <t>Fodderwala, Hamza (Research):</t>
        </r>
        <r>
          <rPr>
            <sz val="9"/>
            <color indexed="81"/>
            <rFont val="Tahoma"/>
            <family val="2"/>
          </rPr>
          <t xml:space="preserve">
slightly less than 10% attrition</t>
        </r>
      </text>
    </comment>
    <comment ref="BW134" authorId="2">
      <text>
        <r>
          <rPr>
            <b/>
            <sz val="8"/>
            <color indexed="81"/>
            <rFont val="Tahoma"/>
            <family val="2"/>
          </rPr>
          <t>jonpark:</t>
        </r>
        <r>
          <rPr>
            <sz val="8"/>
            <color indexed="81"/>
            <rFont val="Tahoma"/>
            <family val="2"/>
          </rPr>
          <t xml:space="preserve">
6 point shift towards annual according to Dreamforce slides</t>
        </r>
      </text>
    </comment>
    <comment ref="BX134" authorId="2">
      <text>
        <r>
          <rPr>
            <b/>
            <sz val="8"/>
            <color indexed="81"/>
            <rFont val="Tahoma"/>
            <family val="2"/>
          </rPr>
          <t>jonpark:</t>
        </r>
        <r>
          <rPr>
            <sz val="8"/>
            <color indexed="81"/>
            <rFont val="Tahoma"/>
            <family val="2"/>
          </rPr>
          <t xml:space="preserve">
8 point shift towards annual according to Dreamforce slides</t>
        </r>
      </text>
    </comment>
    <comment ref="BY134" authorId="2">
      <text>
        <r>
          <rPr>
            <b/>
            <sz val="8"/>
            <color indexed="81"/>
            <rFont val="Tahoma"/>
            <family val="2"/>
          </rPr>
          <t>jonpark:</t>
        </r>
        <r>
          <rPr>
            <sz val="8"/>
            <color indexed="81"/>
            <rFont val="Tahoma"/>
            <family val="2"/>
          </rPr>
          <t xml:space="preserve">
6 point annual invoicing shift assumed</t>
        </r>
      </text>
    </comment>
    <comment ref="CC134" authorId="2">
      <text>
        <r>
          <rPr>
            <b/>
            <sz val="8"/>
            <color indexed="81"/>
            <rFont val="Tahoma"/>
            <family val="2"/>
          </rPr>
          <t>jonpark:</t>
        </r>
        <r>
          <rPr>
            <sz val="8"/>
            <color indexed="81"/>
            <rFont val="Tahoma"/>
            <family val="2"/>
          </rPr>
          <t xml:space="preserve">
5 point shift based on earnings call</t>
        </r>
      </text>
    </comment>
    <comment ref="CD134" authorId="7">
      <text>
        <r>
          <rPr>
            <b/>
            <sz val="9"/>
            <color indexed="81"/>
            <rFont val="Tahoma"/>
            <family val="2"/>
          </rPr>
          <t>StanZ:</t>
        </r>
        <r>
          <rPr>
            <sz val="9"/>
            <color indexed="81"/>
            <rFont val="Tahoma"/>
            <family val="2"/>
          </rPr>
          <t xml:space="preserve">
2013 A-day slide 13</t>
        </r>
      </text>
    </comment>
    <comment ref="CE134" authorId="7">
      <text>
        <r>
          <rPr>
            <b/>
            <sz val="9"/>
            <color indexed="81"/>
            <rFont val="Tahoma"/>
            <family val="2"/>
          </rPr>
          <t>StanZ:</t>
        </r>
        <r>
          <rPr>
            <sz val="9"/>
            <color indexed="81"/>
            <rFont val="Tahoma"/>
            <family val="2"/>
          </rPr>
          <t xml:space="preserve">
2013 A-day slide 13</t>
        </r>
      </text>
    </comment>
    <comment ref="CF134" authorId="7">
      <text>
        <r>
          <rPr>
            <b/>
            <sz val="9"/>
            <color indexed="81"/>
            <rFont val="Tahoma"/>
            <family val="2"/>
          </rPr>
          <t>StanZ:</t>
        </r>
        <r>
          <rPr>
            <sz val="9"/>
            <color indexed="81"/>
            <rFont val="Tahoma"/>
            <family val="2"/>
          </rPr>
          <t xml:space="preserve">
83% annual vs 80% a year ago</t>
        </r>
      </text>
    </comment>
    <comment ref="CL134" authorId="7">
      <text>
        <r>
          <rPr>
            <b/>
            <sz val="9"/>
            <color indexed="81"/>
            <rFont val="Tahoma"/>
            <family val="2"/>
          </rPr>
          <t>StanZ:</t>
        </r>
        <r>
          <rPr>
            <sz val="9"/>
            <color indexed="81"/>
            <rFont val="Tahoma"/>
            <family val="2"/>
          </rPr>
          <t xml:space="preserve">
85% annual vs 83% a year ago</t>
        </r>
      </text>
    </comment>
    <comment ref="CO134" authorId="7">
      <text>
        <r>
          <rPr>
            <b/>
            <sz val="9"/>
            <color indexed="81"/>
            <rFont val="Tahoma"/>
            <family val="2"/>
          </rPr>
          <t>StanZ:</t>
        </r>
        <r>
          <rPr>
            <sz val="9"/>
            <color indexed="81"/>
            <rFont val="Tahoma"/>
            <family val="2"/>
          </rPr>
          <t xml:space="preserve">
Annual prepay increased to 75% vs 69% a year ago</t>
        </r>
      </text>
    </comment>
    <comment ref="CP134" authorId="7">
      <text>
        <r>
          <rPr>
            <b/>
            <sz val="9"/>
            <color indexed="81"/>
            <rFont val="Tahoma"/>
            <family val="2"/>
          </rPr>
          <t>StanZ:</t>
        </r>
        <r>
          <rPr>
            <sz val="9"/>
            <color indexed="81"/>
            <rFont val="Tahoma"/>
            <family val="2"/>
          </rPr>
          <t xml:space="preserve">
74% vs 71% a year ago billed annually</t>
        </r>
      </text>
    </comment>
    <comment ref="CQ134" authorId="7">
      <text>
        <r>
          <rPr>
            <b/>
            <sz val="9"/>
            <color indexed="81"/>
            <rFont val="Tahoma"/>
            <family val="2"/>
          </rPr>
          <t>StanZ:</t>
        </r>
        <r>
          <rPr>
            <sz val="9"/>
            <color indexed="81"/>
            <rFont val="Tahoma"/>
            <family val="2"/>
          </rPr>
          <t xml:space="preserve">
79% annual billing vs 74% a year ago</t>
        </r>
      </text>
    </comment>
    <comment ref="CR134" authorId="7">
      <text>
        <r>
          <rPr>
            <b/>
            <sz val="9"/>
            <color indexed="81"/>
            <rFont val="Tahoma"/>
            <family val="2"/>
          </rPr>
          <t>StanZ:</t>
        </r>
        <r>
          <rPr>
            <sz val="9"/>
            <color indexed="81"/>
            <rFont val="Tahoma"/>
            <family val="2"/>
          </rPr>
          <t xml:space="preserve">
88% annual billing vs 85% a year ago</t>
        </r>
      </text>
    </comment>
    <comment ref="CV134" authorId="7">
      <text>
        <r>
          <rPr>
            <b/>
            <sz val="9"/>
            <color indexed="81"/>
            <rFont val="Tahoma"/>
            <family val="2"/>
          </rPr>
          <t>StanZ:</t>
        </r>
        <r>
          <rPr>
            <sz val="9"/>
            <color indexed="81"/>
            <rFont val="Tahoma"/>
            <family val="2"/>
          </rPr>
          <t xml:space="preserve">
78% vs 74% a year ago billed annually, less than 1% of D/R</t>
        </r>
      </text>
    </comment>
    <comment ref="CW134" authorId="7">
      <text>
        <r>
          <rPr>
            <b/>
            <sz val="9"/>
            <color indexed="81"/>
            <rFont val="Tahoma"/>
            <family val="2"/>
          </rPr>
          <t>StanZ:</t>
        </r>
        <r>
          <rPr>
            <sz val="9"/>
            <color indexed="81"/>
            <rFont val="Tahoma"/>
            <family val="2"/>
          </rPr>
          <t xml:space="preserve">
80% annual billing; 1% benefit ot D/R</t>
        </r>
      </text>
    </comment>
    <comment ref="BW136" authorId="7">
      <text>
        <r>
          <rPr>
            <b/>
            <sz val="9"/>
            <color indexed="81"/>
            <rFont val="Tahoma"/>
            <family val="2"/>
          </rPr>
          <t>StanZ:</t>
        </r>
        <r>
          <rPr>
            <sz val="9"/>
            <color indexed="81"/>
            <rFont val="Tahoma"/>
            <family val="2"/>
          </rPr>
          <t xml:space="preserve">
From 2012 A-day slide 30</t>
        </r>
      </text>
    </comment>
    <comment ref="BX136" authorId="7">
      <text>
        <r>
          <rPr>
            <b/>
            <sz val="9"/>
            <color indexed="81"/>
            <rFont val="Tahoma"/>
            <family val="2"/>
          </rPr>
          <t>StanZ:</t>
        </r>
        <r>
          <rPr>
            <sz val="9"/>
            <color indexed="81"/>
            <rFont val="Tahoma"/>
            <family val="2"/>
          </rPr>
          <t xml:space="preserve">
From 2012 A-day slide 30</t>
        </r>
      </text>
    </comment>
    <comment ref="BY137" authorId="2">
      <text>
        <r>
          <rPr>
            <b/>
            <sz val="8"/>
            <color indexed="81"/>
            <rFont val="Tahoma"/>
            <family val="2"/>
          </rPr>
          <t>jonpark:</t>
        </r>
        <r>
          <rPr>
            <sz val="8"/>
            <color indexed="81"/>
            <rFont val="Tahoma"/>
            <family val="2"/>
          </rPr>
          <t xml:space="preserve">
$110M total benefit from invoicing, large-multi year deal</t>
        </r>
      </text>
    </comment>
    <comment ref="BZ137" authorId="2">
      <text>
        <r>
          <rPr>
            <b/>
            <sz val="8"/>
            <color indexed="81"/>
            <rFont val="Tahoma"/>
            <family val="2"/>
          </rPr>
          <t>jonpark:</t>
        </r>
        <r>
          <rPr>
            <sz val="8"/>
            <color indexed="81"/>
            <rFont val="Tahoma"/>
            <family val="2"/>
          </rPr>
          <t xml:space="preserve">
$125M total benefit from invoicing, large-multi year deal</t>
        </r>
      </text>
    </comment>
    <comment ref="CC137" authorId="2">
      <text>
        <r>
          <rPr>
            <b/>
            <sz val="8"/>
            <color indexed="81"/>
            <rFont val="Tahoma"/>
            <family val="2"/>
          </rPr>
          <t>jonpark:</t>
        </r>
        <r>
          <rPr>
            <sz val="8"/>
            <color indexed="81"/>
            <rFont val="Tahoma"/>
            <family val="2"/>
          </rPr>
          <t xml:space="preserve">
$100M total benefit from invoicing, large-multi year deal</t>
        </r>
      </text>
    </comment>
    <comment ref="CD137" authorId="2">
      <text>
        <r>
          <rPr>
            <b/>
            <sz val="8"/>
            <color indexed="81"/>
            <rFont val="Tahoma"/>
            <family val="2"/>
          </rPr>
          <t>jonpark:</t>
        </r>
        <r>
          <rPr>
            <sz val="8"/>
            <color indexed="81"/>
            <rFont val="Tahoma"/>
            <family val="2"/>
          </rPr>
          <t xml:space="preserve">
$85M cumulative benefit</t>
        </r>
      </text>
    </comment>
    <comment ref="CE137" authorId="8">
      <text>
        <r>
          <rPr>
            <b/>
            <sz val="9"/>
            <color indexed="81"/>
            <rFont val="Tahoma"/>
            <family val="2"/>
          </rPr>
          <t>Parker, Jonathan (Research):</t>
        </r>
        <r>
          <rPr>
            <sz val="9"/>
            <color indexed="81"/>
            <rFont val="Tahoma"/>
            <family val="2"/>
          </rPr>
          <t xml:space="preserve">
$67M cumulative benefit</t>
        </r>
      </text>
    </comment>
    <comment ref="CF137" authorId="8">
      <text>
        <r>
          <rPr>
            <b/>
            <sz val="9"/>
            <color indexed="81"/>
            <rFont val="Tahoma"/>
            <family val="2"/>
          </rPr>
          <t>Parker, Jonathan (Research):</t>
        </r>
        <r>
          <rPr>
            <sz val="9"/>
            <color indexed="81"/>
            <rFont val="Tahoma"/>
            <family val="2"/>
          </rPr>
          <t xml:space="preserve">
$75M cumuilative benefit</t>
        </r>
      </text>
    </comment>
    <comment ref="AV139" authorId="0">
      <text>
        <r>
          <rPr>
            <b/>
            <sz val="8"/>
            <color indexed="81"/>
            <rFont val="Tahoma"/>
            <family val="2"/>
          </rPr>
          <t>Phillip Rowe:</t>
        </r>
        <r>
          <rPr>
            <sz val="8"/>
            <color indexed="81"/>
            <rFont val="Tahoma"/>
            <family val="2"/>
          </rPr>
          <t xml:space="preserve">
CONSENSUS 
2/7/08 DEUTSCHE BANK 294.7 Mn
jan 08 goldman expects 261 bookings
dec 07 Jefferies 285 mn
dec 07 first albany 
dec 07 merrill 277 mln</t>
        </r>
      </text>
    </comment>
    <comment ref="BT139" authorId="2">
      <text>
        <r>
          <rPr>
            <b/>
            <sz val="8"/>
            <color indexed="81"/>
            <rFont val="Tahoma"/>
            <family val="2"/>
          </rPr>
          <t>jonpark:</t>
        </r>
        <r>
          <rPr>
            <sz val="8"/>
            <color indexed="81"/>
            <rFont val="Tahoma"/>
            <family val="2"/>
          </rPr>
          <t xml:space="preserve">
Includes $80M from term shift towards annual</t>
        </r>
      </text>
    </comment>
    <comment ref="BW139" authorId="2">
      <text>
        <r>
          <rPr>
            <b/>
            <sz val="8"/>
            <color indexed="81"/>
            <rFont val="Tahoma"/>
            <family val="2"/>
          </rPr>
          <t>jonpark:</t>
        </r>
        <r>
          <rPr>
            <sz val="8"/>
            <color indexed="81"/>
            <rFont val="Tahoma"/>
            <family val="2"/>
          </rPr>
          <t xml:space="preserve">
Includes $10M headwind from invoicing changes</t>
        </r>
      </text>
    </comment>
    <comment ref="BX139" authorId="2">
      <text>
        <r>
          <rPr>
            <b/>
            <sz val="8"/>
            <color indexed="81"/>
            <rFont val="Tahoma"/>
            <family val="2"/>
          </rPr>
          <t>jonpark:</t>
        </r>
        <r>
          <rPr>
            <sz val="8"/>
            <color indexed="81"/>
            <rFont val="Tahoma"/>
            <family val="2"/>
          </rPr>
          <t xml:space="preserve">
Includes $25M headwind from invoicing changes</t>
        </r>
      </text>
    </comment>
    <comment ref="CC139" authorId="2">
      <text>
        <r>
          <rPr>
            <b/>
            <sz val="8"/>
            <color indexed="81"/>
            <rFont val="Tahoma"/>
            <family val="2"/>
          </rPr>
          <t>jonpark:</t>
        </r>
        <r>
          <rPr>
            <sz val="8"/>
            <color indexed="81"/>
            <rFont val="Tahoma"/>
            <family val="2"/>
          </rPr>
          <t xml:space="preserve">
Includes $30M headwind from billing pulled into 4Q</t>
        </r>
      </text>
    </comment>
    <comment ref="CD139" authorId="2">
      <text>
        <r>
          <rPr>
            <b/>
            <sz val="8"/>
            <color indexed="81"/>
            <rFont val="Tahoma"/>
            <family val="2"/>
          </rPr>
          <t>jonpark:</t>
        </r>
        <r>
          <rPr>
            <sz val="8"/>
            <color indexed="81"/>
            <rFont val="Tahoma"/>
            <family val="2"/>
          </rPr>
          <t xml:space="preserve">
Includes $25M headwind from invoicing changes</t>
        </r>
      </text>
    </comment>
    <comment ref="BT146" authorId="2">
      <text>
        <r>
          <rPr>
            <b/>
            <sz val="8"/>
            <color indexed="81"/>
            <rFont val="Tahoma"/>
            <family val="2"/>
          </rPr>
          <t>jonpark:</t>
        </r>
        <r>
          <rPr>
            <sz val="8"/>
            <color indexed="81"/>
            <rFont val="Tahoma"/>
            <family val="2"/>
          </rPr>
          <t xml:space="preserve">
35</t>
        </r>
      </text>
    </comment>
    <comment ref="CD146" authorId="2">
      <text>
        <r>
          <rPr>
            <b/>
            <sz val="8"/>
            <color indexed="81"/>
            <rFont val="Tahoma"/>
            <family val="2"/>
          </rPr>
          <t>jonpark:</t>
        </r>
        <r>
          <rPr>
            <sz val="8"/>
            <color indexed="81"/>
            <rFont val="Tahoma"/>
            <family val="2"/>
          </rPr>
          <t xml:space="preserve">
adjusting for ET</t>
        </r>
      </text>
    </comment>
    <comment ref="BT147" authorId="2">
      <text>
        <r>
          <rPr>
            <b/>
            <sz val="8"/>
            <color indexed="81"/>
            <rFont val="Tahoma"/>
            <family val="2"/>
          </rPr>
          <t>jonpark:</t>
        </r>
        <r>
          <rPr>
            <sz val="8"/>
            <color indexed="81"/>
            <rFont val="Tahoma"/>
            <family val="2"/>
          </rPr>
          <t xml:space="preserve">
35% adjusting for $80M of invoicing term changes</t>
        </r>
      </text>
    </comment>
    <comment ref="CS151" authorId="5">
      <text>
        <r>
          <rPr>
            <b/>
            <sz val="9"/>
            <color indexed="81"/>
            <rFont val="Tahoma"/>
            <family val="2"/>
          </rPr>
          <t>Fodderwala, Hamza (Research):</t>
        </r>
        <r>
          <rPr>
            <sz val="9"/>
            <color indexed="81"/>
            <rFont val="Tahoma"/>
            <family val="2"/>
          </rPr>
          <t xml:space="preserve">
weighted average</t>
        </r>
      </text>
    </comment>
    <comment ref="CD159" authorId="8">
      <text>
        <r>
          <rPr>
            <b/>
            <sz val="9"/>
            <color indexed="81"/>
            <rFont val="Tahoma"/>
            <family val="2"/>
          </rPr>
          <t>Parker, Jonathan (Research):</t>
        </r>
        <r>
          <rPr>
            <sz val="9"/>
            <color indexed="81"/>
            <rFont val="Tahoma"/>
            <family val="2"/>
          </rPr>
          <t xml:space="preserve">
include $40M from ET</t>
        </r>
      </text>
    </comment>
    <comment ref="CE159" authorId="8">
      <text>
        <r>
          <rPr>
            <b/>
            <sz val="9"/>
            <color indexed="81"/>
            <rFont val="Tahoma"/>
            <family val="2"/>
          </rPr>
          <t>Parker, Jonathan (Research):</t>
        </r>
        <r>
          <rPr>
            <sz val="9"/>
            <color indexed="81"/>
            <rFont val="Tahoma"/>
            <family val="2"/>
          </rPr>
          <t xml:space="preserve">
includes $65M from ET</t>
        </r>
      </text>
    </comment>
    <comment ref="CF159" authorId="8">
      <text>
        <r>
          <rPr>
            <b/>
            <sz val="9"/>
            <color indexed="81"/>
            <rFont val="Tahoma"/>
            <family val="2"/>
          </rPr>
          <t>Parker, Jonathan (Research):</t>
        </r>
        <r>
          <rPr>
            <sz val="9"/>
            <color indexed="81"/>
            <rFont val="Tahoma"/>
            <family val="2"/>
          </rPr>
          <t xml:space="preserve">
Includes $99M from ET</t>
        </r>
      </text>
    </comment>
    <comment ref="CI161" authorId="8">
      <text>
        <r>
          <rPr>
            <b/>
            <sz val="9"/>
            <color indexed="81"/>
            <rFont val="Tahoma"/>
            <family val="2"/>
          </rPr>
          <t>Parker, Jonathan (Research):</t>
        </r>
        <r>
          <rPr>
            <sz val="9"/>
            <color indexed="81"/>
            <rFont val="Tahoma"/>
            <family val="2"/>
          </rPr>
          <t xml:space="preserve">
guide for low 30% growth</t>
        </r>
      </text>
    </comment>
    <comment ref="CJ161" authorId="7">
      <text>
        <r>
          <rPr>
            <b/>
            <sz val="9"/>
            <color indexed="81"/>
            <rFont val="Tahoma"/>
            <family val="2"/>
          </rPr>
          <t>StanZ:</t>
        </r>
        <r>
          <rPr>
            <sz val="9"/>
            <color indexed="81"/>
            <rFont val="Tahoma"/>
            <family val="2"/>
          </rPr>
          <t xml:space="preserve">
Guide for flat q/q deferred</t>
        </r>
      </text>
    </comment>
    <comment ref="CK161" authorId="7">
      <text>
        <r>
          <rPr>
            <b/>
            <sz val="9"/>
            <color indexed="81"/>
            <rFont val="Tahoma"/>
            <family val="2"/>
          </rPr>
          <t>StanZ:</t>
        </r>
        <r>
          <rPr>
            <sz val="9"/>
            <color indexed="81"/>
            <rFont val="Tahoma"/>
            <family val="2"/>
          </rPr>
          <t xml:space="preserve">
Guide for flat q/q deferred</t>
        </r>
      </text>
    </comment>
    <comment ref="CL161" authorId="7">
      <text>
        <r>
          <rPr>
            <b/>
            <sz val="9"/>
            <color indexed="81"/>
            <rFont val="Tahoma"/>
            <family val="2"/>
          </rPr>
          <t>StanZ:</t>
        </r>
        <r>
          <rPr>
            <sz val="9"/>
            <color indexed="81"/>
            <rFont val="Tahoma"/>
            <family val="2"/>
          </rPr>
          <t xml:space="preserve">
Guide for +27% YoY growth</t>
        </r>
      </text>
    </comment>
    <comment ref="CO161" authorId="7">
      <text>
        <r>
          <rPr>
            <b/>
            <sz val="9"/>
            <color indexed="81"/>
            <rFont val="Tahoma"/>
            <family val="2"/>
          </rPr>
          <t>StanZ:</t>
        </r>
        <r>
          <rPr>
            <sz val="9"/>
            <color indexed="81"/>
            <rFont val="Tahoma"/>
            <family val="2"/>
          </rPr>
          <t xml:space="preserve">
Guide for mid-high 20% growth</t>
        </r>
      </text>
    </comment>
    <comment ref="CP161" authorId="7">
      <text>
        <r>
          <rPr>
            <b/>
            <sz val="9"/>
            <color indexed="81"/>
            <rFont val="Tahoma"/>
            <family val="2"/>
          </rPr>
          <t>StanZ:</t>
        </r>
        <r>
          <rPr>
            <sz val="9"/>
            <color indexed="81"/>
            <rFont val="Tahoma"/>
            <family val="2"/>
          </rPr>
          <t xml:space="preserve">
Guide for mid/high 20% growth</t>
        </r>
      </text>
    </comment>
    <comment ref="CQ161" authorId="7">
      <text>
        <r>
          <rPr>
            <b/>
            <sz val="9"/>
            <color indexed="81"/>
            <rFont val="Tahoma"/>
            <family val="2"/>
          </rPr>
          <t>StanZ:</t>
        </r>
        <r>
          <rPr>
            <sz val="9"/>
            <color indexed="81"/>
            <rFont val="Tahoma"/>
            <family val="2"/>
          </rPr>
          <t xml:space="preserve">
Guide for mid-20% growth</t>
        </r>
      </text>
    </comment>
    <comment ref="CR161" authorId="7">
      <text>
        <r>
          <rPr>
            <b/>
            <sz val="9"/>
            <color indexed="81"/>
            <rFont val="Tahoma"/>
            <family val="2"/>
          </rPr>
          <t>StanZ:</t>
        </r>
        <r>
          <rPr>
            <sz val="9"/>
            <color indexed="81"/>
            <rFont val="Tahoma"/>
            <family val="2"/>
          </rPr>
          <t xml:space="preserve">
Guide for 23%-24%
</t>
        </r>
      </text>
    </comment>
    <comment ref="CV161" authorId="5">
      <text>
        <r>
          <rPr>
            <b/>
            <sz val="9"/>
            <color indexed="81"/>
            <rFont val="Tahoma"/>
            <family val="2"/>
          </rPr>
          <t>Fodderwala, Hamza (Research):</t>
        </r>
        <r>
          <rPr>
            <sz val="9"/>
            <color indexed="81"/>
            <rFont val="Tahoma"/>
            <family val="2"/>
          </rPr>
          <t xml:space="preserve">
26-28% guidance given in Q1
includes 23M from D/R </t>
        </r>
      </text>
    </comment>
    <comment ref="DG161" authorId="5">
      <text>
        <r>
          <rPr>
            <b/>
            <sz val="9"/>
            <color indexed="81"/>
            <rFont val="Tahoma"/>
            <family val="2"/>
          </rPr>
          <t>Fodderwala, Hamza (Research):</t>
        </r>
        <r>
          <rPr>
            <sz val="9"/>
            <color indexed="81"/>
            <rFont val="Tahoma"/>
            <family val="2"/>
          </rPr>
          <t xml:space="preserve">
23-24% growth</t>
        </r>
      </text>
    </comment>
    <comment ref="AP169" authorId="0">
      <text>
        <r>
          <rPr>
            <b/>
            <sz val="8"/>
            <color indexed="81"/>
            <rFont val="Tahoma"/>
            <family val="2"/>
          </rPr>
          <t>Phillip Rowe:</t>
        </r>
        <r>
          <rPr>
            <sz val="8"/>
            <color indexed="81"/>
            <rFont val="Tahoma"/>
            <family val="2"/>
          </rPr>
          <t xml:space="preserve">
Jan 2007 call "On the liability side of the balance sheet, deferred revenue finished at $284 million...Remember, this is just for the business that is booked and invoiced. For business booked but not yet invoiced, we continue to carry a non-GAAP, off-balance-sheet deferred revenue amount that is slightly more than what you see on the balance sheet. In total, our on and off-balance-sheet deferred revenue is now approaching $600 million."</t>
        </r>
      </text>
    </comment>
    <comment ref="AU169" authorId="0">
      <text>
        <r>
          <rPr>
            <b/>
            <sz val="8"/>
            <color indexed="81"/>
            <rFont val="Tahoma"/>
            <family val="2"/>
          </rPr>
          <t>Phillip Rowe:</t>
        </r>
        <r>
          <rPr>
            <sz val="8"/>
            <color indexed="81"/>
            <rFont val="Tahoma"/>
            <family val="2"/>
          </rPr>
          <t xml:space="preserve">
ASSUME 12% because it's &gt;2x 6% q/q
ASSUME prior quarters were not as strong (ie.., FQ1 and FQ2)
SIGNIFICANTLY HIGHER - take this to mean at least 10% higher than deferred balance
11/15 "strong bookings pushed deferred revenue to $341 million, an increase of 55% year-over-year and 6% sequentially. Importantly, our off-balance sheet deferred revenue grew at more than twice that rate sequentially, and as a result, our off-balance sheet deferred revenue is now materially higher than what you see on the balance sheet."
"We've never characterized off-balance sheet as 2X, Kash. Just to be clear, we have always said it has been roughly the same as what you see on the on-balance sheet. This quarter, we do have
more off balance sheet..."</t>
        </r>
      </text>
    </comment>
    <comment ref="AV169" authorId="0">
      <text>
        <r>
          <rPr>
            <b/>
            <sz val="8"/>
            <color indexed="81"/>
            <rFont val="Tahoma"/>
            <family val="2"/>
          </rPr>
          <t>Phillip Rowe:</t>
        </r>
        <r>
          <rPr>
            <sz val="8"/>
            <color indexed="81"/>
            <rFont val="Tahoma"/>
            <family val="2"/>
          </rPr>
          <t xml:space="preserve">
2/27 total over 1 bln, OBS &gt; on balance sheet</t>
        </r>
      </text>
    </comment>
    <comment ref="BB169" authorId="9">
      <text>
        <r>
          <rPr>
            <b/>
            <sz val="8"/>
            <color indexed="81"/>
            <rFont val="Tahoma"/>
            <family val="2"/>
          </rPr>
          <t>kweiss:</t>
        </r>
        <r>
          <rPr>
            <sz val="8"/>
            <color indexed="81"/>
            <rFont val="Tahoma"/>
            <family val="2"/>
          </rPr>
          <t xml:space="preserve">
at analyst day (3/25/09) said about $700M</t>
        </r>
      </text>
    </comment>
    <comment ref="BN169" authorId="4">
      <text>
        <r>
          <rPr>
            <b/>
            <sz val="8"/>
            <color indexed="81"/>
            <rFont val="Tahoma"/>
            <family val="2"/>
          </rPr>
          <t>Jon Parker:</t>
        </r>
        <r>
          <rPr>
            <sz val="8"/>
            <color indexed="81"/>
            <rFont val="Tahoma"/>
            <family val="2"/>
          </rPr>
          <t xml:space="preserve">
$1.5B</t>
        </r>
      </text>
    </comment>
    <comment ref="CV169" authorId="5">
      <text>
        <r>
          <rPr>
            <b/>
            <sz val="9"/>
            <color indexed="81"/>
            <rFont val="Tahoma"/>
            <family val="2"/>
          </rPr>
          <t>Fodderwala, Hamza (Research):</t>
        </r>
        <r>
          <rPr>
            <sz val="9"/>
            <color indexed="81"/>
            <rFont val="Tahoma"/>
            <family val="2"/>
          </rPr>
          <t xml:space="preserve">
includes 300M from DWRE</t>
        </r>
      </text>
    </comment>
    <comment ref="CW169" authorId="5">
      <text>
        <r>
          <rPr>
            <b/>
            <sz val="9"/>
            <color indexed="81"/>
            <rFont val="Tahoma"/>
            <family val="2"/>
          </rPr>
          <t>Fodderwala, Hamza (Research):</t>
        </r>
        <r>
          <rPr>
            <sz val="9"/>
            <color indexed="81"/>
            <rFont val="Tahoma"/>
            <family val="2"/>
          </rPr>
          <t xml:space="preserve">
includes 350M from DWRE</t>
        </r>
      </text>
    </comment>
    <comment ref="DA169" authorId="5">
      <text>
        <r>
          <rPr>
            <b/>
            <sz val="9"/>
            <color indexed="81"/>
            <rFont val="Tahoma"/>
            <family val="2"/>
          </rPr>
          <t>Fodderwala, Hamza (Research):</t>
        </r>
        <r>
          <rPr>
            <sz val="9"/>
            <color indexed="81"/>
            <rFont val="Tahoma"/>
            <family val="2"/>
          </rPr>
          <t xml:space="preserve">
includes 450M from DWRE</t>
        </r>
      </text>
    </comment>
    <comment ref="DB169" authorId="5">
      <text>
        <r>
          <rPr>
            <b/>
            <sz val="9"/>
            <color indexed="81"/>
            <rFont val="Tahoma"/>
            <family val="2"/>
          </rPr>
          <t>Fodderwala, Hamza (Research):</t>
        </r>
        <r>
          <rPr>
            <sz val="9"/>
            <color indexed="81"/>
            <rFont val="Tahoma"/>
            <family val="2"/>
          </rPr>
          <t xml:space="preserve">
includes 625M from DWRE</t>
        </r>
      </text>
    </comment>
    <comment ref="AP170" authorId="0">
      <text>
        <r>
          <rPr>
            <b/>
            <sz val="8"/>
            <color indexed="81"/>
            <rFont val="Tahoma"/>
            <family val="2"/>
          </rPr>
          <t>Phillip Rowe:</t>
        </r>
        <r>
          <rPr>
            <sz val="8"/>
            <color indexed="81"/>
            <rFont val="Tahoma"/>
            <family val="2"/>
          </rPr>
          <t xml:space="preserve">
approaching $600 mln</t>
        </r>
      </text>
    </comment>
    <comment ref="AV170" authorId="0">
      <text>
        <r>
          <rPr>
            <b/>
            <sz val="8"/>
            <color indexed="81"/>
            <rFont val="Tahoma"/>
            <family val="2"/>
          </rPr>
          <t>Phillip Rowe:</t>
        </r>
        <r>
          <rPr>
            <sz val="8"/>
            <color indexed="81"/>
            <rFont val="Tahoma"/>
            <family val="2"/>
          </rPr>
          <t xml:space="preserve">
now &gt;1bln</t>
        </r>
      </text>
    </comment>
    <comment ref="CD174" authorId="2">
      <text>
        <r>
          <rPr>
            <b/>
            <sz val="8"/>
            <color indexed="81"/>
            <rFont val="Tahoma"/>
            <family val="2"/>
          </rPr>
          <t>jonpark:</t>
        </r>
        <r>
          <rPr>
            <sz val="8"/>
            <color indexed="81"/>
            <rFont val="Tahoma"/>
            <family val="2"/>
          </rPr>
          <t xml:space="preserve">
adjusting for ET</t>
        </r>
      </text>
    </comment>
    <comment ref="CX175" authorId="5">
      <text>
        <r>
          <rPr>
            <b/>
            <sz val="9"/>
            <color indexed="81"/>
            <rFont val="Tahoma"/>
            <family val="2"/>
          </rPr>
          <t>Fodderwala, Hamza (Research):</t>
        </r>
        <r>
          <rPr>
            <sz val="9"/>
            <color indexed="81"/>
            <rFont val="Tahoma"/>
            <family val="2"/>
          </rPr>
          <t xml:space="preserve">
17% organic</t>
        </r>
      </text>
    </comment>
    <comment ref="CV198" authorId="5">
      <text>
        <r>
          <rPr>
            <b/>
            <sz val="9"/>
            <color indexed="81"/>
            <rFont val="Tahoma"/>
            <family val="2"/>
          </rPr>
          <t>Fodderwala, Hamza (Research):</t>
        </r>
        <r>
          <rPr>
            <sz val="9"/>
            <color indexed="81"/>
            <rFont val="Tahoma"/>
            <family val="2"/>
          </rPr>
          <t xml:space="preserve">
includes 1,050 from DWRE</t>
        </r>
      </text>
    </comment>
    <comment ref="BL200" authorId="1">
      <text>
        <r>
          <rPr>
            <b/>
            <sz val="8"/>
            <color indexed="81"/>
            <rFont val="Tahoma"/>
            <family val="2"/>
          </rPr>
          <t>meligo:</t>
        </r>
        <r>
          <rPr>
            <sz val="8"/>
            <color indexed="81"/>
            <rFont val="Tahoma"/>
            <family val="2"/>
          </rPr>
          <t xml:space="preserve">
includes 150 people from Jigsaw</t>
        </r>
      </text>
    </comment>
    <comment ref="BN200" authorId="4">
      <text>
        <r>
          <rPr>
            <b/>
            <sz val="8"/>
            <color indexed="81"/>
            <rFont val="Tahoma"/>
            <family val="2"/>
          </rPr>
          <t>Jon Parker:</t>
        </r>
        <r>
          <rPr>
            <sz val="8"/>
            <color indexed="81"/>
            <rFont val="Tahoma"/>
            <family val="2"/>
          </rPr>
          <t xml:space="preserve">
485 organic - 65 from acquisition</t>
        </r>
      </text>
    </comment>
    <comment ref="BR200" authorId="2">
      <text>
        <r>
          <rPr>
            <b/>
            <sz val="8"/>
            <color indexed="81"/>
            <rFont val="Tahoma"/>
            <family val="2"/>
          </rPr>
          <t>jonpark:</t>
        </r>
        <r>
          <rPr>
            <sz val="8"/>
            <color indexed="81"/>
            <rFont val="Tahoma"/>
            <family val="2"/>
          </rPr>
          <t xml:space="preserve">
300 from Radian6</t>
        </r>
      </text>
    </comment>
    <comment ref="BS200" authorId="2">
      <text>
        <r>
          <rPr>
            <b/>
            <sz val="8"/>
            <color indexed="81"/>
            <rFont val="Tahoma"/>
            <family val="2"/>
          </rPr>
          <t>jonpark:</t>
        </r>
        <r>
          <rPr>
            <sz val="8"/>
            <color indexed="81"/>
            <rFont val="Tahoma"/>
            <family val="2"/>
          </rPr>
          <t xml:space="preserve">
50 from acquisition</t>
        </r>
      </text>
    </comment>
    <comment ref="BY200" authorId="2">
      <text>
        <r>
          <rPr>
            <b/>
            <sz val="8"/>
            <color indexed="81"/>
            <rFont val="Tahoma"/>
            <family val="2"/>
          </rPr>
          <t>jonpark:</t>
        </r>
        <r>
          <rPr>
            <sz val="8"/>
            <color indexed="81"/>
            <rFont val="Tahoma"/>
            <family val="2"/>
          </rPr>
          <t xml:space="preserve">
250 from Buddy Media</t>
        </r>
      </text>
    </comment>
    <comment ref="CD200" authorId="2">
      <text>
        <r>
          <rPr>
            <b/>
            <sz val="8"/>
            <color indexed="81"/>
            <rFont val="Tahoma"/>
            <family val="2"/>
          </rPr>
          <t>jonpark:</t>
        </r>
        <r>
          <rPr>
            <sz val="8"/>
            <color indexed="81"/>
            <rFont val="Tahoma"/>
            <family val="2"/>
          </rPr>
          <t xml:space="preserve">
including 1,900 from Exact Target</t>
        </r>
      </text>
    </comment>
    <comment ref="CE234" authorId="2">
      <text>
        <r>
          <rPr>
            <b/>
            <sz val="8"/>
            <color indexed="81"/>
            <rFont val="Tahoma"/>
            <family val="2"/>
          </rPr>
          <t>jonpark:</t>
        </r>
        <r>
          <rPr>
            <sz val="8"/>
            <color indexed="81"/>
            <rFont val="Tahoma"/>
            <family val="2"/>
          </rPr>
          <t xml:space="preserve">
Partial Quarter impact</t>
        </r>
      </text>
    </comment>
    <comment ref="CG235" authorId="2">
      <text>
        <r>
          <rPr>
            <b/>
            <sz val="8"/>
            <color indexed="81"/>
            <rFont val="Tahoma"/>
            <family val="2"/>
          </rPr>
          <t>jonpark:</t>
        </r>
        <r>
          <rPr>
            <sz val="8"/>
            <color indexed="81"/>
            <rFont val="Tahoma"/>
            <family val="2"/>
          </rPr>
          <t xml:space="preserve">
Q3: $180M
Q2:140-145M impact this year</t>
        </r>
      </text>
    </comment>
    <comment ref="CV236" authorId="5">
      <text>
        <r>
          <rPr>
            <b/>
            <sz val="9"/>
            <color indexed="81"/>
            <rFont val="Tahoma"/>
            <family val="2"/>
          </rPr>
          <t>Fodderwala, Hamza (Research):</t>
        </r>
        <r>
          <rPr>
            <sz val="9"/>
            <color indexed="81"/>
            <rFont val="Tahoma"/>
            <family val="2"/>
          </rPr>
          <t xml:space="preserve">
includes 9M in rev and 23M in D/R from DWRE</t>
        </r>
      </text>
    </comment>
    <comment ref="CW236" authorId="5">
      <text>
        <r>
          <rPr>
            <b/>
            <sz val="9"/>
            <color indexed="81"/>
            <rFont val="Tahoma"/>
            <family val="2"/>
          </rPr>
          <t>Fodderwala, Hamza (Research):</t>
        </r>
        <r>
          <rPr>
            <sz val="9"/>
            <color indexed="81"/>
            <rFont val="Tahoma"/>
            <family val="2"/>
          </rPr>
          <t xml:space="preserve">
49M in total rev and +7M change in D/R</t>
        </r>
      </text>
    </comment>
    <comment ref="CX236" authorId="5">
      <text>
        <r>
          <rPr>
            <b/>
            <sz val="9"/>
            <color indexed="81"/>
            <rFont val="Tahoma"/>
            <family val="2"/>
          </rPr>
          <t>Fodderwala, Hamza (Research):</t>
        </r>
        <r>
          <rPr>
            <sz val="9"/>
            <color indexed="81"/>
            <rFont val="Tahoma"/>
            <family val="2"/>
          </rPr>
          <t xml:space="preserve">
63M in rev and +19M in D/R</t>
        </r>
      </text>
    </comment>
    <comment ref="CY236" authorId="5">
      <text>
        <r>
          <rPr>
            <b/>
            <sz val="9"/>
            <color indexed="81"/>
            <rFont val="Tahoma"/>
            <family val="2"/>
          </rPr>
          <t>Fodderwala, Hamza (Research):</t>
        </r>
        <r>
          <rPr>
            <sz val="9"/>
            <color indexed="81"/>
            <rFont val="Tahoma"/>
            <family val="2"/>
          </rPr>
          <t xml:space="preserve">
Initial guide: 100-120 (estimate includes 49M of deferred rev); this represents </t>
        </r>
        <r>
          <rPr>
            <b/>
            <sz val="9"/>
            <color indexed="81"/>
            <rFont val="Tahoma"/>
            <family val="2"/>
          </rPr>
          <t>billings</t>
        </r>
      </text>
    </comment>
    <comment ref="DA236" authorId="5">
      <text>
        <r>
          <rPr>
            <b/>
            <sz val="9"/>
            <color indexed="81"/>
            <rFont val="Tahoma"/>
            <family val="2"/>
          </rPr>
          <t>Fodderwala, Hamza (Research):</t>
        </r>
        <r>
          <rPr>
            <sz val="9"/>
            <color indexed="81"/>
            <rFont val="Tahoma"/>
            <family val="2"/>
          </rPr>
          <t xml:space="preserve">
57M rev contribution and +1M change in D/R, 50M total D/R</t>
        </r>
      </text>
    </comment>
    <comment ref="DB236" authorId="5">
      <text>
        <r>
          <rPr>
            <b/>
            <sz val="9"/>
            <color indexed="81"/>
            <rFont val="Tahoma"/>
            <family val="2"/>
          </rPr>
          <t>Fodderwala, Hamza (Research):</t>
        </r>
        <r>
          <rPr>
            <sz val="9"/>
            <color indexed="81"/>
            <rFont val="Tahoma"/>
            <family val="2"/>
          </rPr>
          <t xml:space="preserve">
63M in rev from DWRE and 54M in D/R (+4M QoQ)</t>
        </r>
      </text>
    </comment>
    <comment ref="BQ237" authorId="2">
      <text>
        <r>
          <rPr>
            <b/>
            <sz val="8"/>
            <color indexed="81"/>
            <rFont val="Tahoma"/>
            <family val="2"/>
          </rPr>
          <t>jonpark:</t>
        </r>
        <r>
          <rPr>
            <sz val="8"/>
            <color indexed="81"/>
            <rFont val="Tahoma"/>
            <family val="2"/>
          </rPr>
          <t xml:space="preserve">
2% benefit to revenue growth</t>
        </r>
      </text>
    </comment>
    <comment ref="BH244" authorId="2">
      <text>
        <r>
          <rPr>
            <b/>
            <sz val="8"/>
            <color indexed="81"/>
            <rFont val="Tahoma"/>
            <family val="2"/>
          </rPr>
          <t>jonpark:</t>
        </r>
        <r>
          <rPr>
            <sz val="8"/>
            <color indexed="81"/>
            <rFont val="Tahoma"/>
            <family val="2"/>
          </rPr>
          <t xml:space="preserve">
2 points of revenue growth from fx</t>
        </r>
      </text>
    </comment>
    <comment ref="BK244" authorId="2">
      <text>
        <r>
          <rPr>
            <b/>
            <sz val="8"/>
            <color indexed="81"/>
            <rFont val="Tahoma"/>
            <family val="2"/>
          </rPr>
          <t>jonpark:</t>
        </r>
        <r>
          <rPr>
            <sz val="8"/>
            <color indexed="81"/>
            <rFont val="Tahoma"/>
            <family val="2"/>
          </rPr>
          <t xml:space="preserve">
1% benefit from fx </t>
        </r>
      </text>
    </comment>
    <comment ref="BQ244" authorId="2">
      <text>
        <r>
          <rPr>
            <b/>
            <sz val="8"/>
            <color indexed="81"/>
            <rFont val="Tahoma"/>
            <family val="2"/>
          </rPr>
          <t>jonpark:</t>
        </r>
        <r>
          <rPr>
            <sz val="8"/>
            <color indexed="81"/>
            <rFont val="Tahoma"/>
            <family val="2"/>
          </rPr>
          <t xml:space="preserve">
2% benefit from fx </t>
        </r>
      </text>
    </comment>
    <comment ref="BR244" authorId="2">
      <text>
        <r>
          <rPr>
            <b/>
            <sz val="8"/>
            <color indexed="81"/>
            <rFont val="Tahoma"/>
            <family val="2"/>
          </rPr>
          <t>jonpark:</t>
        </r>
        <r>
          <rPr>
            <sz val="8"/>
            <color indexed="81"/>
            <rFont val="Tahoma"/>
            <family val="2"/>
          </rPr>
          <t xml:space="preserve">
4 point benefit</t>
        </r>
      </text>
    </comment>
    <comment ref="BS244" authorId="2">
      <text>
        <r>
          <rPr>
            <b/>
            <sz val="8"/>
            <color indexed="81"/>
            <rFont val="Tahoma"/>
            <family val="2"/>
          </rPr>
          <t>jonpark:</t>
        </r>
        <r>
          <rPr>
            <sz val="8"/>
            <color indexed="81"/>
            <rFont val="Tahoma"/>
            <family val="2"/>
          </rPr>
          <t xml:space="preserve">
2 point benefit</t>
        </r>
      </text>
    </comment>
    <comment ref="CS244" authorId="7">
      <text>
        <r>
          <rPr>
            <b/>
            <sz val="9"/>
            <color indexed="81"/>
            <rFont val="Tahoma"/>
            <family val="2"/>
          </rPr>
          <t>StanZ:</t>
        </r>
        <r>
          <rPr>
            <sz val="9"/>
            <color indexed="81"/>
            <rFont val="Tahoma"/>
            <family val="2"/>
          </rPr>
          <t xml:space="preserve">
Q2 call: now expecting $175M FX headwind vs prior $175-$200M
Q3: Reiterated
</t>
        </r>
      </text>
    </comment>
    <comment ref="CY244" authorId="5">
      <text>
        <r>
          <rPr>
            <b/>
            <sz val="9"/>
            <color indexed="81"/>
            <rFont val="Tahoma"/>
            <family val="2"/>
          </rPr>
          <t>Fodderwala, Hamza (Research):</t>
        </r>
        <r>
          <rPr>
            <sz val="9"/>
            <color indexed="81"/>
            <rFont val="Tahoma"/>
            <family val="2"/>
          </rPr>
          <t xml:space="preserve">
100-150M FX headwind guide</t>
        </r>
      </text>
    </comment>
    <comment ref="BZ250" authorId="2">
      <text>
        <r>
          <rPr>
            <b/>
            <sz val="8"/>
            <color indexed="81"/>
            <rFont val="Tahoma"/>
            <family val="2"/>
          </rPr>
          <t>jonpark:</t>
        </r>
        <r>
          <rPr>
            <sz val="8"/>
            <color indexed="81"/>
            <rFont val="Tahoma"/>
            <family val="2"/>
          </rPr>
          <t xml:space="preserve">
Adjusted for early $30M invoice</t>
        </r>
      </text>
    </comment>
    <comment ref="CC250" authorId="2">
      <text>
        <r>
          <rPr>
            <b/>
            <sz val="8"/>
            <color indexed="81"/>
            <rFont val="Tahoma"/>
            <family val="2"/>
          </rPr>
          <t>jonpark:</t>
        </r>
        <r>
          <rPr>
            <sz val="8"/>
            <color indexed="81"/>
            <rFont val="Tahoma"/>
            <family val="2"/>
          </rPr>
          <t xml:space="preserve">
Adjusted for $30M invoice that normally would have been in 1Q</t>
        </r>
      </text>
    </comment>
    <comment ref="CE251" authorId="2">
      <text>
        <r>
          <rPr>
            <b/>
            <sz val="8"/>
            <color indexed="81"/>
            <rFont val="Tahoma"/>
            <family val="2"/>
          </rPr>
          <t>jonpark:</t>
        </r>
        <r>
          <rPr>
            <sz val="8"/>
            <color indexed="81"/>
            <rFont val="Tahoma"/>
            <family val="2"/>
          </rPr>
          <t xml:space="preserve">
$20M of deferred revenue build from ExactTarget; $65M total</t>
        </r>
      </text>
    </comment>
    <comment ref="CF251" authorId="8">
      <text>
        <r>
          <rPr>
            <b/>
            <sz val="9"/>
            <color indexed="81"/>
            <rFont val="Tahoma"/>
            <family val="2"/>
          </rPr>
          <t>Parker, Jonathan (Research):</t>
        </r>
        <r>
          <rPr>
            <sz val="9"/>
            <color indexed="81"/>
            <rFont val="Tahoma"/>
            <family val="2"/>
          </rPr>
          <t xml:space="preserve">
$34M incremental change in DR to $99M</t>
        </r>
      </text>
    </comment>
    <comment ref="CI251" authorId="8">
      <text>
        <r>
          <rPr>
            <b/>
            <sz val="9"/>
            <color indexed="81"/>
            <rFont val="Tahoma"/>
            <family val="2"/>
          </rPr>
          <t xml:space="preserve">Stanz: 
</t>
        </r>
        <r>
          <rPr>
            <sz val="9"/>
            <color indexed="81"/>
            <rFont val="Tahoma"/>
            <family val="2"/>
          </rPr>
          <t>$85M - our estimate after 1Q15 results;
prior estimate - $50M</t>
        </r>
      </text>
    </comment>
    <comment ref="A252" authorId="2">
      <text>
        <r>
          <rPr>
            <b/>
            <sz val="8"/>
            <color indexed="81"/>
            <rFont val="Tahoma"/>
            <family val="2"/>
          </rPr>
          <t>jonpark:</t>
        </r>
        <r>
          <rPr>
            <sz val="8"/>
            <color indexed="81"/>
            <rFont val="Tahoma"/>
            <family val="2"/>
          </rPr>
          <t xml:space="preserve">
Adjusts for currency, acquisitions, multi-year prepaids and invoicing changes</t>
        </r>
      </text>
    </comment>
    <comment ref="CE252" authorId="2">
      <text>
        <r>
          <rPr>
            <b/>
            <sz val="8"/>
            <color indexed="81"/>
            <rFont val="Tahoma"/>
            <family val="2"/>
          </rPr>
          <t>jonpark:</t>
        </r>
        <r>
          <rPr>
            <sz val="8"/>
            <color indexed="81"/>
            <rFont val="Tahoma"/>
            <family val="2"/>
          </rPr>
          <t xml:space="preserve">
$20M of incremental DR benefit from ET</t>
        </r>
      </text>
    </comment>
    <comment ref="CF252" authorId="2">
      <text>
        <r>
          <rPr>
            <b/>
            <sz val="8"/>
            <color indexed="81"/>
            <rFont val="Tahoma"/>
            <family val="2"/>
          </rPr>
          <t>jonpark:</t>
        </r>
        <r>
          <rPr>
            <sz val="8"/>
            <color indexed="81"/>
            <rFont val="Tahoma"/>
            <family val="2"/>
          </rPr>
          <t xml:space="preserve">
$34M of incremental DR benefit from ET</t>
        </r>
      </text>
    </comment>
    <comment ref="AZ263" authorId="9">
      <text>
        <r>
          <rPr>
            <b/>
            <sz val="8"/>
            <color indexed="81"/>
            <rFont val="Tahoma"/>
            <family val="2"/>
          </rPr>
          <t>kweiss:</t>
        </r>
        <r>
          <rPr>
            <sz val="8"/>
            <color indexed="81"/>
            <rFont val="Tahoma"/>
            <family val="2"/>
          </rPr>
          <t xml:space="preserve">
from web site -- 08/21/08</t>
        </r>
      </text>
    </comment>
    <comment ref="AU264" authorId="0">
      <text>
        <r>
          <rPr>
            <b/>
            <sz val="8"/>
            <color indexed="81"/>
            <rFont val="Tahoma"/>
            <family val="2"/>
          </rPr>
          <t>Phillip Rowe:</t>
        </r>
        <r>
          <rPr>
            <sz val="8"/>
            <color indexed="81"/>
            <rFont val="Tahoma"/>
            <family val="2"/>
          </rPr>
          <t xml:space="preserve">
38K apps installed from AppExchange</t>
        </r>
      </text>
    </comment>
    <comment ref="BA273" authorId="9">
      <text>
        <r>
          <rPr>
            <b/>
            <sz val="8"/>
            <color indexed="81"/>
            <rFont val="Tahoma"/>
            <family val="2"/>
          </rPr>
          <t>kweiss:</t>
        </r>
        <r>
          <rPr>
            <sz val="8"/>
            <color indexed="81"/>
            <rFont val="Tahoma"/>
            <family val="2"/>
          </rPr>
          <t xml:space="preserve">
cited at Dreamforce</t>
        </r>
      </text>
    </comment>
    <comment ref="AS276" authorId="9">
      <text>
        <r>
          <rPr>
            <b/>
            <sz val="8"/>
            <color indexed="81"/>
            <rFont val="Tahoma"/>
            <family val="2"/>
          </rPr>
          <t>kweiss:</t>
        </r>
        <r>
          <rPr>
            <sz val="8"/>
            <color indexed="81"/>
            <rFont val="Tahoma"/>
            <family val="2"/>
          </rPr>
          <t xml:space="preserve">
32 companies in the incubator
closing in on 40,000 developers</t>
        </r>
      </text>
    </comment>
    <comment ref="AU276" authorId="0">
      <text>
        <r>
          <rPr>
            <b/>
            <sz val="8"/>
            <color indexed="81"/>
            <rFont val="Tahoma"/>
            <family val="2"/>
          </rPr>
          <t>Phillip Rowe:</t>
        </r>
        <r>
          <rPr>
            <sz val="8"/>
            <color indexed="81"/>
            <rFont val="Tahoma"/>
            <family val="2"/>
          </rPr>
          <t xml:space="preserve">
w/ 50,000 custom apps</t>
        </r>
      </text>
    </comment>
    <comment ref="AZ276" authorId="9">
      <text>
        <r>
          <rPr>
            <b/>
            <sz val="8"/>
            <color indexed="81"/>
            <rFont val="Tahoma"/>
            <family val="2"/>
          </rPr>
          <t>kweiss:</t>
        </r>
        <r>
          <rPr>
            <sz val="8"/>
            <color indexed="81"/>
            <rFont val="Tahoma"/>
            <family val="2"/>
          </rPr>
          <t xml:space="preserve">
on 2Q call -- 100K developers, double from Dreamforce last year</t>
        </r>
      </text>
    </comment>
    <comment ref="CE276" authorId="8">
      <text>
        <r>
          <rPr>
            <b/>
            <sz val="9"/>
            <color indexed="81"/>
            <rFont val="Tahoma"/>
            <family val="2"/>
          </rPr>
          <t>Parker, Jonathan (Research):</t>
        </r>
        <r>
          <rPr>
            <sz val="9"/>
            <color indexed="81"/>
            <rFont val="Tahoma"/>
            <family val="2"/>
          </rPr>
          <t xml:space="preserve">
+75% YOY</t>
        </r>
      </text>
    </comment>
    <comment ref="CF276" authorId="8">
      <text>
        <r>
          <rPr>
            <b/>
            <sz val="9"/>
            <color indexed="81"/>
            <rFont val="Tahoma"/>
            <family val="2"/>
          </rPr>
          <t>Parker, Jonathan (Research):</t>
        </r>
        <r>
          <rPr>
            <sz val="9"/>
            <color indexed="81"/>
            <rFont val="Tahoma"/>
            <family val="2"/>
          </rPr>
          <t xml:space="preserve">
+50% YoY</t>
        </r>
      </text>
    </comment>
    <comment ref="AO291" authorId="9">
      <text>
        <r>
          <rPr>
            <b/>
            <sz val="8"/>
            <color indexed="81"/>
            <rFont val="Tahoma"/>
            <family val="2"/>
          </rPr>
          <t>kweiss:</t>
        </r>
        <r>
          <rPr>
            <sz val="8"/>
            <color indexed="81"/>
            <rFont val="Tahoma"/>
            <family val="2"/>
          </rPr>
          <t xml:space="preserve">
API call represents over half of volume</t>
        </r>
      </text>
    </comment>
    <comment ref="AU291" authorId="0">
      <text>
        <r>
          <rPr>
            <b/>
            <sz val="8"/>
            <color indexed="81"/>
            <rFont val="Tahoma"/>
            <family val="2"/>
          </rPr>
          <t>Phillip Rowe:</t>
        </r>
        <r>
          <rPr>
            <sz val="8"/>
            <color indexed="81"/>
            <rFont val="Tahoma"/>
            <family val="2"/>
          </rPr>
          <t xml:space="preserve">
8bln in Q3, 130 m /day</t>
        </r>
      </text>
    </comment>
  </commentList>
</comments>
</file>

<file path=xl/comments6.xml><?xml version="1.0" encoding="utf-8"?>
<comments xmlns="http://schemas.openxmlformats.org/spreadsheetml/2006/main">
  <authors>
    <author>Fodderwala, Hamza (Research)</author>
  </authors>
  <commentList>
    <comment ref="P37" authorId="0">
      <text>
        <r>
          <rPr>
            <b/>
            <sz val="9"/>
            <color indexed="81"/>
            <rFont val="Tahoma"/>
            <family val="2"/>
          </rPr>
          <t>Fodderwala, Hamza (Research):</t>
        </r>
        <r>
          <rPr>
            <sz val="9"/>
            <color indexed="81"/>
            <rFont val="Tahoma"/>
            <family val="2"/>
          </rPr>
          <t xml:space="preserve">
200-400bps of op margin expansion for &lt;20% growth</t>
        </r>
      </text>
    </comment>
    <comment ref="J49" authorId="0">
      <text>
        <r>
          <rPr>
            <b/>
            <sz val="9"/>
            <color indexed="81"/>
            <rFont val="Tahoma"/>
            <family val="2"/>
          </rPr>
          <t>Fodderwala, Hamza (Research):</t>
        </r>
        <r>
          <rPr>
            <sz val="9"/>
            <color indexed="81"/>
            <rFont val="Tahoma"/>
            <family val="2"/>
          </rPr>
          <t xml:space="preserve">
reported cash taxes paid in FY16</t>
        </r>
      </text>
    </comment>
    <comment ref="K49" authorId="0">
      <text>
        <r>
          <rPr>
            <b/>
            <sz val="9"/>
            <color indexed="81"/>
            <rFont val="Tahoma"/>
            <family val="2"/>
          </rPr>
          <t>Fodderwala, Hamza (Research):</t>
        </r>
        <r>
          <rPr>
            <sz val="9"/>
            <color indexed="81"/>
            <rFont val="Tahoma"/>
            <family val="2"/>
          </rPr>
          <t xml:space="preserve">
cash taxes paid in FY17</t>
        </r>
      </text>
    </comment>
    <comment ref="L49" authorId="0">
      <text>
        <r>
          <rPr>
            <b/>
            <sz val="9"/>
            <color indexed="81"/>
            <rFont val="Tahoma"/>
            <family val="2"/>
          </rPr>
          <t>Fodderwala, Hamza (Research):</t>
        </r>
        <r>
          <rPr>
            <sz val="9"/>
            <color indexed="81"/>
            <rFont val="Tahoma"/>
            <family val="2"/>
          </rPr>
          <t xml:space="preserve">
26.7M paid in cash taxes for first 6 months of FY18</t>
        </r>
      </text>
    </comment>
  </commentList>
</comments>
</file>

<file path=xl/sharedStrings.xml><?xml version="1.0" encoding="utf-8"?>
<sst xmlns="http://schemas.openxmlformats.org/spreadsheetml/2006/main" count="3765" uniqueCount="1622">
  <si>
    <t>EPS (Diluted) - Reported</t>
  </si>
  <si>
    <t>EPS (Basic) - Reported</t>
  </si>
  <si>
    <t>Cost of Services</t>
  </si>
  <si>
    <t>Cost of Revenues</t>
  </si>
  <si>
    <t>Assets</t>
  </si>
  <si>
    <t>Deferred Income Taxes</t>
  </si>
  <si>
    <t>Services Revenue ($ millions)</t>
  </si>
  <si>
    <t>Fair Value Stock Option Estimation</t>
  </si>
  <si>
    <t>Deferred Compensation</t>
  </si>
  <si>
    <t>Net Cash</t>
  </si>
  <si>
    <t>SO</t>
  </si>
  <si>
    <t>2013-Q1</t>
  </si>
  <si>
    <t>2013-Q2</t>
  </si>
  <si>
    <t>2013-Q3</t>
  </si>
  <si>
    <t>2013-Q4</t>
  </si>
  <si>
    <t>2013-FY</t>
  </si>
  <si>
    <t>4/10</t>
  </si>
  <si>
    <t>FY14</t>
  </si>
  <si>
    <t>Service Cloud Customers</t>
  </si>
  <si>
    <t>882-887</t>
  </si>
  <si>
    <t>&gt;1M</t>
  </si>
  <si>
    <t xml:space="preserve">Operating Income </t>
  </si>
  <si>
    <t xml:space="preserve">Net Income </t>
  </si>
  <si>
    <t>Net impact on billings:</t>
  </si>
  <si>
    <t>130 mn/day</t>
  </si>
  <si>
    <t>Total Backlog</t>
  </si>
  <si>
    <t xml:space="preserve">   Forfeiture as % of BOP Options</t>
  </si>
  <si>
    <t xml:space="preserve">   Options Exercised</t>
  </si>
  <si>
    <t xml:space="preserve">   Exercised as % of BOP Optoins</t>
  </si>
  <si>
    <t>Average Exercise Price</t>
  </si>
  <si>
    <t>BoP Additional Paid-in Capital ($)</t>
  </si>
  <si>
    <t xml:space="preserve"> 10/09</t>
  </si>
  <si>
    <t>4/06</t>
  </si>
  <si>
    <t xml:space="preserve">   Deferred as a % of NTM Subs Revenue</t>
  </si>
  <si>
    <t xml:space="preserve">   Subs rev growth</t>
  </si>
  <si>
    <t>1c10</t>
  </si>
  <si>
    <t>2c10</t>
  </si>
  <si>
    <t>IPO and Other Issuance</t>
  </si>
  <si>
    <t>\</t>
  </si>
  <si>
    <t>LTM Operating Income</t>
  </si>
  <si>
    <t>ltmop</t>
  </si>
  <si>
    <t>Free Cash Flow</t>
  </si>
  <si>
    <t>Dividend</t>
  </si>
  <si>
    <t>284-285</t>
  </si>
  <si>
    <t>1,070-1,072</t>
  </si>
  <si>
    <t>.30 to .31</t>
  </si>
  <si>
    <t>ltmfcf</t>
  </si>
  <si>
    <t xml:space="preserve"> Amortization of Debt Discount</t>
  </si>
  <si>
    <t>Face Value, 0.25% Convert notes due 2018</t>
  </si>
  <si>
    <t>Face Value, 0.75% Convert notes due 2015</t>
  </si>
  <si>
    <t>pbt</t>
  </si>
  <si>
    <t>Effective Tax Rate (Non- GAAP after FY4Q07)</t>
  </si>
  <si>
    <t>Customer Data</t>
  </si>
  <si>
    <t>% of Period Ending Basic Sharecount</t>
  </si>
  <si>
    <t>Total Operating Expenses*</t>
  </si>
  <si>
    <t>1c08</t>
  </si>
  <si>
    <t>2c08</t>
  </si>
  <si>
    <t>3c08</t>
  </si>
  <si>
    <t>4c08</t>
  </si>
  <si>
    <t>_fy09</t>
  </si>
  <si>
    <t>CFO Excluding SO Tax Benefit</t>
  </si>
  <si>
    <t>Operating  Income</t>
  </si>
  <si>
    <t xml:space="preserve">    Operating Margin</t>
  </si>
  <si>
    <t>Estimates Using % of Sales Approach (LTM)</t>
  </si>
  <si>
    <t>FY05</t>
  </si>
  <si>
    <t>FY06</t>
  </si>
  <si>
    <t>FY07</t>
  </si>
  <si>
    <t>grp</t>
  </si>
  <si>
    <t>Full Year History Only</t>
  </si>
  <si>
    <t xml:space="preserve">          Amortization of Intanglibles</t>
  </si>
  <si>
    <t>9-figure deals</t>
  </si>
  <si>
    <t>8-figure deals</t>
  </si>
  <si>
    <t>7-figure deals</t>
  </si>
  <si>
    <t>&gt;60</t>
  </si>
  <si>
    <t>&gt;30</t>
  </si>
  <si>
    <t xml:space="preserve">     Special Charges</t>
  </si>
  <si>
    <t>DSO</t>
  </si>
  <si>
    <t>Deferred Revenue</t>
  </si>
  <si>
    <t xml:space="preserve">Expected life from vest date (in years) </t>
  </si>
  <si>
    <t>Risk-free interest rate (%)</t>
  </si>
  <si>
    <t>as % of NTM subscription revenues</t>
  </si>
  <si>
    <t>Income Before Taxes</t>
  </si>
  <si>
    <t>Income Tax Expense</t>
  </si>
  <si>
    <t>Tax Rate</t>
  </si>
  <si>
    <t>Net Income</t>
  </si>
  <si>
    <t>Income Statement</t>
  </si>
  <si>
    <t>Services</t>
  </si>
  <si>
    <t>% of Sales</t>
  </si>
  <si>
    <t>-</t>
  </si>
  <si>
    <t>Employees</t>
  </si>
  <si>
    <t>LTM EPS</t>
  </si>
  <si>
    <t>Total Revenues</t>
  </si>
  <si>
    <t>S&amp;M</t>
  </si>
  <si>
    <t>R&amp;D</t>
  </si>
  <si>
    <t>G&amp;A</t>
  </si>
  <si>
    <t>EPS</t>
  </si>
  <si>
    <t>OCF/Share</t>
  </si>
  <si>
    <t xml:space="preserve">    Q/Q $ chg in deferred revenues</t>
  </si>
  <si>
    <t>Period Average Customers</t>
  </si>
  <si>
    <t>Subscription Revenue per Customer</t>
  </si>
  <si>
    <t>Customers</t>
  </si>
  <si>
    <t>2019e</t>
  </si>
  <si>
    <t>2020e</t>
  </si>
  <si>
    <t>2021e</t>
  </si>
  <si>
    <t>2022e</t>
  </si>
  <si>
    <t>2023e</t>
  </si>
  <si>
    <t>2024e</t>
  </si>
  <si>
    <t xml:space="preserve">  YoY Growth</t>
  </si>
  <si>
    <t>Contribution Margin</t>
  </si>
  <si>
    <t>Prof Services Income</t>
  </si>
  <si>
    <t>Prof Services. Margin</t>
  </si>
  <si>
    <t>Op. Income</t>
  </si>
  <si>
    <t>Op. Margin</t>
  </si>
  <si>
    <t>FCF Yield</t>
  </si>
  <si>
    <t>Multiple</t>
  </si>
  <si>
    <t>Discount rate</t>
  </si>
  <si>
    <t>Value</t>
  </si>
  <si>
    <t>EV/Sales</t>
  </si>
  <si>
    <t>Base Valuation</t>
  </si>
  <si>
    <t xml:space="preserve"> Stock-based Compensation</t>
  </si>
  <si>
    <t xml:space="preserve"> Purchase - Marketable Securities</t>
  </si>
  <si>
    <t xml:space="preserve"> Proceeds - Marketable Securities</t>
  </si>
  <si>
    <t xml:space="preserve"> Payment - Line of Credit &amp; Capital Lease</t>
  </si>
  <si>
    <t xml:space="preserve"> 10/07</t>
  </si>
  <si>
    <t>CAGR</t>
  </si>
  <si>
    <t>FCF</t>
  </si>
  <si>
    <t>1/08</t>
  </si>
  <si>
    <t>Modelware - Including Reported Stock Option Expense, Excluding Special Charges</t>
  </si>
  <si>
    <t>Income Taxes Payable</t>
  </si>
  <si>
    <t>'SFAS 123' Net Option Expense</t>
  </si>
  <si>
    <t>Operating Net Income Incl. Options Expense</t>
  </si>
  <si>
    <t>SFAS 123' Option Expense/ Operating Net Income</t>
  </si>
  <si>
    <t>Diluted EPS</t>
  </si>
  <si>
    <t>Operating EPS</t>
  </si>
  <si>
    <t>GAAP EPS</t>
  </si>
  <si>
    <t>'SFAS 123' Pro-Forma EPS</t>
  </si>
  <si>
    <t>Share Count</t>
  </si>
  <si>
    <t>Bull Valuation</t>
  </si>
  <si>
    <t>2008-Q2</t>
  </si>
  <si>
    <t>2008-Q3</t>
  </si>
  <si>
    <t>2008-Q4</t>
  </si>
  <si>
    <t>Deferred Commissions</t>
  </si>
  <si>
    <t>servicecost</t>
  </si>
  <si>
    <t>4c03</t>
  </si>
  <si>
    <t>_fy03</t>
  </si>
  <si>
    <t>1c04</t>
  </si>
  <si>
    <t>2c04</t>
  </si>
  <si>
    <t>3c04</t>
  </si>
  <si>
    <t>4c04</t>
  </si>
  <si>
    <t>_fy04</t>
  </si>
  <si>
    <t>2007-Q1</t>
  </si>
  <si>
    <t>($ Millions, Except Per-Share Data)</t>
  </si>
  <si>
    <t xml:space="preserve">  2003E</t>
  </si>
  <si>
    <t>International Revenue</t>
  </si>
  <si>
    <t>Revenue</t>
  </si>
  <si>
    <t xml:space="preserve"> Proceeds - Convertibles</t>
  </si>
  <si>
    <t>Exchange Rate Impact</t>
  </si>
  <si>
    <t>Net Proceeds - Common Stock</t>
  </si>
  <si>
    <t>emea</t>
  </si>
  <si>
    <t>apac</t>
  </si>
  <si>
    <t>Convertible preferred stock</t>
  </si>
  <si>
    <t>GEPS</t>
  </si>
  <si>
    <t>Beta Premium(basis points)</t>
  </si>
  <si>
    <t>2003-Q1</t>
  </si>
  <si>
    <t>2003-Q2</t>
  </si>
  <si>
    <t>Expected FX Impact on Revenue</t>
  </si>
  <si>
    <t xml:space="preserve"> Purchase - Land Activity</t>
  </si>
  <si>
    <t>Includes land buy</t>
  </si>
  <si>
    <t>FCF = NI + D&amp;A + Deferred Taxes + Other Operating Activities + Net Change in Operating Assets &amp; Liabilities + Non-Recurring Items - Capital Expenditures - Cash Dividends</t>
  </si>
  <si>
    <t>Services Revenue</t>
  </si>
  <si>
    <t>_fy15</t>
  </si>
  <si>
    <t xml:space="preserve">  2015E</t>
  </si>
  <si>
    <t>1c14</t>
  </si>
  <si>
    <t>2c14</t>
  </si>
  <si>
    <t>3c14</t>
  </si>
  <si>
    <t>4c14</t>
  </si>
  <si>
    <t>2015-Q1</t>
  </si>
  <si>
    <t>2015-Q2</t>
  </si>
  <si>
    <t>2015-Q3</t>
  </si>
  <si>
    <t>2015-Q4</t>
  </si>
  <si>
    <t>2015-FY</t>
  </si>
  <si>
    <t>673-678</t>
  </si>
  <si>
    <t>0.33-0.34</t>
  </si>
  <si>
    <t>-0.19-0.18</t>
  </si>
  <si>
    <t>1/12</t>
  </si>
  <si>
    <t>Current Billings (Rev + Δ Current Deferred)</t>
  </si>
  <si>
    <t>Multi-Year Invoicing</t>
  </si>
  <si>
    <t>Multi-Year Invoicing as % of Total Billings</t>
  </si>
  <si>
    <t>Reported Deferred Revenue ($ millions)</t>
  </si>
  <si>
    <t xml:space="preserve">   Deferred as a % of Subscription Revenue</t>
  </si>
  <si>
    <t>Total Headcount Growth (Q/Q)</t>
  </si>
  <si>
    <t>Subscription Revenue ($ millions)</t>
  </si>
  <si>
    <t xml:space="preserve">    Period End Stock Price</t>
  </si>
  <si>
    <t>1/01</t>
  </si>
  <si>
    <t xml:space="preserve"> Debt Issuance, Net</t>
  </si>
  <si>
    <t xml:space="preserve"> Convertible, Net</t>
  </si>
  <si>
    <t>2010-Q1</t>
  </si>
  <si>
    <t>2010-Q3</t>
  </si>
  <si>
    <t>2010-Q4</t>
  </si>
  <si>
    <t>2010-FY</t>
  </si>
  <si>
    <t>New Billings per New Customer</t>
  </si>
  <si>
    <t>Subscription Revenue per Per Avg Customer</t>
  </si>
  <si>
    <t>Income Statement Analysis</t>
  </si>
  <si>
    <t>2016-Q3</t>
  </si>
  <si>
    <t xml:space="preserve"> Accounts Payable and Accrued Expenses</t>
  </si>
  <si>
    <t xml:space="preserve"> Deferred Revenue</t>
  </si>
  <si>
    <t>FY11</t>
  </si>
  <si>
    <t>TTM Billings</t>
  </si>
  <si>
    <t>Stock Option Expense (pre-tax)</t>
  </si>
  <si>
    <t>Gross Value of Grants, net of cancelations</t>
  </si>
  <si>
    <t xml:space="preserve">     % of operating expense</t>
  </si>
  <si>
    <t>Total Options Granted</t>
  </si>
  <si>
    <t xml:space="preserve">   Options Granted per Employee</t>
  </si>
  <si>
    <t>Goodwill</t>
  </si>
  <si>
    <t>moved to a YTD reporting</t>
  </si>
  <si>
    <t>EBITDA Margin</t>
  </si>
  <si>
    <t>Deferred Commisions</t>
  </si>
  <si>
    <t>Amount Deferred</t>
  </si>
  <si>
    <t>Amount Amortized</t>
  </si>
  <si>
    <t xml:space="preserve">    % of Billings</t>
  </si>
  <si>
    <t xml:space="preserve">    % of prior period</t>
  </si>
  <si>
    <t>Deferred Commision Balance</t>
  </si>
  <si>
    <t>Period Ending Basic Sharecount</t>
  </si>
  <si>
    <t>4/12</t>
  </si>
  <si>
    <t>DSO (adj. for deferred)</t>
  </si>
  <si>
    <t>724-728</t>
  </si>
  <si>
    <t>0.38-0.39</t>
  </si>
  <si>
    <t>TTM Implied Billings ASP per Subscriber per month</t>
  </si>
  <si>
    <t>EBIT (1-T) Per Share</t>
  </si>
  <si>
    <t>FY08</t>
  </si>
  <si>
    <t>Subscription/Support</t>
  </si>
  <si>
    <t>subcost</t>
  </si>
  <si>
    <t>Adjusted FCF</t>
  </si>
  <si>
    <t>Percentage Difference</t>
  </si>
  <si>
    <t>Total Headcount</t>
  </si>
  <si>
    <t xml:space="preserve">          Lease Abandonment</t>
  </si>
  <si>
    <t>nm</t>
  </si>
  <si>
    <t>almost 100</t>
  </si>
  <si>
    <t>Operating EPS Incl. Options Expense</t>
  </si>
  <si>
    <t>New Billings (Total Billings - Renewals)</t>
  </si>
  <si>
    <t xml:space="preserve">      as % of R&amp;D</t>
  </si>
  <si>
    <t>Less: Reported Accumulated Depreciation</t>
  </si>
  <si>
    <t>Cumulative CF-Based Net PPE</t>
  </si>
  <si>
    <t>Data Dump for Reporting</t>
  </si>
  <si>
    <t>LTM Total Revenue</t>
  </si>
  <si>
    <t>Accounts Receivable</t>
  </si>
  <si>
    <t>Cash</t>
  </si>
  <si>
    <t>Debt</t>
  </si>
  <si>
    <t>GAAP - Reported Figures</t>
  </si>
  <si>
    <t>280 customers</t>
  </si>
  <si>
    <t>Adwords</t>
  </si>
  <si>
    <t>750 installs - 250 customers</t>
  </si>
  <si>
    <t>Consensus</t>
  </si>
  <si>
    <t>Cash Flows From Financing Activities</t>
  </si>
  <si>
    <t xml:space="preserve">    Renewal Billings as a % of Total</t>
  </si>
  <si>
    <t>1/05</t>
  </si>
  <si>
    <t>Cost of Subscription/Support</t>
  </si>
  <si>
    <t>Estimated Tax Effects of Non-Operating One-Time Items</t>
  </si>
  <si>
    <t>Reported Stock Option Expense</t>
  </si>
  <si>
    <t>This sheet contains Factset binary data for use with this workbook's =FDS codes.  Modifying the worksheet's contents may damage the workbook's =FDS functionality.</t>
  </si>
  <si>
    <t>Capitalized Software</t>
  </si>
  <si>
    <t xml:space="preserve">     Capitalized</t>
  </si>
  <si>
    <t>1/10</t>
  </si>
  <si>
    <t>1c12</t>
  </si>
  <si>
    <t>2c12</t>
  </si>
  <si>
    <t>3c12</t>
  </si>
  <si>
    <t>4c12</t>
  </si>
  <si>
    <t>_fy13</t>
  </si>
  <si>
    <t>Advertising Expense</t>
  </si>
  <si>
    <t>Weighted average fair value of grants (per share)</t>
  </si>
  <si>
    <t>Stock based Awards</t>
  </si>
  <si>
    <t>Adjustment for Stock based Awards</t>
  </si>
  <si>
    <t>4/01</t>
  </si>
  <si>
    <t>7/01</t>
  </si>
  <si>
    <t>10/01</t>
  </si>
  <si>
    <t>1/02</t>
  </si>
  <si>
    <t xml:space="preserve">  2008E</t>
  </si>
  <si>
    <t>4/00</t>
  </si>
  <si>
    <t>7/00</t>
  </si>
  <si>
    <t>10/00</t>
  </si>
  <si>
    <t>Pro-Forma Adjustments for Expensing of Stock Options</t>
  </si>
  <si>
    <t>add: Stock-based employee comp included above</t>
  </si>
  <si>
    <t>Gross Profit</t>
  </si>
  <si>
    <t>Total</t>
  </si>
  <si>
    <t>over 4,400 installed apps</t>
  </si>
  <si>
    <t>Opening Balance</t>
  </si>
  <si>
    <t>Granted</t>
  </si>
  <si>
    <t>Exercised</t>
  </si>
  <si>
    <t>Cancelled</t>
  </si>
  <si>
    <t>Closing Balance</t>
  </si>
  <si>
    <t>Outstanding Stock Options</t>
  </si>
  <si>
    <t>Simplified SFDC View</t>
  </si>
  <si>
    <t>Combined Market</t>
  </si>
  <si>
    <t>IDC</t>
  </si>
  <si>
    <t>Gartner</t>
  </si>
  <si>
    <t>MS Market Opp</t>
  </si>
  <si>
    <t xml:space="preserve">    as % of billings</t>
  </si>
  <si>
    <t xml:space="preserve">    as % of Market</t>
  </si>
  <si>
    <t xml:space="preserve">    as % of Market Opp</t>
  </si>
  <si>
    <t xml:space="preserve">   Average</t>
  </si>
  <si>
    <t>Billings Margin Analysis</t>
  </si>
  <si>
    <t xml:space="preserve">     as % of Billings</t>
  </si>
  <si>
    <t xml:space="preserve">     as % of prior year billings</t>
  </si>
  <si>
    <t>Renewal Billings Margin $'s</t>
  </si>
  <si>
    <t>New Billings Margin $'s</t>
  </si>
  <si>
    <t>as % of billings margin</t>
  </si>
  <si>
    <t>4/09</t>
  </si>
  <si>
    <t>312-313</t>
  </si>
  <si>
    <t>.14 to .15</t>
  </si>
  <si>
    <t xml:space="preserve"> 10/10</t>
  </si>
  <si>
    <t>447-449</t>
  </si>
  <si>
    <t>0.06-0.07</t>
  </si>
  <si>
    <t>0.27-0.28</t>
  </si>
  <si>
    <t>1647-1649</t>
  </si>
  <si>
    <t>1.18-1.19</t>
  </si>
  <si>
    <t>0.46-0.47</t>
  </si>
  <si>
    <t xml:space="preserve"> Purchase of subsidiary stock</t>
  </si>
  <si>
    <t>Non-Cash Interest Expense</t>
  </si>
  <si>
    <t>Adjusted FCF Per Share</t>
  </si>
  <si>
    <t>Net Cash Provided by (used in) Operating Activities</t>
  </si>
  <si>
    <t>Net Cash Used in Investing Activities</t>
  </si>
  <si>
    <t>Net Cash Provided by Financing Activities</t>
  </si>
  <si>
    <t>Change in Cash and Cash Equivalents</t>
  </si>
  <si>
    <t xml:space="preserve">     % of revenues</t>
  </si>
  <si>
    <t xml:space="preserve"> Net Change in Other Assets</t>
  </si>
  <si>
    <t xml:space="preserve"> 7/05</t>
  </si>
  <si>
    <t>Transactions (billions)</t>
  </si>
  <si>
    <t xml:space="preserve">     Y/Y</t>
  </si>
  <si>
    <t>API Traffic Growth</t>
  </si>
  <si>
    <t>% of transactions</t>
  </si>
  <si>
    <t>Average Transactions Speed (milliseconds)</t>
  </si>
  <si>
    <t>Unlimited Edition Subscriber Count</t>
  </si>
  <si>
    <t>nearing 4,000</t>
  </si>
  <si>
    <t xml:space="preserve">Implied Avg Billings per Subscriber </t>
  </si>
  <si>
    <t>TTM Implied Avg Billings per Subscriber</t>
  </si>
  <si>
    <t>YoY</t>
  </si>
  <si>
    <t>2007-Q2</t>
  </si>
  <si>
    <t>2007-Q3</t>
  </si>
  <si>
    <t>New Billings</t>
  </si>
  <si>
    <t>slscost</t>
  </si>
  <si>
    <t>Cost of Sales</t>
  </si>
  <si>
    <t>Net Cash/(Debt)</t>
  </si>
  <si>
    <t>netcash</t>
  </si>
  <si>
    <t>% of change in def rev</t>
  </si>
  <si>
    <t>Constant Currency Billings (Net Duration)</t>
  </si>
  <si>
    <t>Constant Currency Organic Billings (Net Duration)</t>
  </si>
  <si>
    <t>2010-Q2</t>
  </si>
  <si>
    <t>taxes</t>
  </si>
  <si>
    <t>4/05</t>
  </si>
  <si>
    <t xml:space="preserve"> 7/06</t>
  </si>
  <si>
    <t xml:space="preserve"> Excess Tax Benefit from employee stock plans</t>
  </si>
  <si>
    <t>Total Billings</t>
  </si>
  <si>
    <t xml:space="preserve"> 7/09</t>
  </si>
  <si>
    <t xml:space="preserve">Cash Paid </t>
  </si>
  <si>
    <t xml:space="preserve">     Income Taxes</t>
  </si>
  <si>
    <t>Reported PPE, Gross</t>
  </si>
  <si>
    <t>Exercisable Options Outstanding</t>
  </si>
  <si>
    <t>Billings Margin Dollars</t>
  </si>
  <si>
    <t xml:space="preserve">Weighted average fair value of grants </t>
  </si>
  <si>
    <t>Total Fair Value of Grants</t>
  </si>
  <si>
    <t>Total Fair Value of Grants/ Operating Net Income</t>
  </si>
  <si>
    <t>Operating Income</t>
  </si>
  <si>
    <t>Operating Margin</t>
  </si>
  <si>
    <t>Other Income</t>
  </si>
  <si>
    <t>2008-FY</t>
  </si>
  <si>
    <t>2008-Q1</t>
  </si>
  <si>
    <t xml:space="preserve">   Deferred Revenue Growth YoY</t>
  </si>
  <si>
    <t>Subscription Margin</t>
  </si>
  <si>
    <t>FY13</t>
  </si>
  <si>
    <t>Dividend Yield</t>
  </si>
  <si>
    <t>Amortization of Deferred Compensation Expense</t>
  </si>
  <si>
    <t>wA Risk-Free Interest Rate</t>
  </si>
  <si>
    <t>FCF Yield on Current Bookings (FCF/Revenue)</t>
  </si>
  <si>
    <t>323-324</t>
  </si>
  <si>
    <t>.15 to .16</t>
  </si>
  <si>
    <t xml:space="preserve"> Stock Based Compensation</t>
  </si>
  <si>
    <t>340-342</t>
  </si>
  <si>
    <t>Total Customers: Period End</t>
  </si>
  <si>
    <t>Total Paying Subs: Period End</t>
  </si>
  <si>
    <t xml:space="preserve"> Net Proceed from exercise of stock options</t>
  </si>
  <si>
    <t>salesforce.com</t>
  </si>
  <si>
    <t>Total Paying Subs: Period Average</t>
  </si>
  <si>
    <t>4/08</t>
  </si>
  <si>
    <t>Deferred Tax Liability</t>
  </si>
  <si>
    <t>Capital Lease Obligation</t>
  </si>
  <si>
    <t>Other Current Assets</t>
  </si>
  <si>
    <t>Other Non-Current Assets</t>
  </si>
  <si>
    <t>Operating Activities:</t>
  </si>
  <si>
    <t>Adjustments to Operating Activities:</t>
  </si>
  <si>
    <t xml:space="preserve"> Depreciation (PPE &amp; non-PPE)</t>
  </si>
  <si>
    <t>Tax Benefit from Employee Stock Option Exercise</t>
  </si>
  <si>
    <t>Stock Issuance from Option Exercise/ESPP</t>
  </si>
  <si>
    <t>Quarterly</t>
  </si>
  <si>
    <t xml:space="preserve">   Low End</t>
  </si>
  <si>
    <t xml:space="preserve">   High End</t>
  </si>
  <si>
    <t xml:space="preserve">   Actual/MS Esimate</t>
  </si>
  <si>
    <t>Total Revenues per Subscriber</t>
  </si>
  <si>
    <t>Other Metrics</t>
  </si>
  <si>
    <t>GAAP Net Income</t>
  </si>
  <si>
    <t xml:space="preserve">     Interest income</t>
  </si>
  <si>
    <t>2012-FY</t>
  </si>
  <si>
    <t>Services Margin</t>
  </si>
  <si>
    <t xml:space="preserve">     Growth YoY</t>
  </si>
  <si>
    <t>Deferred commissions, noncurrent</t>
  </si>
  <si>
    <t>Deferred tax asset, noncurrent</t>
  </si>
  <si>
    <t>LTM FCF</t>
  </si>
  <si>
    <t>FCF Margin</t>
  </si>
  <si>
    <t>3c10</t>
  </si>
  <si>
    <t>4c10</t>
  </si>
  <si>
    <t>_fy11</t>
  </si>
  <si>
    <t>_fy12</t>
  </si>
  <si>
    <t>1c11</t>
  </si>
  <si>
    <t>2c11</t>
  </si>
  <si>
    <t>3c11</t>
  </si>
  <si>
    <t>4c11</t>
  </si>
  <si>
    <t xml:space="preserve">  2012E</t>
  </si>
  <si>
    <t>Gross New Sub Additions</t>
  </si>
  <si>
    <t>Gross Sub Losses</t>
  </si>
  <si>
    <t>Net New Sub Additions</t>
  </si>
  <si>
    <t xml:space="preserve">  Cash per Share</t>
  </si>
  <si>
    <t>Sales Cloud</t>
  </si>
  <si>
    <t xml:space="preserve"> 10/04</t>
  </si>
  <si>
    <t>1/11</t>
  </si>
  <si>
    <t>480-482</t>
  </si>
  <si>
    <t>&gt;15000</t>
  </si>
  <si>
    <t xml:space="preserve">         Actual Share Price ($)</t>
  </si>
  <si>
    <t xml:space="preserve"> 7/08</t>
  </si>
  <si>
    <t>EPS (GAAP)</t>
  </si>
  <si>
    <t>Guidance Summary</t>
  </si>
  <si>
    <t>.06 to .07</t>
  </si>
  <si>
    <t>4/07</t>
  </si>
  <si>
    <t>CRM.N</t>
  </si>
  <si>
    <t>Minus: Lost potential billings</t>
  </si>
  <si>
    <t>Cumulative benefit to billings</t>
  </si>
  <si>
    <t>Count</t>
  </si>
  <si>
    <t>FY12</t>
  </si>
  <si>
    <t xml:space="preserve"> Amortization of deferred commission</t>
  </si>
  <si>
    <t xml:space="preserve"> Amortization of Deferred Commision</t>
  </si>
  <si>
    <t>Interest Income as % of Interest Bearing Assets</t>
  </si>
  <si>
    <t>Borrowing Cost (basis points)</t>
  </si>
  <si>
    <t>Interest Expense as % of Debt</t>
  </si>
  <si>
    <t>Cash Flow Statement (Cumulative)</t>
  </si>
  <si>
    <t>Net income (loss)</t>
  </si>
  <si>
    <t>ISVs</t>
  </si>
  <si>
    <t>LTM Total Expenses</t>
  </si>
  <si>
    <t>Balance Sheet Drivers and Line Item Detail</t>
  </si>
  <si>
    <t>Doubtful Accounts</t>
  </si>
  <si>
    <t>PPE</t>
  </si>
  <si>
    <t>PPE, Net</t>
  </si>
  <si>
    <t>Y/Y</t>
  </si>
  <si>
    <t>1292-1294</t>
  </si>
  <si>
    <t>0.62 to 0.63</t>
  </si>
  <si>
    <t>2007-Q4</t>
  </si>
  <si>
    <t>2007-FY</t>
  </si>
  <si>
    <t>Implied Avg Subscription per Month ($)</t>
  </si>
  <si>
    <t>&gt;8,600</t>
  </si>
  <si>
    <t>Number of installed applications</t>
  </si>
  <si>
    <t>Number of customers with installed apps</t>
  </si>
  <si>
    <t>600 (on verge of 600th)</t>
  </si>
  <si>
    <t>~200</t>
  </si>
  <si>
    <t>~230</t>
  </si>
  <si>
    <t>Amortized / Written-Down Intangibles</t>
  </si>
  <si>
    <t>curbooks</t>
  </si>
  <si>
    <t>2004-Q3</t>
  </si>
  <si>
    <t>2004-Q4</t>
  </si>
  <si>
    <t>2004-FY</t>
  </si>
  <si>
    <t>2005-Q1</t>
  </si>
  <si>
    <t>2005-Q2</t>
  </si>
  <si>
    <t>2005-Q3</t>
  </si>
  <si>
    <t>2005-Q4</t>
  </si>
  <si>
    <t>2005-FY</t>
  </si>
  <si>
    <t>2006-Q1</t>
  </si>
  <si>
    <t>2006-Q2</t>
  </si>
  <si>
    <t>2006-Q3</t>
  </si>
  <si>
    <t>2006-Q4</t>
  </si>
  <si>
    <t>2006-FY</t>
  </si>
  <si>
    <t>1/09</t>
  </si>
  <si>
    <t>304-305</t>
  </si>
  <si>
    <t>.10 to .11</t>
  </si>
  <si>
    <t>NI</t>
  </si>
  <si>
    <t>MI</t>
  </si>
  <si>
    <t>Pre-tax</t>
  </si>
  <si>
    <t>DSO (adjusted for deferreds)</t>
  </si>
  <si>
    <t>FY10</t>
  </si>
  <si>
    <t>825-830</t>
  </si>
  <si>
    <t>3041-3046</t>
  </si>
  <si>
    <t>1.50-1.52</t>
  </si>
  <si>
    <t xml:space="preserve"> 10/12</t>
  </si>
  <si>
    <t>Duration Benefit Worksheet</t>
  </si>
  <si>
    <t>Plus: Benefit of shift to annual</t>
  </si>
  <si>
    <t>Number of applications on AppExchange</t>
  </si>
  <si>
    <t>Net Adds (Q/Q)</t>
  </si>
  <si>
    <t>Net Adds (Y/Y)</t>
  </si>
  <si>
    <t>Off-balance sheet Backlog</t>
  </si>
  <si>
    <t>Renewal Billings</t>
  </si>
  <si>
    <t>Billings Margin</t>
  </si>
  <si>
    <t>Options Granted (Gross)</t>
  </si>
  <si>
    <t>365-367</t>
  </si>
  <si>
    <t>0.29-0.30</t>
  </si>
  <si>
    <t>0.12-0.13</t>
  </si>
  <si>
    <t>EBITDA</t>
  </si>
  <si>
    <t>Subscription Revenue</t>
  </si>
  <si>
    <t>'SFAS 123' Pro-Forma Net Income</t>
  </si>
  <si>
    <t>Options Granted (Net of Cancellations)</t>
  </si>
  <si>
    <t>Total Expense</t>
  </si>
  <si>
    <t>.38-.40</t>
  </si>
  <si>
    <t>Free Cash Flow (OCF minus Capex)</t>
  </si>
  <si>
    <t>&lt;10000</t>
  </si>
  <si>
    <t>2009-Q1</t>
  </si>
  <si>
    <t>2009-Q2</t>
  </si>
  <si>
    <t>ROE</t>
  </si>
  <si>
    <t>Contractual Unbilled</t>
  </si>
  <si>
    <t>1c13</t>
  </si>
  <si>
    <t>2c13</t>
  </si>
  <si>
    <t>3c13</t>
  </si>
  <si>
    <t>4c13</t>
  </si>
  <si>
    <t>_fy14</t>
  </si>
  <si>
    <t>2014-Q1</t>
  </si>
  <si>
    <t>2014-Q2</t>
  </si>
  <si>
    <t>2014-Q3</t>
  </si>
  <si>
    <t>2014-Q4</t>
  </si>
  <si>
    <t>2014-FY</t>
  </si>
  <si>
    <t>Name</t>
  </si>
  <si>
    <t>Options granted at fair value</t>
  </si>
  <si>
    <t>Options granted at or below fair value</t>
  </si>
  <si>
    <t>Black-Scholes Assumptions</t>
  </si>
  <si>
    <t>Volatility</t>
  </si>
  <si>
    <t xml:space="preserve">     Interest expense</t>
  </si>
  <si>
    <t xml:space="preserve">     Other Income (expense)</t>
  </si>
  <si>
    <t>Shares Outstanding</t>
  </si>
  <si>
    <t>Renewal Rate Assumption</t>
  </si>
  <si>
    <t>as % of prior period current deferred</t>
  </si>
  <si>
    <t>Total Liabs &amp; Stockholder's Equity</t>
  </si>
  <si>
    <t>Balance Sheet</t>
  </si>
  <si>
    <t>Y/Y % Growth</t>
  </si>
  <si>
    <t>Q/Q % Growth</t>
  </si>
  <si>
    <t>Deferred Revenue (Based on Y/Y % Growth)</t>
  </si>
  <si>
    <t>ltmeps</t>
  </si>
  <si>
    <t>ltmopmgn</t>
  </si>
  <si>
    <t>ltmopcash</t>
  </si>
  <si>
    <t>ltmrnd</t>
  </si>
  <si>
    <t>LTM Operating Margin</t>
  </si>
  <si>
    <t>LTM R&amp;D</t>
  </si>
  <si>
    <t>LTM CFFO</t>
  </si>
  <si>
    <t>intl</t>
  </si>
  <si>
    <t>dom</t>
  </si>
  <si>
    <t>cash</t>
  </si>
  <si>
    <t>debt</t>
  </si>
  <si>
    <t>1/06</t>
  </si>
  <si>
    <t xml:space="preserve"> Provision for Doubtful Accounts</t>
  </si>
  <si>
    <t>2016-Q4</t>
  </si>
  <si>
    <t>2016-FY</t>
  </si>
  <si>
    <t>_fy16</t>
  </si>
  <si>
    <t>1c15</t>
  </si>
  <si>
    <t>2c15</t>
  </si>
  <si>
    <t>3c15</t>
  </si>
  <si>
    <t>4c15</t>
  </si>
  <si>
    <t>2016-Q1</t>
  </si>
  <si>
    <t>2016-Q2</t>
  </si>
  <si>
    <t>800+</t>
  </si>
  <si>
    <t>40K</t>
  </si>
  <si>
    <t>Custom Apps</t>
  </si>
  <si>
    <t>80K</t>
  </si>
  <si>
    <t>lines of code</t>
  </si>
  <si>
    <t>Appex Metrics</t>
  </si>
  <si>
    <t>custom workflows</t>
  </si>
  <si>
    <t>customizations to service</t>
  </si>
  <si>
    <t>custom interfaces</t>
  </si>
  <si>
    <t>6mn</t>
  </si>
  <si>
    <t>125K</t>
  </si>
  <si>
    <t>10.5mn</t>
  </si>
  <si>
    <t>28K</t>
  </si>
  <si>
    <t>11K</t>
  </si>
  <si>
    <t>Implied Billings ASP per Subscriber per month (assuming 12 month term)</t>
  </si>
  <si>
    <t>150K</t>
  </si>
  <si>
    <t xml:space="preserve"> Gains (Losses) on Investments</t>
  </si>
  <si>
    <t>FCF/Share</t>
  </si>
  <si>
    <t xml:space="preserve"> Minority Interest</t>
  </si>
  <si>
    <t xml:space="preserve"> Proceeds - Line of Credit &amp; Capital Lease</t>
  </si>
  <si>
    <t>% of Account Recievable</t>
  </si>
  <si>
    <t>Income Tax minus Estimated Tax of Non-Operating One-Time</t>
  </si>
  <si>
    <t>Cumulative CF Depreciation Charge</t>
  </si>
  <si>
    <t>Cumulative CF PPE CAPEX Charge</t>
  </si>
  <si>
    <t>1/13</t>
  </si>
  <si>
    <t>Total Stockholders Equity</t>
  </si>
  <si>
    <t xml:space="preserve"> 10/08</t>
  </si>
  <si>
    <t>Billings (Subs + Δ Def.)</t>
  </si>
  <si>
    <t>Long-Term Convertible Debt</t>
  </si>
  <si>
    <t>Interest Expense</t>
  </si>
  <si>
    <t>Dilution Ratio</t>
  </si>
  <si>
    <t>Diluted Shares Outstanding (wA)</t>
  </si>
  <si>
    <t xml:space="preserve"> 7/04</t>
  </si>
  <si>
    <t>Additional Paid-In Capital</t>
  </si>
  <si>
    <t>Deferred Stock-Based Compensation</t>
  </si>
  <si>
    <t>Notes Recievable from Stockholders</t>
  </si>
  <si>
    <t xml:space="preserve">          Reported Stock Option Expense</t>
  </si>
  <si>
    <t>Stock Option Expense</t>
  </si>
  <si>
    <t>Modelware EPS</t>
  </si>
  <si>
    <t>GoInstant (7/10/2012)</t>
  </si>
  <si>
    <t>Net Cash per Share</t>
  </si>
  <si>
    <t>Cash interest expense</t>
  </si>
  <si>
    <t>Non-cash interest expense</t>
  </si>
  <si>
    <t>Carrying value of debt</t>
  </si>
  <si>
    <t>Remaining debt discount</t>
  </si>
  <si>
    <t>Interest expense (non-cash)</t>
  </si>
  <si>
    <t>EPS (Non-GAAP)</t>
  </si>
  <si>
    <t>totrec</t>
  </si>
  <si>
    <t>defrev</t>
  </si>
  <si>
    <t>dso</t>
  </si>
  <si>
    <t>hc</t>
  </si>
  <si>
    <t>fcf</t>
  </si>
  <si>
    <t>div</t>
  </si>
  <si>
    <t>_fy00</t>
  </si>
  <si>
    <t>_fy01</t>
  </si>
  <si>
    <t>1c02</t>
  </si>
  <si>
    <t>2c02</t>
  </si>
  <si>
    <t>3c02</t>
  </si>
  <si>
    <t>4c02</t>
  </si>
  <si>
    <t>2003-FY</t>
  </si>
  <si>
    <t>2004-Q1</t>
  </si>
  <si>
    <t>CRM: Base Case</t>
  </si>
  <si>
    <t>CRM: Bull Case</t>
  </si>
  <si>
    <t>CRM: Bear Case</t>
  </si>
  <si>
    <t>Sub / Customer</t>
  </si>
  <si>
    <t>% of sub</t>
  </si>
  <si>
    <t>Subscription Income</t>
  </si>
  <si>
    <t>Cumulative Subscription</t>
  </si>
  <si>
    <t>Fiscal Year</t>
  </si>
  <si>
    <t>Pro-Forma Net Income</t>
  </si>
  <si>
    <t>Acquisitions / Revenue Contribution</t>
  </si>
  <si>
    <t>SegmentID</t>
  </si>
  <si>
    <t>SANITY CHECK - SHOULD BE EQUAL</t>
  </si>
  <si>
    <t>Implied Subscription Revenue ($ millions)</t>
  </si>
  <si>
    <t>Revenues</t>
  </si>
  <si>
    <t>Accumulated other comprehensive income</t>
  </si>
  <si>
    <t>Accumulated deficit</t>
  </si>
  <si>
    <t>AP and Accrued Liabilities</t>
  </si>
  <si>
    <t>Sandbox Subscriber Count</t>
  </si>
  <si>
    <t>more than 25,000</t>
  </si>
  <si>
    <t>05/24/06 = 250 apps</t>
  </si>
  <si>
    <t>Inventories</t>
  </si>
  <si>
    <t>Accounts Receivable and Payable (Based on DSO and Days Payable)</t>
  </si>
  <si>
    <t>1/07</t>
  </si>
  <si>
    <t>EoP Additional Paid-in Capital ($)</t>
  </si>
  <si>
    <t>BoP Basic Shares</t>
  </si>
  <si>
    <t>EoP Basic Shares</t>
  </si>
  <si>
    <t>2012-Q1</t>
  </si>
  <si>
    <t>2012-Q2</t>
  </si>
  <si>
    <t>2012-Q3</t>
  </si>
  <si>
    <t>2012-Q4</t>
  </si>
  <si>
    <t>Cash Flows From Investing Activities</t>
  </si>
  <si>
    <t>EPS (Basic) - Operating*</t>
  </si>
  <si>
    <t>7/02</t>
  </si>
  <si>
    <t>10/02</t>
  </si>
  <si>
    <t>1/03</t>
  </si>
  <si>
    <t>4/03</t>
  </si>
  <si>
    <t>Average Subs per Customer: Period End</t>
  </si>
  <si>
    <t>NM</t>
  </si>
  <si>
    <t>Changes in operating assets and liabilities:</t>
  </si>
  <si>
    <t>Cash, end of period</t>
  </si>
  <si>
    <t xml:space="preserve"> Payment - Debt Issuance</t>
  </si>
  <si>
    <t>Reported Billings</t>
  </si>
  <si>
    <t>Reported Billings Growth</t>
  </si>
  <si>
    <t xml:space="preserve">    Capex</t>
  </si>
  <si>
    <t xml:space="preserve">          as % of rev</t>
  </si>
  <si>
    <t>Stock Repurchases</t>
  </si>
  <si>
    <t xml:space="preserve">     Shares Repurchased</t>
  </si>
  <si>
    <t xml:space="preserve">         Average Price ($)</t>
  </si>
  <si>
    <t xml:space="preserve">     Shares</t>
  </si>
  <si>
    <t>Additional Paid-in Capital, net ($)</t>
  </si>
  <si>
    <t xml:space="preserve"> Loss on Disposal of Assets</t>
  </si>
  <si>
    <t xml:space="preserve"> Other</t>
  </si>
  <si>
    <t xml:space="preserve"> Accounts Receivable</t>
  </si>
  <si>
    <t xml:space="preserve"> Prepaids and Other Assets</t>
  </si>
  <si>
    <t>Rypple (12/16/2011)</t>
  </si>
  <si>
    <t>Options Exercised</t>
  </si>
  <si>
    <t>EPS (non-GAAP)</t>
  </si>
  <si>
    <t>Non-Cash Interest</t>
  </si>
  <si>
    <t>381-383</t>
  </si>
  <si>
    <t>0.26-0.27</t>
  </si>
  <si>
    <t>0.07-0.08</t>
  </si>
  <si>
    <t>EPS (Diluted) - Operating Adjusted</t>
  </si>
  <si>
    <t>EPS (Basic) - Operating Adjusted</t>
  </si>
  <si>
    <t>4/04</t>
  </si>
  <si>
    <t>Total Stockholder's Equity</t>
  </si>
  <si>
    <t>Common Dividends</t>
  </si>
  <si>
    <t>Interest Income</t>
  </si>
  <si>
    <t>LTM Subscription Revenue</t>
  </si>
  <si>
    <t>ltmsubrev</t>
  </si>
  <si>
    <t>Long-Term Deferred Revenue</t>
  </si>
  <si>
    <t>Dividend Per Share</t>
  </si>
  <si>
    <t xml:space="preserve"> Dividends paid</t>
  </si>
  <si>
    <t>Professional Services Billings</t>
  </si>
  <si>
    <t>% of billings</t>
  </si>
  <si>
    <t>Billings Available for Renewal</t>
  </si>
  <si>
    <t>Native apps</t>
  </si>
  <si>
    <t>Total Revenue</t>
  </si>
  <si>
    <t>Cost of Revenue</t>
  </si>
  <si>
    <t>Gross Margin</t>
  </si>
  <si>
    <t>Operating Expenses</t>
  </si>
  <si>
    <t>168 - US</t>
  </si>
  <si>
    <t>25 - Japan</t>
  </si>
  <si>
    <t>200 ISV's</t>
  </si>
  <si>
    <t>15,000 independent developers</t>
  </si>
  <si>
    <t xml:space="preserve"> Net Proceeds - Preferred stock</t>
  </si>
  <si>
    <t xml:space="preserve"> Net Proceeds - Common Stock</t>
  </si>
  <si>
    <t>Buddy Media (8/17/2012)</t>
  </si>
  <si>
    <t>Invoicing Duration Impacts</t>
  </si>
  <si>
    <t xml:space="preserve"> 7/12</t>
  </si>
  <si>
    <t>773-777</t>
  </si>
  <si>
    <t>0.31-0.32</t>
  </si>
  <si>
    <t>-0.75-0.72</t>
  </si>
  <si>
    <t>Free Cash Flow (CFO ex.SO Tax benefit +Cap Ex)</t>
  </si>
  <si>
    <t>% of Total</t>
  </si>
  <si>
    <t>Operating Net Income</t>
  </si>
  <si>
    <t>Headcount growth</t>
  </si>
  <si>
    <t>Revs</t>
  </si>
  <si>
    <t>Operating Cash</t>
  </si>
  <si>
    <t>capex</t>
  </si>
  <si>
    <t>opcash</t>
  </si>
  <si>
    <t>Depreciation</t>
  </si>
  <si>
    <t>dcfdna</t>
  </si>
  <si>
    <t>Timeframe for Depreciation of Assets</t>
  </si>
  <si>
    <t>EBIT (1-T)</t>
  </si>
  <si>
    <t>nopat</t>
  </si>
  <si>
    <t>4/13</t>
  </si>
  <si>
    <t>0.10-0.11</t>
  </si>
  <si>
    <t>931-936</t>
  </si>
  <si>
    <t xml:space="preserve"> 10/05</t>
  </si>
  <si>
    <t xml:space="preserve"> Tax Benefit from employee stock plans</t>
  </si>
  <si>
    <t>Effective Tax Rate</t>
  </si>
  <si>
    <t>Currency</t>
  </si>
  <si>
    <t>Jigsaw (4/21/2010)</t>
  </si>
  <si>
    <t>Heroku (12/8/2010)</t>
  </si>
  <si>
    <t>DimDim (1/6/2011)</t>
  </si>
  <si>
    <t>ManyMoon (2/1/2011)</t>
  </si>
  <si>
    <t>Radian6 (5/2/2011)</t>
  </si>
  <si>
    <t>Constant Currency Billings</t>
  </si>
  <si>
    <t>Constant Currency Billings Growth</t>
  </si>
  <si>
    <t>Reported Revenue Growth</t>
  </si>
  <si>
    <t>Constant Currency Organic Revenue Growth</t>
  </si>
  <si>
    <t>Total Acquisition Impact on Revenue</t>
  </si>
  <si>
    <t>Constant Currency Revenue Growth</t>
  </si>
  <si>
    <t>Constant Currency Organic Billings</t>
  </si>
  <si>
    <t>Constant Currency Organic Billings Growth</t>
  </si>
  <si>
    <t>1c05</t>
  </si>
  <si>
    <t>2c05</t>
  </si>
  <si>
    <t>3c05</t>
  </si>
  <si>
    <t>4c05</t>
  </si>
  <si>
    <t>_fy05</t>
  </si>
  <si>
    <t>EMEA</t>
  </si>
  <si>
    <t>Capex</t>
  </si>
  <si>
    <t>New Subscribers</t>
  </si>
  <si>
    <t>Total Subscribers (period avg)</t>
  </si>
  <si>
    <t>Renewing Subscribers</t>
  </si>
  <si>
    <t xml:space="preserve">  2009E</t>
  </si>
  <si>
    <t>Accrued Expenses and other Current Liabilities</t>
  </si>
  <si>
    <t>2006</t>
  </si>
  <si>
    <t>Total Deferred Revenue</t>
  </si>
  <si>
    <t>1B lines</t>
  </si>
  <si>
    <t>FY09</t>
  </si>
  <si>
    <t>Operating Expenses*</t>
  </si>
  <si>
    <t>EPS*</t>
  </si>
  <si>
    <t>100K</t>
  </si>
  <si>
    <t>15M</t>
  </si>
  <si>
    <t>21M</t>
  </si>
  <si>
    <t>109K</t>
  </si>
  <si>
    <t>Billings</t>
  </si>
  <si>
    <t>Goodwill &amp; Intangibles</t>
  </si>
  <si>
    <t xml:space="preserve">    Land Activity</t>
  </si>
  <si>
    <t>Pro-Forma EPS (basic)</t>
  </si>
  <si>
    <t>Pro-Forma EPS (diluted)</t>
  </si>
  <si>
    <t>Options Outstanding</t>
  </si>
  <si>
    <t>Bookings (Rev + Δ in Backlog + Δ Deferred)</t>
  </si>
  <si>
    <t xml:space="preserve">    Backlog as a % of deferred</t>
  </si>
  <si>
    <t xml:space="preserve"> Other Liabilities</t>
  </si>
  <si>
    <t xml:space="preserve"> Purchase - Property &amp; Equipment</t>
  </si>
  <si>
    <t xml:space="preserve"> Purchase - Investments</t>
  </si>
  <si>
    <t xml:space="preserve"> Proceeds - Sale &amp; Maturities of Investments</t>
  </si>
  <si>
    <t>Basic Shares Outstanding (EoP)</t>
  </si>
  <si>
    <t xml:space="preserve">         additional shares per employee</t>
  </si>
  <si>
    <t>Billed/Collected</t>
  </si>
  <si>
    <t>0.14 to 0.15</t>
  </si>
  <si>
    <t>less: Stock-based employee comp via fair value method</t>
  </si>
  <si>
    <t>Subscription Revenues</t>
  </si>
  <si>
    <t>Basic Shares Outstanding (wA)</t>
  </si>
  <si>
    <t>IdeaExchange Members</t>
  </si>
  <si>
    <t>Developers</t>
  </si>
  <si>
    <t>taxrate</t>
  </si>
  <si>
    <t>ni</t>
  </si>
  <si>
    <t>shs</t>
  </si>
  <si>
    <t>eps</t>
  </si>
  <si>
    <t>ltmrev</t>
  </si>
  <si>
    <t>Total Monthly Expense per Subscriber</t>
  </si>
  <si>
    <t>Average Monthly per Subscriber Margin</t>
  </si>
  <si>
    <t>Total Headcount Growth (Y/Y)</t>
  </si>
  <si>
    <t>Cash, Beginning of Period</t>
  </si>
  <si>
    <t>grmgn</t>
  </si>
  <si>
    <t>Allowance for Doubtful Accounts</t>
  </si>
  <si>
    <t>Cash Flow Statement (Quarterly)</t>
  </si>
  <si>
    <t>Adj. FCF</t>
  </si>
  <si>
    <t>Adj. FCF Margins</t>
  </si>
  <si>
    <t>Other Long Term Liabilities</t>
  </si>
  <si>
    <t>Cost Model</t>
  </si>
  <si>
    <t>&lt;300</t>
  </si>
  <si>
    <t>Minority Interest</t>
  </si>
  <si>
    <t>1.124-1.129</t>
  </si>
  <si>
    <t>0.05-0.06</t>
  </si>
  <si>
    <t>4050-4055</t>
  </si>
  <si>
    <t>-0.44-0.45</t>
  </si>
  <si>
    <t xml:space="preserve"> 10/13</t>
  </si>
  <si>
    <t>wA Fair Value ($)</t>
  </si>
  <si>
    <t>Chatter customers</t>
  </si>
  <si>
    <t>ROE (including Amtortized Intangibles)</t>
  </si>
  <si>
    <t xml:space="preserve"> 10/06</t>
  </si>
  <si>
    <t>wA Exercise Price ($)</t>
  </si>
  <si>
    <t>wA Estimated Life (Years)</t>
  </si>
  <si>
    <t>Billings (Rev + Δ Deferred)</t>
  </si>
  <si>
    <t>EPS (Diluted) - Operating*</t>
  </si>
  <si>
    <t xml:space="preserve">         % of stock option proceeds</t>
  </si>
  <si>
    <t xml:space="preserve"> Purchase of Businesses, net of cash</t>
  </si>
  <si>
    <t>FCF / Bookings</t>
  </si>
  <si>
    <t>Quarterly Pricing on Incremental Customers</t>
  </si>
  <si>
    <t>S&amp;M Expense</t>
  </si>
  <si>
    <t>S&amp;M per Customer</t>
  </si>
  <si>
    <t>S&amp;M expense per new customers</t>
  </si>
  <si>
    <t>Incremental S&amp;M Expense per new customer</t>
  </si>
  <si>
    <t>TTM S&amp;M per customer</t>
  </si>
  <si>
    <t>TTM S&amp;M expense per new customers</t>
  </si>
  <si>
    <t xml:space="preserve">         Average Issuance Price ($)</t>
  </si>
  <si>
    <t>Options Data</t>
  </si>
  <si>
    <t>Options Grants</t>
  </si>
  <si>
    <t>Options granted below fair value</t>
  </si>
  <si>
    <t>Options granted above fair value</t>
  </si>
  <si>
    <t>_fy02</t>
  </si>
  <si>
    <t>1c03</t>
  </si>
  <si>
    <t>2c03</t>
  </si>
  <si>
    <t>3c03</t>
  </si>
  <si>
    <t>7/03</t>
  </si>
  <si>
    <t>10/03</t>
  </si>
  <si>
    <t>1/04</t>
  </si>
  <si>
    <t>FY04</t>
  </si>
  <si>
    <t>2004</t>
  </si>
  <si>
    <t>_fy06</t>
  </si>
  <si>
    <t>1c06</t>
  </si>
  <si>
    <t>2c06</t>
  </si>
  <si>
    <t>3c06</t>
  </si>
  <si>
    <t>4c06</t>
  </si>
  <si>
    <t>_fy07</t>
  </si>
  <si>
    <t>Attrition Rate (Per Period)</t>
  </si>
  <si>
    <t>408-410</t>
  </si>
  <si>
    <t>0.30-0.31</t>
  </si>
  <si>
    <t>Other Guidance Data</t>
  </si>
  <si>
    <t>Annual (FY1)</t>
  </si>
  <si>
    <t>Annual (FY2)</t>
  </si>
  <si>
    <t>% of deferred</t>
  </si>
  <si>
    <t>Pricing on Incremental Average Subscribers</t>
  </si>
  <si>
    <t>Subscriber Model</t>
  </si>
  <si>
    <t>TTM Pricing on New Customers</t>
  </si>
  <si>
    <t>Net New Customers in Period</t>
  </si>
  <si>
    <t>—</t>
  </si>
  <si>
    <t>Constant Currency Total Revenue Growth</t>
  </si>
  <si>
    <t>ccrevgr</t>
  </si>
  <si>
    <t>FY00</t>
  </si>
  <si>
    <t>FY01</t>
  </si>
  <si>
    <t>FY02</t>
  </si>
  <si>
    <t>FY03</t>
  </si>
  <si>
    <t>4/02</t>
  </si>
  <si>
    <t xml:space="preserve"> 7/10</t>
  </si>
  <si>
    <t xml:space="preserve">   Actual/MS Estimate</t>
  </si>
  <si>
    <t>YoY Growth</t>
  </si>
  <si>
    <t>year-over-year</t>
  </si>
  <si>
    <t>quarter-over-quarter</t>
  </si>
  <si>
    <t xml:space="preserve">     year-over-year</t>
  </si>
  <si>
    <t xml:space="preserve">     quarter-over-quarter</t>
  </si>
  <si>
    <t>Services Model</t>
  </si>
  <si>
    <t>as % of last 6 months subscription</t>
  </si>
  <si>
    <t>Growth YoY</t>
  </si>
  <si>
    <t>Growth QoQ</t>
  </si>
  <si>
    <t>EPS (GAAP after FY4Q07)</t>
  </si>
  <si>
    <t>Effective Tax Rate (GAAP after FY4Q07)</t>
  </si>
  <si>
    <t>Stock Based Comp</t>
  </si>
  <si>
    <t>Amortization</t>
  </si>
  <si>
    <t>Stock Option Expense (FV)</t>
  </si>
  <si>
    <t>% of revenues</t>
  </si>
  <si>
    <t>TTM Incremental S&amp;M expense per new customers</t>
  </si>
  <si>
    <t>2011-Q1</t>
  </si>
  <si>
    <t>2011-Q2</t>
  </si>
  <si>
    <t>2011-Q3</t>
  </si>
  <si>
    <t>2011-Q4</t>
  </si>
  <si>
    <t>2011-FY</t>
  </si>
  <si>
    <t>Estimated Risk-Free Rate</t>
  </si>
  <si>
    <t>Change in Shareholders Equity</t>
  </si>
  <si>
    <t>Non-SFA as % of New Bookings</t>
  </si>
  <si>
    <t>Non-SFA New Billings</t>
  </si>
  <si>
    <t>SFA New Billings</t>
  </si>
  <si>
    <t>4/11</t>
  </si>
  <si>
    <t>Convertible Senior notes, net</t>
  </si>
  <si>
    <t>526-528</t>
  </si>
  <si>
    <t xml:space="preserve">   As a % of outstanding shares</t>
  </si>
  <si>
    <t>Total Options Outstanding</t>
  </si>
  <si>
    <t xml:space="preserve">   Options Fortfeited</t>
  </si>
  <si>
    <t>2003-Q3</t>
  </si>
  <si>
    <t>2003-Q4</t>
  </si>
  <si>
    <t>USD</t>
  </si>
  <si>
    <t xml:space="preserve">    Y/Y</t>
  </si>
  <si>
    <t>2005</t>
  </si>
  <si>
    <t xml:space="preserve"> 7/07</t>
  </si>
  <si>
    <t>Days Payable</t>
  </si>
  <si>
    <t>1c09</t>
  </si>
  <si>
    <t>2c09</t>
  </si>
  <si>
    <t>3c09</t>
  </si>
  <si>
    <t>4c09</t>
  </si>
  <si>
    <t>_fy10</t>
  </si>
  <si>
    <t>568-570</t>
  </si>
  <si>
    <t>-0.06-0.05</t>
  </si>
  <si>
    <t xml:space="preserve"> 7/11</t>
  </si>
  <si>
    <t>YTD wA Exercised Price</t>
  </si>
  <si>
    <t>YTD wA Granted Price</t>
  </si>
  <si>
    <t>YTD wA Cancelled Price</t>
  </si>
  <si>
    <t>Prof Services</t>
  </si>
  <si>
    <t>Cost of Sub/Support</t>
  </si>
  <si>
    <t>Total Expense per Head</t>
  </si>
  <si>
    <t>Term loan due July 2016</t>
  </si>
  <si>
    <t>ExactTarget (7/13/2013)</t>
  </si>
  <si>
    <t>Common Stock</t>
  </si>
  <si>
    <t>Assistly (9/23/2011)</t>
  </si>
  <si>
    <t>Model Metrics (11/14/2011)</t>
  </si>
  <si>
    <t xml:space="preserve"> 10/11</t>
  </si>
  <si>
    <t>620-624</t>
  </si>
  <si>
    <t>0.39-0.40</t>
  </si>
  <si>
    <t>2255-2259</t>
  </si>
  <si>
    <t>1.32.1.33</t>
  </si>
  <si>
    <t>FCF Yield (FCF/Revenue)</t>
  </si>
  <si>
    <t>srev</t>
  </si>
  <si>
    <t>rev</t>
  </si>
  <si>
    <t>snm</t>
  </si>
  <si>
    <t>rnd</t>
  </si>
  <si>
    <t>gna</t>
  </si>
  <si>
    <t>totexp</t>
  </si>
  <si>
    <t>op</t>
  </si>
  <si>
    <t>opmgn</t>
  </si>
  <si>
    <t>othinc</t>
  </si>
  <si>
    <t>grinc</t>
  </si>
  <si>
    <t>Shares Issued, net</t>
  </si>
  <si>
    <t>Marketable Securities</t>
  </si>
  <si>
    <t xml:space="preserve"> </t>
  </si>
  <si>
    <t xml:space="preserve">   Variance vs. Midpoint</t>
  </si>
  <si>
    <t>EPS (PF)</t>
  </si>
  <si>
    <t>Operating Income*</t>
  </si>
  <si>
    <t>Operating Margin*</t>
  </si>
  <si>
    <t>Service Cloud</t>
  </si>
  <si>
    <t>FactSet Equivalent FCF</t>
  </si>
  <si>
    <t>Retirements</t>
  </si>
  <si>
    <t>% of BOP Gross PPE</t>
  </si>
  <si>
    <t>Long-Term Debt, noncurrent</t>
  </si>
  <si>
    <t>Long-Term Debt, current</t>
  </si>
  <si>
    <t xml:space="preserve"> 7/13</t>
  </si>
  <si>
    <t>1.050-1.055</t>
  </si>
  <si>
    <t>0.08-0.09</t>
  </si>
  <si>
    <t>Operating Cash Flow</t>
  </si>
  <si>
    <t>Income Before Taxes*</t>
  </si>
  <si>
    <t>Net Income*</t>
  </si>
  <si>
    <t>FCF/Revs</t>
  </si>
  <si>
    <t>Total Current Assets</t>
  </si>
  <si>
    <t>Total Assets</t>
  </si>
  <si>
    <t>Liabilities</t>
  </si>
  <si>
    <t>Accounts Payable</t>
  </si>
  <si>
    <t>Total Current Liabilities</t>
  </si>
  <si>
    <t>Total Liabilities</t>
  </si>
  <si>
    <t xml:space="preserve">      Timeframe for amortization</t>
  </si>
  <si>
    <t>Statutory Tax Rate</t>
  </si>
  <si>
    <t>Cumulative Amortized  / Written-Down Intangibles</t>
  </si>
  <si>
    <t xml:space="preserve">     Additional Paid in Capital ($m)</t>
  </si>
  <si>
    <t xml:space="preserve">     Additional Shares Issued (m)</t>
  </si>
  <si>
    <t>Operating Income (Non-GAAP)</t>
  </si>
  <si>
    <t>Salesforce.com</t>
  </si>
  <si>
    <t>Description</t>
  </si>
  <si>
    <t>Company</t>
  </si>
  <si>
    <t>Other Items</t>
  </si>
  <si>
    <t xml:space="preserve">     Amortized SW costs</t>
  </si>
  <si>
    <t>Exercisable Stock Options</t>
  </si>
  <si>
    <t>Exercisable Options wA Price ($)</t>
  </si>
  <si>
    <t>Exercisable/ Outstanding Options</t>
  </si>
  <si>
    <t>Capitalized Software (internal use and acquired dev tech)</t>
  </si>
  <si>
    <t xml:space="preserve">       as % of revenue</t>
  </si>
  <si>
    <t>Accumulated Other Comprehensive Income</t>
  </si>
  <si>
    <t>Adjustments</t>
  </si>
  <si>
    <t xml:space="preserve">     Foreign Currency Translation</t>
  </si>
  <si>
    <t xml:space="preserve">     Unrealized gains on securiites</t>
  </si>
  <si>
    <t>Shareholders Equity Adjustment</t>
  </si>
  <si>
    <t>Shareholders Equity (including Amtortized Intangibles)</t>
  </si>
  <si>
    <t>Domestic</t>
  </si>
  <si>
    <t>APAC</t>
  </si>
  <si>
    <t>subrev</t>
  </si>
  <si>
    <t>2009-Q3</t>
  </si>
  <si>
    <t>2009-Q4</t>
  </si>
  <si>
    <t>2009-FY</t>
  </si>
  <si>
    <t>2004-Q2</t>
  </si>
  <si>
    <t>Shareholders Equity</t>
  </si>
  <si>
    <t>toteq</t>
  </si>
  <si>
    <t>Investments</t>
  </si>
  <si>
    <t>PP&amp;E</t>
  </si>
  <si>
    <t>Current Stock Price</t>
  </si>
  <si>
    <t>1c07</t>
  </si>
  <si>
    <t>2c07</t>
  </si>
  <si>
    <t>3c07</t>
  </si>
  <si>
    <t>4c07</t>
  </si>
  <si>
    <t>_fy08</t>
  </si>
  <si>
    <t>Company Guidance</t>
  </si>
  <si>
    <t>2025e</t>
  </si>
  <si>
    <t>CRM.N,mscalc:sedolCodeCalc</t>
  </si>
  <si>
    <t>CRM.N,mscalc:targetPrice,,,,USD</t>
  </si>
  <si>
    <t>CRM.N,mscalc:closePriceCurrencyCalc</t>
  </si>
  <si>
    <t>$F$2</t>
  </si>
  <si>
    <t>2310525</t>
  </si>
  <si>
    <t>FY15</t>
  </si>
  <si>
    <t>&gt;1.4M</t>
  </si>
  <si>
    <t>+70% YoY</t>
  </si>
  <si>
    <t>1.205-1.210</t>
  </si>
  <si>
    <t>0.09-0.10</t>
  </si>
  <si>
    <t>1/14</t>
  </si>
  <si>
    <t>&gt;10</t>
  </si>
  <si>
    <t>&gt;200</t>
  </si>
  <si>
    <t>&gt;1.5M</t>
  </si>
  <si>
    <t>&gt;150</t>
  </si>
  <si>
    <t>2017-Q1</t>
  </si>
  <si>
    <t>2017-Q2</t>
  </si>
  <si>
    <t>2017-Q3</t>
  </si>
  <si>
    <t>2017-Q4</t>
  </si>
  <si>
    <t>2017-FY</t>
  </si>
  <si>
    <t>1c16</t>
  </si>
  <si>
    <t>2c16</t>
  </si>
  <si>
    <t>3c16</t>
  </si>
  <si>
    <t>4c16</t>
  </si>
  <si>
    <t>_fy17</t>
  </si>
  <si>
    <t>4/14</t>
  </si>
  <si>
    <t>1.285-1.290</t>
  </si>
  <si>
    <t>-0.23-0.22</t>
  </si>
  <si>
    <t>0.11-0.12</t>
  </si>
  <si>
    <t>Subscription Breakout</t>
  </si>
  <si>
    <t>Marketing Cloud</t>
  </si>
  <si>
    <t>Salesforce1 Platform and Other</t>
  </si>
  <si>
    <t>4Q to 2Q seasonality</t>
  </si>
  <si>
    <t>Normalized Billings</t>
  </si>
  <si>
    <t>Consensus as of 8/21/14</t>
  </si>
  <si>
    <t xml:space="preserve"> 7/14</t>
  </si>
  <si>
    <t>1.365-1.370</t>
  </si>
  <si>
    <t>(0.13)-(0.12)</t>
  </si>
  <si>
    <t xml:space="preserve"> 10/14</t>
  </si>
  <si>
    <t>1.436-1.441</t>
  </si>
  <si>
    <t>(0.10)-(0.09)</t>
  </si>
  <si>
    <t>0.13-0.14</t>
  </si>
  <si>
    <t>5365-5370</t>
  </si>
  <si>
    <t>0.51-0.52</t>
  </si>
  <si>
    <t>(0.42)-(0.41)</t>
  </si>
  <si>
    <t>QoQ Growth</t>
  </si>
  <si>
    <t>_fy18</t>
  </si>
  <si>
    <t>1c17</t>
  </si>
  <si>
    <t>2c17</t>
  </si>
  <si>
    <t>3c17</t>
  </si>
  <si>
    <t>4c17</t>
  </si>
  <si>
    <t>2018-Q1</t>
  </si>
  <si>
    <t>2018-Q2</t>
  </si>
  <si>
    <t>2018-Q3</t>
  </si>
  <si>
    <t>2018-Q4</t>
  </si>
  <si>
    <t>2018-FY</t>
  </si>
  <si>
    <t>FX Impact to Revenue YoY</t>
  </si>
  <si>
    <t>capex as % of Revenue</t>
  </si>
  <si>
    <t>1/15</t>
  </si>
  <si>
    <t>1485-1505</t>
  </si>
  <si>
    <t>(0.04)-(0.03)</t>
  </si>
  <si>
    <t>% of annual</t>
  </si>
  <si>
    <t>Curr Deferred commissions</t>
  </si>
  <si>
    <t>change in curr def commissions</t>
  </si>
  <si>
    <t>LT Deferred comms</t>
  </si>
  <si>
    <t>YoY growth</t>
  </si>
  <si>
    <t>Total Deferred comms</t>
  </si>
  <si>
    <t>Current/LT deferred comms ratio</t>
  </si>
  <si>
    <t>FY16</t>
  </si>
  <si>
    <t>4/15</t>
  </si>
  <si>
    <t>1590-1600</t>
  </si>
  <si>
    <t>0.17-0.18</t>
  </si>
  <si>
    <t>(0.01)-0.00</t>
  </si>
  <si>
    <t xml:space="preserve"> 7/15</t>
  </si>
  <si>
    <t>(0.02)-(0.01)</t>
  </si>
  <si>
    <t>0.18-0.19</t>
  </si>
  <si>
    <t>1690-1700</t>
  </si>
  <si>
    <t>Deferred Rev</t>
  </si>
  <si>
    <t>mid-20%</t>
  </si>
  <si>
    <t>mid/high 20%</t>
  </si>
  <si>
    <t>24%-25%</t>
  </si>
  <si>
    <t>CFops</t>
  </si>
  <si>
    <t>OP Margin</t>
  </si>
  <si>
    <t>125-150bps</t>
  </si>
  <si>
    <t>6640-6650</t>
  </si>
  <si>
    <t>1782-1792</t>
  </si>
  <si>
    <t>23%-24%</t>
  </si>
  <si>
    <t>0.74-0.75</t>
  </si>
  <si>
    <t>(0.12)-(0.11)</t>
  </si>
  <si>
    <t>(0.09)-(0.08)</t>
  </si>
  <si>
    <t xml:space="preserve"> 10/15</t>
  </si>
  <si>
    <t>Revenue Analysis</t>
  </si>
  <si>
    <t xml:space="preserve">  2019E</t>
  </si>
  <si>
    <t>4/18E</t>
  </si>
  <si>
    <t xml:space="preserve"> 7/18E</t>
  </si>
  <si>
    <t xml:space="preserve"> 10/18E</t>
  </si>
  <si>
    <t>1/19E</t>
  </si>
  <si>
    <t>FY19E</t>
  </si>
  <si>
    <t>1c18</t>
  </si>
  <si>
    <t>2c18</t>
  </si>
  <si>
    <t>3c18</t>
  </si>
  <si>
    <t>4c18</t>
  </si>
  <si>
    <t>_fy19</t>
  </si>
  <si>
    <t>FY17</t>
  </si>
  <si>
    <t>2019-Q1</t>
  </si>
  <si>
    <t>2019-Q2</t>
  </si>
  <si>
    <t>2019-Q3</t>
  </si>
  <si>
    <t>2019-Q4</t>
  </si>
  <si>
    <t>2019-FY</t>
  </si>
  <si>
    <t>1/16</t>
  </si>
  <si>
    <t>1885-1895</t>
  </si>
  <si>
    <t>0.23-0.24</t>
  </si>
  <si>
    <t>0.00-0.01</t>
  </si>
  <si>
    <t>Subscription Mix</t>
  </si>
  <si>
    <r>
      <rPr>
        <b/>
        <sz val="12"/>
        <color theme="0"/>
        <rFont val="Calibri"/>
        <family val="2"/>
      </rPr>
      <t>Δ</t>
    </r>
    <r>
      <rPr>
        <b/>
        <sz val="11"/>
        <color theme="0"/>
        <rFont val="Arial"/>
        <family val="2"/>
      </rPr>
      <t xml:space="preserve"> in Subscription Mix</t>
    </r>
  </si>
  <si>
    <t>4/16</t>
  </si>
  <si>
    <t>26%-28%</t>
  </si>
  <si>
    <t>0.03-0.04</t>
  </si>
  <si>
    <t>App Cloud and Other</t>
  </si>
  <si>
    <t>2.005-2.025</t>
  </si>
  <si>
    <t>0.21-0.22</t>
  </si>
  <si>
    <t>Demandware (7/11/2016)</t>
  </si>
  <si>
    <t>Interest Expense @ LIBOR plus 125bps</t>
  </si>
  <si>
    <t>Term loan due July 2019</t>
  </si>
  <si>
    <t>Renewal Billings Op Margin</t>
  </si>
  <si>
    <t>New Billings Op Margin</t>
  </si>
  <si>
    <t>Total Operating Margin %</t>
  </si>
  <si>
    <t xml:space="preserve">Professional Services % of Rev </t>
  </si>
  <si>
    <t>Margin %</t>
  </si>
  <si>
    <t>YoY Improvement</t>
  </si>
  <si>
    <t>% of Subs Rev</t>
  </si>
  <si>
    <t>PEG Ratio</t>
  </si>
  <si>
    <t>P/E Valuation</t>
  </si>
  <si>
    <t>Bear Valuation</t>
  </si>
  <si>
    <t>as % of Billings</t>
  </si>
  <si>
    <t>FY20E</t>
  </si>
  <si>
    <t>FY21E</t>
  </si>
  <si>
    <t>Est. Mkt Spend (3rd Party)</t>
  </si>
  <si>
    <t>Est. Mkt Share % (3rd Party)</t>
  </si>
  <si>
    <t>Organic CC Growth</t>
  </si>
  <si>
    <t xml:space="preserve"> 7/16</t>
  </si>
  <si>
    <t>20-21%</t>
  </si>
  <si>
    <t>2110-2120</t>
  </si>
  <si>
    <t>~20%</t>
  </si>
  <si>
    <t>0.20-0.21</t>
  </si>
  <si>
    <t>(0.05)-(0.04)</t>
  </si>
  <si>
    <t>FX Impact to Deferred Revenue, QoQ</t>
  </si>
  <si>
    <t>Est. Mkt Opportunity (MS-Bottom Up)</t>
  </si>
  <si>
    <t>Est. Mkt Share % (MS-Bottom Up)</t>
  </si>
  <si>
    <t>Accounts Receivable, Net</t>
  </si>
  <si>
    <t>Other Working Capital</t>
  </si>
  <si>
    <t>-Total Expenses</t>
  </si>
  <si>
    <t>Billings DSO</t>
  </si>
  <si>
    <t>- Cash Taxes</t>
  </si>
  <si>
    <t>Cash Tax Rate</t>
  </si>
  <si>
    <t>= Cash from ops</t>
  </si>
  <si>
    <t>- Capex</t>
  </si>
  <si>
    <t>as % of Rev</t>
  </si>
  <si>
    <t>- Interest/Other Exp</t>
  </si>
  <si>
    <t xml:space="preserve">+Depreciation </t>
  </si>
  <si>
    <t>Change in A/R</t>
  </si>
  <si>
    <t>= Cash Received</t>
  </si>
  <si>
    <t xml:space="preserve">= FCF </t>
  </si>
  <si>
    <t>Reported Growth</t>
  </si>
  <si>
    <t xml:space="preserve"> 10/16</t>
  </si>
  <si>
    <t>GAAP Basic Shares</t>
  </si>
  <si>
    <t>2.267-2.277</t>
  </si>
  <si>
    <t>22%-23%</t>
  </si>
  <si>
    <t>0.24-0.25</t>
  </si>
  <si>
    <t>8.365-8.375</t>
  </si>
  <si>
    <t>0.97-0.98</t>
  </si>
  <si>
    <t xml:space="preserve">  2020E</t>
  </si>
  <si>
    <t>4/19E</t>
  </si>
  <si>
    <t xml:space="preserve"> 7/19E</t>
  </si>
  <si>
    <t xml:space="preserve"> 10/19E</t>
  </si>
  <si>
    <t>1/20E</t>
  </si>
  <si>
    <t>1c19</t>
  </si>
  <si>
    <t>2c19</t>
  </si>
  <si>
    <t>3c19</t>
  </si>
  <si>
    <t>4c19</t>
  </si>
  <si>
    <t>_fy20</t>
  </si>
  <si>
    <t>2020-Q1</t>
  </si>
  <si>
    <t>2020-Q2</t>
  </si>
  <si>
    <t>2020-Q3</t>
  </si>
  <si>
    <t>2020-Q4</t>
  </si>
  <si>
    <t>2020-FY</t>
  </si>
  <si>
    <t>1/17</t>
  </si>
  <si>
    <t>2.34-2.35</t>
  </si>
  <si>
    <t>22-23%</t>
  </si>
  <si>
    <t>0.25-0.26</t>
  </si>
  <si>
    <t>(0.03)-(0.02)</t>
  </si>
  <si>
    <t>2.51-2.52</t>
  </si>
  <si>
    <t>4/17</t>
  </si>
  <si>
    <t>1Q15</t>
  </si>
  <si>
    <t>2Q15</t>
  </si>
  <si>
    <t>3Q15</t>
  </si>
  <si>
    <t>4Q15</t>
  </si>
  <si>
    <t>1Q16</t>
  </si>
  <si>
    <t>2Q16</t>
  </si>
  <si>
    <t>3Q16</t>
  </si>
  <si>
    <t>4Q16</t>
  </si>
  <si>
    <t>1Q17</t>
  </si>
  <si>
    <t>2Q17</t>
  </si>
  <si>
    <t>3Q17</t>
  </si>
  <si>
    <t>4Q17</t>
  </si>
  <si>
    <t>1Q18</t>
  </si>
  <si>
    <t>2Q18e</t>
  </si>
  <si>
    <t>3Q18e</t>
  </si>
  <si>
    <t>4Q18e</t>
  </si>
  <si>
    <t xml:space="preserve"> 7/17</t>
  </si>
  <si>
    <t>2.64-2.65</t>
  </si>
  <si>
    <t>18-19%</t>
  </si>
  <si>
    <t>0.36-0.37</t>
  </si>
  <si>
    <t>0.04-0.05</t>
  </si>
  <si>
    <t xml:space="preserve">   Deferred Revenue Growth QoQ</t>
  </si>
  <si>
    <t>FY18</t>
  </si>
  <si>
    <t xml:space="preserve"> 10/17</t>
  </si>
  <si>
    <t>19-20%</t>
  </si>
  <si>
    <t>2.801-2.811</t>
  </si>
  <si>
    <t>0.32-0.33</t>
  </si>
  <si>
    <t>10.43-10.44</t>
  </si>
  <si>
    <t>1.32-1.33</t>
  </si>
  <si>
    <t>2021-Q1</t>
  </si>
  <si>
    <t>2021-Q2</t>
  </si>
  <si>
    <t>2021-Q3</t>
  </si>
  <si>
    <t>2021-Q4</t>
  </si>
  <si>
    <t>2021-FY</t>
  </si>
  <si>
    <t xml:space="preserve">  2021E</t>
  </si>
  <si>
    <t>1c20</t>
  </si>
  <si>
    <t>2c20</t>
  </si>
  <si>
    <t>3c20</t>
  </si>
  <si>
    <t>4c20</t>
  </si>
  <si>
    <t>_fy21</t>
  </si>
  <si>
    <t>4/20E</t>
  </si>
  <si>
    <t xml:space="preserve"> 7/20E</t>
  </si>
  <si>
    <t xml:space="preserve"> 10/20E</t>
  </si>
  <si>
    <t>1/21E</t>
  </si>
  <si>
    <t>2026e</t>
  </si>
  <si>
    <t>1/18</t>
  </si>
  <si>
    <t>23-24%</t>
  </si>
  <si>
    <t>2.935-2.945</t>
  </si>
  <si>
    <t>12.66-12.71</t>
  </si>
  <si>
    <t>2.25-2.27</t>
  </si>
  <si>
    <t>0.91-0.93</t>
  </si>
  <si>
    <t>140</t>
  </si>
  <si>
    <t>Research</t>
  </si>
  <si>
    <t>MSA11763</t>
  </si>
  <si>
    <t>e = Morgan Stanley Research estimates unless otherwise noted</t>
  </si>
  <si>
    <t>Source: Morgan Stanley Research unless otherwise noted</t>
  </si>
  <si>
    <t>Stocks ratings are relative to the analyst's industry coverage universe.</t>
  </si>
  <si>
    <t>1585 Broadway</t>
  </si>
  <si>
    <t>New York, NY  10036-8293</t>
  </si>
  <si>
    <t>United States</t>
  </si>
  <si>
    <t>Tel: +1 (1)212 761 4000</t>
  </si>
  <si>
    <t>Authors: Keith Weiss</t>
  </si>
  <si>
    <t>Date: 03 Apr 2018</t>
  </si>
  <si>
    <t>Ticker: CRM.N</t>
  </si>
  <si>
    <t>Stock Rating: Overweight</t>
  </si>
  <si>
    <t>Industry: Software</t>
  </si>
  <si>
    <t>Industry View: Attractive</t>
  </si>
  <si>
    <t>Price as of 03 Apr 2018: 114.29</t>
  </si>
  <si>
    <t>Target Price: 140</t>
  </si>
  <si>
    <t>Analyst Certification</t>
  </si>
  <si>
    <t>Unless otherwise stated, the individuals listed on the cover page of this report are research analysts.</t>
  </si>
  <si>
    <t>Global Research Conflict Management Policy</t>
  </si>
  <si>
    <t>Important US Regulatory Disclosures on Subject Companies</t>
  </si>
  <si>
    <t>Morgan Stanley &amp; Co. LLC makes a market in the securities of Salesforce.com.</t>
  </si>
  <si>
    <t>STOCK RATINGS</t>
  </si>
  <si>
    <t>Global Stock Ratings Distribution</t>
  </si>
  <si>
    <t>(as of March 31, 2018)</t>
  </si>
  <si>
    <t>Coverage Universe</t>
  </si>
  <si>
    <t>Investment Banking Clients (IBC)</t>
  </si>
  <si>
    <t>Other Material Investment Services Clients (MISC)</t>
  </si>
  <si>
    <t>Stock Rating Category</t>
  </si>
  <si>
    <t>% of Total IBC</t>
  </si>
  <si>
    <t>% of Rating Category</t>
  </si>
  <si>
    <t>% of Total Other MISC</t>
  </si>
  <si>
    <t>Overweight/Buy</t>
  </si>
  <si>
    <t>Equal-weight/Hold</t>
  </si>
  <si>
    <t>Not-Rated/Hold</t>
  </si>
  <si>
    <t>Underweight/Sell</t>
  </si>
  <si>
    <t>Analyst Stock Ratings</t>
  </si>
  <si>
    <t>Analyst Industry Views</t>
  </si>
  <si>
    <t>.</t>
  </si>
  <si>
    <t>Stock Price, Price Target and Rating History (See Rating Definitions)</t>
  </si>
  <si>
    <t>Important Disclosures for Morgan Stanley Smith Barney LLC Customers</t>
  </si>
  <si>
    <t>Other Important Disclosures</t>
  </si>
  <si>
    <t>Morgan Stanley Research, or any portion thereof may not be reprinted, sold or redistributed without the</t>
  </si>
  <si>
    <t>written consent of Morgan Stanley.</t>
  </si>
  <si>
    <t>The trademarks and service marks contained in Morgan Stanley Research are the property of their</t>
  </si>
  <si>
    <t>respective owners. Third-party data providers make no warranties or representations relating to the</t>
  </si>
  <si>
    <t>accuracy, completeness, or timeliness of the data they provide and shall not have liability for any</t>
  </si>
  <si>
    <t>damages relating to such data. The Global Industry Classification Standard (GICS) was developed by and</t>
  </si>
  <si>
    <t>is the exclusive property of MSCI and S&amp;P.</t>
  </si>
  <si>
    <t>As required by the Capital Markets Board of Turkey, investment information, comments and recommendations</t>
  </si>
  <si>
    <t>stated here, are not within the scope of investment advisory activity. Investment advisory service is</t>
  </si>
  <si>
    <t>provided exclusively to persons based on their risk and income preferences by the authorized firms.</t>
  </si>
  <si>
    <t>Comments and recommendations stated here are general in nature. These opinions may not fit to your</t>
  </si>
  <si>
    <t>financial status, risk and return preferences. For this reason, to make an investment decision by</t>
  </si>
  <si>
    <t>relying solely to this information stated here may not bring about outcomes that fit your expectations.</t>
  </si>
  <si>
    <t>The information in Morgan Stanley Research is being communicated by Morgan Stanley &amp; Co. International</t>
  </si>
  <si>
    <t>plc (QFC Branch), regulated by the Qatar Financial Centre Regulatory Authority (the QFCRA), and is</t>
  </si>
  <si>
    <t>directed at business customers and market counterparties only and is not intended for Retail Customers</t>
  </si>
  <si>
    <t>as defined by the QFCRA.</t>
  </si>
  <si>
    <t>plc (DIFC Branch), regulated by the Dubai Financial Services Authority (the DFSA), and is directed at</t>
  </si>
  <si>
    <t>Professional Clients only, as defined by the DFSA. The financial products or financial services to which</t>
  </si>
  <si>
    <t>this research relates will only be made available to a customer who we are satisfied meets the</t>
  </si>
  <si>
    <t>regulatory criteria to be a Professional Client.</t>
  </si>
  <si>
    <t>Morgan Stanley Research is disseminated in Brazil by Morgan Stanley C.T.V.M. S.A.; in Mexico by Morgan</t>
  </si>
  <si>
    <t>Stanley México, Casa de Bolsa, S.A. de C.V which is regulated by Comision Nacional Bancaria y de</t>
  </si>
  <si>
    <t>Valores. Paseo de los Tamarindos 90, Torre 1, Col. Bosques de las Lomas Floor 29, 05120 Mexico City; in</t>
  </si>
  <si>
    <t>Japan by Morgan Stanley MUFG Securities Co., Ltd. and, for Commodities related research reports only,</t>
  </si>
  <si>
    <t>Morgan Stanley Capital Group Japan Co., Ltd; in Hong Kong by Morgan Stanley Asia Limited (which accepts</t>
  </si>
  <si>
    <t>responsibility for its contents) and by Morgan Stanley Asia International Limited, Hong Kong Branch; in</t>
  </si>
  <si>
    <t>Singapore by Morgan Stanley Asia (Singapore) Pte. (Registration number 199206298Z) and/or Morgan Stanley</t>
  </si>
  <si>
    <t>Asia (Singapore) Securities Pte Ltd (Registration number 200008434H), regulated by the Monetary</t>
  </si>
  <si>
    <t>Authority of Singapore (which accepts legal responsibility for its contents and should be contacted with</t>
  </si>
  <si>
    <t>respect to any matters arising from, or in connection with, Morgan Stanley Research) and by Morgan</t>
  </si>
  <si>
    <t>Stanley Asia International Limited, Singapore Branch (Registration number T11FC0207F); in Australia to</t>
  </si>
  <si>
    <t>"wholesale clients" within the meaning of the Australian Corporations Act by Morgan Stanley Australia</t>
  </si>
  <si>
    <t>Limited A.B.N. 67 003 734 576, holder of Australian financial services license No. 233742, which accepts</t>
  </si>
  <si>
    <t>responsibility for its contents; in Australia to "wholesale clients" and "retail clients" within the</t>
  </si>
  <si>
    <t>meaning of the Australian Corporations Act by Morgan Stanley Wealth Management Australia Pty Ltd (A.B.N.</t>
  </si>
  <si>
    <t>19 009 145 555, holder of Australian financial services license No. 240813, which accepts responsibility</t>
  </si>
  <si>
    <t>for its contents; in Korea by Morgan Stanley &amp; Co International plc, Seoul Branch; in India by Morgan</t>
  </si>
  <si>
    <t>Stanley India Company Private Limited; in Indonesia by PT. Morgan Stanley Sekuritas Indonesia; in Canada</t>
  </si>
  <si>
    <t>by Morgan Stanley Canada Limited, which has approved of and takes responsibility for its contents in</t>
  </si>
  <si>
    <t>Canada; in Germany by Morgan Stanley Bank AG, Frankfurt am Main and Morgan Stanley Private Wealth</t>
  </si>
  <si>
    <t>Management Limited, Niederlassung Deutschland, regulated by Bundesanstalt fuer</t>
  </si>
  <si>
    <t>Finanzdienstleistungsaufsicht (BaFin); in Spain by Morgan Stanley, S.V., S.A., a Morgan Stanley group</t>
  </si>
  <si>
    <t>company, which is supervised by the Spanish Securities Markets Commission (CNMV) and states that Morgan</t>
  </si>
  <si>
    <t>Stanley Research has been written and distributed in accordance with the rules of conduct applicable to</t>
  </si>
  <si>
    <t>financial research as established under Spanish regulations; in the US by Morgan Stanley &amp; Co. LLC,</t>
  </si>
  <si>
    <t>which accepts responsibility for its contents. Morgan Stanley &amp; Co. International plc, authorized by the</t>
  </si>
  <si>
    <t>Prudential Regulatory Authority and regulated by the Financial Conduct Authority and the Prudential</t>
  </si>
  <si>
    <t>Regulatory Authority, disseminates in the UK research that it has prepared, and approves solely for the</t>
  </si>
  <si>
    <t>purposes of section 21 of the Financial Services and Markets Act 2000, research which has been prepared</t>
  </si>
  <si>
    <t>by any of its affiliates. RMB Morgan Stanley Proprietary Limited is a member of the JSE Limited and</t>
  </si>
  <si>
    <t>regulated by the Financial Services Board in South Africa. RMB Morgan Stanley Proprietary Limited is a</t>
  </si>
  <si>
    <t>joint venture owned equally by Morgan Stanley International Holdings Inc. and RMB Investment Advisory</t>
  </si>
  <si>
    <t>(Proprietary) Limited, which is wholly owned by FirstRand Limited. The information in Morgan Stanley</t>
  </si>
  <si>
    <t>Research is being disseminated by Morgan Stanley Saudi Arabia, regulated by the Capital Market Authority</t>
  </si>
  <si>
    <t>in the Kingdom of Saudi Arabia , and is directed at Sophisticated investors only.</t>
  </si>
  <si>
    <t>Morgan Stanley is not incorporated under PRC law and the research in relation to this report is</t>
  </si>
  <si>
    <t>conducted outside the PRC. Morgan Stanley Research does not constitute an offer to sell or the</t>
  </si>
  <si>
    <t>solicitation of an offer to buy any securities in the PRC. PRC investors shall have the relevant</t>
  </si>
  <si>
    <t>qualifications to invest in such securities and shall be responsible for obtaining all relevant</t>
  </si>
  <si>
    <t>approvals, licenses, verifications and/or registrations from the relevant governmental authorities</t>
  </si>
  <si>
    <t>themselves. Neither this report nor any part of it is intended as, or shall constitute, provision of any</t>
  </si>
  <si>
    <t>consultancy or advisory service of securities investment as defined under PRC law. Such information is</t>
  </si>
  <si>
    <t>provided for your reference only.</t>
  </si>
  <si>
    <t>To our readers based in Taiwan or trading in Taiwan securities/instruments: Information on</t>
  </si>
  <si>
    <t>securities/instruments that trade in Taiwan is distributed by Morgan Stanley Taiwan Limited ("MSTL").</t>
  </si>
  <si>
    <t>Such information is for your reference only. The reader should independently evaluate the investment</t>
  </si>
  <si>
    <t>risks and is solely responsible for their investment decisions. Morgan Stanley Research may not be</t>
  </si>
  <si>
    <t>distributed to the public media or quoted or used by the public media without the express written</t>
  </si>
  <si>
    <t>consent of Morgan Stanley. Any non-customer reader within the scope of Article 7-1 of the Taiwan Stock</t>
  </si>
  <si>
    <t>Exchange Recommendation Regulations accessing and/or receiving Morgan Stanley Research is not permitted</t>
  </si>
  <si>
    <t>to provide Morgan Stanley Research to any third party (including but not limited to related parties,</t>
  </si>
  <si>
    <t>affiliated companies and any other third parties) or engage in any activities regarding Morgan Stanley</t>
  </si>
  <si>
    <t>Research which may create or give the appearance of creating a conflict of interest. Information on</t>
  </si>
  <si>
    <t>securities/instruments that do not trade in Taiwan is for informational purposes only and is not to be</t>
  </si>
  <si>
    <t>construed as a recommendation or a solicitation to trade in such securities/instruments. MSTL may not</t>
  </si>
  <si>
    <t>execute transactions for clients in these securities/instruments.</t>
  </si>
  <si>
    <t>Morgan Stanley may make investment decisions that are inconsistent with the recommendations or views in</t>
  </si>
  <si>
    <t>this report.</t>
  </si>
  <si>
    <t>Morgan Stanley Research personnel may participate in company events such as site visits and are</t>
  </si>
  <si>
    <t>generally prohibited from accepting payment by the company of associated expenses unless pre-approved by</t>
  </si>
  <si>
    <t>authorized members of Research management.</t>
  </si>
  <si>
    <t>With the exception of information regarding Morgan Stanley, Morgan Stanley Research is based on public</t>
  </si>
  <si>
    <t>information. Morgan Stanley makes every effort to use reliable, comprehensive information, but we make</t>
  </si>
  <si>
    <t>no representation that it is accurate or complete. We have no obligation to tell you when opinions or</t>
  </si>
  <si>
    <t>information in Morgan Stanley Research change apart from when we intend to discontinue equity research</t>
  </si>
  <si>
    <t>coverage of a subject company. Facts and views presented in Morgan Stanley Research have not been</t>
  </si>
  <si>
    <t>reviewed by, and may not reflect information known to, professionals in other Morgan Stanley business</t>
  </si>
  <si>
    <t>areas, including investment banking personnel.</t>
  </si>
  <si>
    <t>The "Important US Regulatory Disclosures on Subject Companies" section in Morgan Stanley Research lists</t>
  </si>
  <si>
    <t>all companies mentioned where Morgan Stanley owns 1% or more of a class of common equity securities of</t>
  </si>
  <si>
    <t>the companies. For all other companies mentioned in Morgan Stanley Research, Morgan Stanley may have an</t>
  </si>
  <si>
    <t>investment of less than 1% in securities/instruments or derivatives of securities/instruments of</t>
  </si>
  <si>
    <t>companies and may trade them in ways different from those discussed in Morgan Stanley Research.</t>
  </si>
  <si>
    <t>Employees of Morgan Stanley not involved in the preparation of Morgan Stanley Research may have</t>
  </si>
  <si>
    <t>investments in securities/instruments or derivatives of securities/instruments of companies mentioned</t>
  </si>
  <si>
    <t>and may trade them in ways different from those discussed in Morgan Stanley Research. Derivatives may be</t>
  </si>
  <si>
    <t>issued by Morgan Stanley or associated persons.</t>
  </si>
  <si>
    <t>The fixed income research analysts, strategists or economists principally responsible for the</t>
  </si>
  <si>
    <t>preparation of Morgan Stanley Research have received compensation based upon various factors, including</t>
  </si>
  <si>
    <t>quality, accuracy and value of research, firm profitability or revenues (which include fixed income</t>
  </si>
  <si>
    <t>trading and capital markets profitability or revenues), client feedback and competitive factors. Fixed</t>
  </si>
  <si>
    <t>Income Research analysts', strategists' or economists' compensation is not linked to investment banking</t>
  </si>
  <si>
    <t>or capital markets transactions performed by Morgan Stanley or the profitability or revenues of</t>
  </si>
  <si>
    <t>particular trading desks.</t>
  </si>
  <si>
    <t>Morgan Stanley Research does not provide individually tailored investment advice. Morgan Stanley</t>
  </si>
  <si>
    <t>Research has been prepared without regard to the circumstances and objectives of those who receive it.</t>
  </si>
  <si>
    <t>Morgan Stanley recommends that investors independently evaluate particular investments and strategies,</t>
  </si>
  <si>
    <t>and encourages investors to seek the advice of a financial adviser. The appropriateness of an investment</t>
  </si>
  <si>
    <t>or strategy will depend on an investor's circumstances and objectives. The securities, instruments, or</t>
  </si>
  <si>
    <t>strategies discussed in Morgan Stanley Research may not be suitable for all investors, and certain</t>
  </si>
  <si>
    <t>investors may not be eligible to purchase or participate in some or all of them. Morgan Stanley Research</t>
  </si>
  <si>
    <t>is not an offer to buy or sell or the solicitation of an offer to buy or sell any security/instrument or</t>
  </si>
  <si>
    <t>to participate in any particular trading strategy. The value of and income from your investments may</t>
  </si>
  <si>
    <t>vary because of changes in interest rates, foreign exchange rates, default rates, prepayment rates,</t>
  </si>
  <si>
    <t>securities/instruments prices, market indexes, operational or financial conditions of companies or other</t>
  </si>
  <si>
    <t>factors. There may be time limitations on the exercise of options or other rights in</t>
  </si>
  <si>
    <t>securities/instruments transactions. Past performance is not necessarily a guide to future performance.</t>
  </si>
  <si>
    <t>Estimates of future performance are based on assumptions that may not be realized. If provided, and</t>
  </si>
  <si>
    <t>unless otherwise stated, the closing price on the cover page is that of the primary exchange for the</t>
  </si>
  <si>
    <t>subject company's securities/instruments.</t>
  </si>
  <si>
    <t>If you do not agree to our Terms of Use and/or if you do not wish to provide your consent to Morgan</t>
  </si>
  <si>
    <t>Stanley processing your personal data or using cookies please do not access our research.</t>
  </si>
  <si>
    <t>Any access and/or use of Morgan Stanley Research is subject to Morgan Stanley's Terms of Use</t>
  </si>
  <si>
    <t>(http://www.morganstanley.com/terms.html). By accessing and/or using Morgan Stanley Research, you are</t>
  </si>
  <si>
    <t>indicating that you have read and agree to be bound by our Terms of Use</t>
  </si>
  <si>
    <t>(http://www.morganstanley.com/terms.html). In addition you consent to Morgan Stanley processing your</t>
  </si>
  <si>
    <t>personal data and using cookies in accordance with our Privacy Policy and our Global Cookies Policy</t>
  </si>
  <si>
    <t>(http://www.morganstanley.com/privacy_pledge.html), including for the purposes of setting your</t>
  </si>
  <si>
    <t>preferences and to collect readership data so that we can deliver better and more personalized service</t>
  </si>
  <si>
    <t>and products to you. To find out more information about how Morgan Stanley processes personal data, how</t>
  </si>
  <si>
    <t>we use cookies and how to reject cookies see our Privacy Policy and our Global Cookies Policy</t>
  </si>
  <si>
    <t>(http://www.morganstanley.com/privacy_pledge.html).</t>
  </si>
  <si>
    <t>Morgan Stanley Research is provided to our clients through our proprietary research portal on Matrix and</t>
  </si>
  <si>
    <t>also distributed electronically by Morgan Stanley to clients. Certain, but not all, Morgan Stanley</t>
  </si>
  <si>
    <t>Research products are also made available to clients through third-party vendors or redistributed to</t>
  </si>
  <si>
    <t>clients through alternate electronic means as a convenience. For access to all available Morgan Stanley</t>
  </si>
  <si>
    <t>Research, please contact your sales representative or go to Matrix at</t>
  </si>
  <si>
    <t>http://www.morganstanley.com/matrix.</t>
  </si>
  <si>
    <t>Morgan Stanley produces an equity research product called a "Tactical Idea." Views contained in a</t>
  </si>
  <si>
    <t>"Tactical Idea" on a particular stock may be contrary to the recommendations or views expressed in</t>
  </si>
  <si>
    <t>research on the same stock. This may be the result of differing time horizons, methodologies, market</t>
  </si>
  <si>
    <t>events, or other factors. For all research available on a particular stock, please contact your sales</t>
  </si>
  <si>
    <t>representative or go to Matrix at http://www.morganstanley.com/matrix.</t>
  </si>
  <si>
    <t>Morgan Stanley is not acting as a municipal advisor and the opinions or views contained herein are not</t>
  </si>
  <si>
    <t>intended to be, and do not constitute, advice within the meaning of Section 975 of the Dodd-Frank Wall</t>
  </si>
  <si>
    <t>Street Reform and Consumer Protection Act.</t>
  </si>
  <si>
    <t>Morgan Stanley Research policy is to update research reports as and when the Research Analyst and</t>
  </si>
  <si>
    <t>Research Management deem appropriate, based on developments with the issuer, the sector, or the market</t>
  </si>
  <si>
    <t>that may have a material impact on the research views or opinions stated therein. In addition, certain</t>
  </si>
  <si>
    <t>Research publications are intended to be updated on a regular periodic basis</t>
  </si>
  <si>
    <t>(weekly/monthly/quarterly/annual) and will ordinarily be updated with that frequency, unless the</t>
  </si>
  <si>
    <t>Research Analyst and Research Management determine that a different publication schedule is appropriate</t>
  </si>
  <si>
    <t>based on current conditions.</t>
  </si>
  <si>
    <t>Each Morgan Stanley Equity Research report is reviewed and approved on behalf of Morgan Stanley Smith</t>
  </si>
  <si>
    <t>Barney LLC. This review and approval is conducted by the same person who reviews the Equity Research</t>
  </si>
  <si>
    <t>report on behalf of Morgan Stanley. This could create a conflict of interest.</t>
  </si>
  <si>
    <t>Important disclosures regarding the relationship between the companies that are the subject of Morgan</t>
  </si>
  <si>
    <t>Stanley Research and Morgan Stanley Smith Barney LLC or Morgan Stanley or any of their affiliates, are</t>
  </si>
  <si>
    <t>available on the Morgan Stanley Wealth Management disclosure website at</t>
  </si>
  <si>
    <t>www.morganstanley.com/online/researchdisclosures. For Morgan Stanley specific disclosures, you may refer</t>
  </si>
  <si>
    <t>to www.morganstanley.com/researchdisclosures.</t>
  </si>
  <si>
    <t>Benchmarks for each region are as follows: North America - S&amp;P 500; Latin America - relevant MSCI</t>
  </si>
  <si>
    <t>country index or MSCI Latin America Index; Europe - MSCI Europe; Japan - TOPIX; Asia - relevant MSCI</t>
  </si>
  <si>
    <t>country index or MSCI sub-regional index or MSCI AC Asia Pacific ex Japan Index.</t>
  </si>
  <si>
    <t>Cautious (C): The analyst views the performance of his or her industry coverage universe over the next</t>
  </si>
  <si>
    <t>12-18 months with caution vs. the relevant broad market benchmark, as indicated below.</t>
  </si>
  <si>
    <t>In-Line (I): The analyst expects the performance of his or her industry coverage universe over the next</t>
  </si>
  <si>
    <t>12-18 months to be in line with the relevant broad market benchmark, as indicated below.</t>
  </si>
  <si>
    <t>Attractive (A): The analyst expects the performance of his or her industry coverage universe over the</t>
  </si>
  <si>
    <t>next 12-18 months to be attractive vs. the relevant broad market benchmark, as indicated below.</t>
  </si>
  <si>
    <t>Unless otherwise specified, the time frame for price targets included in Morgan Stanley Research is 12</t>
  </si>
  <si>
    <t>to 18 months.</t>
  </si>
  <si>
    <t>Underweight (U). The stock's total return is expected to be below the average total return of the</t>
  </si>
  <si>
    <t>analyst's industry (or industry team's) coverage universe, on a risk-adjusted basis, over the next 12-18</t>
  </si>
  <si>
    <t>months.</t>
  </si>
  <si>
    <t>Not-Rated (NR). Currently the analyst does not have adequate conviction about the stock's total return</t>
  </si>
  <si>
    <t>relative to the average total return of the analyst's industry (or industry team's) coverage universe,</t>
  </si>
  <si>
    <t>on a risk-adjusted basis, over the next 12-18 months.</t>
  </si>
  <si>
    <t>Equal-weight (E). The stock's total return is expected to be in line with the average total return of</t>
  </si>
  <si>
    <t>the analyst's industry (or industry team's) coverage universe, on a risk-adjusted basis, over the next</t>
  </si>
  <si>
    <t>12-18 months.</t>
  </si>
  <si>
    <t>Overweight (O). The stock's total return is expected to exceed the average total return of the analyst's</t>
  </si>
  <si>
    <t>industry (or industry team's) coverage universe, on a risk-adjusted basis, over the next 12-18 months.</t>
  </si>
  <si>
    <t>Data include common stock and ADRs currently assigned ratings. Investment Banking Clients are companies</t>
  </si>
  <si>
    <t>from whom Morgan Stanley received investment banking compensation in the last 12 months. Due to rounding</t>
  </si>
  <si>
    <t>off of decimals, the percentages provided in the "% of total" column may not add up to exactly 100</t>
  </si>
  <si>
    <t>percent.</t>
  </si>
  <si>
    <t>For disclosure purposes only (in accordance with NASD and NYSE requirements), we include the category</t>
  </si>
  <si>
    <t>headings of Buy, Hold, and Sell alongside our ratings of Overweight, Equal-weight, Not-Rated and</t>
  </si>
  <si>
    <t>Underweight. Morgan Stanley does not assign ratings of Buy, Hold or Sell to the stocks we cover.</t>
  </si>
  <si>
    <t>Overweight, Equal-weight, Not-Rated and Underweight are not the equivalent of buy, hold, and sell but</t>
  </si>
  <si>
    <t>represent recommended relative weightings (see definitions below). To satisfy regulatory requirements,</t>
  </si>
  <si>
    <t>we correspond Overweight, our most positive stock rating, with a buy recommendation; we correspond</t>
  </si>
  <si>
    <t>Equal-weight and Not-Rated to hold and Underweight to sell recommendations, respectively.</t>
  </si>
  <si>
    <t>The Stock Ratings described below apply to Morgan Stanley's Fundamental Equity Research and do not apply</t>
  </si>
  <si>
    <t>to Debt Research produced by the Firm.</t>
  </si>
  <si>
    <t>Morgan Stanley uses a relative rating system using terms such as Overweight, Equal-weight, Not-Rated or</t>
  </si>
  <si>
    <t>Underweight (see definitions below). Morgan Stanley does not assign ratings of Buy, Hold or Sell to the</t>
  </si>
  <si>
    <t>stocks we cover. Overweight, Equal-weight, Not-Rated and Underweight are not the equivalent of buy, hold</t>
  </si>
  <si>
    <t>and sell. Investors should carefully read the definitions of all ratings used in Morgan Stanley</t>
  </si>
  <si>
    <t>Research. In addition, since Morgan Stanley Research contains more complete information concerning the</t>
  </si>
  <si>
    <t>analyst's views, investors should carefully read Morgan Stanley Research, in its entirety, and not infer</t>
  </si>
  <si>
    <t>the contents from the rating alone. In any case, ratings (or research) should not be used or relied upon</t>
  </si>
  <si>
    <t>as investment advice. An investor's decision to buy or sell a stock should depend on individual</t>
  </si>
  <si>
    <t>circumstances (such as the investor's existing holdings) and other considerations.</t>
  </si>
  <si>
    <t>Certain disclosures listed above are also for compliance with applicable regulations in non-US</t>
  </si>
  <si>
    <t>jurisdictions.</t>
  </si>
  <si>
    <t>Morgan Stanley and its affiliates do business that relates to companies/instruments covered in Morgan</t>
  </si>
  <si>
    <t>Stanley Research, including market making, providing liquidity, fund management, commercial banking,</t>
  </si>
  <si>
    <t>extension of credit, investment services and investment banking. Morgan Stanley sells to and buys from</t>
  </si>
  <si>
    <t>customers the securities/instruments of companies covered in Morgan Stanley Research on a principal</t>
  </si>
  <si>
    <t>basis. Morgan Stanley may have a position in the debt of the Company or instruments discussed in this</t>
  </si>
  <si>
    <t>report. Morgan Stanley trades or may trade as principal in the debt securities (or in related</t>
  </si>
  <si>
    <t>derivatives) that are the subject of the debt research report.</t>
  </si>
  <si>
    <t>The equity research analysts or strategists principally responsible for the preparation of Morgan</t>
  </si>
  <si>
    <t>Stanley Research have received compensation based upon various factors, including quality of research,</t>
  </si>
  <si>
    <t>investor client feedback, stock picking, competitive factors, firm revenues and overall investment</t>
  </si>
  <si>
    <t>banking revenues. Equity Research analysts' or strategists' compensation is not linked to investment</t>
  </si>
  <si>
    <t>banking or capital markets transactions performed by Morgan Stanley or the profitability or revenues of</t>
  </si>
  <si>
    <t>Within the last 12 months, Morgan Stanley has either provided or is providing non-investment banking,</t>
  </si>
  <si>
    <t>securities-related services to and/or in the past has entered into an agreement to provide services or</t>
  </si>
  <si>
    <t>has a client relationship with the following company: Salesforce.com.</t>
  </si>
  <si>
    <t>Within the last 12 months, Morgan Stanley has provided or is providing investment banking services to,</t>
  </si>
  <si>
    <t>or has an investment banking client relationship with, the following company: Salesforce.com.</t>
  </si>
  <si>
    <t>Within the last 12 months, Morgan Stanley has received compensation for products and services other than</t>
  </si>
  <si>
    <t>investment banking services from Salesforce.com.</t>
  </si>
  <si>
    <t>In the next 3 months, Morgan Stanley expects to receive or intends to seek compensation for investment</t>
  </si>
  <si>
    <t>banking services from Salesforce.com.</t>
  </si>
  <si>
    <t>Within the last 12 months, Morgan Stanley has received compensation for investment banking services from</t>
  </si>
  <si>
    <t>Salesforce.com.</t>
  </si>
  <si>
    <t>As of February 28, 2018, Morgan Stanley beneficially owned 1% or more of a class of common equity</t>
  </si>
  <si>
    <t>securities of the following companies covered in Morgan Stanley Research: Salesforce.com.</t>
  </si>
  <si>
    <t>Morgan Stanley Research has been published in accordance with our conflict management policy, which is</t>
  </si>
  <si>
    <t>available at www.morganstanley.com/institutional/research/conflictpolicies.</t>
  </si>
  <si>
    <t>The following analysts hereby certify that their views about the companies and their securities</t>
  </si>
  <si>
    <t>discussed in this report are accurately expressed and that they have not received and will not receive</t>
  </si>
  <si>
    <t>direct or indirect compensation in exchange for expressing specific recommendations or views in this</t>
  </si>
  <si>
    <t>report: Keith Weiss, CFA.</t>
  </si>
  <si>
    <t>For valuation methodology and risks associated with any recommendation, rating or price target</t>
  </si>
  <si>
    <t>referenced in this research report, please contact the Client Support Team as follows: US/Canada +1 800</t>
  </si>
  <si>
    <t>303-2495; Hong Kong +852 2848-5999; Latin America +1 718 754-5444 (U.S.); London +44 (0)20-7425-8169;</t>
  </si>
  <si>
    <t>Singapore +65 6834-6860; Sydney +61 (0)2-9770-1505; Tokyo +81 (0)3-6836-9000. Alternatively you may</t>
  </si>
  <si>
    <t>contact your investment representative or Morgan Stanley Research at 1585 Broadway, (Attention: Research</t>
  </si>
  <si>
    <t>Management), New York, NY 10036 USA.</t>
  </si>
  <si>
    <t>For important disclosures, stock price charts and equity rating histories regarding companies that are</t>
  </si>
  <si>
    <t>the subject of this report, please see the Morgan Stanley Research Disclosure Website at</t>
  </si>
  <si>
    <t>www.morganstanley.com/researchdisclosures, or contact your investment representative or Morgan Stanley</t>
  </si>
  <si>
    <t>Research at 1585 Broadway, (Attention: Research Management), New York, NY, 10036 USA.</t>
  </si>
  <si>
    <t>The information and opinions in Morgan Stanley Research were prepared by Morgan Stanley &amp; Co. LLC,</t>
  </si>
  <si>
    <t>and/or Morgan Stanley C.T.V.M. S.A., and/or Morgan Stanley Mexico, Casa de Bolsa, S.A. de C.V., and/or</t>
  </si>
  <si>
    <t>Morgan Stanley Canada Limited. As used in this disclosure section, "Morgan Stanley" includes Morgan</t>
  </si>
  <si>
    <t>Stanley &amp; Co. LLC, Morgan Stanley C.T.V.M. S.A., Morgan Stanley Mexico, Casa de Bolsa, S.A. de C.V.,</t>
  </si>
  <si>
    <t>Morgan Stanley Canada Limited and their affiliates as necessary.</t>
  </si>
  <si>
    <t>Morgan Stanley does and seeks to do business with companies covered in Morgan Stanley Research. As a</t>
  </si>
  <si>
    <t>result, investors should be aware that the firm may have a conflict of interest that could affect the</t>
  </si>
  <si>
    <t>objectivity of Morgan Stanley Research. Investors should consider Morgan Stanley Research as only a</t>
  </si>
  <si>
    <t>single factor in making their investment decision.</t>
  </si>
  <si>
    <t>© Copyright 2018 Morgan Stanley</t>
  </si>
  <si>
    <t>MacroVersion</t>
  </si>
  <si>
    <t>PublishDate</t>
  </si>
  <si>
    <t>Discipline</t>
  </si>
  <si>
    <t>ResearchTopic</t>
  </si>
  <si>
    <t>DocType</t>
  </si>
  <si>
    <t>Model</t>
  </si>
  <si>
    <t>SubjectCode</t>
  </si>
  <si>
    <t>KeepVersions</t>
  </si>
  <si>
    <t>All</t>
  </si>
  <si>
    <t>Rating</t>
  </si>
  <si>
    <t>CurrYearTotalRevenue*</t>
  </si>
  <si>
    <t>CurrYearEPS*</t>
  </si>
  <si>
    <t>NextYearTotalRevenue*</t>
  </si>
  <si>
    <t>NextYearEPS*</t>
  </si>
  <si>
    <t>FollowingYearTotalRevenue*</t>
  </si>
  <si>
    <t>FollowingYearEPS*</t>
  </si>
  <si>
    <t>5YearGrowthRate</t>
  </si>
  <si>
    <t>UpdateReason</t>
  </si>
  <si>
    <t>Authors</t>
  </si>
  <si>
    <t>Tickers</t>
  </si>
  <si>
    <t>CUSIP</t>
  </si>
  <si>
    <t>RIC</t>
  </si>
  <si>
    <t>SEDOL</t>
  </si>
  <si>
    <t>PathName</t>
  </si>
  <si>
    <t>Distribution</t>
  </si>
  <si>
    <t>Deleted</t>
  </si>
  <si>
    <t>NO</t>
  </si>
  <si>
    <t>EmailAlert</t>
  </si>
  <si>
    <t>YES</t>
  </si>
  <si>
    <t>CurrQtrEPS</t>
  </si>
  <si>
    <t>CYEnd</t>
  </si>
  <si>
    <t>CQEnd</t>
  </si>
  <si>
    <t>CurrYearTotalRevenueActual*</t>
  </si>
  <si>
    <t>NextYearTotalRevenueActual*</t>
  </si>
  <si>
    <t>FollowingYearTotalRevenueActual*</t>
  </si>
  <si>
    <t>Multiplier</t>
  </si>
  <si>
    <t>TemplateRegion</t>
  </si>
  <si>
    <t>ObjectType</t>
  </si>
  <si>
    <t>excel</t>
  </si>
  <si>
    <t>LanguageCode</t>
  </si>
  <si>
    <t>en-US</t>
  </si>
  <si>
    <t>SubmitterUserId</t>
  </si>
  <si>
    <t>IndustryId</t>
  </si>
  <si>
    <t>TickerRegion</t>
  </si>
  <si>
    <t>AdditionalInstructions</t>
  </si>
  <si>
    <t>*Estimated</t>
  </si>
  <si>
    <t>Overweight / Attractive</t>
  </si>
  <si>
    <t>Regular Update</t>
  </si>
  <si>
    <t>NorthAmerica</t>
  </si>
  <si>
    <t>hamzaf</t>
  </si>
  <si>
    <t>79466L302</t>
  </si>
  <si>
    <t>L:\ER43\ESWModels\CRM.xlsm</t>
  </si>
  <si>
    <t>[BRO MSA]</t>
  </si>
  <si>
    <t>[PRODUCT MODEL]</t>
  </si>
  <si>
    <t>[EMAIL_ALERT YES]</t>
  </si>
  <si>
    <t>[DISCIPLINE Company]</t>
  </si>
  <si>
    <t>[SUPPRESSED NO]</t>
  </si>
  <si>
    <t>[DOCDAT 2018-04-03]</t>
  </si>
  <si>
    <t>[DOCTIME 10:54]</t>
  </si>
  <si>
    <t>[PSYM CRM.N(S&amp;P) (None)]</t>
  </si>
  <si>
    <t>[COU 1]</t>
  </si>
  <si>
    <t>[ANA ]</t>
  </si>
  <si>
    <t>[HL CRM.N Model]</t>
  </si>
  <si>
    <t>[IND TECHNO COMPUT DATAPR]</t>
  </si>
  <si>
    <t>[PANA MSA11763]</t>
  </si>
</sst>
</file>

<file path=xl/styles.xml><?xml version="1.0" encoding="utf-8"?>
<styleSheet xmlns="http://schemas.openxmlformats.org/spreadsheetml/2006/main" xmlns:mc="http://schemas.openxmlformats.org/markup-compatibility/2006" xmlns:x14ac="http://schemas.microsoft.com/office/spreadsheetml/2009/9/ac" mc:Ignorable="x14ac">
  <numFmts count="28">
    <numFmt numFmtId="6" formatCode="&quot;$&quot;#,##0_);[Red]\(&quot;$&quot;#,##0\)"/>
    <numFmt numFmtId="8" formatCode="&quot;$&quot;#,##0.00_);[Red]\(&quot;$&quot;#,##0.00\)"/>
    <numFmt numFmtId="44" formatCode="_(&quot;$&quot;* #,##0.00_);_(&quot;$&quot;* \(#,##0.00\);_(&quot;$&quot;* &quot;-&quot;??_);_(@_)"/>
    <numFmt numFmtId="43" formatCode="_(* #,##0.00_);_(* \(#,##0.00\);_(* &quot;-&quot;??_);_(@_)"/>
    <numFmt numFmtId="164" formatCode="0.0"/>
    <numFmt numFmtId="165" formatCode="m/yy"/>
    <numFmt numFmtId="166" formatCode="#,##0.0"/>
    <numFmt numFmtId="167" formatCode="0.000"/>
    <numFmt numFmtId="168" formatCode="0.0%"/>
    <numFmt numFmtId="170" formatCode="0.0000"/>
    <numFmt numFmtId="171" formatCode="0.00000"/>
    <numFmt numFmtId="172" formatCode="_(* #,##0.000_);_(* \(#,##0.000\);_(* &quot;-&quot;??_);_(@_)"/>
    <numFmt numFmtId="173" formatCode="_(* #,##0.0_);_(* \(#,##0.0\);_(* &quot;-&quot;??_);_(@_)"/>
    <numFmt numFmtId="174" formatCode="_(* #,##0_);_(* \(#,##0\);_(* &quot;-&quot;??_);_(@_)"/>
    <numFmt numFmtId="175" formatCode="&quot;$&quot;#,##0.00"/>
    <numFmt numFmtId="176" formatCode="&quot;$&quot;#,##0"/>
    <numFmt numFmtId="177" formatCode="&quot;$&quot;#,##0.0"/>
    <numFmt numFmtId="178" formatCode="#,##0.000"/>
    <numFmt numFmtId="180" formatCode="[$-409]mmm\-yy;@"/>
    <numFmt numFmtId="183" formatCode="&quot;$&quot;#,##0.0_);[Red]\(&quot;$&quot;#,##0.0\)"/>
    <numFmt numFmtId="184" formatCode="_(&quot;$&quot;* #,##0.0_);_(&quot;$&quot;* \(#,##0.0\);_(&quot;$&quot;* &quot;-&quot;??_);_(@_)"/>
    <numFmt numFmtId="185" formatCode="\+0%;[Red]\(0%\)"/>
    <numFmt numFmtId="187" formatCode="_(* #,##0.0000_);_(* \(#,##0.0000\);_(* &quot;-&quot;??_);_(@_)"/>
    <numFmt numFmtId="188" formatCode="_(&quot;$&quot;* #,##0_);_(&quot;$&quot;* \(#,##0\);_(&quot;$&quot;* &quot;-&quot;??_);_(@_)"/>
    <numFmt numFmtId="189" formatCode="0\x"/>
    <numFmt numFmtId="201" formatCode="0&quot;bps&quot;"/>
    <numFmt numFmtId="202" formatCode="0.000%"/>
    <numFmt numFmtId="208" formatCode="mm/dd/yy\ hh:mm"/>
  </numFmts>
  <fonts count="141">
    <font>
      <sz val="10"/>
      <name val="Arial"/>
    </font>
    <font>
      <sz val="11"/>
      <color theme="1"/>
      <name val="Calibri"/>
      <family val="2"/>
      <scheme val="minor"/>
    </font>
    <font>
      <sz val="11"/>
      <color theme="1"/>
      <name val="Calibri"/>
      <family val="2"/>
      <scheme val="minor"/>
    </font>
    <font>
      <sz val="10"/>
      <name val="Arial"/>
      <family val="2"/>
    </font>
    <font>
      <sz val="8"/>
      <name val="Arial"/>
      <family val="2"/>
    </font>
    <font>
      <b/>
      <sz val="16"/>
      <name val="Arial"/>
      <family val="2"/>
    </font>
    <font>
      <b/>
      <sz val="11"/>
      <color indexed="9"/>
      <name val="GillSans"/>
    </font>
    <font>
      <sz val="8"/>
      <color indexed="9"/>
      <name val="Arial"/>
      <family val="2"/>
    </font>
    <font>
      <sz val="8"/>
      <color indexed="10"/>
      <name val="Arial"/>
      <family val="2"/>
    </font>
    <font>
      <sz val="8"/>
      <name val="Arial"/>
      <family val="2"/>
    </font>
    <font>
      <i/>
      <sz val="8"/>
      <name val="Arial"/>
      <family val="2"/>
    </font>
    <font>
      <b/>
      <sz val="11"/>
      <name val="GillSans"/>
    </font>
    <font>
      <sz val="10"/>
      <name val="GillSans Light"/>
    </font>
    <font>
      <b/>
      <sz val="9"/>
      <name val="Arial"/>
      <family val="2"/>
    </font>
    <font>
      <sz val="9"/>
      <name val="Arial"/>
      <family val="2"/>
    </font>
    <font>
      <sz val="9"/>
      <color indexed="10"/>
      <name val="Arial"/>
      <family val="2"/>
    </font>
    <font>
      <sz val="9"/>
      <color indexed="9"/>
      <name val="Arial"/>
      <family val="2"/>
    </font>
    <font>
      <i/>
      <sz val="9"/>
      <name val="Arial"/>
      <family val="2"/>
    </font>
    <font>
      <b/>
      <i/>
      <sz val="9"/>
      <name val="Arial"/>
      <family val="2"/>
    </font>
    <font>
      <sz val="9"/>
      <color indexed="12"/>
      <name val="Arial"/>
      <family val="2"/>
    </font>
    <font>
      <b/>
      <sz val="9"/>
      <color indexed="12"/>
      <name val="Arial"/>
      <family val="2"/>
    </font>
    <font>
      <b/>
      <sz val="9"/>
      <color indexed="10"/>
      <name val="Arial"/>
      <family val="2"/>
    </font>
    <font>
      <b/>
      <sz val="8"/>
      <color indexed="10"/>
      <name val="Arial"/>
      <family val="2"/>
    </font>
    <font>
      <b/>
      <i/>
      <sz val="9"/>
      <color indexed="10"/>
      <name val="Arial"/>
      <family val="2"/>
    </font>
    <font>
      <b/>
      <sz val="9"/>
      <color indexed="9"/>
      <name val="Arial"/>
      <family val="2"/>
    </font>
    <font>
      <sz val="9"/>
      <name val="Arial"/>
      <family val="2"/>
    </font>
    <font>
      <sz val="8"/>
      <color indexed="81"/>
      <name val="Tahoma"/>
      <family val="2"/>
    </font>
    <font>
      <b/>
      <sz val="8"/>
      <color indexed="81"/>
      <name val="Tahoma"/>
      <family val="2"/>
    </font>
    <font>
      <sz val="10"/>
      <name val="Arial"/>
      <family val="2"/>
    </font>
    <font>
      <b/>
      <sz val="10"/>
      <name val="Arial"/>
      <family val="2"/>
    </font>
    <font>
      <b/>
      <i/>
      <sz val="10"/>
      <name val="Arial"/>
      <family val="2"/>
    </font>
    <font>
      <i/>
      <sz val="10"/>
      <name val="Arial"/>
      <family val="2"/>
    </font>
    <font>
      <b/>
      <sz val="9"/>
      <name val="Arial"/>
      <family val="2"/>
    </font>
    <font>
      <b/>
      <sz val="11"/>
      <name val="Arial"/>
      <family val="2"/>
    </font>
    <font>
      <b/>
      <sz val="12"/>
      <name val="Arial"/>
      <family val="2"/>
    </font>
    <font>
      <sz val="12"/>
      <name val="Arial"/>
      <family val="2"/>
    </font>
    <font>
      <b/>
      <sz val="14"/>
      <name val="Arial"/>
      <family val="2"/>
    </font>
    <font>
      <sz val="9"/>
      <color indexed="12"/>
      <name val="Arial"/>
      <family val="2"/>
    </font>
    <font>
      <i/>
      <sz val="9"/>
      <color indexed="12"/>
      <name val="Arial"/>
      <family val="2"/>
    </font>
    <font>
      <b/>
      <sz val="8"/>
      <name val="Arial"/>
      <family val="2"/>
    </font>
    <font>
      <b/>
      <i/>
      <sz val="8"/>
      <name val="Arial"/>
      <family val="2"/>
    </font>
    <font>
      <sz val="8"/>
      <color indexed="12"/>
      <name val="Arial"/>
      <family val="2"/>
    </font>
    <font>
      <b/>
      <i/>
      <sz val="8"/>
      <color indexed="12"/>
      <name val="Arial"/>
      <family val="2"/>
    </font>
    <font>
      <i/>
      <sz val="8"/>
      <color indexed="12"/>
      <name val="Arial"/>
      <family val="2"/>
    </font>
    <font>
      <i/>
      <sz val="8"/>
      <color indexed="9"/>
      <name val="Arial"/>
      <family val="2"/>
    </font>
    <font>
      <sz val="10"/>
      <color indexed="8"/>
      <name val="Arial"/>
      <family val="2"/>
    </font>
    <font>
      <sz val="9"/>
      <color indexed="8"/>
      <name val="Arial"/>
      <family val="2"/>
    </font>
    <font>
      <sz val="8"/>
      <color indexed="8"/>
      <name val="Arial"/>
      <family val="2"/>
    </font>
    <font>
      <b/>
      <sz val="8"/>
      <color indexed="12"/>
      <name val="Arial"/>
      <family val="2"/>
    </font>
    <font>
      <i/>
      <sz val="9"/>
      <color indexed="9"/>
      <name val="Arial"/>
      <family val="2"/>
    </font>
    <font>
      <b/>
      <sz val="9"/>
      <color indexed="23"/>
      <name val="Arial"/>
      <family val="2"/>
    </font>
    <font>
      <sz val="9"/>
      <color indexed="22"/>
      <name val="Arial"/>
      <family val="2"/>
    </font>
    <font>
      <sz val="8"/>
      <color indexed="22"/>
      <name val="Arial"/>
      <family val="2"/>
    </font>
    <font>
      <b/>
      <sz val="10"/>
      <color indexed="12"/>
      <name val="Arial"/>
      <family val="2"/>
    </font>
    <font>
      <sz val="9"/>
      <color indexed="8"/>
      <name val="Arial"/>
      <family val="2"/>
    </font>
    <font>
      <b/>
      <sz val="10"/>
      <color indexed="10"/>
      <name val="Arial"/>
      <family val="2"/>
    </font>
    <font>
      <i/>
      <sz val="8"/>
      <color indexed="23"/>
      <name val="Arial"/>
      <family val="2"/>
    </font>
    <font>
      <i/>
      <sz val="8"/>
      <color indexed="10"/>
      <name val="Arial"/>
      <family val="2"/>
    </font>
    <font>
      <i/>
      <sz val="8"/>
      <color indexed="55"/>
      <name val="Arial"/>
      <family val="2"/>
    </font>
    <font>
      <i/>
      <sz val="8"/>
      <color indexed="22"/>
      <name val="Arial"/>
      <family val="2"/>
    </font>
    <font>
      <sz val="10"/>
      <color indexed="12"/>
      <name val="Arial"/>
      <family val="2"/>
    </font>
    <font>
      <u/>
      <sz val="8"/>
      <name val="Arial"/>
      <family val="2"/>
    </font>
    <font>
      <b/>
      <u/>
      <sz val="8"/>
      <name val="Arial"/>
      <family val="2"/>
    </font>
    <font>
      <i/>
      <sz val="3"/>
      <name val="Arial"/>
      <family val="2"/>
    </font>
    <font>
      <sz val="3"/>
      <name val="Arial"/>
      <family val="2"/>
    </font>
    <font>
      <sz val="8"/>
      <color indexed="55"/>
      <name val="Arial"/>
      <family val="2"/>
    </font>
    <font>
      <sz val="2"/>
      <name val="Arial"/>
      <family val="2"/>
    </font>
    <font>
      <sz val="2"/>
      <color indexed="22"/>
      <name val="Arial"/>
      <family val="2"/>
    </font>
    <font>
      <sz val="8"/>
      <color indexed="23"/>
      <name val="Arial"/>
      <family val="2"/>
    </font>
    <font>
      <i/>
      <sz val="9"/>
      <color indexed="10"/>
      <name val="Arial"/>
      <family val="2"/>
    </font>
    <font>
      <sz val="9"/>
      <color indexed="23"/>
      <name val="Arial"/>
      <family val="2"/>
    </font>
    <font>
      <i/>
      <sz val="9"/>
      <color indexed="8"/>
      <name val="Arial"/>
      <family val="2"/>
    </font>
    <font>
      <u/>
      <sz val="9"/>
      <name val="Arial"/>
      <family val="2"/>
    </font>
    <font>
      <sz val="9"/>
      <color indexed="23"/>
      <name val="Arial"/>
      <family val="2"/>
    </font>
    <font>
      <i/>
      <sz val="9"/>
      <color indexed="23"/>
      <name val="Arial"/>
      <family val="2"/>
    </font>
    <font>
      <b/>
      <i/>
      <sz val="14"/>
      <color indexed="9"/>
      <name val="Arial"/>
      <family val="2"/>
    </font>
    <font>
      <sz val="14"/>
      <color indexed="9"/>
      <name val="Arial"/>
      <family val="2"/>
    </font>
    <font>
      <sz val="8"/>
      <color indexed="60"/>
      <name val="Arial"/>
      <family val="2"/>
    </font>
    <font>
      <sz val="8"/>
      <color indexed="61"/>
      <name val="Arial"/>
      <family val="2"/>
    </font>
    <font>
      <sz val="10"/>
      <name val="MS Sans Serif"/>
      <family val="2"/>
    </font>
    <font>
      <b/>
      <sz val="8"/>
      <color indexed="8"/>
      <name val="Arial"/>
      <family val="2"/>
    </font>
    <font>
      <i/>
      <sz val="8"/>
      <color indexed="8"/>
      <name val="Arial"/>
      <family val="2"/>
    </font>
    <font>
      <i/>
      <u/>
      <sz val="9"/>
      <name val="Arial"/>
      <family val="2"/>
    </font>
    <font>
      <sz val="10"/>
      <color indexed="12"/>
      <name val="Arial"/>
      <family val="2"/>
    </font>
    <font>
      <sz val="9"/>
      <name val="Times New Roman"/>
      <family val="1"/>
    </font>
    <font>
      <sz val="10"/>
      <color indexed="9"/>
      <name val="Arial"/>
      <family val="2"/>
    </font>
    <font>
      <b/>
      <sz val="10"/>
      <color indexed="9"/>
      <name val="Arial"/>
      <family val="2"/>
    </font>
    <font>
      <b/>
      <sz val="10"/>
      <color indexed="8"/>
      <name val="Times New Roman"/>
      <family val="1"/>
    </font>
    <font>
      <sz val="10"/>
      <color indexed="8"/>
      <name val="Times New Roman"/>
      <family val="1"/>
    </font>
    <font>
      <i/>
      <sz val="8"/>
      <name val="Times New Roman"/>
      <family val="1"/>
    </font>
    <font>
      <sz val="10"/>
      <color indexed="8"/>
      <name val="MS Sans Serif"/>
      <family val="2"/>
    </font>
    <font>
      <b/>
      <i/>
      <sz val="8"/>
      <color indexed="8"/>
      <name val="Arial"/>
      <family val="2"/>
    </font>
    <font>
      <sz val="11"/>
      <name val="Arial"/>
      <family val="2"/>
    </font>
    <font>
      <b/>
      <sz val="11"/>
      <name val="Arial"/>
      <family val="2"/>
    </font>
    <font>
      <b/>
      <u/>
      <sz val="9"/>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62"/>
      <name val="Cambria"/>
      <family val="2"/>
    </font>
    <font>
      <b/>
      <sz val="11"/>
      <color indexed="8"/>
      <name val="Calibri"/>
      <family val="2"/>
    </font>
    <font>
      <sz val="11"/>
      <color indexed="10"/>
      <name val="Calibri"/>
      <family val="2"/>
    </font>
    <font>
      <sz val="10"/>
      <name val="Geneva"/>
    </font>
    <font>
      <sz val="8"/>
      <name val="Times New Roman"/>
      <family val="1"/>
    </font>
    <font>
      <b/>
      <sz val="10"/>
      <color indexed="62"/>
      <name val="Arial"/>
      <family val="2"/>
    </font>
    <font>
      <i/>
      <sz val="10"/>
      <color indexed="12"/>
      <name val="Arial"/>
      <family val="2"/>
    </font>
    <font>
      <b/>
      <i/>
      <sz val="10"/>
      <color indexed="12"/>
      <name val="Arial"/>
      <family val="2"/>
    </font>
    <font>
      <b/>
      <sz val="8"/>
      <color theme="0"/>
      <name val="Arial"/>
      <family val="2"/>
    </font>
    <font>
      <b/>
      <sz val="9"/>
      <color theme="0"/>
      <name val="Arial"/>
      <family val="2"/>
    </font>
    <font>
      <sz val="8"/>
      <color theme="0"/>
      <name val="Arial"/>
      <family val="2"/>
    </font>
    <font>
      <sz val="10"/>
      <color theme="0"/>
      <name val="Arial"/>
      <family val="2"/>
    </font>
    <font>
      <i/>
      <sz val="8"/>
      <color theme="0"/>
      <name val="Arial"/>
      <family val="2"/>
    </font>
    <font>
      <b/>
      <sz val="11"/>
      <color theme="0"/>
      <name val="Arial"/>
      <family val="2"/>
    </font>
    <font>
      <sz val="11"/>
      <color theme="0"/>
      <name val="Arial"/>
      <family val="2"/>
    </font>
    <font>
      <sz val="9"/>
      <color theme="0"/>
      <name val="Arial"/>
      <family val="2"/>
    </font>
    <font>
      <sz val="9"/>
      <color indexed="81"/>
      <name val="Tahoma"/>
      <family val="2"/>
    </font>
    <font>
      <b/>
      <sz val="9"/>
      <color indexed="81"/>
      <name val="Tahoma"/>
      <family val="2"/>
    </font>
    <font>
      <sz val="9"/>
      <color theme="4"/>
      <name val="Arial"/>
      <family val="2"/>
    </font>
    <font>
      <i/>
      <sz val="9"/>
      <color theme="4"/>
      <name val="Arial"/>
      <family val="2"/>
    </font>
    <font>
      <sz val="8"/>
      <color rgb="FFFF0000"/>
      <name val="Arial"/>
      <family val="2"/>
    </font>
    <font>
      <sz val="10"/>
      <color rgb="FF3333FF"/>
      <name val="Arial"/>
      <family val="2"/>
    </font>
    <font>
      <b/>
      <sz val="10"/>
      <color rgb="FF3333FF"/>
      <name val="Arial"/>
      <family val="2"/>
    </font>
    <font>
      <sz val="9"/>
      <color rgb="FF3333FF"/>
      <name val="Arial"/>
      <family val="2"/>
    </font>
    <font>
      <b/>
      <sz val="12"/>
      <color theme="0"/>
      <name val="Calibri"/>
      <family val="2"/>
    </font>
    <font>
      <sz val="10"/>
      <color rgb="FF0000FF"/>
      <name val="Arial"/>
      <family val="2"/>
    </font>
    <font>
      <sz val="7"/>
      <name val="Arial"/>
      <family val="2"/>
    </font>
    <font>
      <i/>
      <sz val="10"/>
      <color rgb="FF3333FF"/>
      <name val="Arial"/>
      <family val="2"/>
    </font>
    <font>
      <i/>
      <sz val="9"/>
      <color rgb="FFFF0000"/>
      <name val="Arial"/>
      <family val="2"/>
    </font>
    <font>
      <sz val="10"/>
      <name val="Courier"/>
      <family val="3"/>
    </font>
    <font>
      <sz val="10"/>
      <color rgb="FF000000"/>
      <name val="Arial"/>
      <family val="2"/>
    </font>
    <font>
      <b/>
      <sz val="12"/>
      <color rgb="FF000080"/>
      <name val="Arial"/>
      <family val="2"/>
    </font>
  </fonts>
  <fills count="32">
    <fill>
      <patternFill patternType="none"/>
    </fill>
    <fill>
      <patternFill patternType="gray125"/>
    </fill>
    <fill>
      <patternFill patternType="solid">
        <fgColor indexed="47"/>
      </patternFill>
    </fill>
    <fill>
      <patternFill patternType="solid">
        <fgColor indexed="29"/>
      </patternFill>
    </fill>
    <fill>
      <patternFill patternType="solid">
        <fgColor indexed="43"/>
      </patternFill>
    </fill>
    <fill>
      <patternFill patternType="solid">
        <fgColor indexed="27"/>
      </patternFill>
    </fill>
    <fill>
      <patternFill patternType="solid">
        <fgColor indexed="22"/>
      </patternFill>
    </fill>
    <fill>
      <patternFill patternType="solid">
        <fgColor indexed="44"/>
      </patternFill>
    </fill>
    <fill>
      <patternFill patternType="solid">
        <fgColor indexed="49"/>
      </patternFill>
    </fill>
    <fill>
      <patternFill patternType="solid">
        <fgColor indexed="26"/>
      </patternFill>
    </fill>
    <fill>
      <patternFill patternType="solid">
        <fgColor indexed="54"/>
      </patternFill>
    </fill>
    <fill>
      <patternFill patternType="solid">
        <fgColor indexed="45"/>
      </patternFill>
    </fill>
    <fill>
      <patternFill patternType="solid">
        <fgColor indexed="9"/>
      </patternFill>
    </fill>
    <fill>
      <patternFill patternType="solid">
        <fgColor indexed="55"/>
      </patternFill>
    </fill>
    <fill>
      <patternFill patternType="solid">
        <fgColor indexed="42"/>
      </patternFill>
    </fill>
    <fill>
      <patternFill patternType="solid">
        <fgColor indexed="43"/>
        <bgColor indexed="64"/>
      </patternFill>
    </fill>
    <fill>
      <patternFill patternType="mediumGray"/>
    </fill>
    <fill>
      <patternFill patternType="solid">
        <fgColor indexed="65"/>
        <bgColor indexed="64"/>
      </patternFill>
    </fill>
    <fill>
      <patternFill patternType="solid">
        <fgColor indexed="31"/>
        <bgColor indexed="64"/>
      </patternFill>
    </fill>
    <fill>
      <patternFill patternType="solid">
        <fgColor indexed="22"/>
        <bgColor indexed="64"/>
      </patternFill>
    </fill>
    <fill>
      <patternFill patternType="solid">
        <fgColor indexed="48"/>
        <bgColor indexed="64"/>
      </patternFill>
    </fill>
    <fill>
      <patternFill patternType="solid">
        <fgColor indexed="9"/>
        <bgColor indexed="64"/>
      </patternFill>
    </fill>
    <fill>
      <patternFill patternType="solid">
        <fgColor indexed="44"/>
        <bgColor indexed="64"/>
      </patternFill>
    </fill>
    <fill>
      <patternFill patternType="solid">
        <fgColor indexed="13"/>
        <bgColor indexed="64"/>
      </patternFill>
    </fill>
    <fill>
      <patternFill patternType="solid">
        <fgColor indexed="41"/>
        <bgColor indexed="64"/>
      </patternFill>
    </fill>
    <fill>
      <patternFill patternType="solid">
        <fgColor indexed="18"/>
        <bgColor indexed="64"/>
      </patternFill>
    </fill>
    <fill>
      <patternFill patternType="solid">
        <fgColor indexed="15"/>
        <bgColor indexed="64"/>
      </patternFill>
    </fill>
    <fill>
      <patternFill patternType="solid">
        <fgColor indexed="60"/>
        <bgColor indexed="64"/>
      </patternFill>
    </fill>
    <fill>
      <patternFill patternType="solid">
        <fgColor theme="4"/>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0.34998626667073579"/>
        <bgColor indexed="64"/>
      </patternFill>
    </fill>
  </fills>
  <borders count="67">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49"/>
      </bottom>
      <diagonal/>
    </border>
    <border>
      <left/>
      <right/>
      <top/>
      <bottom style="thick">
        <color indexed="22"/>
      </bottom>
      <diagonal/>
    </border>
    <border>
      <left/>
      <right/>
      <top/>
      <bottom style="medium">
        <color indexed="49"/>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n">
        <color indexed="8"/>
      </bottom>
      <diagonal/>
    </border>
    <border>
      <left/>
      <right/>
      <top style="thin">
        <color indexed="49"/>
      </top>
      <bottom style="double">
        <color indexed="49"/>
      </bottom>
      <diagonal/>
    </border>
    <border>
      <left style="thin">
        <color indexed="64"/>
      </left>
      <right style="thin">
        <color indexed="64"/>
      </right>
      <top/>
      <bottom style="thin">
        <color indexed="8"/>
      </bottom>
      <diagonal/>
    </border>
    <border>
      <left/>
      <right/>
      <top style="thin">
        <color indexed="64"/>
      </top>
      <bottom/>
      <diagonal/>
    </border>
    <border>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bottom/>
      <diagonal/>
    </border>
    <border>
      <left style="medium">
        <color indexed="64"/>
      </left>
      <right/>
      <top/>
      <bottom/>
      <diagonal/>
    </border>
    <border>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diagonal/>
    </border>
    <border>
      <left style="medium">
        <color indexed="64"/>
      </left>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bottom style="double">
        <color indexed="64"/>
      </bottom>
      <diagonal/>
    </border>
    <border>
      <left style="thin">
        <color indexed="64"/>
      </left>
      <right/>
      <top/>
      <bottom/>
      <diagonal/>
    </border>
    <border>
      <left style="thin">
        <color indexed="64"/>
      </left>
      <right/>
      <top/>
      <bottom style="thin">
        <color indexed="64"/>
      </bottom>
      <diagonal/>
    </border>
    <border>
      <left/>
      <right/>
      <top style="thin">
        <color indexed="8"/>
      </top>
      <bottom/>
      <diagonal/>
    </border>
    <border>
      <left/>
      <right/>
      <top style="thin">
        <color indexed="8"/>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thin">
        <color indexed="64"/>
      </left>
      <right style="thin">
        <color indexed="64"/>
      </right>
      <top/>
      <bottom style="double">
        <color indexed="64"/>
      </bottom>
      <diagonal/>
    </border>
    <border>
      <left style="thin">
        <color indexed="64"/>
      </left>
      <right style="thin">
        <color indexed="64"/>
      </right>
      <top style="thin">
        <color indexed="8"/>
      </top>
      <bottom style="thin">
        <color indexed="64"/>
      </bottom>
      <diagonal/>
    </border>
    <border>
      <left style="thin">
        <color indexed="64"/>
      </left>
      <right style="thin">
        <color indexed="8"/>
      </right>
      <top style="thin">
        <color indexed="8"/>
      </top>
      <bottom style="thin">
        <color indexed="64"/>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style="thin">
        <color indexed="64"/>
      </left>
      <right/>
      <top style="thin">
        <color indexed="8"/>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style="medium">
        <color indexed="64"/>
      </top>
      <bottom/>
      <diagonal/>
    </border>
    <border>
      <left style="thin">
        <color indexed="64"/>
      </left>
      <right style="thin">
        <color indexed="8"/>
      </right>
      <top/>
      <bottom style="medium">
        <color indexed="64"/>
      </bottom>
      <diagonal/>
    </border>
    <border>
      <left style="thin">
        <color indexed="64"/>
      </left>
      <right/>
      <top/>
      <bottom style="thin">
        <color indexed="8"/>
      </bottom>
      <diagonal/>
    </border>
    <border>
      <left style="thin">
        <color indexed="64"/>
      </left>
      <right style="thin">
        <color indexed="8"/>
      </right>
      <top/>
      <bottom style="double">
        <color indexed="64"/>
      </bottom>
      <diagonal/>
    </border>
    <border>
      <left style="thin">
        <color indexed="64"/>
      </left>
      <right style="thin">
        <color indexed="64"/>
      </right>
      <top style="double">
        <color indexed="64"/>
      </top>
      <bottom/>
      <diagonal/>
    </border>
    <border>
      <left style="medium">
        <color indexed="64"/>
      </left>
      <right style="medium">
        <color indexed="64"/>
      </right>
      <top style="thin">
        <color indexed="64"/>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right/>
      <top/>
      <bottom style="thin">
        <color rgb="FF000000"/>
      </bottom>
      <diagonal/>
    </border>
    <border>
      <left/>
      <right/>
      <top style="thin">
        <color rgb="FF000000"/>
      </top>
      <bottom/>
      <diagonal/>
    </border>
  </borders>
  <cellStyleXfs count="71">
    <xf numFmtId="0" fontId="0" fillId="0" borderId="0"/>
    <xf numFmtId="0" fontId="3" fillId="0" borderId="0"/>
    <xf numFmtId="0" fontId="79" fillId="0" borderId="0"/>
    <xf numFmtId="0" fontId="79" fillId="0" borderId="0"/>
    <xf numFmtId="0" fontId="95" fillId="2" borderId="0" applyNumberFormat="0" applyBorder="0" applyAlignment="0" applyProtection="0"/>
    <xf numFmtId="0" fontId="95" fillId="3" borderId="0" applyNumberFormat="0" applyBorder="0" applyAlignment="0" applyProtection="0"/>
    <xf numFmtId="0" fontId="95" fillId="4" borderId="0" applyNumberFormat="0" applyBorder="0" applyAlignment="0" applyProtection="0"/>
    <xf numFmtId="0" fontId="95" fillId="2" borderId="0" applyNumberFormat="0" applyBorder="0" applyAlignment="0" applyProtection="0"/>
    <xf numFmtId="0" fontId="95" fillId="5" borderId="0" applyNumberFormat="0" applyBorder="0" applyAlignment="0" applyProtection="0"/>
    <xf numFmtId="0" fontId="95" fillId="4" borderId="0" applyNumberFormat="0" applyBorder="0" applyAlignment="0" applyProtection="0"/>
    <xf numFmtId="0" fontId="95" fillId="6" borderId="0" applyNumberFormat="0" applyBorder="0" applyAlignment="0" applyProtection="0"/>
    <xf numFmtId="0" fontId="95" fillId="3" borderId="0" applyNumberFormat="0" applyBorder="0" applyAlignment="0" applyProtection="0"/>
    <xf numFmtId="0" fontId="95" fillId="4" borderId="0" applyNumberFormat="0" applyBorder="0" applyAlignment="0" applyProtection="0"/>
    <xf numFmtId="0" fontId="95" fillId="6" borderId="0" applyNumberFormat="0" applyBorder="0" applyAlignment="0" applyProtection="0"/>
    <xf numFmtId="0" fontId="95" fillId="7" borderId="0" applyNumberFormat="0" applyBorder="0" applyAlignment="0" applyProtection="0"/>
    <xf numFmtId="0" fontId="95" fillId="4" borderId="0" applyNumberFormat="0" applyBorder="0" applyAlignment="0" applyProtection="0"/>
    <xf numFmtId="0" fontId="96" fillId="8" borderId="0" applyNumberFormat="0" applyBorder="0" applyAlignment="0" applyProtection="0"/>
    <xf numFmtId="0" fontId="96" fillId="3" borderId="0" applyNumberFormat="0" applyBorder="0" applyAlignment="0" applyProtection="0"/>
    <xf numFmtId="0" fontId="96" fillId="9" borderId="0" applyNumberFormat="0" applyBorder="0" applyAlignment="0" applyProtection="0"/>
    <xf numFmtId="0" fontId="96" fillId="6" borderId="0" applyNumberFormat="0" applyBorder="0" applyAlignment="0" applyProtection="0"/>
    <xf numFmtId="0" fontId="96" fillId="8" borderId="0" applyNumberFormat="0" applyBorder="0" applyAlignment="0" applyProtection="0"/>
    <xf numFmtId="0" fontId="96" fillId="4" borderId="0" applyNumberFormat="0" applyBorder="0" applyAlignment="0" applyProtection="0"/>
    <xf numFmtId="0" fontId="96" fillId="8" borderId="0" applyNumberFormat="0" applyBorder="0" applyAlignment="0" applyProtection="0"/>
    <xf numFmtId="0" fontId="96" fillId="3" borderId="0" applyNumberFormat="0" applyBorder="0" applyAlignment="0" applyProtection="0"/>
    <xf numFmtId="0" fontId="96" fillId="9" borderId="0" applyNumberFormat="0" applyBorder="0" applyAlignment="0" applyProtection="0"/>
    <xf numFmtId="0" fontId="96" fillId="10" borderId="0" applyNumberFormat="0" applyBorder="0" applyAlignment="0" applyProtection="0"/>
    <xf numFmtId="0" fontId="96" fillId="8" borderId="0" applyNumberFormat="0" applyBorder="0" applyAlignment="0" applyProtection="0"/>
    <xf numFmtId="0" fontId="96" fillId="3" borderId="0" applyNumberFormat="0" applyBorder="0" applyAlignment="0" applyProtection="0"/>
    <xf numFmtId="0" fontId="97" fillId="11" borderId="0" applyNumberFormat="0" applyBorder="0" applyAlignment="0" applyProtection="0"/>
    <xf numFmtId="0" fontId="87" fillId="0" borderId="0"/>
    <xf numFmtId="0" fontId="98" fillId="12" borderId="1" applyNumberFormat="0" applyAlignment="0" applyProtection="0"/>
    <xf numFmtId="0" fontId="99" fillId="13" borderId="2" applyNumberFormat="0" applyAlignment="0" applyProtection="0"/>
    <xf numFmtId="43" fontId="3" fillId="0" borderId="0" applyFont="0" applyFill="0" applyBorder="0" applyAlignment="0" applyProtection="0"/>
    <xf numFmtId="4" fontId="112" fillId="0" borderId="0" applyFont="0" applyFill="0" applyBorder="0" applyAlignment="0" applyProtection="0"/>
    <xf numFmtId="44" fontId="3" fillId="0" borderId="0" applyFont="0" applyFill="0" applyBorder="0" applyAlignment="0" applyProtection="0"/>
    <xf numFmtId="8" fontId="112" fillId="0" borderId="0" applyFont="0" applyFill="0" applyBorder="0" applyAlignment="0" applyProtection="0"/>
    <xf numFmtId="0" fontId="100" fillId="0" borderId="0" applyNumberFormat="0" applyFill="0" applyBorder="0" applyAlignment="0" applyProtection="0"/>
    <xf numFmtId="0" fontId="101" fillId="14" borderId="0" applyNumberFormat="0" applyBorder="0" applyAlignment="0" applyProtection="0"/>
    <xf numFmtId="0" fontId="102" fillId="0" borderId="3" applyNumberFormat="0" applyFill="0" applyAlignment="0" applyProtection="0"/>
    <xf numFmtId="0" fontId="103" fillId="0" borderId="4" applyNumberFormat="0" applyFill="0" applyAlignment="0" applyProtection="0"/>
    <xf numFmtId="0" fontId="104" fillId="0" borderId="5" applyNumberFormat="0" applyFill="0" applyAlignment="0" applyProtection="0"/>
    <xf numFmtId="0" fontId="104" fillId="0" borderId="0" applyNumberFormat="0" applyFill="0" applyBorder="0" applyAlignment="0" applyProtection="0"/>
    <xf numFmtId="0" fontId="105" fillId="4" borderId="1" applyNumberFormat="0" applyAlignment="0" applyProtection="0"/>
    <xf numFmtId="0" fontId="12" fillId="0" borderId="0" applyNumberFormat="0" applyFill="0" applyBorder="0" applyProtection="0">
      <alignment horizontal="left" vertical="center"/>
    </xf>
    <xf numFmtId="0" fontId="106" fillId="0" borderId="6" applyNumberFormat="0" applyFill="0" applyAlignment="0" applyProtection="0"/>
    <xf numFmtId="0" fontId="107" fillId="4" borderId="0" applyNumberFormat="0" applyBorder="0" applyAlignment="0" applyProtection="0"/>
    <xf numFmtId="0" fontId="95" fillId="0" borderId="0"/>
    <xf numFmtId="0" fontId="3" fillId="4" borderId="7" applyNumberFormat="0" applyFont="0" applyAlignment="0" applyProtection="0"/>
    <xf numFmtId="0" fontId="108" fillId="12" borderId="8" applyNumberFormat="0" applyAlignment="0" applyProtection="0"/>
    <xf numFmtId="0" fontId="84" fillId="0" borderId="0">
      <alignment vertical="center"/>
    </xf>
    <xf numFmtId="9" fontId="3" fillId="0" borderId="0" applyFont="0" applyFill="0" applyBorder="0" applyAlignment="0" applyProtection="0"/>
    <xf numFmtId="0" fontId="12" fillId="0" borderId="0" applyNumberFormat="0" applyFill="0" applyBorder="0" applyProtection="0">
      <alignment horizontal="right" vertical="center"/>
    </xf>
    <xf numFmtId="0" fontId="88" fillId="0" borderId="0"/>
    <xf numFmtId="0" fontId="88" fillId="0" borderId="9">
      <alignment horizontal="centerContinuous"/>
    </xf>
    <xf numFmtId="0" fontId="89" fillId="0" borderId="9"/>
    <xf numFmtId="0" fontId="3" fillId="0" borderId="0">
      <alignment vertical="top"/>
    </xf>
    <xf numFmtId="0" fontId="109" fillId="0" borderId="0" applyNumberFormat="0" applyFill="0" applyBorder="0" applyAlignment="0" applyProtection="0"/>
    <xf numFmtId="0" fontId="6" fillId="16" borderId="0" applyNumberFormat="0" applyBorder="0" applyProtection="0">
      <alignment horizontal="left" vertical="center"/>
    </xf>
    <xf numFmtId="0" fontId="11" fillId="1" borderId="0" applyNumberFormat="0" applyBorder="0" applyProtection="0">
      <alignment horizontal="left" vertical="center"/>
    </xf>
    <xf numFmtId="0" fontId="110" fillId="0" borderId="10" applyNumberFormat="0" applyFill="0" applyAlignment="0" applyProtection="0"/>
    <xf numFmtId="0" fontId="111" fillId="0" borderId="0" applyNumberFormat="0" applyFill="0" applyBorder="0" applyAlignment="0" applyProtection="0"/>
    <xf numFmtId="0" fontId="3" fillId="0" borderId="0"/>
    <xf numFmtId="0" fontId="3" fillId="15" borderId="0" applyNumberFormat="0" applyFont="0" applyBorder="0" applyAlignment="0" applyProtection="0"/>
    <xf numFmtId="0" fontId="2" fillId="0" borderId="0"/>
    <xf numFmtId="9" fontId="2" fillId="0" borderId="0" applyFont="0" applyFill="0" applyBorder="0" applyAlignment="0" applyProtection="0"/>
    <xf numFmtId="43" fontId="2" fillId="0" borderId="0" applyFont="0" applyFill="0" applyBorder="0" applyAlignment="0" applyProtection="0"/>
    <xf numFmtId="0" fontId="3" fillId="15" borderId="0" applyNumberFormat="0" applyFont="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138" fillId="0" borderId="0"/>
  </cellStyleXfs>
  <cellXfs count="2055">
    <xf numFmtId="0" fontId="0" fillId="0" borderId="0" xfId="0"/>
    <xf numFmtId="0" fontId="13" fillId="18" borderId="0" xfId="0" applyFont="1" applyFill="1"/>
    <xf numFmtId="0" fontId="21" fillId="18" borderId="0" xfId="0" applyFont="1" applyFill="1"/>
    <xf numFmtId="0" fontId="0" fillId="0" borderId="0" xfId="0" applyFill="1"/>
    <xf numFmtId="0" fontId="14" fillId="0" borderId="0" xfId="0" applyFont="1" applyFill="1" applyBorder="1"/>
    <xf numFmtId="165" fontId="14" fillId="0" borderId="0" xfId="43" applyNumberFormat="1" applyFont="1" applyFill="1" applyBorder="1">
      <alignment horizontal="left" vertical="center"/>
    </xf>
    <xf numFmtId="180" fontId="14" fillId="0" borderId="0" xfId="51" quotePrefix="1" applyNumberFormat="1" applyFont="1" applyFill="1" applyBorder="1" applyAlignment="1">
      <alignment horizontal="right" vertical="center"/>
    </xf>
    <xf numFmtId="165" fontId="13" fillId="0" borderId="0" xfId="43" applyNumberFormat="1" applyFont="1" applyFill="1" applyBorder="1">
      <alignment horizontal="left" vertical="center"/>
    </xf>
    <xf numFmtId="1" fontId="9" fillId="0" borderId="0" xfId="43" applyNumberFormat="1" applyFont="1" applyFill="1">
      <alignment horizontal="left" vertical="center"/>
    </xf>
    <xf numFmtId="164" fontId="39" fillId="18" borderId="0" xfId="0" applyNumberFormat="1" applyFont="1" applyFill="1"/>
    <xf numFmtId="1" fontId="9" fillId="0" borderId="0" xfId="57" applyNumberFormat="1" applyFont="1" applyFill="1" applyBorder="1">
      <alignment horizontal="left" vertical="center"/>
    </xf>
    <xf numFmtId="164" fontId="7" fillId="0" borderId="0" xfId="57" applyNumberFormat="1" applyFont="1" applyFill="1" applyBorder="1">
      <alignment horizontal="left" vertical="center"/>
    </xf>
    <xf numFmtId="164" fontId="9" fillId="0" borderId="0" xfId="0" applyNumberFormat="1" applyFont="1" applyFill="1"/>
    <xf numFmtId="1" fontId="40" fillId="19" borderId="0" xfId="57" applyNumberFormat="1" applyFont="1" applyFill="1" applyBorder="1">
      <alignment horizontal="left" vertical="center"/>
    </xf>
    <xf numFmtId="164" fontId="40" fillId="19" borderId="0" xfId="57" applyNumberFormat="1" applyFont="1" applyFill="1" applyBorder="1" applyAlignment="1">
      <alignment horizontal="right" vertical="center"/>
    </xf>
    <xf numFmtId="1" fontId="9" fillId="0" borderId="0" xfId="0" applyNumberFormat="1" applyFont="1" applyFill="1"/>
    <xf numFmtId="1" fontId="39" fillId="18" borderId="0" xfId="0" applyNumberFormat="1" applyFont="1" applyFill="1"/>
    <xf numFmtId="164" fontId="39" fillId="18" borderId="0" xfId="0" applyNumberFormat="1" applyFont="1" applyFill="1" applyAlignment="1">
      <alignment horizontal="right"/>
    </xf>
    <xf numFmtId="164" fontId="9" fillId="0" borderId="0" xfId="57" applyNumberFormat="1" applyFont="1" applyFill="1" applyBorder="1">
      <alignment horizontal="left" vertical="center"/>
    </xf>
    <xf numFmtId="164" fontId="9" fillId="0" borderId="0" xfId="0" applyNumberFormat="1" applyFont="1" applyFill="1" applyAlignment="1">
      <alignment horizontal="right"/>
    </xf>
    <xf numFmtId="174" fontId="14" fillId="0" borderId="0" xfId="32" applyNumberFormat="1" applyFont="1" applyFill="1" applyBorder="1" applyAlignment="1">
      <alignment horizontal="right"/>
    </xf>
    <xf numFmtId="174" fontId="14" fillId="0" borderId="0" xfId="32" quotePrefix="1" applyNumberFormat="1" applyFont="1" applyFill="1" applyBorder="1" applyAlignment="1">
      <alignment horizontal="right" vertical="center"/>
    </xf>
    <xf numFmtId="165" fontId="17" fillId="0" borderId="0" xfId="43" applyNumberFormat="1" applyFont="1" applyFill="1" applyBorder="1">
      <alignment horizontal="left" vertical="center"/>
    </xf>
    <xf numFmtId="174" fontId="17" fillId="0" borderId="0" xfId="32" applyNumberFormat="1" applyFont="1" applyFill="1" applyBorder="1" applyAlignment="1">
      <alignment horizontal="right"/>
    </xf>
    <xf numFmtId="9" fontId="17" fillId="0" borderId="0" xfId="50" quotePrefix="1" applyFont="1" applyFill="1" applyBorder="1" applyAlignment="1">
      <alignment horizontal="right" vertical="center"/>
    </xf>
    <xf numFmtId="180" fontId="17" fillId="0" borderId="0" xfId="51" quotePrefix="1" applyNumberFormat="1" applyFont="1" applyFill="1" applyBorder="1" applyAlignment="1">
      <alignment horizontal="right" vertical="center"/>
    </xf>
    <xf numFmtId="165" fontId="32" fillId="22" borderId="0" xfId="43" applyNumberFormat="1" applyFont="1" applyFill="1" applyBorder="1">
      <alignment horizontal="left" vertical="center"/>
    </xf>
    <xf numFmtId="165" fontId="14" fillId="22" borderId="0" xfId="43" applyNumberFormat="1" applyFont="1" applyFill="1" applyBorder="1">
      <alignment horizontal="left" vertical="center"/>
    </xf>
    <xf numFmtId="165" fontId="17" fillId="22" borderId="0" xfId="43" applyNumberFormat="1" applyFont="1" applyFill="1" applyBorder="1">
      <alignment horizontal="left" vertical="center"/>
    </xf>
    <xf numFmtId="9" fontId="17" fillId="22" borderId="0" xfId="50" quotePrefix="1" applyFont="1" applyFill="1" applyBorder="1" applyAlignment="1">
      <alignment horizontal="right" vertical="center"/>
    </xf>
    <xf numFmtId="165" fontId="24" fillId="20" borderId="0" xfId="43" applyNumberFormat="1" applyFont="1" applyFill="1" applyBorder="1">
      <alignment horizontal="left" vertical="center"/>
    </xf>
    <xf numFmtId="165" fontId="16" fillId="20" borderId="0" xfId="43" applyNumberFormat="1" applyFont="1" applyFill="1" applyBorder="1">
      <alignment horizontal="left" vertical="center"/>
    </xf>
    <xf numFmtId="9" fontId="17" fillId="22" borderId="0" xfId="50" quotePrefix="1" applyNumberFormat="1" applyFont="1" applyFill="1" applyBorder="1" applyAlignment="1">
      <alignment horizontal="right" vertical="center"/>
    </xf>
    <xf numFmtId="9" fontId="18" fillId="0" borderId="0" xfId="50" quotePrefix="1" applyFont="1" applyFill="1" applyBorder="1" applyAlignment="1">
      <alignment horizontal="right" vertical="center"/>
    </xf>
    <xf numFmtId="174" fontId="18" fillId="0" borderId="0" xfId="32" applyNumberFormat="1" applyFont="1" applyFill="1" applyBorder="1" applyAlignment="1">
      <alignment horizontal="right"/>
    </xf>
    <xf numFmtId="9" fontId="18" fillId="22" borderId="0" xfId="50" quotePrefix="1" applyFont="1" applyFill="1" applyBorder="1" applyAlignment="1">
      <alignment horizontal="right" vertical="center"/>
    </xf>
    <xf numFmtId="0" fontId="16" fillId="20" borderId="0" xfId="0" applyFont="1" applyFill="1" applyBorder="1"/>
    <xf numFmtId="177" fontId="25" fillId="22" borderId="0" xfId="32" quotePrefix="1" applyNumberFormat="1" applyFont="1" applyFill="1" applyBorder="1" applyAlignment="1">
      <alignment horizontal="right" vertical="center"/>
    </xf>
    <xf numFmtId="177" fontId="32" fillId="22" borderId="0" xfId="32" quotePrefix="1" applyNumberFormat="1" applyFont="1" applyFill="1" applyBorder="1" applyAlignment="1">
      <alignment horizontal="right" vertical="center"/>
    </xf>
    <xf numFmtId="177" fontId="14" fillId="22" borderId="0" xfId="43" applyNumberFormat="1" applyFont="1" applyFill="1" applyBorder="1">
      <alignment horizontal="left" vertical="center"/>
    </xf>
    <xf numFmtId="174" fontId="13" fillId="0" borderId="0" xfId="32" applyNumberFormat="1" applyFont="1" applyFill="1" applyBorder="1" applyAlignment="1">
      <alignment horizontal="right"/>
    </xf>
    <xf numFmtId="0" fontId="14" fillId="19" borderId="0" xfId="0" applyFont="1" applyFill="1" applyBorder="1"/>
    <xf numFmtId="174" fontId="14" fillId="0" borderId="0" xfId="50" quotePrefix="1" applyNumberFormat="1" applyFont="1" applyFill="1" applyBorder="1" applyAlignment="1">
      <alignment horizontal="right" vertical="center"/>
    </xf>
    <xf numFmtId="167" fontId="40" fillId="19" borderId="0" xfId="57" applyNumberFormat="1" applyFont="1" applyFill="1" applyBorder="1" applyAlignment="1">
      <alignment horizontal="right" vertical="center"/>
    </xf>
    <xf numFmtId="174" fontId="17" fillId="0" borderId="0" xfId="32" quotePrefix="1" applyNumberFormat="1" applyFont="1" applyFill="1" applyBorder="1" applyAlignment="1">
      <alignment horizontal="right" vertical="center"/>
    </xf>
    <xf numFmtId="173" fontId="17" fillId="0" borderId="0" xfId="32" quotePrefix="1" applyNumberFormat="1" applyFont="1" applyFill="1" applyBorder="1" applyAlignment="1">
      <alignment horizontal="right" vertical="center"/>
    </xf>
    <xf numFmtId="164" fontId="10" fillId="18" borderId="0" xfId="0" applyNumberFormat="1" applyFont="1" applyFill="1"/>
    <xf numFmtId="1" fontId="9" fillId="18" borderId="0" xfId="43" applyNumberFormat="1" applyFont="1" applyFill="1">
      <alignment horizontal="left" vertical="center"/>
    </xf>
    <xf numFmtId="177" fontId="17" fillId="0" borderId="0" xfId="50" quotePrefix="1" applyNumberFormat="1" applyFont="1" applyFill="1" applyBorder="1" applyAlignment="1">
      <alignment horizontal="right" vertical="center"/>
    </xf>
    <xf numFmtId="43" fontId="17" fillId="0" borderId="0" xfId="32" quotePrefix="1" applyNumberFormat="1" applyFont="1" applyFill="1" applyBorder="1" applyAlignment="1">
      <alignment horizontal="right" vertical="center"/>
    </xf>
    <xf numFmtId="168" fontId="18" fillId="0" borderId="0" xfId="50" applyNumberFormat="1" applyFont="1" applyFill="1" applyBorder="1" applyAlignment="1">
      <alignment horizontal="right"/>
    </xf>
    <xf numFmtId="164" fontId="47" fillId="0" borderId="0" xfId="57" applyNumberFormat="1" applyFont="1" applyFill="1" applyBorder="1">
      <alignment horizontal="left" vertical="center"/>
    </xf>
    <xf numFmtId="1" fontId="10" fillId="19" borderId="0" xfId="43" applyNumberFormat="1" applyFont="1" applyFill="1">
      <alignment horizontal="left" vertical="center"/>
    </xf>
    <xf numFmtId="1" fontId="10" fillId="19" borderId="0" xfId="0" applyNumberFormat="1" applyFont="1" applyFill="1"/>
    <xf numFmtId="164" fontId="10" fillId="19" borderId="0" xfId="0" applyNumberFormat="1" applyFont="1" applyFill="1" applyAlignment="1">
      <alignment horizontal="right"/>
    </xf>
    <xf numFmtId="164" fontId="10" fillId="19" borderId="0" xfId="0" applyNumberFormat="1" applyFont="1" applyFill="1"/>
    <xf numFmtId="165" fontId="14" fillId="24" borderId="0" xfId="43" applyNumberFormat="1" applyFont="1" applyFill="1" applyBorder="1">
      <alignment horizontal="left" vertical="center"/>
    </xf>
    <xf numFmtId="188" fontId="25" fillId="22" borderId="0" xfId="34" quotePrefix="1" applyNumberFormat="1" applyFont="1" applyFill="1" applyBorder="1" applyAlignment="1">
      <alignment horizontal="right" vertical="center"/>
    </xf>
    <xf numFmtId="165" fontId="13" fillId="0" borderId="40" xfId="43" applyNumberFormat="1" applyFont="1" applyFill="1" applyBorder="1">
      <alignment horizontal="left" vertical="center"/>
    </xf>
    <xf numFmtId="9" fontId="18" fillId="0" borderId="40" xfId="50" quotePrefix="1" applyFont="1" applyFill="1" applyBorder="1" applyAlignment="1">
      <alignment horizontal="right" vertical="center"/>
    </xf>
    <xf numFmtId="9" fontId="17" fillId="0" borderId="40" xfId="50" quotePrefix="1" applyFont="1" applyFill="1" applyBorder="1" applyAlignment="1">
      <alignment horizontal="right" vertical="center"/>
    </xf>
    <xf numFmtId="174" fontId="18" fillId="0" borderId="40" xfId="32" applyNumberFormat="1" applyFont="1" applyFill="1" applyBorder="1" applyAlignment="1">
      <alignment horizontal="right"/>
    </xf>
    <xf numFmtId="177" fontId="17" fillId="0" borderId="40" xfId="50" quotePrefix="1" applyNumberFormat="1" applyFont="1" applyFill="1" applyBorder="1" applyAlignment="1">
      <alignment horizontal="right" vertical="center"/>
    </xf>
    <xf numFmtId="174" fontId="13" fillId="0" borderId="40" xfId="32" applyNumberFormat="1" applyFont="1" applyFill="1" applyBorder="1" applyAlignment="1">
      <alignment horizontal="right"/>
    </xf>
    <xf numFmtId="165" fontId="24" fillId="20" borderId="40" xfId="43" applyNumberFormat="1" applyFont="1" applyFill="1" applyBorder="1">
      <alignment horizontal="left" vertical="center"/>
    </xf>
    <xf numFmtId="177" fontId="32" fillId="22" borderId="40" xfId="32" quotePrefix="1" applyNumberFormat="1" applyFont="1" applyFill="1" applyBorder="1" applyAlignment="1">
      <alignment horizontal="right" vertical="center"/>
    </xf>
    <xf numFmtId="9" fontId="18" fillId="22" borderId="40" xfId="50" quotePrefix="1" applyFont="1" applyFill="1" applyBorder="1" applyAlignment="1">
      <alignment horizontal="right" vertical="center"/>
    </xf>
    <xf numFmtId="0" fontId="14" fillId="19" borderId="40" xfId="0" applyFont="1" applyFill="1" applyBorder="1"/>
    <xf numFmtId="164" fontId="7" fillId="0" borderId="40" xfId="57" applyNumberFormat="1" applyFont="1" applyFill="1" applyBorder="1">
      <alignment horizontal="left" vertical="center"/>
    </xf>
    <xf numFmtId="164" fontId="9" fillId="0" borderId="40" xfId="0" applyNumberFormat="1" applyFont="1" applyFill="1" applyBorder="1" applyAlignment="1">
      <alignment horizontal="right"/>
    </xf>
    <xf numFmtId="164" fontId="40" fillId="19" borderId="40" xfId="57" applyNumberFormat="1" applyFont="1" applyFill="1" applyBorder="1" applyAlignment="1">
      <alignment horizontal="right" vertical="center"/>
    </xf>
    <xf numFmtId="168" fontId="17" fillId="24" borderId="0" xfId="50" applyNumberFormat="1" applyFont="1" applyFill="1" applyBorder="1" applyAlignment="1">
      <alignment horizontal="right" vertical="center"/>
    </xf>
    <xf numFmtId="164" fontId="10" fillId="18" borderId="40" xfId="0" applyNumberFormat="1" applyFont="1" applyFill="1" applyBorder="1"/>
    <xf numFmtId="164" fontId="10" fillId="19" borderId="40" xfId="0" applyNumberFormat="1" applyFont="1" applyFill="1" applyBorder="1" applyAlignment="1">
      <alignment horizontal="right"/>
    </xf>
    <xf numFmtId="0" fontId="25" fillId="24" borderId="0" xfId="0" applyFont="1" applyFill="1" applyBorder="1"/>
    <xf numFmtId="0" fontId="32" fillId="24" borderId="0" xfId="0" applyFont="1" applyFill="1" applyBorder="1"/>
    <xf numFmtId="168" fontId="25" fillId="24" borderId="0" xfId="50" applyNumberFormat="1" applyFont="1" applyFill="1" applyBorder="1"/>
    <xf numFmtId="176" fontId="25" fillId="24" borderId="0" xfId="50" applyNumberFormat="1" applyFont="1" applyFill="1" applyBorder="1"/>
    <xf numFmtId="0" fontId="32" fillId="24" borderId="40" xfId="0" applyFont="1" applyFill="1" applyBorder="1"/>
    <xf numFmtId="176" fontId="21" fillId="24" borderId="0" xfId="50" applyNumberFormat="1" applyFont="1" applyFill="1" applyBorder="1"/>
    <xf numFmtId="0" fontId="25" fillId="24" borderId="20" xfId="0" applyFont="1" applyFill="1" applyBorder="1"/>
    <xf numFmtId="168" fontId="25" fillId="24" borderId="40" xfId="50" applyNumberFormat="1" applyFont="1" applyFill="1" applyBorder="1"/>
    <xf numFmtId="165" fontId="17" fillId="24" borderId="0" xfId="43" applyNumberFormat="1" applyFont="1" applyFill="1" applyBorder="1">
      <alignment horizontal="left" vertical="center"/>
    </xf>
    <xf numFmtId="165" fontId="18" fillId="24" borderId="0" xfId="43" applyNumberFormat="1" applyFont="1" applyFill="1" applyBorder="1">
      <alignment horizontal="left" vertical="center"/>
    </xf>
    <xf numFmtId="0" fontId="17" fillId="24" borderId="0" xfId="0" applyFont="1" applyFill="1" applyBorder="1"/>
    <xf numFmtId="176" fontId="17" fillId="24" borderId="0" xfId="43" applyNumberFormat="1" applyFont="1" applyFill="1" applyBorder="1" applyAlignment="1">
      <alignment horizontal="right" vertical="center"/>
    </xf>
    <xf numFmtId="176" fontId="18" fillId="24" borderId="0" xfId="43" applyNumberFormat="1" applyFont="1" applyFill="1" applyBorder="1">
      <alignment horizontal="left" vertical="center"/>
    </xf>
    <xf numFmtId="176" fontId="17" fillId="24" borderId="0" xfId="43" applyNumberFormat="1" applyFont="1" applyFill="1" applyBorder="1">
      <alignment horizontal="left" vertical="center"/>
    </xf>
    <xf numFmtId="176" fontId="18" fillId="24" borderId="40" xfId="43" applyNumberFormat="1" applyFont="1" applyFill="1" applyBorder="1">
      <alignment horizontal="left" vertical="center"/>
    </xf>
    <xf numFmtId="165" fontId="18" fillId="24" borderId="40" xfId="43" applyNumberFormat="1" applyFont="1" applyFill="1" applyBorder="1">
      <alignment horizontal="left" vertical="center"/>
    </xf>
    <xf numFmtId="165" fontId="13" fillId="24" borderId="0" xfId="43" applyNumberFormat="1" applyFont="1" applyFill="1" applyBorder="1">
      <alignment horizontal="left" vertical="center"/>
    </xf>
    <xf numFmtId="0" fontId="14" fillId="24" borderId="0" xfId="0" applyFont="1" applyFill="1" applyBorder="1"/>
    <xf numFmtId="176" fontId="14" fillId="24" borderId="0" xfId="43" applyNumberFormat="1" applyFont="1" applyFill="1" applyBorder="1" applyAlignment="1">
      <alignment horizontal="right" vertical="center"/>
    </xf>
    <xf numFmtId="165" fontId="13" fillId="24" borderId="40" xfId="43" applyNumberFormat="1" applyFont="1" applyFill="1" applyBorder="1">
      <alignment horizontal="left" vertical="center"/>
    </xf>
    <xf numFmtId="176" fontId="25" fillId="24" borderId="0" xfId="0" applyNumberFormat="1" applyFont="1" applyFill="1" applyBorder="1"/>
    <xf numFmtId="9" fontId="18" fillId="0" borderId="48" xfId="50" quotePrefix="1" applyFont="1" applyFill="1" applyBorder="1" applyAlignment="1">
      <alignment horizontal="right" vertical="center"/>
    </xf>
    <xf numFmtId="165" fontId="13" fillId="0" borderId="48" xfId="43" applyNumberFormat="1" applyFont="1" applyFill="1" applyBorder="1">
      <alignment horizontal="left" vertical="center"/>
    </xf>
    <xf numFmtId="165" fontId="18" fillId="24" borderId="48" xfId="43" applyNumberFormat="1" applyFont="1" applyFill="1" applyBorder="1">
      <alignment horizontal="left" vertical="center"/>
    </xf>
    <xf numFmtId="165" fontId="13" fillId="24" borderId="48" xfId="43" applyNumberFormat="1" applyFont="1" applyFill="1" applyBorder="1">
      <alignment horizontal="left" vertical="center"/>
    </xf>
    <xf numFmtId="174" fontId="18" fillId="0" borderId="48" xfId="32" applyNumberFormat="1" applyFont="1" applyFill="1" applyBorder="1" applyAlignment="1">
      <alignment horizontal="right"/>
    </xf>
    <xf numFmtId="177" fontId="17" fillId="0" borderId="48" xfId="50" quotePrefix="1" applyNumberFormat="1" applyFont="1" applyFill="1" applyBorder="1" applyAlignment="1">
      <alignment horizontal="right" vertical="center"/>
    </xf>
    <xf numFmtId="174" fontId="13" fillId="0" borderId="48" xfId="32" applyNumberFormat="1" applyFont="1" applyFill="1" applyBorder="1" applyAlignment="1">
      <alignment horizontal="right"/>
    </xf>
    <xf numFmtId="165" fontId="24" fillId="20" borderId="48" xfId="43" applyNumberFormat="1" applyFont="1" applyFill="1" applyBorder="1">
      <alignment horizontal="left" vertical="center"/>
    </xf>
    <xf numFmtId="177" fontId="32" fillId="22" borderId="48" xfId="32" quotePrefix="1" applyNumberFormat="1" applyFont="1" applyFill="1" applyBorder="1" applyAlignment="1">
      <alignment horizontal="right" vertical="center"/>
    </xf>
    <xf numFmtId="9" fontId="18" fillId="22" borderId="48" xfId="50" quotePrefix="1" applyFont="1" applyFill="1" applyBorder="1" applyAlignment="1">
      <alignment horizontal="right" vertical="center"/>
    </xf>
    <xf numFmtId="0" fontId="32" fillId="24" borderId="48" xfId="0" applyFont="1" applyFill="1" applyBorder="1"/>
    <xf numFmtId="168" fontId="25" fillId="24" borderId="48" xfId="50" applyNumberFormat="1" applyFont="1" applyFill="1" applyBorder="1"/>
    <xf numFmtId="168" fontId="37" fillId="24" borderId="0" xfId="50" applyNumberFormat="1" applyFont="1" applyFill="1" applyBorder="1"/>
    <xf numFmtId="168" fontId="29" fillId="19" borderId="21" xfId="50" applyNumberFormat="1" applyFont="1" applyFill="1" applyBorder="1"/>
    <xf numFmtId="168" fontId="30" fillId="19" borderId="21" xfId="50" applyNumberFormat="1" applyFont="1" applyFill="1" applyBorder="1"/>
    <xf numFmtId="168" fontId="3" fillId="21" borderId="0" xfId="50" applyNumberFormat="1" applyFont="1" applyFill="1" applyBorder="1"/>
    <xf numFmtId="168" fontId="3" fillId="21" borderId="35" xfId="50" applyNumberFormat="1" applyFont="1" applyFill="1" applyBorder="1"/>
    <xf numFmtId="0" fontId="25" fillId="21" borderId="33" xfId="0" applyFont="1" applyFill="1" applyBorder="1"/>
    <xf numFmtId="0" fontId="13" fillId="21" borderId="12" xfId="0" applyFont="1" applyFill="1" applyBorder="1"/>
    <xf numFmtId="0" fontId="14" fillId="21" borderId="12" xfId="0" applyFont="1" applyFill="1" applyBorder="1"/>
    <xf numFmtId="9" fontId="25" fillId="21" borderId="12" xfId="50" applyFont="1" applyFill="1" applyBorder="1"/>
    <xf numFmtId="0" fontId="32" fillId="21" borderId="12" xfId="0" applyFont="1" applyFill="1" applyBorder="1"/>
    <xf numFmtId="177" fontId="25" fillId="21" borderId="12" xfId="50" applyNumberFormat="1" applyFont="1" applyFill="1" applyBorder="1"/>
    <xf numFmtId="177" fontId="25" fillId="21" borderId="41" xfId="50" applyNumberFormat="1" applyFont="1" applyFill="1" applyBorder="1"/>
    <xf numFmtId="0" fontId="17" fillId="21" borderId="30" xfId="0" applyFont="1" applyFill="1" applyBorder="1"/>
    <xf numFmtId="0" fontId="18" fillId="21" borderId="13" xfId="0" applyFont="1" applyFill="1" applyBorder="1"/>
    <xf numFmtId="0" fontId="17" fillId="21" borderId="13" xfId="0" applyFont="1" applyFill="1" applyBorder="1"/>
    <xf numFmtId="9" fontId="17" fillId="21" borderId="13" xfId="50" applyFont="1" applyFill="1" applyBorder="1"/>
    <xf numFmtId="0" fontId="18" fillId="21" borderId="42" xfId="0" applyFont="1" applyFill="1" applyBorder="1"/>
    <xf numFmtId="168" fontId="17" fillId="21" borderId="13" xfId="50" applyNumberFormat="1" applyFont="1" applyFill="1" applyBorder="1"/>
    <xf numFmtId="168" fontId="17" fillId="21" borderId="42" xfId="50" applyNumberFormat="1" applyFont="1" applyFill="1" applyBorder="1"/>
    <xf numFmtId="164" fontId="91" fillId="19" borderId="0" xfId="57" applyNumberFormat="1" applyFont="1" applyFill="1" applyBorder="1" applyAlignment="1">
      <alignment horizontal="right" vertical="center"/>
    </xf>
    <xf numFmtId="0" fontId="45" fillId="0" borderId="0" xfId="0" applyFont="1"/>
    <xf numFmtId="174" fontId="32" fillId="24" borderId="48" xfId="32" applyNumberFormat="1" applyFont="1" applyFill="1" applyBorder="1"/>
    <xf numFmtId="0" fontId="17" fillId="26" borderId="0" xfId="0" applyFont="1" applyFill="1"/>
    <xf numFmtId="0" fontId="14" fillId="26" borderId="0" xfId="0" applyFont="1" applyFill="1"/>
    <xf numFmtId="0" fontId="13" fillId="26" borderId="0" xfId="0" applyFont="1" applyFill="1"/>
    <xf numFmtId="0" fontId="14" fillId="26" borderId="0" xfId="0" quotePrefix="1" applyFont="1" applyFill="1"/>
    <xf numFmtId="0" fontId="13" fillId="26" borderId="40" xfId="0" applyFont="1" applyFill="1" applyBorder="1"/>
    <xf numFmtId="9" fontId="17" fillId="26" borderId="0" xfId="50" applyNumberFormat="1" applyFont="1" applyFill="1"/>
    <xf numFmtId="168" fontId="17" fillId="26" borderId="0" xfId="50" applyNumberFormat="1" applyFont="1" applyFill="1"/>
    <xf numFmtId="168" fontId="17" fillId="26" borderId="40" xfId="50" applyNumberFormat="1" applyFont="1" applyFill="1" applyBorder="1"/>
    <xf numFmtId="168" fontId="14" fillId="26" borderId="0" xfId="0" applyNumberFormat="1" applyFont="1" applyFill="1"/>
    <xf numFmtId="0" fontId="14" fillId="26" borderId="40" xfId="0" applyFont="1" applyFill="1" applyBorder="1"/>
    <xf numFmtId="9" fontId="17" fillId="26" borderId="0" xfId="50" applyFont="1" applyFill="1"/>
    <xf numFmtId="9" fontId="17" fillId="26" borderId="0" xfId="50" applyFont="1" applyFill="1" applyBorder="1" applyAlignment="1"/>
    <xf numFmtId="9" fontId="17" fillId="26" borderId="40" xfId="50" applyFont="1" applyFill="1" applyBorder="1" applyAlignment="1"/>
    <xf numFmtId="0" fontId="18" fillId="26" borderId="0" xfId="0" applyFont="1" applyFill="1" applyBorder="1" applyAlignment="1"/>
    <xf numFmtId="9" fontId="17" fillId="26" borderId="0" xfId="50" applyNumberFormat="1" applyFont="1" applyFill="1" applyBorder="1" applyAlignment="1"/>
    <xf numFmtId="0" fontId="29" fillId="21" borderId="0" xfId="46" applyFont="1" applyFill="1"/>
    <xf numFmtId="0" fontId="28" fillId="21" borderId="0" xfId="46" applyFont="1" applyFill="1"/>
    <xf numFmtId="0" fontId="28" fillId="21" borderId="13" xfId="46" applyFont="1" applyFill="1" applyBorder="1"/>
    <xf numFmtId="0" fontId="86" fillId="25" borderId="0" xfId="46" applyFont="1" applyFill="1"/>
    <xf numFmtId="0" fontId="85" fillId="25" borderId="0" xfId="46" applyFont="1" applyFill="1"/>
    <xf numFmtId="176" fontId="28" fillId="21" borderId="0" xfId="46" applyNumberFormat="1" applyFont="1" applyFill="1"/>
    <xf numFmtId="168" fontId="28" fillId="21" borderId="0" xfId="50" applyNumberFormat="1" applyFont="1" applyFill="1" applyBorder="1"/>
    <xf numFmtId="9" fontId="28" fillId="21" borderId="0" xfId="50" applyFont="1" applyFill="1"/>
    <xf numFmtId="0" fontId="28" fillId="21" borderId="17" xfId="46" applyFont="1" applyFill="1" applyBorder="1"/>
    <xf numFmtId="0" fontId="28" fillId="21" borderId="18" xfId="46" applyFont="1" applyFill="1" applyBorder="1"/>
    <xf numFmtId="0" fontId="28" fillId="21" borderId="24" xfId="46" applyFont="1" applyFill="1" applyBorder="1"/>
    <xf numFmtId="6" fontId="28" fillId="21" borderId="21" xfId="35" applyNumberFormat="1" applyFont="1" applyFill="1" applyBorder="1"/>
    <xf numFmtId="0" fontId="29" fillId="21" borderId="0" xfId="46" applyFont="1" applyFill="1" applyAlignment="1">
      <alignment horizontal="center"/>
    </xf>
    <xf numFmtId="166" fontId="85" fillId="25" borderId="0" xfId="46" applyNumberFormat="1" applyFont="1" applyFill="1"/>
    <xf numFmtId="0" fontId="28" fillId="27" borderId="0" xfId="46" applyFont="1" applyFill="1"/>
    <xf numFmtId="177" fontId="28" fillId="27" borderId="0" xfId="46" applyNumberFormat="1" applyFont="1" applyFill="1"/>
    <xf numFmtId="164" fontId="28" fillId="27" borderId="0" xfId="46" applyNumberFormat="1" applyFont="1" applyFill="1"/>
    <xf numFmtId="9" fontId="28" fillId="27" borderId="0" xfId="50" applyFont="1" applyFill="1"/>
    <xf numFmtId="164" fontId="28" fillId="21" borderId="0" xfId="46" applyNumberFormat="1" applyFont="1" applyFill="1"/>
    <xf numFmtId="3" fontId="28" fillId="21" borderId="0" xfId="46" applyNumberFormat="1" applyFont="1" applyFill="1"/>
    <xf numFmtId="9" fontId="114" fillId="21" borderId="0" xfId="46" applyNumberFormat="1" applyFont="1" applyFill="1"/>
    <xf numFmtId="3" fontId="28" fillId="21" borderId="18" xfId="33" applyNumberFormat="1" applyFont="1" applyFill="1" applyBorder="1"/>
    <xf numFmtId="0" fontId="28" fillId="21" borderId="20" xfId="46" applyFont="1" applyFill="1" applyBorder="1"/>
    <xf numFmtId="164" fontId="28" fillId="21" borderId="0" xfId="46" applyNumberFormat="1" applyFont="1" applyFill="1" applyBorder="1"/>
    <xf numFmtId="9" fontId="28" fillId="21" borderId="0" xfId="50" applyNumberFormat="1" applyFont="1" applyFill="1" applyBorder="1"/>
    <xf numFmtId="9" fontId="53" fillId="21" borderId="0" xfId="46" applyNumberFormat="1" applyFont="1" applyFill="1"/>
    <xf numFmtId="0" fontId="28" fillId="21" borderId="0" xfId="46" applyFont="1" applyFill="1" applyBorder="1"/>
    <xf numFmtId="168" fontId="28" fillId="21" borderId="0" xfId="50" applyNumberFormat="1" applyFont="1" applyFill="1"/>
    <xf numFmtId="168" fontId="83" fillId="21" borderId="0" xfId="50" applyNumberFormat="1" applyFont="1" applyFill="1"/>
    <xf numFmtId="0" fontId="29" fillId="19" borderId="17" xfId="46" applyFont="1" applyFill="1" applyBorder="1"/>
    <xf numFmtId="176" fontId="29" fillId="19" borderId="18" xfId="46" applyNumberFormat="1" applyFont="1" applyFill="1" applyBorder="1"/>
    <xf numFmtId="176" fontId="29" fillId="19" borderId="23" xfId="46" applyNumberFormat="1" applyFont="1" applyFill="1" applyBorder="1"/>
    <xf numFmtId="175" fontId="28" fillId="21" borderId="0" xfId="46" applyNumberFormat="1" applyFont="1" applyFill="1"/>
    <xf numFmtId="0" fontId="29" fillId="19" borderId="24" xfId="46" applyFont="1" applyFill="1" applyBorder="1"/>
    <xf numFmtId="177" fontId="29" fillId="19" borderId="21" xfId="46" applyNumberFormat="1" applyFont="1" applyFill="1" applyBorder="1"/>
    <xf numFmtId="9" fontId="29" fillId="19" borderId="21" xfId="50" applyFont="1" applyFill="1" applyBorder="1"/>
    <xf numFmtId="9" fontId="29" fillId="19" borderId="22" xfId="50" applyFont="1" applyFill="1" applyBorder="1"/>
    <xf numFmtId="0" fontId="29" fillId="21" borderId="18" xfId="46" applyFont="1" applyFill="1" applyBorder="1"/>
    <xf numFmtId="164" fontId="29" fillId="21" borderId="0" xfId="46" applyNumberFormat="1" applyFont="1" applyFill="1" applyBorder="1"/>
    <xf numFmtId="0" fontId="31" fillId="21" borderId="0" xfId="46" applyFont="1" applyFill="1"/>
    <xf numFmtId="9" fontId="115" fillId="21" borderId="0" xfId="46" applyNumberFormat="1" applyFont="1" applyFill="1" applyBorder="1"/>
    <xf numFmtId="166" fontId="29" fillId="19" borderId="18" xfId="46" applyNumberFormat="1" applyFont="1" applyFill="1" applyBorder="1"/>
    <xf numFmtId="0" fontId="28" fillId="19" borderId="20" xfId="46" applyFont="1" applyFill="1" applyBorder="1"/>
    <xf numFmtId="0" fontId="29" fillId="19" borderId="0" xfId="46" applyFont="1" applyFill="1" applyBorder="1"/>
    <xf numFmtId="166" fontId="29" fillId="19" borderId="0" xfId="46" applyNumberFormat="1" applyFont="1" applyFill="1" applyBorder="1"/>
    <xf numFmtId="9" fontId="29" fillId="19" borderId="0" xfId="50" applyFont="1" applyFill="1" applyBorder="1"/>
    <xf numFmtId="0" fontId="30" fillId="19" borderId="24" xfId="46" applyFont="1" applyFill="1" applyBorder="1"/>
    <xf numFmtId="0" fontId="30" fillId="19" borderId="21" xfId="46" applyFont="1" applyFill="1" applyBorder="1"/>
    <xf numFmtId="9" fontId="116" fillId="19" borderId="21" xfId="46" applyNumberFormat="1" applyFont="1" applyFill="1" applyBorder="1"/>
    <xf numFmtId="0" fontId="28" fillId="21" borderId="33" xfId="46" applyFont="1" applyFill="1" applyBorder="1"/>
    <xf numFmtId="0" fontId="28" fillId="21" borderId="12" xfId="46" applyFont="1" applyFill="1" applyBorder="1"/>
    <xf numFmtId="189" fontId="55" fillId="21" borderId="12" xfId="46" applyNumberFormat="1" applyFont="1" applyFill="1" applyBorder="1"/>
    <xf numFmtId="0" fontId="28" fillId="21" borderId="29" xfId="46" applyFont="1" applyFill="1" applyBorder="1"/>
    <xf numFmtId="9" fontId="55" fillId="21" borderId="0" xfId="46" applyNumberFormat="1" applyFont="1" applyFill="1" applyBorder="1"/>
    <xf numFmtId="168" fontId="55" fillId="21" borderId="0" xfId="46" applyNumberFormat="1" applyFont="1" applyFill="1" applyBorder="1"/>
    <xf numFmtId="0" fontId="28" fillId="21" borderId="30" xfId="46" applyFont="1" applyFill="1" applyBorder="1"/>
    <xf numFmtId="6" fontId="28" fillId="21" borderId="13" xfId="35" applyNumberFormat="1" applyFont="1" applyFill="1" applyBorder="1"/>
    <xf numFmtId="0" fontId="93" fillId="21" borderId="0" xfId="46" applyFont="1" applyFill="1" applyBorder="1"/>
    <xf numFmtId="176" fontId="92" fillId="21" borderId="0" xfId="33" applyNumberFormat="1" applyFont="1" applyFill="1" applyBorder="1"/>
    <xf numFmtId="176" fontId="93" fillId="21" borderId="0" xfId="33" applyNumberFormat="1" applyFont="1" applyFill="1" applyBorder="1"/>
    <xf numFmtId="8" fontId="29" fillId="21" borderId="0" xfId="46" applyNumberFormat="1" applyFont="1" applyFill="1" applyBorder="1"/>
    <xf numFmtId="0" fontId="93" fillId="21" borderId="14" xfId="46" applyFont="1" applyFill="1" applyBorder="1"/>
    <xf numFmtId="0" fontId="93" fillId="21" borderId="15" xfId="46" applyFont="1" applyFill="1" applyBorder="1"/>
    <xf numFmtId="6" fontId="93" fillId="23" borderId="16" xfId="46" applyNumberFormat="1" applyFont="1" applyFill="1" applyBorder="1"/>
    <xf numFmtId="0" fontId="28" fillId="21" borderId="0" xfId="46" applyFont="1" applyFill="1" applyAlignment="1">
      <alignment horizontal="right"/>
    </xf>
    <xf numFmtId="9" fontId="28" fillId="21" borderId="0" xfId="46" applyNumberFormat="1" applyFont="1" applyFill="1"/>
    <xf numFmtId="166" fontId="28" fillId="21" borderId="0" xfId="46" applyNumberFormat="1" applyFont="1" applyFill="1"/>
    <xf numFmtId="177" fontId="28" fillId="21" borderId="0" xfId="46" applyNumberFormat="1" applyFont="1" applyFill="1" applyAlignment="1">
      <alignment horizontal="right"/>
    </xf>
    <xf numFmtId="177" fontId="28" fillId="21" borderId="0" xfId="46" applyNumberFormat="1" applyFont="1" applyFill="1"/>
    <xf numFmtId="0" fontId="29" fillId="21" borderId="14" xfId="46" applyFont="1" applyFill="1" applyBorder="1"/>
    <xf numFmtId="0" fontId="29" fillId="21" borderId="15" xfId="46" applyFont="1" applyFill="1" applyBorder="1"/>
    <xf numFmtId="9" fontId="29" fillId="21" borderId="15" xfId="46" applyNumberFormat="1" applyFont="1" applyFill="1" applyBorder="1"/>
    <xf numFmtId="177" fontId="29" fillId="21" borderId="15" xfId="50" applyNumberFormat="1" applyFont="1" applyFill="1" applyBorder="1"/>
    <xf numFmtId="9" fontId="29" fillId="21" borderId="15" xfId="50" applyFont="1" applyFill="1" applyBorder="1"/>
    <xf numFmtId="0" fontId="29" fillId="21" borderId="16" xfId="46" applyFont="1" applyFill="1" applyBorder="1"/>
    <xf numFmtId="177" fontId="29" fillId="21" borderId="0" xfId="46" applyNumberFormat="1" applyFont="1" applyFill="1"/>
    <xf numFmtId="9" fontId="53" fillId="21" borderId="0" xfId="50" applyFont="1" applyFill="1"/>
    <xf numFmtId="9" fontId="53" fillId="21" borderId="0" xfId="50" applyFont="1" applyFill="1" applyBorder="1"/>
    <xf numFmtId="9" fontId="53" fillId="21" borderId="19" xfId="50" applyFont="1" applyFill="1" applyBorder="1"/>
    <xf numFmtId="0" fontId="29" fillId="21" borderId="17" xfId="46" applyFont="1" applyFill="1" applyBorder="1"/>
    <xf numFmtId="177" fontId="29" fillId="21" borderId="18" xfId="46" applyNumberFormat="1" applyFont="1" applyFill="1" applyBorder="1" applyAlignment="1">
      <alignment horizontal="right"/>
    </xf>
    <xf numFmtId="0" fontId="29" fillId="21" borderId="20" xfId="46" applyFont="1" applyFill="1" applyBorder="1"/>
    <xf numFmtId="0" fontId="29" fillId="21" borderId="0" xfId="46" applyFont="1" applyFill="1" applyBorder="1"/>
    <xf numFmtId="9" fontId="29" fillId="21" borderId="0" xfId="50" applyFont="1" applyFill="1" applyBorder="1"/>
    <xf numFmtId="0" fontId="29" fillId="21" borderId="24" xfId="46" applyFont="1" applyFill="1" applyBorder="1"/>
    <xf numFmtId="0" fontId="29" fillId="21" borderId="21" xfId="46" applyFont="1" applyFill="1" applyBorder="1"/>
    <xf numFmtId="168" fontId="29" fillId="21" borderId="21" xfId="50" applyNumberFormat="1" applyFont="1" applyFill="1" applyBorder="1"/>
    <xf numFmtId="168" fontId="29" fillId="21" borderId="22" xfId="50" applyNumberFormat="1" applyFont="1" applyFill="1" applyBorder="1"/>
    <xf numFmtId="3" fontId="29" fillId="19" borderId="18" xfId="46" applyNumberFormat="1" applyFont="1" applyFill="1" applyBorder="1"/>
    <xf numFmtId="1" fontId="28" fillId="27" borderId="0" xfId="46" applyNumberFormat="1" applyFont="1" applyFill="1"/>
    <xf numFmtId="174" fontId="28" fillId="21" borderId="13" xfId="32" applyNumberFormat="1" applyFont="1" applyFill="1" applyBorder="1"/>
    <xf numFmtId="0" fontId="121" fillId="28" borderId="0" xfId="58" quotePrefix="1" applyFont="1" applyFill="1">
      <alignment horizontal="left" vertical="center"/>
    </xf>
    <xf numFmtId="0" fontId="119" fillId="28" borderId="0" xfId="58" applyFont="1" applyFill="1">
      <alignment horizontal="left" vertical="center"/>
    </xf>
    <xf numFmtId="0" fontId="119" fillId="28" borderId="0" xfId="58" applyFont="1" applyFill="1" applyBorder="1">
      <alignment horizontal="left" vertical="center"/>
    </xf>
    <xf numFmtId="0" fontId="118" fillId="28" borderId="0" xfId="58" applyFont="1" applyFill="1" applyBorder="1" applyAlignment="1">
      <alignment horizontal="right" vertical="center"/>
    </xf>
    <xf numFmtId="0" fontId="118" fillId="28" borderId="0" xfId="43" applyFont="1" applyFill="1">
      <alignment horizontal="left" vertical="center"/>
    </xf>
    <xf numFmtId="0" fontId="118" fillId="28" borderId="0" xfId="51" applyNumberFormat="1" applyFont="1" applyFill="1" applyBorder="1" applyAlignment="1">
      <alignment horizontal="centerContinuous" vertical="center"/>
    </xf>
    <xf numFmtId="164" fontId="118" fillId="28" borderId="0" xfId="51" applyNumberFormat="1" applyFont="1" applyFill="1" applyBorder="1" applyAlignment="1">
      <alignment horizontal="centerContinuous" vertical="center"/>
    </xf>
    <xf numFmtId="164" fontId="118" fillId="28" borderId="0" xfId="51" applyNumberFormat="1" applyFont="1" applyFill="1" applyBorder="1">
      <alignment horizontal="right" vertical="center"/>
    </xf>
    <xf numFmtId="1" fontId="118" fillId="28" borderId="0" xfId="51" applyNumberFormat="1" applyFont="1" applyFill="1" applyBorder="1" applyAlignment="1">
      <alignment horizontal="centerContinuous" vertical="center"/>
    </xf>
    <xf numFmtId="164" fontId="118" fillId="28" borderId="0" xfId="51" quotePrefix="1" applyNumberFormat="1" applyFont="1" applyFill="1" applyBorder="1" applyAlignment="1">
      <alignment horizontal="centerContinuous" vertical="center"/>
    </xf>
    <xf numFmtId="1" fontId="118" fillId="28" borderId="0" xfId="51" quotePrefix="1" applyNumberFormat="1" applyFont="1" applyFill="1" applyBorder="1" applyAlignment="1">
      <alignment horizontal="centerContinuous" vertical="center"/>
    </xf>
    <xf numFmtId="0" fontId="120" fillId="28" borderId="0" xfId="0" applyFont="1" applyFill="1"/>
    <xf numFmtId="164" fontId="118" fillId="28" borderId="0" xfId="51" applyNumberFormat="1" applyFont="1" applyFill="1" applyBorder="1" applyAlignment="1">
      <alignment vertical="center"/>
    </xf>
    <xf numFmtId="1" fontId="118" fillId="28" borderId="13" xfId="51" applyNumberFormat="1" applyFont="1" applyFill="1" applyBorder="1" applyAlignment="1">
      <alignment horizontal="centerContinuous" vertical="center"/>
    </xf>
    <xf numFmtId="164" fontId="118" fillId="28" borderId="13" xfId="51" quotePrefix="1" applyNumberFormat="1" applyFont="1" applyFill="1" applyBorder="1" applyAlignment="1">
      <alignment horizontal="centerContinuous" vertical="center"/>
    </xf>
    <xf numFmtId="164" fontId="118" fillId="28" borderId="13" xfId="51" applyNumberFormat="1" applyFont="1" applyFill="1" applyBorder="1" applyAlignment="1">
      <alignment horizontal="centerContinuous" vertical="center"/>
    </xf>
    <xf numFmtId="165" fontId="118" fillId="28" borderId="25" xfId="43" applyNumberFormat="1" applyFont="1" applyFill="1" applyBorder="1">
      <alignment horizontal="left" vertical="center"/>
    </xf>
    <xf numFmtId="164" fontId="118" fillId="28" borderId="26" xfId="51" quotePrefix="1" applyNumberFormat="1" applyFont="1" applyFill="1" applyBorder="1" applyAlignment="1">
      <alignment horizontal="right" vertical="center"/>
    </xf>
    <xf numFmtId="164" fontId="118" fillId="28" borderId="27" xfId="51" quotePrefix="1" applyNumberFormat="1" applyFont="1" applyFill="1" applyBorder="1" applyAlignment="1">
      <alignment horizontal="right" vertical="center"/>
    </xf>
    <xf numFmtId="164" fontId="118" fillId="28" borderId="25" xfId="51" quotePrefix="1" applyNumberFormat="1" applyFont="1" applyFill="1" applyBorder="1" applyAlignment="1">
      <alignment horizontal="right" vertical="center"/>
    </xf>
    <xf numFmtId="2" fontId="14" fillId="29" borderId="0" xfId="57" applyNumberFormat="1" applyFont="1" applyFill="1" applyBorder="1">
      <alignment horizontal="left" vertical="center"/>
    </xf>
    <xf numFmtId="164" fontId="14" fillId="29" borderId="0" xfId="57" applyNumberFormat="1" applyFont="1" applyFill="1" applyBorder="1">
      <alignment horizontal="left" vertical="center"/>
    </xf>
    <xf numFmtId="9" fontId="14" fillId="29" borderId="0" xfId="50" applyFont="1" applyFill="1" applyBorder="1" applyAlignment="1">
      <alignment horizontal="left" vertical="center"/>
    </xf>
    <xf numFmtId="164" fontId="14" fillId="29" borderId="40" xfId="57" applyNumberFormat="1" applyFont="1" applyFill="1" applyBorder="1">
      <alignment horizontal="left" vertical="center"/>
    </xf>
    <xf numFmtId="164" fontId="18" fillId="29" borderId="0" xfId="43" applyNumberFormat="1" applyFont="1" applyFill="1">
      <alignment horizontal="left" vertical="center"/>
    </xf>
    <xf numFmtId="0" fontId="14" fillId="29" borderId="0" xfId="0" applyFont="1" applyFill="1"/>
    <xf numFmtId="1" fontId="14" fillId="29" borderId="0" xfId="0" applyNumberFormat="1" applyFont="1" applyFill="1"/>
    <xf numFmtId="0" fontId="14" fillId="29" borderId="40" xfId="0" applyFont="1" applyFill="1" applyBorder="1"/>
    <xf numFmtId="164" fontId="14" fillId="29" borderId="0" xfId="0" applyNumberFormat="1" applyFont="1" applyFill="1"/>
    <xf numFmtId="167" fontId="14" fillId="29" borderId="0" xfId="0" applyNumberFormat="1" applyFont="1" applyFill="1"/>
    <xf numFmtId="164" fontId="14" fillId="29" borderId="40" xfId="0" applyNumberFormat="1" applyFont="1" applyFill="1" applyBorder="1"/>
    <xf numFmtId="1" fontId="14" fillId="29" borderId="0" xfId="43" applyNumberFormat="1" applyFont="1" applyFill="1">
      <alignment horizontal="left" vertical="center"/>
    </xf>
    <xf numFmtId="164" fontId="14" fillId="29" borderId="0" xfId="0" quotePrefix="1" applyNumberFormat="1" applyFont="1" applyFill="1" applyAlignment="1">
      <alignment horizontal="right"/>
    </xf>
    <xf numFmtId="1" fontId="14" fillId="29" borderId="0" xfId="0" quotePrefix="1" applyNumberFormat="1" applyFont="1" applyFill="1" applyAlignment="1">
      <alignment horizontal="right"/>
    </xf>
    <xf numFmtId="168" fontId="14" fillId="29" borderId="0" xfId="0" applyNumberFormat="1" applyFont="1" applyFill="1"/>
    <xf numFmtId="1" fontId="17" fillId="29" borderId="0" xfId="43" applyNumberFormat="1" applyFont="1" applyFill="1">
      <alignment horizontal="left" vertical="center"/>
    </xf>
    <xf numFmtId="1" fontId="17" fillId="29" borderId="0" xfId="0" applyNumberFormat="1" applyFont="1" applyFill="1" applyAlignment="1">
      <alignment horizontal="right"/>
    </xf>
    <xf numFmtId="9" fontId="17" fillId="29" borderId="0" xfId="50" quotePrefix="1" applyFont="1" applyFill="1" applyAlignment="1">
      <alignment horizontal="right"/>
    </xf>
    <xf numFmtId="1" fontId="17" fillId="29" borderId="0" xfId="0" applyNumberFormat="1" applyFont="1" applyFill="1"/>
    <xf numFmtId="9" fontId="17" fillId="29" borderId="0" xfId="50" applyFont="1" applyFill="1"/>
    <xf numFmtId="168" fontId="17" fillId="29" borderId="0" xfId="50" applyNumberFormat="1" applyFont="1" applyFill="1"/>
    <xf numFmtId="168" fontId="17" fillId="29" borderId="0" xfId="0" applyNumberFormat="1" applyFont="1" applyFill="1"/>
    <xf numFmtId="168" fontId="17" fillId="29" borderId="40" xfId="50" applyNumberFormat="1" applyFont="1" applyFill="1" applyBorder="1"/>
    <xf numFmtId="168" fontId="17" fillId="29" borderId="0" xfId="50" quotePrefix="1" applyNumberFormat="1" applyFont="1" applyFill="1" applyAlignment="1">
      <alignment horizontal="right"/>
    </xf>
    <xf numFmtId="9" fontId="14" fillId="29" borderId="0" xfId="50" applyFont="1" applyFill="1"/>
    <xf numFmtId="168" fontId="14" fillId="29" borderId="0" xfId="50" applyNumberFormat="1" applyFont="1" applyFill="1"/>
    <xf numFmtId="168" fontId="14" fillId="29" borderId="40" xfId="50" applyNumberFormat="1" applyFont="1" applyFill="1" applyBorder="1"/>
    <xf numFmtId="164" fontId="17" fillId="29" borderId="0" xfId="0" applyNumberFormat="1" applyFont="1" applyFill="1"/>
    <xf numFmtId="164" fontId="14" fillId="29" borderId="0" xfId="0" applyNumberFormat="1" applyFont="1" applyFill="1" applyAlignment="1">
      <alignment horizontal="right"/>
    </xf>
    <xf numFmtId="164" fontId="17" fillId="29" borderId="0" xfId="43" applyNumberFormat="1" applyFont="1" applyFill="1">
      <alignment horizontal="left" vertical="center"/>
    </xf>
    <xf numFmtId="1" fontId="14" fillId="29" borderId="0" xfId="57" applyNumberFormat="1" applyFont="1" applyFill="1" applyBorder="1">
      <alignment horizontal="left" vertical="center"/>
    </xf>
    <xf numFmtId="1" fontId="14" fillId="29" borderId="0" xfId="57" applyNumberFormat="1" applyFont="1" applyFill="1" applyBorder="1" applyAlignment="1">
      <alignment horizontal="right" vertical="center"/>
    </xf>
    <xf numFmtId="1" fontId="14" fillId="29" borderId="40" xfId="57" applyNumberFormat="1" applyFont="1" applyFill="1" applyBorder="1" applyAlignment="1">
      <alignment horizontal="right" vertical="center"/>
    </xf>
    <xf numFmtId="164" fontId="14" fillId="29" borderId="0" xfId="57" applyNumberFormat="1" applyFont="1" applyFill="1" applyBorder="1" applyAlignment="1">
      <alignment horizontal="right" vertical="center"/>
    </xf>
    <xf numFmtId="166" fontId="14" fillId="29" borderId="0" xfId="0" applyNumberFormat="1" applyFont="1" applyFill="1"/>
    <xf numFmtId="187" fontId="14" fillId="29" borderId="0" xfId="32" applyNumberFormat="1" applyFont="1" applyFill="1" applyBorder="1" applyAlignment="1">
      <alignment horizontal="left" vertical="center"/>
    </xf>
    <xf numFmtId="178" fontId="14" fillId="29" borderId="40" xfId="0" applyNumberFormat="1" applyFont="1" applyFill="1" applyBorder="1"/>
    <xf numFmtId="2" fontId="14" fillId="29" borderId="33" xfId="57" applyNumberFormat="1" applyFont="1" applyFill="1" applyBorder="1">
      <alignment horizontal="left" vertical="center"/>
    </xf>
    <xf numFmtId="166" fontId="14" fillId="29" borderId="12" xfId="0" applyNumberFormat="1" applyFont="1" applyFill="1" applyBorder="1"/>
    <xf numFmtId="164" fontId="14" fillId="29" borderId="12" xfId="57" applyNumberFormat="1" applyFont="1" applyFill="1" applyBorder="1" applyAlignment="1">
      <alignment horizontal="right" vertical="center"/>
    </xf>
    <xf numFmtId="164" fontId="14" fillId="29" borderId="12" xfId="0" applyNumberFormat="1" applyFont="1" applyFill="1" applyBorder="1"/>
    <xf numFmtId="164" fontId="14" fillId="29" borderId="41" xfId="0" applyNumberFormat="1" applyFont="1" applyFill="1" applyBorder="1"/>
    <xf numFmtId="2" fontId="17" fillId="29" borderId="29" xfId="57" applyNumberFormat="1" applyFont="1" applyFill="1" applyBorder="1">
      <alignment horizontal="left" vertical="center"/>
    </xf>
    <xf numFmtId="166" fontId="17" fillId="29" borderId="0" xfId="0" applyNumberFormat="1" applyFont="1" applyFill="1" applyBorder="1"/>
    <xf numFmtId="164" fontId="17" fillId="29" borderId="0" xfId="57" applyNumberFormat="1" applyFont="1" applyFill="1" applyBorder="1" applyAlignment="1">
      <alignment horizontal="right" vertical="center"/>
    </xf>
    <xf numFmtId="164" fontId="17" fillId="29" borderId="0" xfId="0" applyNumberFormat="1" applyFont="1" applyFill="1" applyBorder="1"/>
    <xf numFmtId="168" fontId="17" fillId="29" borderId="0" xfId="50" applyNumberFormat="1" applyFont="1" applyFill="1" applyBorder="1" applyAlignment="1">
      <alignment horizontal="right" vertical="center"/>
    </xf>
    <xf numFmtId="168" fontId="17" fillId="29" borderId="40" xfId="50" applyNumberFormat="1" applyFont="1" applyFill="1" applyBorder="1" applyAlignment="1">
      <alignment horizontal="right" vertical="center"/>
    </xf>
    <xf numFmtId="164" fontId="17" fillId="29" borderId="30" xfId="43" applyNumberFormat="1" applyFont="1" applyFill="1" applyBorder="1">
      <alignment horizontal="left" vertical="center"/>
    </xf>
    <xf numFmtId="166" fontId="14" fillId="29" borderId="40" xfId="0" applyNumberFormat="1" applyFont="1" applyFill="1" applyBorder="1"/>
    <xf numFmtId="0" fontId="17" fillId="29" borderId="0" xfId="0" applyFont="1" applyFill="1"/>
    <xf numFmtId="9" fontId="17" fillId="29" borderId="40" xfId="50" applyFont="1" applyFill="1" applyBorder="1"/>
    <xf numFmtId="0" fontId="14" fillId="29" borderId="0" xfId="57" applyFont="1" applyFill="1" applyBorder="1">
      <alignment horizontal="left" vertical="center"/>
    </xf>
    <xf numFmtId="164" fontId="13" fillId="29" borderId="33" xfId="0" applyNumberFormat="1" applyFont="1" applyFill="1" applyBorder="1" applyAlignment="1">
      <alignment horizontal="left"/>
    </xf>
    <xf numFmtId="164" fontId="13" fillId="29" borderId="12" xfId="0" applyNumberFormat="1" applyFont="1" applyFill="1" applyBorder="1" applyAlignment="1">
      <alignment horizontal="right"/>
    </xf>
    <xf numFmtId="164" fontId="13" fillId="29" borderId="41" xfId="0" applyNumberFormat="1" applyFont="1" applyFill="1" applyBorder="1" applyAlignment="1">
      <alignment horizontal="right"/>
    </xf>
    <xf numFmtId="0" fontId="17" fillId="29" borderId="13" xfId="0" applyFont="1" applyFill="1" applyBorder="1"/>
    <xf numFmtId="9" fontId="17" fillId="29" borderId="13" xfId="50" applyFont="1" applyFill="1" applyBorder="1"/>
    <xf numFmtId="0" fontId="13" fillId="29" borderId="0" xfId="57" applyFont="1" applyFill="1" applyBorder="1">
      <alignment horizontal="left" vertical="center"/>
    </xf>
    <xf numFmtId="164" fontId="13" fillId="29" borderId="0" xfId="0" applyNumberFormat="1" applyFont="1" applyFill="1"/>
    <xf numFmtId="0" fontId="14" fillId="29" borderId="40" xfId="57" applyFont="1" applyFill="1" applyBorder="1">
      <alignment horizontal="left" vertical="center"/>
    </xf>
    <xf numFmtId="0" fontId="13" fillId="29" borderId="0" xfId="0" applyFont="1" applyFill="1"/>
    <xf numFmtId="1" fontId="13" fillId="29" borderId="0" xfId="0" applyNumberFormat="1" applyFont="1" applyFill="1"/>
    <xf numFmtId="1" fontId="13" fillId="29" borderId="33" xfId="43" applyNumberFormat="1" applyFont="1" applyFill="1" applyBorder="1">
      <alignment horizontal="left" vertical="center"/>
    </xf>
    <xf numFmtId="1" fontId="13" fillId="29" borderId="12" xfId="0" applyNumberFormat="1" applyFont="1" applyFill="1" applyBorder="1"/>
    <xf numFmtId="164" fontId="13" fillId="29" borderId="12" xfId="0" quotePrefix="1" applyNumberFormat="1" applyFont="1" applyFill="1" applyBorder="1" applyAlignment="1">
      <alignment horizontal="right"/>
    </xf>
    <xf numFmtId="164" fontId="13" fillId="29" borderId="12" xfId="0" applyNumberFormat="1" applyFont="1" applyFill="1" applyBorder="1"/>
    <xf numFmtId="164" fontId="13" fillId="29" borderId="41" xfId="0" applyNumberFormat="1" applyFont="1" applyFill="1" applyBorder="1"/>
    <xf numFmtId="1" fontId="17" fillId="29" borderId="30" xfId="43" applyNumberFormat="1" applyFont="1" applyFill="1" applyBorder="1">
      <alignment horizontal="left" vertical="center"/>
    </xf>
    <xf numFmtId="1" fontId="14" fillId="29" borderId="13" xfId="0" applyNumberFormat="1" applyFont="1" applyFill="1" applyBorder="1"/>
    <xf numFmtId="168" fontId="17" fillId="29" borderId="13" xfId="0" applyNumberFormat="1" applyFont="1" applyFill="1" applyBorder="1" applyAlignment="1">
      <alignment horizontal="right"/>
    </xf>
    <xf numFmtId="168" fontId="17" fillId="29" borderId="13" xfId="50" quotePrefix="1" applyNumberFormat="1" applyFont="1" applyFill="1" applyBorder="1" applyAlignment="1">
      <alignment horizontal="right"/>
    </xf>
    <xf numFmtId="168" fontId="17" fillId="29" borderId="13" xfId="0" applyNumberFormat="1" applyFont="1" applyFill="1" applyBorder="1"/>
    <xf numFmtId="168" fontId="17" fillId="29" borderId="13" xfId="50" applyNumberFormat="1" applyFont="1" applyFill="1" applyBorder="1"/>
    <xf numFmtId="1" fontId="17" fillId="29" borderId="13" xfId="0" applyNumberFormat="1" applyFont="1" applyFill="1" applyBorder="1"/>
    <xf numFmtId="168" fontId="17" fillId="29" borderId="42" xfId="50" applyNumberFormat="1" applyFont="1" applyFill="1" applyBorder="1"/>
    <xf numFmtId="1" fontId="13" fillId="29" borderId="0" xfId="57" applyNumberFormat="1" applyFont="1" applyFill="1" applyBorder="1">
      <alignment horizontal="left" vertical="center"/>
    </xf>
    <xf numFmtId="1" fontId="14" fillId="29" borderId="40" xfId="57" applyNumberFormat="1" applyFont="1" applyFill="1" applyBorder="1">
      <alignment horizontal="left" vertical="center"/>
    </xf>
    <xf numFmtId="0" fontId="13" fillId="29" borderId="13" xfId="57" applyFont="1" applyFill="1" applyBorder="1">
      <alignment horizontal="left" vertical="center"/>
    </xf>
    <xf numFmtId="1" fontId="14" fillId="29" borderId="13" xfId="0" applyNumberFormat="1" applyFont="1" applyFill="1" applyBorder="1" applyAlignment="1">
      <alignment horizontal="right"/>
    </xf>
    <xf numFmtId="9" fontId="17" fillId="29" borderId="13" xfId="50" applyNumberFormat="1" applyFont="1" applyFill="1" applyBorder="1"/>
    <xf numFmtId="0" fontId="13" fillId="29" borderId="12" xfId="57" applyFont="1" applyFill="1" applyBorder="1">
      <alignment horizontal="left" vertical="center"/>
    </xf>
    <xf numFmtId="0" fontId="14" fillId="29" borderId="12" xfId="57" applyFont="1" applyFill="1" applyBorder="1">
      <alignment horizontal="left" vertical="center"/>
    </xf>
    <xf numFmtId="0" fontId="18" fillId="29" borderId="0" xfId="57" applyFont="1" applyFill="1" applyBorder="1">
      <alignment horizontal="left" vertical="center"/>
    </xf>
    <xf numFmtId="0" fontId="17" fillId="29" borderId="0" xfId="57" applyFont="1" applyFill="1" applyBorder="1">
      <alignment horizontal="left" vertical="center"/>
    </xf>
    <xf numFmtId="0" fontId="18" fillId="29" borderId="0" xfId="0" applyFont="1" applyFill="1"/>
    <xf numFmtId="2" fontId="13" fillId="29" borderId="33" xfId="43" applyNumberFormat="1" applyFont="1" applyFill="1" applyBorder="1">
      <alignment horizontal="left" vertical="center"/>
    </xf>
    <xf numFmtId="2" fontId="13" fillId="29" borderId="12" xfId="0" applyNumberFormat="1" applyFont="1" applyFill="1" applyBorder="1"/>
    <xf numFmtId="167" fontId="13" fillId="29" borderId="12" xfId="0" applyNumberFormat="1" applyFont="1" applyFill="1" applyBorder="1"/>
    <xf numFmtId="2" fontId="13" fillId="29" borderId="12" xfId="0" applyNumberFormat="1" applyFont="1" applyFill="1" applyBorder="1" applyAlignment="1">
      <alignment horizontal="right"/>
    </xf>
    <xf numFmtId="2" fontId="13" fillId="29" borderId="41" xfId="0" applyNumberFormat="1" applyFont="1" applyFill="1" applyBorder="1" applyAlignment="1">
      <alignment horizontal="right"/>
    </xf>
    <xf numFmtId="0" fontId="13" fillId="29" borderId="13" xfId="0" applyFont="1" applyFill="1" applyBorder="1"/>
    <xf numFmtId="0" fontId="14" fillId="29" borderId="13" xfId="0" applyFont="1" applyFill="1" applyBorder="1"/>
    <xf numFmtId="9" fontId="17" fillId="30" borderId="40" xfId="50" applyFont="1" applyFill="1" applyBorder="1" applyAlignment="1">
      <alignment horizontal="right"/>
    </xf>
    <xf numFmtId="1" fontId="17" fillId="30" borderId="40" xfId="0" quotePrefix="1" applyNumberFormat="1" applyFont="1" applyFill="1" applyBorder="1" applyAlignment="1">
      <alignment horizontal="right"/>
    </xf>
    <xf numFmtId="0" fontId="18" fillId="30" borderId="0" xfId="0" applyFont="1" applyFill="1" applyBorder="1"/>
    <xf numFmtId="1" fontId="17" fillId="30" borderId="0" xfId="0" quotePrefix="1" applyNumberFormat="1" applyFont="1" applyFill="1" applyBorder="1" applyAlignment="1">
      <alignment horizontal="right"/>
    </xf>
    <xf numFmtId="9" fontId="17" fillId="30" borderId="0" xfId="50" applyFont="1" applyFill="1" applyBorder="1" applyAlignment="1">
      <alignment horizontal="right"/>
    </xf>
    <xf numFmtId="0" fontId="17" fillId="30" borderId="0" xfId="0" applyFont="1" applyFill="1" applyBorder="1"/>
    <xf numFmtId="1" fontId="17" fillId="30" borderId="0" xfId="0" applyNumberFormat="1" applyFont="1" applyFill="1" applyBorder="1" applyAlignment="1">
      <alignment horizontal="right"/>
    </xf>
    <xf numFmtId="9" fontId="17" fillId="30" borderId="0" xfId="50" applyFont="1" applyFill="1" applyBorder="1"/>
    <xf numFmtId="9" fontId="17" fillId="30" borderId="40" xfId="50" applyFont="1" applyFill="1" applyBorder="1"/>
    <xf numFmtId="9" fontId="17" fillId="30" borderId="40" xfId="50" applyNumberFormat="1" applyFont="1" applyFill="1" applyBorder="1"/>
    <xf numFmtId="9" fontId="17" fillId="30" borderId="0" xfId="50" applyNumberFormat="1" applyFont="1" applyFill="1" applyBorder="1"/>
    <xf numFmtId="0" fontId="18" fillId="30" borderId="13" xfId="0" applyFont="1" applyFill="1" applyBorder="1"/>
    <xf numFmtId="1" fontId="17" fillId="30" borderId="13" xfId="0" quotePrefix="1" applyNumberFormat="1" applyFont="1" applyFill="1" applyBorder="1" applyAlignment="1">
      <alignment horizontal="right"/>
    </xf>
    <xf numFmtId="0" fontId="17" fillId="30" borderId="13" xfId="0" applyFont="1" applyFill="1" applyBorder="1" applyAlignment="1">
      <alignment horizontal="right"/>
    </xf>
    <xf numFmtId="0" fontId="17" fillId="30" borderId="13" xfId="0" applyFont="1" applyFill="1" applyBorder="1"/>
    <xf numFmtId="1" fontId="17" fillId="30" borderId="13" xfId="0" applyNumberFormat="1" applyFont="1" applyFill="1" applyBorder="1" applyAlignment="1">
      <alignment horizontal="right"/>
    </xf>
    <xf numFmtId="9" fontId="17" fillId="30" borderId="13" xfId="50" applyFont="1" applyFill="1" applyBorder="1"/>
    <xf numFmtId="0" fontId="17" fillId="30" borderId="42" xfId="0" applyFont="1" applyFill="1" applyBorder="1" applyAlignment="1">
      <alignment horizontal="right"/>
    </xf>
    <xf numFmtId="9" fontId="14" fillId="30" borderId="40" xfId="50" applyFont="1" applyFill="1" applyBorder="1"/>
    <xf numFmtId="164" fontId="17" fillId="30" borderId="30" xfId="43" applyNumberFormat="1" applyFont="1" applyFill="1" applyBorder="1">
      <alignment horizontal="left" vertical="center"/>
    </xf>
    <xf numFmtId="0" fontId="13" fillId="30" borderId="13" xfId="0" applyFont="1" applyFill="1" applyBorder="1"/>
    <xf numFmtId="1" fontId="14" fillId="30" borderId="13" xfId="0" quotePrefix="1" applyNumberFormat="1" applyFont="1" applyFill="1" applyBorder="1" applyAlignment="1">
      <alignment horizontal="right"/>
    </xf>
    <xf numFmtId="9" fontId="14" fillId="30" borderId="13" xfId="50" applyFont="1" applyFill="1" applyBorder="1" applyAlignment="1">
      <alignment horizontal="right"/>
    </xf>
    <xf numFmtId="0" fontId="14" fillId="30" borderId="13" xfId="0" applyFont="1" applyFill="1" applyBorder="1"/>
    <xf numFmtId="9" fontId="14" fillId="30" borderId="13" xfId="50" applyFont="1" applyFill="1" applyBorder="1"/>
    <xf numFmtId="9" fontId="14" fillId="30" borderId="42" xfId="50" applyFont="1" applyFill="1" applyBorder="1" applyAlignment="1">
      <alignment horizontal="right"/>
    </xf>
    <xf numFmtId="0" fontId="21" fillId="30" borderId="13" xfId="0" applyFont="1" applyFill="1" applyBorder="1"/>
    <xf numFmtId="1" fontId="14" fillId="30" borderId="42" xfId="0" quotePrefix="1" applyNumberFormat="1" applyFont="1" applyFill="1" applyBorder="1" applyAlignment="1">
      <alignment horizontal="right"/>
    </xf>
    <xf numFmtId="9" fontId="14" fillId="30" borderId="13" xfId="50" quotePrefix="1" applyFont="1" applyFill="1" applyBorder="1" applyAlignment="1">
      <alignment horizontal="right"/>
    </xf>
    <xf numFmtId="9" fontId="14" fillId="30" borderId="42" xfId="50" quotePrefix="1" applyFont="1" applyFill="1" applyBorder="1" applyAlignment="1">
      <alignment horizontal="right"/>
    </xf>
    <xf numFmtId="0" fontId="118" fillId="28" borderId="0" xfId="0" applyFont="1" applyFill="1"/>
    <xf numFmtId="0" fontId="118" fillId="28" borderId="40" xfId="0" applyFont="1" applyFill="1" applyBorder="1"/>
    <xf numFmtId="0" fontId="118" fillId="28" borderId="48" xfId="0" applyFont="1" applyFill="1" applyBorder="1"/>
    <xf numFmtId="168" fontId="14" fillId="30" borderId="40" xfId="50" applyNumberFormat="1" applyFont="1" applyFill="1" applyBorder="1"/>
    <xf numFmtId="1" fontId="13" fillId="30" borderId="0" xfId="57" applyNumberFormat="1" applyFont="1" applyFill="1" applyBorder="1">
      <alignment horizontal="left" vertical="center"/>
    </xf>
    <xf numFmtId="1" fontId="14" fillId="30" borderId="0" xfId="57" applyNumberFormat="1" applyFont="1" applyFill="1" applyBorder="1">
      <alignment horizontal="left" vertical="center"/>
    </xf>
    <xf numFmtId="9" fontId="14" fillId="30" borderId="0" xfId="50" applyFont="1" applyFill="1" applyBorder="1" applyAlignment="1">
      <alignment horizontal="right" vertical="center"/>
    </xf>
    <xf numFmtId="9" fontId="14" fillId="30" borderId="40" xfId="50" applyFont="1" applyFill="1" applyBorder="1" applyAlignment="1">
      <alignment horizontal="right" vertical="center"/>
    </xf>
    <xf numFmtId="0" fontId="18" fillId="30" borderId="13" xfId="57" applyFont="1" applyFill="1" applyBorder="1">
      <alignment horizontal="left" vertical="center"/>
    </xf>
    <xf numFmtId="166" fontId="17" fillId="30" borderId="13" xfId="0" applyNumberFormat="1" applyFont="1" applyFill="1" applyBorder="1"/>
    <xf numFmtId="0" fontId="17" fillId="30" borderId="13" xfId="57" applyFont="1" applyFill="1" applyBorder="1">
      <alignment horizontal="left" vertical="center"/>
    </xf>
    <xf numFmtId="178" fontId="17" fillId="30" borderId="13" xfId="0" applyNumberFormat="1" applyFont="1" applyFill="1" applyBorder="1"/>
    <xf numFmtId="168" fontId="17" fillId="30" borderId="13" xfId="50" applyNumberFormat="1" applyFont="1" applyFill="1" applyBorder="1" applyAlignment="1">
      <alignment horizontal="right" vertical="center"/>
    </xf>
    <xf numFmtId="168" fontId="17" fillId="30" borderId="42" xfId="50" applyNumberFormat="1" applyFont="1" applyFill="1" applyBorder="1" applyAlignment="1">
      <alignment horizontal="right" vertical="center"/>
    </xf>
    <xf numFmtId="167" fontId="119" fillId="28" borderId="0" xfId="58" applyNumberFormat="1" applyFont="1" applyFill="1">
      <alignment horizontal="left" vertical="center"/>
    </xf>
    <xf numFmtId="170" fontId="119" fillId="28" borderId="0" xfId="58" applyNumberFormat="1" applyFont="1" applyFill="1">
      <alignment horizontal="left" vertical="center"/>
    </xf>
    <xf numFmtId="0" fontId="117" fillId="28" borderId="0" xfId="43" applyFont="1" applyFill="1">
      <alignment horizontal="left" vertical="center"/>
    </xf>
    <xf numFmtId="164" fontId="117" fillId="28" borderId="0" xfId="51" applyNumberFormat="1" applyFont="1" applyFill="1" applyBorder="1" applyAlignment="1">
      <alignment horizontal="centerContinuous" vertical="center"/>
    </xf>
    <xf numFmtId="164" fontId="117" fillId="28" borderId="0" xfId="51" applyNumberFormat="1" applyFont="1" applyFill="1" applyBorder="1">
      <alignment horizontal="right" vertical="center"/>
    </xf>
    <xf numFmtId="0" fontId="117" fillId="28" borderId="0" xfId="51" applyNumberFormat="1" applyFont="1" applyFill="1" applyBorder="1" applyAlignment="1">
      <alignment horizontal="centerContinuous" vertical="center"/>
    </xf>
    <xf numFmtId="168" fontId="117" fillId="28" borderId="0" xfId="50" applyNumberFormat="1" applyFont="1" applyFill="1" applyBorder="1" applyAlignment="1">
      <alignment horizontal="centerContinuous" vertical="center"/>
    </xf>
    <xf numFmtId="165" fontId="117" fillId="28" borderId="25" xfId="43" applyNumberFormat="1" applyFont="1" applyFill="1" applyBorder="1">
      <alignment horizontal="left" vertical="center"/>
    </xf>
    <xf numFmtId="165" fontId="117" fillId="28" borderId="26" xfId="43" applyNumberFormat="1" applyFont="1" applyFill="1" applyBorder="1">
      <alignment horizontal="left" vertical="center"/>
    </xf>
    <xf numFmtId="164" fontId="117" fillId="28" borderId="26" xfId="51" applyNumberFormat="1" applyFont="1" applyFill="1" applyBorder="1" applyAlignment="1">
      <alignment horizontal="right" vertical="center"/>
    </xf>
    <xf numFmtId="164" fontId="117" fillId="28" borderId="26" xfId="51" quotePrefix="1" applyNumberFormat="1" applyFont="1" applyFill="1" applyBorder="1" applyAlignment="1">
      <alignment horizontal="right" vertical="center"/>
    </xf>
    <xf numFmtId="164" fontId="117" fillId="28" borderId="27" xfId="51" quotePrefix="1" applyNumberFormat="1" applyFont="1" applyFill="1" applyBorder="1" applyAlignment="1">
      <alignment horizontal="right" vertical="center"/>
    </xf>
    <xf numFmtId="1" fontId="117" fillId="28" borderId="0" xfId="43" applyNumberFormat="1" applyFont="1" applyFill="1">
      <alignment horizontal="left" vertical="center"/>
    </xf>
    <xf numFmtId="164" fontId="117" fillId="28" borderId="0" xfId="0" applyNumberFormat="1" applyFont="1" applyFill="1"/>
    <xf numFmtId="164" fontId="117" fillId="28" borderId="40" xfId="0" applyNumberFormat="1" applyFont="1" applyFill="1" applyBorder="1"/>
    <xf numFmtId="167" fontId="117" fillId="28" borderId="25" xfId="43" applyNumberFormat="1" applyFont="1" applyFill="1" applyBorder="1">
      <alignment horizontal="left" vertical="center"/>
    </xf>
    <xf numFmtId="167" fontId="117" fillId="28" borderId="26" xfId="43" applyNumberFormat="1" applyFont="1" applyFill="1" applyBorder="1">
      <alignment horizontal="left" vertical="center"/>
    </xf>
    <xf numFmtId="164" fontId="117" fillId="28" borderId="26" xfId="0" applyNumberFormat="1" applyFont="1" applyFill="1" applyBorder="1"/>
    <xf numFmtId="164" fontId="117" fillId="28" borderId="27" xfId="0" applyNumberFormat="1" applyFont="1" applyFill="1" applyBorder="1"/>
    <xf numFmtId="167" fontId="117" fillId="28" borderId="26" xfId="0" applyNumberFormat="1" applyFont="1" applyFill="1" applyBorder="1"/>
    <xf numFmtId="0" fontId="119" fillId="28" borderId="0" xfId="0" applyFont="1" applyFill="1"/>
    <xf numFmtId="164" fontId="117" fillId="28" borderId="0" xfId="51" quotePrefix="1" applyNumberFormat="1" applyFont="1" applyFill="1" applyBorder="1" applyAlignment="1">
      <alignment horizontal="centerContinuous" vertical="center"/>
    </xf>
    <xf numFmtId="1" fontId="117" fillId="28" borderId="0" xfId="51" applyNumberFormat="1" applyFont="1" applyFill="1" applyBorder="1" applyAlignment="1">
      <alignment horizontal="centerContinuous" vertical="center"/>
    </xf>
    <xf numFmtId="0" fontId="119" fillId="28" borderId="26" xfId="0" applyFont="1" applyFill="1" applyBorder="1"/>
    <xf numFmtId="167" fontId="117" fillId="28" borderId="0" xfId="43" applyNumberFormat="1" applyFont="1" applyFill="1">
      <alignment horizontal="left" vertical="center"/>
    </xf>
    <xf numFmtId="167" fontId="117" fillId="28" borderId="0" xfId="0" applyNumberFormat="1" applyFont="1" applyFill="1"/>
    <xf numFmtId="164" fontId="117" fillId="28" borderId="0" xfId="0" applyNumberFormat="1" applyFont="1" applyFill="1" applyAlignment="1">
      <alignment horizontal="right"/>
    </xf>
    <xf numFmtId="9" fontId="118" fillId="28" borderId="0" xfId="50" applyFont="1" applyFill="1" applyBorder="1" applyAlignment="1">
      <alignment horizontal="centerContinuous" vertical="center"/>
    </xf>
    <xf numFmtId="9" fontId="118" fillId="28" borderId="9" xfId="50" applyFont="1" applyFill="1" applyBorder="1" applyAlignment="1">
      <alignment horizontal="centerContinuous" vertical="center"/>
    </xf>
    <xf numFmtId="0" fontId="118" fillId="28" borderId="53" xfId="43" applyFont="1" applyFill="1" applyBorder="1">
      <alignment horizontal="left" vertical="center"/>
    </xf>
    <xf numFmtId="164" fontId="118" fillId="28" borderId="32" xfId="51" quotePrefix="1" applyNumberFormat="1" applyFont="1" applyFill="1" applyBorder="1" applyAlignment="1">
      <alignment horizontal="right" vertical="center"/>
    </xf>
    <xf numFmtId="164" fontId="118" fillId="28" borderId="46" xfId="51" quotePrefix="1" applyNumberFormat="1" applyFont="1" applyFill="1" applyBorder="1" applyAlignment="1">
      <alignment horizontal="right" vertical="center"/>
    </xf>
    <xf numFmtId="164" fontId="118" fillId="28" borderId="47" xfId="51" quotePrefix="1" applyNumberFormat="1" applyFont="1" applyFill="1" applyBorder="1" applyAlignment="1">
      <alignment horizontal="right" vertical="center"/>
    </xf>
    <xf numFmtId="165" fontId="122" fillId="28" borderId="0" xfId="43" applyNumberFormat="1" applyFont="1" applyFill="1" applyBorder="1">
      <alignment horizontal="left" vertical="center"/>
    </xf>
    <xf numFmtId="165" fontId="123" fillId="28" borderId="0" xfId="43" applyNumberFormat="1" applyFont="1" applyFill="1" applyBorder="1">
      <alignment horizontal="left" vertical="center"/>
    </xf>
    <xf numFmtId="165" fontId="122" fillId="28" borderId="40" xfId="43" applyNumberFormat="1" applyFont="1" applyFill="1" applyBorder="1">
      <alignment horizontal="left" vertical="center"/>
    </xf>
    <xf numFmtId="165" fontId="123" fillId="28" borderId="48" xfId="43" applyNumberFormat="1" applyFont="1" applyFill="1" applyBorder="1">
      <alignment horizontal="left" vertical="center"/>
    </xf>
    <xf numFmtId="165" fontId="123" fillId="28" borderId="40" xfId="43" applyNumberFormat="1" applyFont="1" applyFill="1" applyBorder="1">
      <alignment horizontal="left" vertical="center"/>
    </xf>
    <xf numFmtId="165" fontId="14" fillId="30" borderId="0" xfId="43" applyNumberFormat="1" applyFont="1" applyFill="1" applyBorder="1">
      <alignment horizontal="left" vertical="center"/>
    </xf>
    <xf numFmtId="165" fontId="13" fillId="30" borderId="0" xfId="43" applyNumberFormat="1" applyFont="1" applyFill="1" applyBorder="1">
      <alignment horizontal="left" vertical="center"/>
    </xf>
    <xf numFmtId="0" fontId="14" fillId="30" borderId="0" xfId="0" applyFont="1" applyFill="1" applyBorder="1"/>
    <xf numFmtId="168" fontId="14" fillId="30" borderId="0" xfId="50" applyNumberFormat="1" applyFont="1" applyFill="1" applyBorder="1" applyAlignment="1">
      <alignment horizontal="right" vertical="center"/>
    </xf>
    <xf numFmtId="165" fontId="13" fillId="30" borderId="40" xfId="43" applyNumberFormat="1" applyFont="1" applyFill="1" applyBorder="1">
      <alignment horizontal="left" vertical="center"/>
    </xf>
    <xf numFmtId="177" fontId="29" fillId="30" borderId="40" xfId="32" quotePrefix="1" applyNumberFormat="1" applyFont="1" applyFill="1" applyBorder="1" applyAlignment="1">
      <alignment horizontal="right" vertical="center"/>
    </xf>
    <xf numFmtId="177" fontId="29" fillId="30" borderId="0" xfId="32" quotePrefix="1" applyNumberFormat="1" applyFont="1" applyFill="1" applyBorder="1" applyAlignment="1">
      <alignment horizontal="right" vertical="center"/>
    </xf>
    <xf numFmtId="177" fontId="29" fillId="30" borderId="48" xfId="32" quotePrefix="1" applyNumberFormat="1" applyFont="1" applyFill="1" applyBorder="1" applyAlignment="1">
      <alignment horizontal="right" vertical="center"/>
    </xf>
    <xf numFmtId="168" fontId="19" fillId="30" borderId="0" xfId="50" applyNumberFormat="1" applyFont="1" applyFill="1" applyBorder="1" applyAlignment="1">
      <alignment horizontal="right" vertical="center"/>
    </xf>
    <xf numFmtId="0" fontId="25" fillId="30" borderId="0" xfId="0" applyFont="1" applyFill="1" applyBorder="1"/>
    <xf numFmtId="0" fontId="32" fillId="30" borderId="0" xfId="0" applyFont="1" applyFill="1" applyBorder="1"/>
    <xf numFmtId="0" fontId="32" fillId="30" borderId="40" xfId="0" applyFont="1" applyFill="1" applyBorder="1"/>
    <xf numFmtId="168" fontId="25" fillId="30" borderId="0" xfId="50" applyNumberFormat="1" applyFont="1" applyFill="1" applyBorder="1"/>
    <xf numFmtId="164" fontId="25" fillId="30" borderId="0" xfId="0" applyNumberFormat="1" applyFont="1" applyFill="1" applyBorder="1"/>
    <xf numFmtId="0" fontId="25" fillId="30" borderId="29" xfId="0" applyFont="1" applyFill="1" applyBorder="1"/>
    <xf numFmtId="168" fontId="25" fillId="30" borderId="40" xfId="50" applyNumberFormat="1" applyFont="1" applyFill="1" applyBorder="1"/>
    <xf numFmtId="0" fontId="25" fillId="30" borderId="30" xfId="0" applyFont="1" applyFill="1" applyBorder="1"/>
    <xf numFmtId="0" fontId="25" fillId="30" borderId="13" xfId="0" applyFont="1" applyFill="1" applyBorder="1"/>
    <xf numFmtId="0" fontId="32" fillId="30" borderId="13" xfId="0" applyFont="1" applyFill="1" applyBorder="1"/>
    <xf numFmtId="168" fontId="25" fillId="30" borderId="13" xfId="50" applyNumberFormat="1" applyFont="1" applyFill="1" applyBorder="1"/>
    <xf numFmtId="168" fontId="14" fillId="30" borderId="42" xfId="50" applyNumberFormat="1" applyFont="1" applyFill="1" applyBorder="1"/>
    <xf numFmtId="0" fontId="32" fillId="30" borderId="42" xfId="0" applyFont="1" applyFill="1" applyBorder="1"/>
    <xf numFmtId="0" fontId="13" fillId="30" borderId="20" xfId="0" applyFont="1" applyFill="1" applyBorder="1"/>
    <xf numFmtId="0" fontId="13" fillId="30" borderId="0" xfId="0" applyFont="1" applyFill="1" applyBorder="1"/>
    <xf numFmtId="9" fontId="13" fillId="30" borderId="0" xfId="50" applyFont="1" applyFill="1" applyBorder="1"/>
    <xf numFmtId="9" fontId="13" fillId="30" borderId="40" xfId="50" applyFont="1" applyFill="1" applyBorder="1"/>
    <xf numFmtId="9" fontId="13" fillId="30" borderId="0" xfId="50" applyNumberFormat="1" applyFont="1" applyFill="1" applyBorder="1" applyAlignment="1"/>
    <xf numFmtId="9" fontId="13" fillId="30" borderId="40" xfId="50" applyNumberFormat="1" applyFont="1" applyFill="1" applyBorder="1"/>
    <xf numFmtId="9" fontId="13" fillId="30" borderId="0" xfId="50" applyNumberFormat="1" applyFont="1" applyFill="1" applyBorder="1"/>
    <xf numFmtId="9" fontId="13" fillId="30" borderId="51" xfId="50" applyFont="1" applyFill="1" applyBorder="1"/>
    <xf numFmtId="9" fontId="13" fillId="30" borderId="51" xfId="50" applyNumberFormat="1" applyFont="1" applyFill="1" applyBorder="1"/>
    <xf numFmtId="0" fontId="25" fillId="30" borderId="24" xfId="0" applyFont="1" applyFill="1" applyBorder="1"/>
    <xf numFmtId="0" fontId="25" fillId="30" borderId="21" xfId="0" applyFont="1" applyFill="1" applyBorder="1"/>
    <xf numFmtId="0" fontId="32" fillId="30" borderId="21" xfId="0" applyFont="1" applyFill="1" applyBorder="1"/>
    <xf numFmtId="9" fontId="25" fillId="30" borderId="21" xfId="50" applyFont="1" applyFill="1" applyBorder="1"/>
    <xf numFmtId="0" fontId="32" fillId="30" borderId="44" xfId="0" applyFont="1" applyFill="1" applyBorder="1"/>
    <xf numFmtId="9" fontId="32" fillId="30" borderId="44" xfId="50" applyFont="1" applyFill="1" applyBorder="1"/>
    <xf numFmtId="164" fontId="32" fillId="30" borderId="44" xfId="0" applyNumberFormat="1" applyFont="1" applyFill="1" applyBorder="1"/>
    <xf numFmtId="168" fontId="25" fillId="30" borderId="21" xfId="50" applyNumberFormat="1" applyFont="1" applyFill="1" applyBorder="1"/>
    <xf numFmtId="0" fontId="32" fillId="30" borderId="52" xfId="0" applyFont="1" applyFill="1" applyBorder="1"/>
    <xf numFmtId="0" fontId="13" fillId="29" borderId="17" xfId="0" applyFont="1" applyFill="1" applyBorder="1"/>
    <xf numFmtId="0" fontId="13" fillId="29" borderId="18" xfId="0" applyFont="1" applyFill="1" applyBorder="1"/>
    <xf numFmtId="164" fontId="13" fillId="29" borderId="18" xfId="0" applyNumberFormat="1" applyFont="1" applyFill="1" applyBorder="1"/>
    <xf numFmtId="164" fontId="13" fillId="29" borderId="43" xfId="0" applyNumberFormat="1" applyFont="1" applyFill="1" applyBorder="1"/>
    <xf numFmtId="0" fontId="14" fillId="29" borderId="18" xfId="0" applyFont="1" applyFill="1" applyBorder="1"/>
    <xf numFmtId="0" fontId="25" fillId="29" borderId="0" xfId="0" applyFont="1" applyFill="1" applyBorder="1"/>
    <xf numFmtId="0" fontId="32" fillId="29" borderId="0" xfId="0" applyFont="1" applyFill="1" applyBorder="1"/>
    <xf numFmtId="164" fontId="25" fillId="29" borderId="0" xfId="50" applyNumberFormat="1" applyFont="1" applyFill="1" applyBorder="1"/>
    <xf numFmtId="164" fontId="32" fillId="29" borderId="0" xfId="0" applyNumberFormat="1" applyFont="1" applyFill="1" applyBorder="1"/>
    <xf numFmtId="164" fontId="32" fillId="29" borderId="40" xfId="0" applyNumberFormat="1" applyFont="1" applyFill="1" applyBorder="1"/>
    <xf numFmtId="168" fontId="37" fillId="29" borderId="0" xfId="50" applyNumberFormat="1" applyFont="1" applyFill="1" applyBorder="1"/>
    <xf numFmtId="0" fontId="32" fillId="29" borderId="40" xfId="0" applyFont="1" applyFill="1" applyBorder="1"/>
    <xf numFmtId="168" fontId="32" fillId="29" borderId="40" xfId="50" applyNumberFormat="1" applyFont="1" applyFill="1" applyBorder="1"/>
    <xf numFmtId="168" fontId="25" fillId="29" borderId="0" xfId="50" applyNumberFormat="1" applyFont="1" applyFill="1" applyBorder="1"/>
    <xf numFmtId="164" fontId="25" fillId="29" borderId="0" xfId="0" applyNumberFormat="1" applyFont="1" applyFill="1" applyBorder="1"/>
    <xf numFmtId="9" fontId="25" fillId="29" borderId="0" xfId="50" applyFont="1" applyFill="1" applyBorder="1"/>
    <xf numFmtId="9" fontId="32" fillId="29" borderId="40" xfId="50" applyFont="1" applyFill="1" applyBorder="1"/>
    <xf numFmtId="168" fontId="37" fillId="29" borderId="0" xfId="0" applyNumberFormat="1" applyFont="1" applyFill="1" applyBorder="1"/>
    <xf numFmtId="0" fontId="25" fillId="30" borderId="20" xfId="0" applyFont="1" applyFill="1" applyBorder="1"/>
    <xf numFmtId="177" fontId="25" fillId="30" borderId="0" xfId="32" quotePrefix="1" applyNumberFormat="1" applyFont="1" applyFill="1" applyBorder="1" applyAlignment="1">
      <alignment horizontal="right" vertical="center"/>
    </xf>
    <xf numFmtId="177" fontId="32" fillId="30" borderId="0" xfId="32" quotePrefix="1" applyNumberFormat="1" applyFont="1" applyFill="1" applyBorder="1" applyAlignment="1">
      <alignment horizontal="right" vertical="center"/>
    </xf>
    <xf numFmtId="177" fontId="17" fillId="30" borderId="0" xfId="32" quotePrefix="1" applyNumberFormat="1" applyFont="1" applyFill="1" applyBorder="1" applyAlignment="1">
      <alignment horizontal="right" vertical="center"/>
    </xf>
    <xf numFmtId="164" fontId="25" fillId="30" borderId="40" xfId="0" applyNumberFormat="1" applyFont="1" applyFill="1" applyBorder="1"/>
    <xf numFmtId="177" fontId="25" fillId="30" borderId="0" xfId="51" quotePrefix="1" applyNumberFormat="1" applyFont="1" applyFill="1" applyBorder="1" applyAlignment="1">
      <alignment horizontal="right" vertical="center"/>
    </xf>
    <xf numFmtId="165" fontId="17" fillId="30" borderId="0" xfId="43" applyNumberFormat="1" applyFont="1" applyFill="1" applyBorder="1">
      <alignment horizontal="left" vertical="center"/>
    </xf>
    <xf numFmtId="9" fontId="25" fillId="30" borderId="0" xfId="50" applyFont="1" applyFill="1" applyBorder="1"/>
    <xf numFmtId="177" fontId="32" fillId="30" borderId="0" xfId="0" applyNumberFormat="1" applyFont="1" applyFill="1" applyBorder="1"/>
    <xf numFmtId="0" fontId="25" fillId="30" borderId="40" xfId="0" applyFont="1" applyFill="1" applyBorder="1"/>
    <xf numFmtId="177" fontId="32" fillId="30" borderId="40" xfId="0" applyNumberFormat="1" applyFont="1" applyFill="1" applyBorder="1"/>
    <xf numFmtId="0" fontId="13" fillId="29" borderId="0" xfId="0" applyFont="1" applyFill="1" applyBorder="1"/>
    <xf numFmtId="0" fontId="14" fillId="29" borderId="0" xfId="0" applyFont="1" applyFill="1" applyBorder="1"/>
    <xf numFmtId="0" fontId="70" fillId="29" borderId="0" xfId="0" applyFont="1" applyFill="1" applyBorder="1"/>
    <xf numFmtId="164" fontId="70" fillId="29" borderId="0" xfId="0" applyNumberFormat="1" applyFont="1" applyFill="1" applyBorder="1"/>
    <xf numFmtId="164" fontId="19" fillId="29" borderId="0" xfId="0" applyNumberFormat="1" applyFont="1" applyFill="1" applyBorder="1"/>
    <xf numFmtId="9" fontId="19" fillId="29" borderId="0" xfId="50" applyFont="1" applyFill="1" applyBorder="1"/>
    <xf numFmtId="0" fontId="20" fillId="29" borderId="40" xfId="0" applyFont="1" applyFill="1" applyBorder="1"/>
    <xf numFmtId="0" fontId="19" fillId="29" borderId="0" xfId="0" applyFont="1" applyFill="1" applyBorder="1"/>
    <xf numFmtId="0" fontId="13" fillId="29" borderId="40" xfId="0" applyFont="1" applyFill="1" applyBorder="1"/>
    <xf numFmtId="0" fontId="13" fillId="29" borderId="48" xfId="0" applyFont="1" applyFill="1" applyBorder="1"/>
    <xf numFmtId="164" fontId="13" fillId="29" borderId="40" xfId="0" applyNumberFormat="1" applyFont="1" applyFill="1" applyBorder="1"/>
    <xf numFmtId="164" fontId="14" fillId="29" borderId="0" xfId="0" applyNumberFormat="1" applyFont="1" applyFill="1" applyBorder="1"/>
    <xf numFmtId="9" fontId="25" fillId="29" borderId="40" xfId="50" applyFont="1" applyFill="1" applyBorder="1"/>
    <xf numFmtId="9" fontId="25" fillId="29" borderId="48" xfId="50" applyFont="1" applyFill="1" applyBorder="1"/>
    <xf numFmtId="0" fontId="32" fillId="29" borderId="48" xfId="0" applyFont="1" applyFill="1" applyBorder="1"/>
    <xf numFmtId="9" fontId="14" fillId="29" borderId="0" xfId="50" applyFont="1" applyFill="1" applyBorder="1"/>
    <xf numFmtId="177" fontId="13" fillId="29" borderId="40" xfId="0" applyNumberFormat="1" applyFont="1" applyFill="1" applyBorder="1"/>
    <xf numFmtId="1" fontId="14" fillId="29" borderId="0" xfId="0" applyNumberFormat="1" applyFont="1" applyFill="1" applyBorder="1"/>
    <xf numFmtId="164" fontId="13" fillId="29" borderId="0" xfId="0" applyNumberFormat="1" applyFont="1" applyFill="1" applyBorder="1"/>
    <xf numFmtId="164" fontId="54" fillId="29" borderId="0" xfId="0" applyNumberFormat="1" applyFont="1" applyFill="1" applyBorder="1"/>
    <xf numFmtId="0" fontId="13" fillId="29" borderId="33" xfId="0" applyFont="1" applyFill="1" applyBorder="1"/>
    <xf numFmtId="0" fontId="13" fillId="29" borderId="12" xfId="0" applyFont="1" applyFill="1" applyBorder="1"/>
    <xf numFmtId="0" fontId="14" fillId="29" borderId="12" xfId="0" applyFont="1" applyFill="1" applyBorder="1"/>
    <xf numFmtId="0" fontId="70" fillId="29" borderId="12" xfId="0" applyFont="1" applyFill="1" applyBorder="1"/>
    <xf numFmtId="164" fontId="70" fillId="29" borderId="12" xfId="0" applyNumberFormat="1" applyFont="1" applyFill="1" applyBorder="1"/>
    <xf numFmtId="164" fontId="19" fillId="29" borderId="12" xfId="0" applyNumberFormat="1" applyFont="1" applyFill="1" applyBorder="1"/>
    <xf numFmtId="9" fontId="19" fillId="29" borderId="12" xfId="50" applyFont="1" applyFill="1" applyBorder="1"/>
    <xf numFmtId="0" fontId="20" fillId="29" borderId="41" xfId="0" applyFont="1" applyFill="1" applyBorder="1"/>
    <xf numFmtId="0" fontId="19" fillId="29" borderId="12" xfId="0" applyFont="1" applyFill="1" applyBorder="1"/>
    <xf numFmtId="0" fontId="13" fillId="29" borderId="41" xfId="0" applyFont="1" applyFill="1" applyBorder="1"/>
    <xf numFmtId="0" fontId="13" fillId="29" borderId="54" xfId="0" applyFont="1" applyFill="1" applyBorder="1"/>
    <xf numFmtId="0" fontId="13" fillId="29" borderId="29" xfId="0" applyFont="1" applyFill="1" applyBorder="1"/>
    <xf numFmtId="0" fontId="25" fillId="29" borderId="29" xfId="0" applyFont="1" applyFill="1" applyBorder="1"/>
    <xf numFmtId="0" fontId="25" fillId="29" borderId="30" xfId="0" applyFont="1" applyFill="1" applyBorder="1"/>
    <xf numFmtId="9" fontId="25" fillId="29" borderId="13" xfId="50" applyFont="1" applyFill="1" applyBorder="1"/>
    <xf numFmtId="0" fontId="32" fillId="29" borderId="13" xfId="0" applyFont="1" applyFill="1" applyBorder="1"/>
    <xf numFmtId="0" fontId="32" fillId="29" borderId="42" xfId="0" applyFont="1" applyFill="1" applyBorder="1"/>
    <xf numFmtId="0" fontId="32" fillId="29" borderId="49" xfId="0" applyFont="1" applyFill="1" applyBorder="1"/>
    <xf numFmtId="6" fontId="92" fillId="21" borderId="15" xfId="46" applyNumberFormat="1" applyFont="1" applyFill="1" applyBorder="1"/>
    <xf numFmtId="0" fontId="3" fillId="21" borderId="0" xfId="46" applyFont="1" applyFill="1"/>
    <xf numFmtId="173" fontId="28" fillId="21" borderId="0" xfId="32" applyNumberFormat="1" applyFont="1" applyFill="1"/>
    <xf numFmtId="0" fontId="3" fillId="0" borderId="0" xfId="61"/>
    <xf numFmtId="164" fontId="14" fillId="29" borderId="0" xfId="51" applyNumberFormat="1" applyFont="1" applyFill="1" applyBorder="1">
      <alignment horizontal="right" vertical="center"/>
    </xf>
    <xf numFmtId="164" fontId="14" fillId="29" borderId="40" xfId="51" applyNumberFormat="1" applyFont="1" applyFill="1" applyBorder="1">
      <alignment horizontal="right" vertical="center"/>
    </xf>
    <xf numFmtId="164" fontId="14" fillId="29" borderId="40" xfId="0" applyNumberFormat="1" applyFont="1" applyFill="1" applyBorder="1" applyAlignment="1">
      <alignment horizontal="right"/>
    </xf>
    <xf numFmtId="164" fontId="14" fillId="29" borderId="40" xfId="57" applyNumberFormat="1" applyFont="1" applyFill="1" applyBorder="1" applyAlignment="1">
      <alignment horizontal="right" vertical="center"/>
    </xf>
    <xf numFmtId="9" fontId="14" fillId="29" borderId="0" xfId="50" applyFont="1" applyFill="1" applyBorder="1" applyAlignment="1">
      <alignment horizontal="right" vertical="center"/>
    </xf>
    <xf numFmtId="164" fontId="13" fillId="29" borderId="0" xfId="51" applyNumberFormat="1" applyFont="1" applyFill="1" applyBorder="1">
      <alignment horizontal="right" vertical="center"/>
    </xf>
    <xf numFmtId="2" fontId="9" fillId="29" borderId="0" xfId="57" applyNumberFormat="1" applyFont="1" applyFill="1" applyBorder="1">
      <alignment horizontal="left" vertical="center"/>
    </xf>
    <xf numFmtId="0" fontId="7" fillId="29" borderId="0" xfId="57" applyFont="1" applyFill="1" applyBorder="1">
      <alignment horizontal="left" vertical="center"/>
    </xf>
    <xf numFmtId="0" fontId="7" fillId="29" borderId="40" xfId="57" applyFont="1" applyFill="1" applyBorder="1">
      <alignment horizontal="left" vertical="center"/>
    </xf>
    <xf numFmtId="1" fontId="40" fillId="29" borderId="0" xfId="43" applyNumberFormat="1" applyFont="1" applyFill="1">
      <alignment horizontal="left" vertical="center"/>
    </xf>
    <xf numFmtId="1" fontId="40" fillId="29" borderId="0" xfId="0" applyNumberFormat="1" applyFont="1" applyFill="1"/>
    <xf numFmtId="164" fontId="40" fillId="29" borderId="0" xfId="0" applyNumberFormat="1" applyFont="1" applyFill="1"/>
    <xf numFmtId="1" fontId="40" fillId="29" borderId="40" xfId="0" applyNumberFormat="1" applyFont="1" applyFill="1" applyBorder="1"/>
    <xf numFmtId="2" fontId="40" fillId="29" borderId="0" xfId="0" applyNumberFormat="1" applyFont="1" applyFill="1"/>
    <xf numFmtId="1" fontId="9" fillId="29" borderId="0" xfId="43" applyNumberFormat="1" applyFont="1" applyFill="1">
      <alignment horizontal="left" vertical="center"/>
    </xf>
    <xf numFmtId="164" fontId="9" fillId="29" borderId="0" xfId="0" applyNumberFormat="1" applyFont="1" applyFill="1"/>
    <xf numFmtId="164" fontId="47" fillId="29" borderId="0" xfId="0" applyNumberFormat="1" applyFont="1" applyFill="1"/>
    <xf numFmtId="164" fontId="9" fillId="29" borderId="40" xfId="0" applyNumberFormat="1" applyFont="1" applyFill="1" applyBorder="1"/>
    <xf numFmtId="164" fontId="41" fillId="29" borderId="0" xfId="0" applyNumberFormat="1" applyFont="1" applyFill="1"/>
    <xf numFmtId="1" fontId="9" fillId="29" borderId="0" xfId="57" applyNumberFormat="1" applyFont="1" applyFill="1" applyBorder="1">
      <alignment horizontal="left" vertical="center"/>
    </xf>
    <xf numFmtId="164" fontId="7" fillId="29" borderId="0" xfId="57" applyNumberFormat="1" applyFont="1" applyFill="1" applyBorder="1">
      <alignment horizontal="left" vertical="center"/>
    </xf>
    <xf numFmtId="164" fontId="9" fillId="29" borderId="0" xfId="57" applyNumberFormat="1" applyFont="1" applyFill="1" applyBorder="1">
      <alignment horizontal="left" vertical="center"/>
    </xf>
    <xf numFmtId="164" fontId="7" fillId="29" borderId="40" xfId="57" applyNumberFormat="1" applyFont="1" applyFill="1" applyBorder="1">
      <alignment horizontal="left" vertical="center"/>
    </xf>
    <xf numFmtId="164" fontId="47" fillId="29" borderId="0" xfId="57" applyNumberFormat="1" applyFont="1" applyFill="1" applyBorder="1">
      <alignment horizontal="left" vertical="center"/>
    </xf>
    <xf numFmtId="164" fontId="9" fillId="29" borderId="0" xfId="0" applyNumberFormat="1" applyFont="1" applyFill="1" applyAlignment="1">
      <alignment horizontal="right"/>
    </xf>
    <xf numFmtId="164" fontId="9" fillId="29" borderId="0" xfId="0" applyNumberFormat="1" applyFont="1" applyFill="1" applyBorder="1" applyAlignment="1">
      <alignment horizontal="right"/>
    </xf>
    <xf numFmtId="164" fontId="47" fillId="29" borderId="0" xfId="0" applyNumberFormat="1" applyFont="1" applyFill="1" applyAlignment="1">
      <alignment horizontal="right"/>
    </xf>
    <xf numFmtId="164" fontId="9" fillId="29" borderId="40" xfId="0" applyNumberFormat="1" applyFont="1" applyFill="1" applyBorder="1" applyAlignment="1">
      <alignment horizontal="right"/>
    </xf>
    <xf numFmtId="164" fontId="41" fillId="29" borderId="0" xfId="0" applyNumberFormat="1" applyFont="1" applyFill="1" applyAlignment="1">
      <alignment horizontal="right"/>
    </xf>
    <xf numFmtId="164" fontId="9" fillId="29" borderId="0" xfId="0" applyNumberFormat="1" applyFont="1" applyFill="1" applyBorder="1"/>
    <xf numFmtId="1" fontId="9" fillId="29" borderId="0" xfId="43" applyNumberFormat="1" applyFont="1" applyFill="1" applyBorder="1">
      <alignment horizontal="left" vertical="center"/>
    </xf>
    <xf numFmtId="164" fontId="47" fillId="29" borderId="0" xfId="0" applyNumberFormat="1" applyFont="1" applyFill="1" applyBorder="1"/>
    <xf numFmtId="164" fontId="40" fillId="29" borderId="40" xfId="0" applyNumberFormat="1" applyFont="1" applyFill="1" applyBorder="1"/>
    <xf numFmtId="168" fontId="40" fillId="29" borderId="0" xfId="50" applyNumberFormat="1" applyFont="1" applyFill="1"/>
    <xf numFmtId="164" fontId="65" fillId="29" borderId="0" xfId="0" applyNumberFormat="1" applyFont="1" applyFill="1" applyAlignment="1">
      <alignment horizontal="right"/>
    </xf>
    <xf numFmtId="164" fontId="65" fillId="29" borderId="0" xfId="0" applyNumberFormat="1" applyFont="1" applyFill="1"/>
    <xf numFmtId="164" fontId="8" fillId="29" borderId="0" xfId="0" applyNumberFormat="1" applyFont="1" applyFill="1"/>
    <xf numFmtId="1" fontId="39" fillId="29" borderId="0" xfId="43" applyNumberFormat="1" applyFont="1" applyFill="1">
      <alignment horizontal="left" vertical="center"/>
    </xf>
    <xf numFmtId="167" fontId="39" fillId="29" borderId="0" xfId="0" applyNumberFormat="1" applyFont="1" applyFill="1"/>
    <xf numFmtId="1" fontId="39" fillId="29" borderId="0" xfId="0" applyNumberFormat="1" applyFont="1" applyFill="1"/>
    <xf numFmtId="167" fontId="39" fillId="29" borderId="40" xfId="0" applyNumberFormat="1" applyFont="1" applyFill="1" applyBorder="1"/>
    <xf numFmtId="2" fontId="39" fillId="29" borderId="0" xfId="0" applyNumberFormat="1" applyFont="1" applyFill="1"/>
    <xf numFmtId="167" fontId="9" fillId="29" borderId="40" xfId="0" applyNumberFormat="1" applyFont="1" applyFill="1" applyBorder="1"/>
    <xf numFmtId="1" fontId="9" fillId="29" borderId="0" xfId="0" applyNumberFormat="1" applyFont="1" applyFill="1"/>
    <xf numFmtId="175" fontId="39" fillId="29" borderId="0" xfId="0" applyNumberFormat="1" applyFont="1" applyFill="1"/>
    <xf numFmtId="0" fontId="9" fillId="29" borderId="0" xfId="0" applyFont="1" applyFill="1"/>
    <xf numFmtId="164" fontId="40" fillId="29" borderId="0" xfId="43" applyNumberFormat="1" applyFont="1" applyFill="1">
      <alignment horizontal="left" vertical="center"/>
    </xf>
    <xf numFmtId="166" fontId="9" fillId="29" borderId="0" xfId="0" applyNumberFormat="1" applyFont="1" applyFill="1"/>
    <xf numFmtId="166" fontId="41" fillId="29" borderId="0" xfId="0" applyNumberFormat="1" applyFont="1" applyFill="1"/>
    <xf numFmtId="166" fontId="9" fillId="29" borderId="40" xfId="0" applyNumberFormat="1" applyFont="1" applyFill="1" applyBorder="1"/>
    <xf numFmtId="166" fontId="41" fillId="29" borderId="40" xfId="0" applyNumberFormat="1" applyFont="1" applyFill="1" applyBorder="1"/>
    <xf numFmtId="164" fontId="39" fillId="29" borderId="0" xfId="0" applyNumberFormat="1" applyFont="1" applyFill="1" applyAlignment="1">
      <alignment horizontal="right"/>
    </xf>
    <xf numFmtId="164" fontId="39" fillId="29" borderId="40" xfId="0" applyNumberFormat="1" applyFont="1" applyFill="1" applyBorder="1" applyAlignment="1">
      <alignment horizontal="right"/>
    </xf>
    <xf numFmtId="1" fontId="7" fillId="29" borderId="0" xfId="57" applyNumberFormat="1" applyFont="1" applyFill="1" applyBorder="1">
      <alignment horizontal="left" vertical="center"/>
    </xf>
    <xf numFmtId="1" fontId="9" fillId="29" borderId="40" xfId="57" applyNumberFormat="1" applyFont="1" applyFill="1" applyBorder="1">
      <alignment horizontal="left" vertical="center"/>
    </xf>
    <xf numFmtId="168" fontId="9" fillId="29" borderId="40" xfId="50" applyNumberFormat="1" applyFont="1" applyFill="1" applyBorder="1" applyAlignment="1">
      <alignment horizontal="right" vertical="center"/>
    </xf>
    <xf numFmtId="1" fontId="10" fillId="29" borderId="0" xfId="43" applyNumberFormat="1" applyFont="1" applyFill="1">
      <alignment horizontal="left" vertical="center"/>
    </xf>
    <xf numFmtId="164" fontId="39" fillId="29" borderId="0" xfId="0" applyNumberFormat="1" applyFont="1" applyFill="1"/>
    <xf numFmtId="164" fontId="48" fillId="29" borderId="0" xfId="0" applyNumberFormat="1" applyFont="1" applyFill="1"/>
    <xf numFmtId="1" fontId="39" fillId="29" borderId="0" xfId="0" applyNumberFormat="1" applyFont="1" applyFill="1" applyAlignment="1">
      <alignment horizontal="right"/>
    </xf>
    <xf numFmtId="1" fontId="39" fillId="29" borderId="40" xfId="0" applyNumberFormat="1" applyFont="1" applyFill="1" applyBorder="1" applyAlignment="1">
      <alignment horizontal="right"/>
    </xf>
    <xf numFmtId="1" fontId="9" fillId="29" borderId="40" xfId="0" applyNumberFormat="1" applyFont="1" applyFill="1" applyBorder="1"/>
    <xf numFmtId="9" fontId="39" fillId="29" borderId="40" xfId="50" applyFont="1" applyFill="1" applyBorder="1" applyAlignment="1">
      <alignment horizontal="right"/>
    </xf>
    <xf numFmtId="1" fontId="48" fillId="29" borderId="0" xfId="0" applyNumberFormat="1" applyFont="1" applyFill="1"/>
    <xf numFmtId="1" fontId="9" fillId="29" borderId="0" xfId="0" applyNumberFormat="1" applyFont="1" applyFill="1" applyAlignment="1">
      <alignment horizontal="right"/>
    </xf>
    <xf numFmtId="1" fontId="9" fillId="29" borderId="40" xfId="0" applyNumberFormat="1" applyFont="1" applyFill="1" applyBorder="1" applyAlignment="1">
      <alignment horizontal="right"/>
    </xf>
    <xf numFmtId="164" fontId="8" fillId="29" borderId="0" xfId="0" applyNumberFormat="1" applyFont="1" applyFill="1" applyAlignment="1">
      <alignment horizontal="right"/>
    </xf>
    <xf numFmtId="164" fontId="40" fillId="29" borderId="0" xfId="0" applyNumberFormat="1" applyFont="1" applyFill="1" applyAlignment="1">
      <alignment horizontal="right"/>
    </xf>
    <xf numFmtId="164" fontId="10" fillId="29" borderId="0" xfId="0" applyNumberFormat="1" applyFont="1" applyFill="1"/>
    <xf numFmtId="164" fontId="10" fillId="29" borderId="40" xfId="0" applyNumberFormat="1" applyFont="1" applyFill="1" applyBorder="1"/>
    <xf numFmtId="9" fontId="10" fillId="29" borderId="40" xfId="50" applyFont="1" applyFill="1" applyBorder="1"/>
    <xf numFmtId="9" fontId="10" fillId="29" borderId="0" xfId="50" applyFont="1" applyFill="1"/>
    <xf numFmtId="167" fontId="9" fillId="29" borderId="0" xfId="57" applyNumberFormat="1" applyFont="1" applyFill="1" applyBorder="1">
      <alignment horizontal="left" vertical="center"/>
    </xf>
    <xf numFmtId="9" fontId="9" fillId="29" borderId="0" xfId="50" applyFont="1" applyFill="1" applyBorder="1" applyAlignment="1">
      <alignment horizontal="left" vertical="center"/>
    </xf>
    <xf numFmtId="9" fontId="9" fillId="29" borderId="40" xfId="50" applyFont="1" applyFill="1" applyBorder="1" applyAlignment="1">
      <alignment horizontal="left" vertical="center"/>
    </xf>
    <xf numFmtId="2" fontId="9" fillId="29" borderId="0" xfId="0" applyNumberFormat="1" applyFont="1" applyFill="1"/>
    <xf numFmtId="9" fontId="9" fillId="29" borderId="0" xfId="50" applyFont="1" applyFill="1" applyBorder="1" applyAlignment="1">
      <alignment horizontal="right" vertical="center"/>
    </xf>
    <xf numFmtId="1" fontId="9" fillId="29" borderId="0" xfId="51" applyNumberFormat="1" applyFont="1" applyFill="1" applyBorder="1">
      <alignment horizontal="right" vertical="center"/>
    </xf>
    <xf numFmtId="9" fontId="9" fillId="29" borderId="40" xfId="50" applyFont="1" applyFill="1" applyBorder="1" applyAlignment="1">
      <alignment horizontal="right" vertical="center"/>
    </xf>
    <xf numFmtId="1" fontId="9" fillId="29" borderId="40" xfId="51" applyNumberFormat="1" applyFont="1" applyFill="1" applyBorder="1">
      <alignment horizontal="right" vertical="center"/>
    </xf>
    <xf numFmtId="9" fontId="8" fillId="29" borderId="40" xfId="50" applyFont="1" applyFill="1" applyBorder="1" applyAlignment="1">
      <alignment horizontal="right" vertical="center"/>
    </xf>
    <xf numFmtId="164" fontId="9" fillId="29" borderId="40" xfId="57" applyNumberFormat="1" applyFont="1" applyFill="1" applyBorder="1">
      <alignment horizontal="left" vertical="center"/>
    </xf>
    <xf numFmtId="167" fontId="39" fillId="29" borderId="0" xfId="43" applyNumberFormat="1" applyFont="1" applyFill="1">
      <alignment horizontal="left" vertical="center"/>
    </xf>
    <xf numFmtId="164" fontId="39" fillId="29" borderId="40" xfId="0" applyNumberFormat="1" applyFont="1" applyFill="1" applyBorder="1"/>
    <xf numFmtId="167" fontId="39" fillId="29" borderId="0" xfId="0" applyNumberFormat="1" applyFont="1" applyFill="1" applyAlignment="1">
      <alignment horizontal="right"/>
    </xf>
    <xf numFmtId="0" fontId="9" fillId="29" borderId="33" xfId="0" applyFont="1" applyFill="1" applyBorder="1"/>
    <xf numFmtId="0" fontId="8" fillId="29" borderId="12" xfId="57" applyFont="1" applyFill="1" applyBorder="1">
      <alignment horizontal="left" vertical="center"/>
    </xf>
    <xf numFmtId="0" fontId="7" fillId="29" borderId="12" xfId="57" applyFont="1" applyFill="1" applyBorder="1">
      <alignment horizontal="left" vertical="center"/>
    </xf>
    <xf numFmtId="164" fontId="7" fillId="29" borderId="12" xfId="57" applyNumberFormat="1" applyFont="1" applyFill="1" applyBorder="1">
      <alignment horizontal="left" vertical="center"/>
    </xf>
    <xf numFmtId="164" fontId="9" fillId="29" borderId="12" xfId="57" applyNumberFormat="1" applyFont="1" applyFill="1" applyBorder="1" applyAlignment="1">
      <alignment horizontal="right" vertical="center"/>
    </xf>
    <xf numFmtId="164" fontId="9" fillId="29" borderId="41" xfId="57" applyNumberFormat="1" applyFont="1" applyFill="1" applyBorder="1" applyAlignment="1">
      <alignment horizontal="right" vertical="center"/>
    </xf>
    <xf numFmtId="0" fontId="9" fillId="29" borderId="57" xfId="0" applyFont="1" applyFill="1" applyBorder="1"/>
    <xf numFmtId="0" fontId="8" fillId="29" borderId="9" xfId="57" applyFont="1" applyFill="1" applyBorder="1">
      <alignment horizontal="left" vertical="center"/>
    </xf>
    <xf numFmtId="0" fontId="7" fillId="29" borderId="9" xfId="57" applyFont="1" applyFill="1" applyBorder="1">
      <alignment horizontal="left" vertical="center"/>
    </xf>
    <xf numFmtId="164" fontId="7" fillId="29" borderId="9" xfId="57" applyNumberFormat="1" applyFont="1" applyFill="1" applyBorder="1">
      <alignment horizontal="left" vertical="center"/>
    </xf>
    <xf numFmtId="9" fontId="9" fillId="29" borderId="9" xfId="50" applyFont="1" applyFill="1" applyBorder="1" applyAlignment="1">
      <alignment horizontal="right" vertical="center"/>
    </xf>
    <xf numFmtId="9" fontId="9" fillId="29" borderId="11" xfId="50" applyFont="1" applyFill="1" applyBorder="1" applyAlignment="1">
      <alignment horizontal="right" vertical="center"/>
    </xf>
    <xf numFmtId="0" fontId="9" fillId="29" borderId="0" xfId="0" applyFont="1" applyFill="1" applyBorder="1"/>
    <xf numFmtId="0" fontId="8" fillId="29" borderId="0" xfId="57" applyFont="1" applyFill="1" applyBorder="1">
      <alignment horizontal="left" vertical="center"/>
    </xf>
    <xf numFmtId="43" fontId="9" fillId="29" borderId="40" xfId="32" applyFont="1" applyFill="1" applyBorder="1" applyAlignment="1">
      <alignment horizontal="right" vertical="center"/>
    </xf>
    <xf numFmtId="167" fontId="9" fillId="29" borderId="0" xfId="0" applyNumberFormat="1" applyFont="1" applyFill="1" applyAlignment="1">
      <alignment horizontal="right"/>
    </xf>
    <xf numFmtId="167" fontId="9" fillId="29" borderId="40" xfId="0" applyNumberFormat="1" applyFont="1" applyFill="1" applyBorder="1" applyAlignment="1">
      <alignment horizontal="right"/>
    </xf>
    <xf numFmtId="9" fontId="10" fillId="29" borderId="42" xfId="50" applyFont="1" applyFill="1" applyBorder="1"/>
    <xf numFmtId="164" fontId="9" fillId="29" borderId="0" xfId="0" applyNumberFormat="1" applyFont="1" applyFill="1" applyAlignment="1">
      <alignment horizontal="center"/>
    </xf>
    <xf numFmtId="9" fontId="9" fillId="29" borderId="40" xfId="50" applyFont="1" applyFill="1" applyBorder="1"/>
    <xf numFmtId="167" fontId="9" fillId="29" borderId="0" xfId="0" applyNumberFormat="1" applyFont="1" applyFill="1" applyAlignment="1">
      <alignment horizontal="center"/>
    </xf>
    <xf numFmtId="43" fontId="9" fillId="29" borderId="0" xfId="32" applyFont="1" applyFill="1"/>
    <xf numFmtId="43" fontId="9" fillId="29" borderId="0" xfId="32" applyFont="1" applyFill="1" applyAlignment="1">
      <alignment horizontal="center"/>
    </xf>
    <xf numFmtId="43" fontId="9" fillId="29" borderId="40" xfId="32" applyFont="1" applyFill="1" applyBorder="1"/>
    <xf numFmtId="43" fontId="9" fillId="29" borderId="40" xfId="32" applyFont="1" applyFill="1" applyBorder="1" applyAlignment="1">
      <alignment horizontal="center"/>
    </xf>
    <xf numFmtId="168" fontId="14" fillId="29" borderId="0" xfId="50" applyNumberFormat="1" applyFont="1" applyFill="1" applyBorder="1"/>
    <xf numFmtId="49" fontId="0" fillId="0" borderId="0" xfId="0" applyNumberFormat="1"/>
    <xf numFmtId="9" fontId="9" fillId="29" borderId="0" xfId="50" applyFont="1" applyFill="1"/>
    <xf numFmtId="0" fontId="120" fillId="28" borderId="0" xfId="0" applyFont="1" applyFill="1" applyBorder="1"/>
    <xf numFmtId="0" fontId="3" fillId="29" borderId="0" xfId="0" applyFont="1" applyFill="1"/>
    <xf numFmtId="0" fontId="0" fillId="29" borderId="0" xfId="0" applyFill="1"/>
    <xf numFmtId="164" fontId="13" fillId="29" borderId="33" xfId="43" applyNumberFormat="1" applyFont="1" applyFill="1" applyBorder="1">
      <alignment horizontal="left" vertical="center"/>
    </xf>
    <xf numFmtId="2" fontId="21" fillId="29" borderId="12" xfId="0" applyNumberFormat="1" applyFont="1" applyFill="1" applyBorder="1"/>
    <xf numFmtId="2" fontId="13" fillId="29" borderId="41" xfId="0" applyNumberFormat="1" applyFont="1" applyFill="1" applyBorder="1"/>
    <xf numFmtId="1" fontId="21" fillId="29" borderId="0" xfId="0" applyNumberFormat="1" applyFont="1" applyFill="1"/>
    <xf numFmtId="164" fontId="14" fillId="29" borderId="40" xfId="0" quotePrefix="1" applyNumberFormat="1" applyFont="1" applyFill="1" applyBorder="1" applyAlignment="1">
      <alignment horizontal="right"/>
    </xf>
    <xf numFmtId="1" fontId="23" fillId="29" borderId="0" xfId="0" applyNumberFormat="1" applyFont="1" applyFill="1"/>
    <xf numFmtId="167" fontId="14" fillId="29" borderId="0" xfId="0" quotePrefix="1" applyNumberFormat="1" applyFont="1" applyFill="1" applyAlignment="1">
      <alignment horizontal="right"/>
    </xf>
    <xf numFmtId="1" fontId="14" fillId="29" borderId="40" xfId="0" quotePrefix="1" applyNumberFormat="1" applyFont="1" applyFill="1" applyBorder="1" applyAlignment="1">
      <alignment horizontal="right"/>
    </xf>
    <xf numFmtId="167" fontId="17" fillId="29" borderId="0" xfId="50" applyNumberFormat="1" applyFont="1" applyFill="1"/>
    <xf numFmtId="164" fontId="17" fillId="29" borderId="0" xfId="50" applyNumberFormat="1" applyFont="1" applyFill="1"/>
    <xf numFmtId="164" fontId="15" fillId="29" borderId="0" xfId="0" quotePrefix="1" applyNumberFormat="1" applyFont="1" applyFill="1" applyAlignment="1">
      <alignment horizontal="right"/>
    </xf>
    <xf numFmtId="0" fontId="21" fillId="29" borderId="0" xfId="57" applyFont="1" applyFill="1" applyBorder="1">
      <alignment horizontal="left" vertical="center"/>
    </xf>
    <xf numFmtId="0" fontId="16" fillId="29" borderId="0" xfId="57" applyFont="1" applyFill="1" applyBorder="1">
      <alignment horizontal="left" vertical="center"/>
    </xf>
    <xf numFmtId="0" fontId="16" fillId="29" borderId="40" xfId="57" applyFont="1" applyFill="1" applyBorder="1">
      <alignment horizontal="left" vertical="center"/>
    </xf>
    <xf numFmtId="168" fontId="14" fillId="29" borderId="0" xfId="50" quotePrefix="1" applyNumberFormat="1" applyFont="1" applyFill="1" applyAlignment="1">
      <alignment horizontal="right"/>
    </xf>
    <xf numFmtId="167" fontId="17" fillId="29" borderId="0" xfId="0" applyNumberFormat="1" applyFont="1" applyFill="1"/>
    <xf numFmtId="168" fontId="19" fillId="29" borderId="40" xfId="50" applyNumberFormat="1" applyFont="1" applyFill="1" applyBorder="1"/>
    <xf numFmtId="164" fontId="19" fillId="29" borderId="0" xfId="0" quotePrefix="1" applyNumberFormat="1" applyFont="1" applyFill="1" applyAlignment="1">
      <alignment horizontal="right"/>
    </xf>
    <xf numFmtId="164" fontId="14" fillId="29" borderId="0" xfId="0" quotePrefix="1" applyNumberFormat="1" applyFont="1" applyFill="1" applyBorder="1" applyAlignment="1">
      <alignment horizontal="right"/>
    </xf>
    <xf numFmtId="9" fontId="14" fillId="29" borderId="40" xfId="50" quotePrefix="1" applyFont="1" applyFill="1" applyBorder="1" applyAlignment="1">
      <alignment horizontal="right"/>
    </xf>
    <xf numFmtId="0" fontId="4" fillId="29" borderId="0" xfId="0" applyFont="1" applyFill="1"/>
    <xf numFmtId="2" fontId="5" fillId="29" borderId="31" xfId="57" applyNumberFormat="1" applyFont="1" applyFill="1" applyBorder="1">
      <alignment horizontal="left" vertical="center"/>
    </xf>
    <xf numFmtId="0" fontId="22" fillId="29" borderId="31" xfId="57" applyFont="1" applyFill="1" applyBorder="1">
      <alignment horizontal="left" vertical="center"/>
    </xf>
    <xf numFmtId="0" fontId="7" fillId="29" borderId="31" xfId="57" applyFont="1" applyFill="1" applyBorder="1">
      <alignment horizontal="left" vertical="center"/>
    </xf>
    <xf numFmtId="0" fontId="9" fillId="29" borderId="31" xfId="57" applyFont="1" applyFill="1" applyBorder="1">
      <alignment horizontal="left" vertical="center"/>
    </xf>
    <xf numFmtId="164" fontId="8" fillId="29" borderId="31" xfId="57" applyNumberFormat="1" applyFont="1" applyFill="1" applyBorder="1" applyAlignment="1">
      <alignment horizontal="right" vertical="center"/>
    </xf>
    <xf numFmtId="164" fontId="7" fillId="29" borderId="31" xfId="57" applyNumberFormat="1" applyFont="1" applyFill="1" applyBorder="1" applyAlignment="1">
      <alignment horizontal="right" vertical="center"/>
    </xf>
    <xf numFmtId="43" fontId="8" fillId="29" borderId="31" xfId="32" applyNumberFormat="1" applyFont="1" applyFill="1" applyBorder="1" applyAlignment="1">
      <alignment horizontal="right" vertical="center"/>
    </xf>
    <xf numFmtId="164" fontId="9" fillId="29" borderId="31" xfId="57" applyNumberFormat="1" applyFont="1" applyFill="1" applyBorder="1" applyAlignment="1">
      <alignment horizontal="right" vertical="center"/>
    </xf>
    <xf numFmtId="164" fontId="8" fillId="29" borderId="31" xfId="57" applyNumberFormat="1" applyFont="1" applyFill="1" applyBorder="1" applyAlignment="1">
      <alignment horizontal="left" vertical="center"/>
    </xf>
    <xf numFmtId="164" fontId="69" fillId="29" borderId="0" xfId="0" applyNumberFormat="1" applyFont="1" applyFill="1" applyAlignment="1">
      <alignment horizontal="left"/>
    </xf>
    <xf numFmtId="188" fontId="8" fillId="29" borderId="31" xfId="34" applyNumberFormat="1" applyFont="1" applyFill="1" applyBorder="1" applyAlignment="1">
      <alignment horizontal="right" vertical="center"/>
    </xf>
    <xf numFmtId="43" fontId="8" fillId="29" borderId="0" xfId="32" applyNumberFormat="1" applyFont="1" applyFill="1" applyBorder="1" applyAlignment="1">
      <alignment horizontal="right" vertical="center"/>
    </xf>
    <xf numFmtId="164" fontId="7" fillId="29" borderId="0" xfId="57" applyNumberFormat="1" applyFont="1" applyFill="1" applyBorder="1" applyAlignment="1">
      <alignment horizontal="right" vertical="center"/>
    </xf>
    <xf numFmtId="167" fontId="4" fillId="29" borderId="31" xfId="57" applyNumberFormat="1" applyFont="1" applyFill="1" applyBorder="1" applyAlignment="1">
      <alignment horizontal="right" vertical="center"/>
    </xf>
    <xf numFmtId="2" fontId="5" fillId="29" borderId="13" xfId="57" applyNumberFormat="1" applyFont="1" applyFill="1" applyBorder="1">
      <alignment horizontal="left" vertical="center"/>
    </xf>
    <xf numFmtId="0" fontId="22" fillId="29" borderId="13" xfId="57" applyFont="1" applyFill="1" applyBorder="1">
      <alignment horizontal="left" vertical="center"/>
    </xf>
    <xf numFmtId="0" fontId="8" fillId="29" borderId="13" xfId="57" applyFont="1" applyFill="1" applyBorder="1">
      <alignment horizontal="left" vertical="center"/>
    </xf>
    <xf numFmtId="0" fontId="7" fillId="29" borderId="13" xfId="57" applyFont="1" applyFill="1" applyBorder="1">
      <alignment horizontal="left" vertical="center"/>
    </xf>
    <xf numFmtId="0" fontId="52" fillId="29" borderId="13" xfId="57" applyFont="1" applyFill="1" applyBorder="1">
      <alignment horizontal="left" vertical="center"/>
    </xf>
    <xf numFmtId="167" fontId="52" fillId="29" borderId="13" xfId="57" applyNumberFormat="1" applyFont="1" applyFill="1" applyBorder="1">
      <alignment horizontal="left" vertical="center"/>
    </xf>
    <xf numFmtId="164" fontId="7" fillId="29" borderId="13" xfId="57" applyNumberFormat="1" applyFont="1" applyFill="1" applyBorder="1" applyAlignment="1">
      <alignment horizontal="right" vertical="center"/>
    </xf>
    <xf numFmtId="2" fontId="9" fillId="29" borderId="13" xfId="57" applyNumberFormat="1" applyFont="1" applyFill="1" applyBorder="1" applyAlignment="1">
      <alignment horizontal="right" vertical="center"/>
    </xf>
    <xf numFmtId="2" fontId="8" fillId="29" borderId="13" xfId="57" applyNumberFormat="1" applyFont="1" applyFill="1" applyBorder="1" applyAlignment="1">
      <alignment horizontal="right" vertical="center"/>
    </xf>
    <xf numFmtId="9" fontId="8" fillId="29" borderId="13" xfId="50" applyFont="1" applyFill="1" applyBorder="1" applyAlignment="1">
      <alignment horizontal="right" vertical="center"/>
    </xf>
    <xf numFmtId="9" fontId="9" fillId="29" borderId="13" xfId="50" applyFont="1" applyFill="1" applyBorder="1" applyAlignment="1">
      <alignment horizontal="right" vertical="center"/>
    </xf>
    <xf numFmtId="173" fontId="8" fillId="29" borderId="13" xfId="32" applyNumberFormat="1" applyFont="1" applyFill="1" applyBorder="1" applyAlignment="1">
      <alignment horizontal="right" vertical="center"/>
    </xf>
    <xf numFmtId="167" fontId="8" fillId="29" borderId="13" xfId="57" applyNumberFormat="1" applyFont="1" applyFill="1" applyBorder="1" applyAlignment="1">
      <alignment horizontal="right" vertical="center"/>
    </xf>
    <xf numFmtId="164" fontId="8" fillId="29" borderId="13" xfId="57" applyNumberFormat="1" applyFont="1" applyFill="1" applyBorder="1" applyAlignment="1">
      <alignment horizontal="left" vertical="center"/>
    </xf>
    <xf numFmtId="9" fontId="65" fillId="29" borderId="13" xfId="50" applyFont="1" applyFill="1" applyBorder="1" applyAlignment="1">
      <alignment horizontal="right" vertical="center"/>
    </xf>
    <xf numFmtId="43" fontId="8" fillId="29" borderId="13" xfId="32" applyFont="1" applyFill="1" applyBorder="1" applyAlignment="1">
      <alignment horizontal="right" vertical="center"/>
    </xf>
    <xf numFmtId="164" fontId="9" fillId="29" borderId="13" xfId="57" applyNumberFormat="1" applyFont="1" applyFill="1" applyBorder="1" applyAlignment="1">
      <alignment horizontal="right" vertical="center"/>
    </xf>
    <xf numFmtId="164" fontId="8" fillId="29" borderId="13" xfId="32" applyNumberFormat="1" applyFont="1" applyFill="1" applyBorder="1" applyAlignment="1">
      <alignment horizontal="right" vertical="center"/>
    </xf>
    <xf numFmtId="168" fontId="8" fillId="29" borderId="13" xfId="50" applyNumberFormat="1" applyFont="1" applyFill="1" applyBorder="1" applyAlignment="1">
      <alignment horizontal="right" vertical="center"/>
    </xf>
    <xf numFmtId="164" fontId="8" fillId="29" borderId="13" xfId="57" applyNumberFormat="1" applyFont="1" applyFill="1" applyBorder="1" applyAlignment="1">
      <alignment horizontal="right" vertical="center"/>
    </xf>
    <xf numFmtId="164" fontId="4" fillId="29" borderId="13" xfId="57" applyNumberFormat="1" applyFont="1" applyFill="1" applyBorder="1" applyAlignment="1">
      <alignment horizontal="right" vertical="center"/>
    </xf>
    <xf numFmtId="164" fontId="14" fillId="29" borderId="0" xfId="43" applyNumberFormat="1" applyFont="1" applyFill="1">
      <alignment horizontal="left" vertical="center"/>
    </xf>
    <xf numFmtId="9" fontId="14" fillId="29" borderId="0" xfId="50" applyFont="1" applyFill="1" applyAlignment="1">
      <alignment horizontal="right"/>
    </xf>
    <xf numFmtId="9" fontId="14" fillId="29" borderId="40" xfId="50" applyFont="1" applyFill="1" applyBorder="1" applyAlignment="1">
      <alignment horizontal="right"/>
    </xf>
    <xf numFmtId="0" fontId="14" fillId="29" borderId="0" xfId="0" applyFont="1" applyFill="1" applyAlignment="1"/>
    <xf numFmtId="0" fontId="14" fillId="29" borderId="0" xfId="0" applyFont="1" applyFill="1" applyAlignment="1">
      <alignment horizontal="left"/>
    </xf>
    <xf numFmtId="2" fontId="14" fillId="29" borderId="0" xfId="43" applyNumberFormat="1" applyFont="1" applyFill="1">
      <alignment horizontal="left" vertical="center"/>
    </xf>
    <xf numFmtId="2" fontId="13" fillId="29" borderId="0" xfId="0" applyNumberFormat="1" applyFont="1" applyFill="1"/>
    <xf numFmtId="4" fontId="14" fillId="29" borderId="0" xfId="0" applyNumberFormat="1" applyFont="1" applyFill="1"/>
    <xf numFmtId="2" fontId="14" fillId="29" borderId="0" xfId="0" applyNumberFormat="1" applyFont="1" applyFill="1"/>
    <xf numFmtId="2" fontId="14" fillId="29" borderId="0" xfId="0" applyNumberFormat="1" applyFont="1" applyFill="1" applyAlignment="1">
      <alignment horizontal="right"/>
    </xf>
    <xf numFmtId="2" fontId="14" fillId="29" borderId="40" xfId="0" applyNumberFormat="1" applyFont="1" applyFill="1" applyBorder="1" applyAlignment="1">
      <alignment horizontal="right"/>
    </xf>
    <xf numFmtId="2" fontId="13" fillId="29" borderId="0" xfId="57" applyNumberFormat="1" applyFont="1" applyFill="1" applyBorder="1">
      <alignment horizontal="left" vertical="center"/>
    </xf>
    <xf numFmtId="164" fontId="14" fillId="29" borderId="35" xfId="57" applyNumberFormat="1" applyFont="1" applyFill="1" applyBorder="1" applyAlignment="1">
      <alignment horizontal="right" vertical="center"/>
    </xf>
    <xf numFmtId="2" fontId="17" fillId="29" borderId="0" xfId="57" applyNumberFormat="1" applyFont="1" applyFill="1" applyBorder="1">
      <alignment horizontal="left" vertical="center"/>
    </xf>
    <xf numFmtId="9" fontId="14" fillId="29" borderId="40" xfId="50" applyFont="1" applyFill="1" applyBorder="1" applyAlignment="1">
      <alignment horizontal="right" vertical="center"/>
    </xf>
    <xf numFmtId="2" fontId="14" fillId="29" borderId="0" xfId="57" applyNumberFormat="1" applyFont="1" applyFill="1" applyBorder="1" applyAlignment="1">
      <alignment horizontal="right" vertical="center"/>
    </xf>
    <xf numFmtId="2" fontId="14" fillId="29" borderId="40" xfId="57" applyNumberFormat="1" applyFont="1" applyFill="1" applyBorder="1" applyAlignment="1">
      <alignment horizontal="right" vertical="center"/>
    </xf>
    <xf numFmtId="0" fontId="21" fillId="29" borderId="0" xfId="0" applyFont="1" applyFill="1"/>
    <xf numFmtId="1" fontId="14" fillId="29" borderId="0" xfId="0" applyNumberFormat="1" applyFont="1" applyFill="1" applyAlignment="1"/>
    <xf numFmtId="0" fontId="23" fillId="29" borderId="0" xfId="0" applyFont="1" applyFill="1"/>
    <xf numFmtId="164" fontId="19" fillId="29" borderId="0" xfId="0" applyNumberFormat="1" applyFont="1" applyFill="1"/>
    <xf numFmtId="164" fontId="54" fillId="29" borderId="0" xfId="0" applyNumberFormat="1" applyFont="1" applyFill="1"/>
    <xf numFmtId="173" fontId="14" fillId="29" borderId="0" xfId="32" applyNumberFormat="1" applyFont="1" applyFill="1"/>
    <xf numFmtId="173" fontId="14" fillId="29" borderId="0" xfId="0" applyNumberFormat="1" applyFont="1" applyFill="1"/>
    <xf numFmtId="172" fontId="14" fillId="29" borderId="0" xfId="0" applyNumberFormat="1" applyFont="1" applyFill="1"/>
    <xf numFmtId="173" fontId="17" fillId="29" borderId="40" xfId="50" applyNumberFormat="1" applyFont="1" applyFill="1" applyBorder="1"/>
    <xf numFmtId="2" fontId="21" fillId="29" borderId="0" xfId="0" applyNumberFormat="1" applyFont="1" applyFill="1"/>
    <xf numFmtId="2" fontId="14" fillId="29" borderId="40" xfId="0" applyNumberFormat="1" applyFont="1" applyFill="1" applyBorder="1"/>
    <xf numFmtId="0" fontId="13" fillId="29" borderId="0" xfId="0" applyFont="1" applyFill="1" applyAlignment="1">
      <alignment horizontal="left"/>
    </xf>
    <xf numFmtId="2" fontId="14" fillId="29" borderId="29" xfId="57" applyNumberFormat="1" applyFont="1" applyFill="1" applyBorder="1">
      <alignment horizontal="left" vertical="center"/>
    </xf>
    <xf numFmtId="0" fontId="21" fillId="29" borderId="0" xfId="0" applyFont="1" applyFill="1" applyBorder="1"/>
    <xf numFmtId="0" fontId="15" fillId="29" borderId="0" xfId="57" applyFont="1" applyFill="1" applyBorder="1">
      <alignment horizontal="left" vertical="center"/>
    </xf>
    <xf numFmtId="168" fontId="14" fillId="29" borderId="0" xfId="50" applyNumberFormat="1" applyFont="1" applyFill="1" applyBorder="1" applyAlignment="1">
      <alignment horizontal="right" vertical="center"/>
    </xf>
    <xf numFmtId="0" fontId="49" fillId="29" borderId="0" xfId="57" applyFont="1" applyFill="1" applyBorder="1">
      <alignment horizontal="left" vertical="center"/>
    </xf>
    <xf numFmtId="0" fontId="14" fillId="29" borderId="0" xfId="57" applyFont="1" applyFill="1" applyBorder="1" applyAlignment="1">
      <alignment horizontal="right" vertical="center"/>
    </xf>
    <xf numFmtId="168" fontId="14" fillId="29" borderId="0" xfId="50" applyNumberFormat="1" applyFont="1" applyFill="1" applyBorder="1" applyAlignment="1">
      <alignment horizontal="left" vertical="center"/>
    </xf>
    <xf numFmtId="168" fontId="14" fillId="29" borderId="40" xfId="50" applyNumberFormat="1" applyFont="1" applyFill="1" applyBorder="1" applyAlignment="1">
      <alignment horizontal="left" vertical="center"/>
    </xf>
    <xf numFmtId="2" fontId="14" fillId="29" borderId="30" xfId="57" applyNumberFormat="1" applyFont="1" applyFill="1" applyBorder="1">
      <alignment horizontal="left" vertical="center"/>
    </xf>
    <xf numFmtId="0" fontId="21" fillId="29" borderId="13" xfId="0" applyFont="1" applyFill="1" applyBorder="1"/>
    <xf numFmtId="0" fontId="16" fillId="29" borderId="13" xfId="57" applyFont="1" applyFill="1" applyBorder="1">
      <alignment horizontal="left" vertical="center"/>
    </xf>
    <xf numFmtId="164" fontId="14" fillId="29" borderId="13" xfId="57" applyNumberFormat="1" applyFont="1" applyFill="1" applyBorder="1" applyAlignment="1">
      <alignment horizontal="right" vertical="center"/>
    </xf>
    <xf numFmtId="164" fontId="14" fillId="29" borderId="13" xfId="57" applyNumberFormat="1" applyFont="1" applyFill="1" applyBorder="1">
      <alignment horizontal="left" vertical="center"/>
    </xf>
    <xf numFmtId="0" fontId="15" fillId="29" borderId="13" xfId="57" applyFont="1" applyFill="1" applyBorder="1">
      <alignment horizontal="left" vertical="center"/>
    </xf>
    <xf numFmtId="168" fontId="14" fillId="29" borderId="13" xfId="50" applyNumberFormat="1" applyFont="1" applyFill="1" applyBorder="1" applyAlignment="1">
      <alignment horizontal="right" vertical="center"/>
    </xf>
    <xf numFmtId="0" fontId="16" fillId="29" borderId="42" xfId="57" applyFont="1" applyFill="1" applyBorder="1">
      <alignment horizontal="left" vertical="center"/>
    </xf>
    <xf numFmtId="0" fontId="14" fillId="29" borderId="13" xfId="57" applyFont="1" applyFill="1" applyBorder="1">
      <alignment horizontal="left" vertical="center"/>
    </xf>
    <xf numFmtId="0" fontId="14" fillId="29" borderId="13" xfId="57" applyFont="1" applyFill="1" applyBorder="1" applyAlignment="1">
      <alignment horizontal="right" vertical="center"/>
    </xf>
    <xf numFmtId="0" fontId="14" fillId="29" borderId="42" xfId="57" applyFont="1" applyFill="1" applyBorder="1">
      <alignment horizontal="left" vertical="center"/>
    </xf>
    <xf numFmtId="2" fontId="14" fillId="29" borderId="42" xfId="57" applyNumberFormat="1" applyFont="1" applyFill="1" applyBorder="1">
      <alignment horizontal="left" vertical="center"/>
    </xf>
    <xf numFmtId="2" fontId="14" fillId="29" borderId="13" xfId="57" applyNumberFormat="1" applyFont="1" applyFill="1" applyBorder="1">
      <alignment horizontal="left" vertical="center"/>
    </xf>
    <xf numFmtId="164" fontId="17" fillId="29" borderId="0" xfId="57" applyNumberFormat="1" applyFont="1" applyFill="1" applyBorder="1">
      <alignment horizontal="left" vertical="center"/>
    </xf>
    <xf numFmtId="0" fontId="69" fillId="29" borderId="0" xfId="57" applyFont="1" applyFill="1" applyBorder="1">
      <alignment horizontal="left" vertical="center"/>
    </xf>
    <xf numFmtId="0" fontId="49" fillId="29" borderId="40" xfId="57" applyFont="1" applyFill="1" applyBorder="1">
      <alignment horizontal="left" vertical="center"/>
    </xf>
    <xf numFmtId="2" fontId="17" fillId="29" borderId="33" xfId="57" applyNumberFormat="1" applyFont="1" applyFill="1" applyBorder="1">
      <alignment horizontal="left" vertical="center"/>
    </xf>
    <xf numFmtId="0" fontId="23" fillId="29" borderId="12" xfId="0" applyFont="1" applyFill="1" applyBorder="1"/>
    <xf numFmtId="0" fontId="49" fillId="29" borderId="12" xfId="57" applyFont="1" applyFill="1" applyBorder="1">
      <alignment horizontal="left" vertical="center"/>
    </xf>
    <xf numFmtId="164" fontId="17" fillId="29" borderId="12" xfId="57" applyNumberFormat="1" applyFont="1" applyFill="1" applyBorder="1" applyAlignment="1">
      <alignment horizontal="right" vertical="center"/>
    </xf>
    <xf numFmtId="164" fontId="17" fillId="29" borderId="12" xfId="57" applyNumberFormat="1" applyFont="1" applyFill="1" applyBorder="1">
      <alignment horizontal="left" vertical="center"/>
    </xf>
    <xf numFmtId="0" fontId="69" fillId="29" borderId="12" xfId="57" applyFont="1" applyFill="1" applyBorder="1">
      <alignment horizontal="left" vertical="center"/>
    </xf>
    <xf numFmtId="168" fontId="17" fillId="29" borderId="12" xfId="50" applyNumberFormat="1" applyFont="1" applyFill="1" applyBorder="1" applyAlignment="1">
      <alignment horizontal="right" vertical="center"/>
    </xf>
    <xf numFmtId="0" fontId="49" fillId="29" borderId="41" xfId="57" applyFont="1" applyFill="1" applyBorder="1">
      <alignment horizontal="left" vertical="center"/>
    </xf>
    <xf numFmtId="0" fontId="23" fillId="29" borderId="0" xfId="0" applyFont="1" applyFill="1" applyBorder="1"/>
    <xf numFmtId="0" fontId="17" fillId="29" borderId="0" xfId="57" applyFont="1" applyFill="1" applyBorder="1" applyAlignment="1">
      <alignment horizontal="right" vertical="center"/>
    </xf>
    <xf numFmtId="0" fontId="17" fillId="29" borderId="40" xfId="57" applyFont="1" applyFill="1" applyBorder="1">
      <alignment horizontal="left" vertical="center"/>
    </xf>
    <xf numFmtId="9" fontId="17" fillId="29" borderId="40" xfId="50" applyFont="1" applyFill="1" applyBorder="1" applyAlignment="1">
      <alignment horizontal="left" vertical="center"/>
    </xf>
    <xf numFmtId="0" fontId="17" fillId="29" borderId="0" xfId="57" quotePrefix="1" applyFont="1" applyFill="1" applyBorder="1">
      <alignment horizontal="left" vertical="center"/>
    </xf>
    <xf numFmtId="9" fontId="14" fillId="29" borderId="40" xfId="50" applyFont="1" applyFill="1" applyBorder="1" applyAlignment="1">
      <alignment horizontal="left" vertical="center"/>
    </xf>
    <xf numFmtId="2" fontId="17" fillId="29" borderId="57" xfId="57" applyNumberFormat="1" applyFont="1" applyFill="1" applyBorder="1">
      <alignment horizontal="left" vertical="center"/>
    </xf>
    <xf numFmtId="0" fontId="23" fillId="29" borderId="9" xfId="0" applyFont="1" applyFill="1" applyBorder="1"/>
    <xf numFmtId="0" fontId="49" fillId="29" borderId="9" xfId="57" applyFont="1" applyFill="1" applyBorder="1">
      <alignment horizontal="left" vertical="center"/>
    </xf>
    <xf numFmtId="164" fontId="17" fillId="29" borderId="9" xfId="57" applyNumberFormat="1" applyFont="1" applyFill="1" applyBorder="1" applyAlignment="1">
      <alignment horizontal="right" vertical="center"/>
    </xf>
    <xf numFmtId="164" fontId="17" fillId="29" borderId="9" xfId="57" applyNumberFormat="1" applyFont="1" applyFill="1" applyBorder="1">
      <alignment horizontal="left" vertical="center"/>
    </xf>
    <xf numFmtId="0" fontId="69" fillId="29" borderId="9" xfId="57" applyFont="1" applyFill="1" applyBorder="1">
      <alignment horizontal="left" vertical="center"/>
    </xf>
    <xf numFmtId="168" fontId="17" fillId="29" borderId="9" xfId="50" applyNumberFormat="1" applyFont="1" applyFill="1" applyBorder="1" applyAlignment="1">
      <alignment horizontal="right" vertical="center"/>
    </xf>
    <xf numFmtId="0" fontId="49" fillId="29" borderId="11" xfId="57" applyFont="1" applyFill="1" applyBorder="1">
      <alignment horizontal="left" vertical="center"/>
    </xf>
    <xf numFmtId="0" fontId="17" fillId="29" borderId="9" xfId="57" applyFont="1" applyFill="1" applyBorder="1">
      <alignment horizontal="left" vertical="center"/>
    </xf>
    <xf numFmtId="0" fontId="17" fillId="29" borderId="9" xfId="57" applyFont="1" applyFill="1" applyBorder="1" applyAlignment="1">
      <alignment horizontal="right" vertical="center"/>
    </xf>
    <xf numFmtId="0" fontId="17" fillId="29" borderId="11" xfId="57" applyFont="1" applyFill="1" applyBorder="1">
      <alignment horizontal="left" vertical="center"/>
    </xf>
    <xf numFmtId="0" fontId="17" fillId="29" borderId="9" xfId="57" quotePrefix="1" applyFont="1" applyFill="1" applyBorder="1">
      <alignment horizontal="left" vertical="center"/>
    </xf>
    <xf numFmtId="0" fontId="17" fillId="29" borderId="11" xfId="57" quotePrefix="1" applyFont="1" applyFill="1" applyBorder="1">
      <alignment horizontal="left" vertical="center"/>
    </xf>
    <xf numFmtId="0" fontId="49" fillId="29" borderId="42" xfId="57" applyFont="1" applyFill="1" applyBorder="1">
      <alignment horizontal="left" vertical="center"/>
    </xf>
    <xf numFmtId="0" fontId="17" fillId="29" borderId="42" xfId="57" applyFont="1" applyFill="1" applyBorder="1">
      <alignment horizontal="left" vertical="center"/>
    </xf>
    <xf numFmtId="1" fontId="18" fillId="29" borderId="0" xfId="0" quotePrefix="1" applyNumberFormat="1" applyFont="1" applyFill="1" applyAlignment="1">
      <alignment horizontal="right"/>
    </xf>
    <xf numFmtId="9" fontId="18" fillId="29" borderId="0" xfId="50" applyFont="1" applyFill="1" applyAlignment="1">
      <alignment horizontal="right"/>
    </xf>
    <xf numFmtId="9" fontId="18" fillId="29" borderId="0" xfId="50" applyFont="1" applyFill="1"/>
    <xf numFmtId="164" fontId="14" fillId="29" borderId="0" xfId="50" applyNumberFormat="1" applyFont="1" applyFill="1"/>
    <xf numFmtId="9" fontId="19" fillId="29" borderId="0" xfId="50" quotePrefix="1" applyFont="1" applyFill="1" applyAlignment="1">
      <alignment horizontal="right"/>
    </xf>
    <xf numFmtId="2" fontId="13" fillId="29" borderId="0" xfId="57" applyNumberFormat="1" applyFont="1" applyFill="1" applyBorder="1" applyAlignment="1">
      <alignment horizontal="left" vertical="center"/>
    </xf>
    <xf numFmtId="2" fontId="14" fillId="29" borderId="0" xfId="57" applyNumberFormat="1" applyFont="1" applyFill="1" applyBorder="1" applyAlignment="1">
      <alignment horizontal="left" vertical="center"/>
    </xf>
    <xf numFmtId="3" fontId="17" fillId="29" borderId="0" xfId="43" applyNumberFormat="1" applyFont="1" applyFill="1">
      <alignment horizontal="left" vertical="center"/>
    </xf>
    <xf numFmtId="3" fontId="14" fillId="29" borderId="17" xfId="43" applyNumberFormat="1" applyFont="1" applyFill="1" applyBorder="1">
      <alignment horizontal="left" vertical="center"/>
    </xf>
    <xf numFmtId="0" fontId="21" fillId="29" borderId="18" xfId="0" applyFont="1" applyFill="1" applyBorder="1"/>
    <xf numFmtId="2" fontId="14" fillId="29" borderId="18" xfId="0" applyNumberFormat="1" applyFont="1" applyFill="1" applyBorder="1"/>
    <xf numFmtId="164" fontId="14" fillId="29" borderId="18" xfId="0" applyNumberFormat="1" applyFont="1" applyFill="1" applyBorder="1"/>
    <xf numFmtId="166" fontId="14" fillId="29" borderId="18" xfId="50" applyNumberFormat="1" applyFont="1" applyFill="1" applyBorder="1"/>
    <xf numFmtId="9" fontId="14" fillId="29" borderId="18" xfId="50" applyFont="1" applyFill="1" applyBorder="1"/>
    <xf numFmtId="3" fontId="19" fillId="29" borderId="18" xfId="50" applyNumberFormat="1" applyFont="1" applyFill="1" applyBorder="1"/>
    <xf numFmtId="166" fontId="19" fillId="29" borderId="18" xfId="50" applyNumberFormat="1" applyFont="1" applyFill="1" applyBorder="1"/>
    <xf numFmtId="164" fontId="19" fillId="29" borderId="18" xfId="0" applyNumberFormat="1" applyFont="1" applyFill="1" applyBorder="1"/>
    <xf numFmtId="3" fontId="17" fillId="29" borderId="20" xfId="43" applyNumberFormat="1" applyFont="1" applyFill="1" applyBorder="1">
      <alignment horizontal="left" vertical="center"/>
    </xf>
    <xf numFmtId="2" fontId="14" fillId="29" borderId="0" xfId="0" applyNumberFormat="1" applyFont="1" applyFill="1" applyBorder="1"/>
    <xf numFmtId="166" fontId="14" fillId="29" borderId="0" xfId="50" applyNumberFormat="1" applyFont="1" applyFill="1" applyBorder="1"/>
    <xf numFmtId="3" fontId="19" fillId="29" borderId="0" xfId="50" applyNumberFormat="1" applyFont="1" applyFill="1" applyBorder="1"/>
    <xf numFmtId="166" fontId="19" fillId="29" borderId="0" xfId="50" applyNumberFormat="1" applyFont="1" applyFill="1" applyBorder="1"/>
    <xf numFmtId="3" fontId="14" fillId="29" borderId="20" xfId="43" applyNumberFormat="1" applyFont="1" applyFill="1" applyBorder="1">
      <alignment horizontal="left" vertical="center"/>
    </xf>
    <xf numFmtId="3" fontId="14" fillId="29" borderId="0" xfId="50" applyNumberFormat="1" applyFont="1" applyFill="1" applyBorder="1"/>
    <xf numFmtId="4" fontId="14" fillId="29" borderId="0" xfId="50" applyNumberFormat="1" applyFont="1" applyFill="1" applyBorder="1"/>
    <xf numFmtId="166" fontId="14" fillId="29" borderId="0" xfId="0" applyNumberFormat="1" applyFont="1" applyFill="1" applyBorder="1"/>
    <xf numFmtId="0" fontId="13" fillId="29" borderId="20" xfId="0" applyFont="1" applyFill="1" applyBorder="1" applyAlignment="1">
      <alignment vertical="top" wrapText="1"/>
    </xf>
    <xf numFmtId="0" fontId="14" fillId="29" borderId="20" xfId="0" applyFont="1" applyFill="1" applyBorder="1" applyAlignment="1">
      <alignment vertical="top" wrapText="1"/>
    </xf>
    <xf numFmtId="0" fontId="17" fillId="29" borderId="20" xfId="0" applyFont="1" applyFill="1" applyBorder="1" applyAlignment="1">
      <alignment vertical="top" wrapText="1"/>
    </xf>
    <xf numFmtId="4" fontId="14" fillId="29" borderId="0" xfId="50" applyNumberFormat="1" applyFont="1" applyFill="1" applyBorder="1" applyAlignment="1">
      <alignment horizontal="center"/>
    </xf>
    <xf numFmtId="0" fontId="14" fillId="29" borderId="0" xfId="0" applyFont="1" applyFill="1" applyBorder="1" applyAlignment="1">
      <alignment horizontal="center"/>
    </xf>
    <xf numFmtId="2" fontId="14" fillId="29" borderId="0" xfId="0" applyNumberFormat="1" applyFont="1" applyFill="1" applyBorder="1" applyAlignment="1">
      <alignment horizontal="center"/>
    </xf>
    <xf numFmtId="10" fontId="14" fillId="29" borderId="0" xfId="50" applyNumberFormat="1" applyFont="1" applyFill="1" applyBorder="1"/>
    <xf numFmtId="10" fontId="19" fillId="29" borderId="0" xfId="50" applyNumberFormat="1" applyFont="1" applyFill="1" applyBorder="1"/>
    <xf numFmtId="0" fontId="13" fillId="29" borderId="24" xfId="0" applyFont="1" applyFill="1" applyBorder="1" applyAlignment="1">
      <alignment vertical="top"/>
    </xf>
    <xf numFmtId="0" fontId="21" fillId="29" borderId="21" xfId="0" applyFont="1" applyFill="1" applyBorder="1"/>
    <xf numFmtId="2" fontId="14" fillId="29" borderId="21" xfId="0" applyNumberFormat="1" applyFont="1" applyFill="1" applyBorder="1"/>
    <xf numFmtId="0" fontId="14" fillId="29" borderId="21" xfId="0" applyFont="1" applyFill="1" applyBorder="1"/>
    <xf numFmtId="175" fontId="13" fillId="29" borderId="21" xfId="50" applyNumberFormat="1" applyFont="1" applyFill="1" applyBorder="1"/>
    <xf numFmtId="9" fontId="14" fillId="29" borderId="21" xfId="50" applyFont="1" applyFill="1" applyBorder="1"/>
    <xf numFmtId="2" fontId="17" fillId="29" borderId="9" xfId="57" applyNumberFormat="1" applyFont="1" applyFill="1" applyBorder="1">
      <alignment horizontal="left" vertical="center"/>
    </xf>
    <xf numFmtId="164" fontId="38" fillId="29" borderId="9" xfId="57" applyNumberFormat="1" applyFont="1" applyFill="1" applyBorder="1">
      <alignment horizontal="left" vertical="center"/>
    </xf>
    <xf numFmtId="0" fontId="38" fillId="29" borderId="9" xfId="57" applyFont="1" applyFill="1" applyBorder="1">
      <alignment horizontal="left" vertical="center"/>
    </xf>
    <xf numFmtId="2" fontId="38" fillId="29" borderId="9" xfId="57" applyNumberFormat="1" applyFont="1" applyFill="1" applyBorder="1">
      <alignment horizontal="left" vertical="center"/>
    </xf>
    <xf numFmtId="9" fontId="69" fillId="29" borderId="9" xfId="50" applyFont="1" applyFill="1" applyBorder="1" applyAlignment="1">
      <alignment horizontal="left" vertical="center"/>
    </xf>
    <xf numFmtId="2" fontId="5" fillId="29" borderId="0" xfId="57" applyNumberFormat="1" applyFont="1" applyFill="1" applyBorder="1">
      <alignment horizontal="left" vertical="center"/>
    </xf>
    <xf numFmtId="0" fontId="22" fillId="29" borderId="0" xfId="57" applyFont="1" applyFill="1" applyBorder="1">
      <alignment horizontal="left" vertical="center"/>
    </xf>
    <xf numFmtId="2" fontId="9" fillId="29" borderId="0" xfId="57" applyNumberFormat="1" applyFont="1" applyFill="1" applyBorder="1" applyAlignment="1">
      <alignment horizontal="right" vertical="center"/>
    </xf>
    <xf numFmtId="0" fontId="9" fillId="29" borderId="0" xfId="57" applyFont="1" applyFill="1" applyBorder="1">
      <alignment horizontal="left" vertical="center"/>
    </xf>
    <xf numFmtId="0" fontId="13" fillId="29" borderId="31" xfId="43" applyFont="1" applyFill="1" applyBorder="1">
      <alignment horizontal="left" vertical="center"/>
    </xf>
    <xf numFmtId="0" fontId="21" fillId="29" borderId="32" xfId="51" applyNumberFormat="1" applyFont="1" applyFill="1" applyBorder="1" applyAlignment="1">
      <alignment horizontal="centerContinuous" vertical="center"/>
    </xf>
    <xf numFmtId="164" fontId="13" fillId="29" borderId="32" xfId="51" applyNumberFormat="1" applyFont="1" applyFill="1" applyBorder="1" applyAlignment="1">
      <alignment horizontal="centerContinuous" vertical="center"/>
    </xf>
    <xf numFmtId="164" fontId="13" fillId="29" borderId="31" xfId="51" applyNumberFormat="1" applyFont="1" applyFill="1" applyBorder="1">
      <alignment horizontal="right" vertical="center"/>
    </xf>
    <xf numFmtId="0" fontId="13" fillId="29" borderId="32" xfId="51" applyNumberFormat="1" applyFont="1" applyFill="1" applyBorder="1" applyAlignment="1">
      <alignment horizontal="centerContinuous" vertical="center"/>
    </xf>
    <xf numFmtId="164" fontId="13" fillId="29" borderId="32" xfId="51" quotePrefix="1" applyNumberFormat="1" applyFont="1" applyFill="1" applyBorder="1" applyAlignment="1">
      <alignment horizontal="centerContinuous" vertical="center"/>
    </xf>
    <xf numFmtId="164" fontId="13" fillId="29" borderId="46" xfId="51" applyNumberFormat="1" applyFont="1" applyFill="1" applyBorder="1" applyAlignment="1">
      <alignment horizontal="centerContinuous" vertical="center"/>
    </xf>
    <xf numFmtId="164" fontId="13" fillId="29" borderId="47" xfId="51" applyNumberFormat="1" applyFont="1" applyFill="1" applyBorder="1" applyAlignment="1">
      <alignment horizontal="centerContinuous" vertical="center"/>
    </xf>
    <xf numFmtId="0" fontId="13" fillId="29" borderId="0" xfId="51" applyFont="1" applyFill="1" applyBorder="1">
      <alignment horizontal="right" vertical="center"/>
    </xf>
    <xf numFmtId="165" fontId="13" fillId="29" borderId="0" xfId="43" applyNumberFormat="1" applyFont="1" applyFill="1" applyBorder="1">
      <alignment horizontal="left" vertical="center"/>
    </xf>
    <xf numFmtId="164" fontId="21" fillId="29" borderId="0" xfId="51" quotePrefix="1" applyNumberFormat="1" applyFont="1" applyFill="1" applyBorder="1" applyAlignment="1">
      <alignment horizontal="right" vertical="center"/>
    </xf>
    <xf numFmtId="164" fontId="13" fillId="29" borderId="0" xfId="51" quotePrefix="1" applyNumberFormat="1" applyFont="1" applyFill="1" applyBorder="1" applyAlignment="1">
      <alignment horizontal="right" vertical="center"/>
    </xf>
    <xf numFmtId="164" fontId="13" fillId="29" borderId="40" xfId="51" quotePrefix="1" applyNumberFormat="1" applyFont="1" applyFill="1" applyBorder="1" applyAlignment="1">
      <alignment horizontal="right" vertical="center"/>
    </xf>
    <xf numFmtId="164" fontId="13" fillId="29" borderId="41" xfId="51" quotePrefix="1" applyNumberFormat="1" applyFont="1" applyFill="1" applyBorder="1" applyAlignment="1">
      <alignment horizontal="right" vertical="center"/>
    </xf>
    <xf numFmtId="164" fontId="13" fillId="29" borderId="48" xfId="51" quotePrefix="1" applyNumberFormat="1" applyFont="1" applyFill="1" applyBorder="1" applyAlignment="1">
      <alignment horizontal="right" vertical="center"/>
    </xf>
    <xf numFmtId="165" fontId="13" fillId="29" borderId="0" xfId="51" applyNumberFormat="1" applyFont="1" applyFill="1" applyBorder="1">
      <alignment horizontal="right" vertical="center"/>
    </xf>
    <xf numFmtId="0" fontId="16" fillId="29" borderId="48" xfId="57" applyFont="1" applyFill="1" applyBorder="1">
      <alignment horizontal="left" vertical="center"/>
    </xf>
    <xf numFmtId="2" fontId="13" fillId="29" borderId="25" xfId="57" applyNumberFormat="1" applyFont="1" applyFill="1" applyBorder="1">
      <alignment horizontal="left" vertical="center"/>
    </xf>
    <xf numFmtId="0" fontId="21" fillId="29" borderId="26" xfId="0" applyFont="1" applyFill="1" applyBorder="1"/>
    <xf numFmtId="0" fontId="16" fillId="29" borderId="26" xfId="57" applyFont="1" applyFill="1" applyBorder="1">
      <alignment horizontal="left" vertical="center"/>
    </xf>
    <xf numFmtId="164" fontId="14" fillId="29" borderId="26" xfId="57" applyNumberFormat="1" applyFont="1" applyFill="1" applyBorder="1" applyAlignment="1">
      <alignment horizontal="right" vertical="center"/>
    </xf>
    <xf numFmtId="164" fontId="14" fillId="29" borderId="26" xfId="57" applyNumberFormat="1" applyFont="1" applyFill="1" applyBorder="1">
      <alignment horizontal="left" vertical="center"/>
    </xf>
    <xf numFmtId="0" fontId="15" fillId="29" borderId="26" xfId="57" applyFont="1" applyFill="1" applyBorder="1">
      <alignment horizontal="left" vertical="center"/>
    </xf>
    <xf numFmtId="168" fontId="14" fillId="29" borderId="26" xfId="50" applyNumberFormat="1" applyFont="1" applyFill="1" applyBorder="1" applyAlignment="1">
      <alignment horizontal="right" vertical="center"/>
    </xf>
    <xf numFmtId="0" fontId="16" fillId="29" borderId="27" xfId="57" applyFont="1" applyFill="1" applyBorder="1">
      <alignment horizontal="left" vertical="center"/>
    </xf>
    <xf numFmtId="0" fontId="15" fillId="29" borderId="0" xfId="0" applyFont="1" applyFill="1"/>
    <xf numFmtId="1" fontId="14" fillId="29" borderId="0" xfId="0" applyNumberFormat="1" applyFont="1" applyFill="1" applyAlignment="1">
      <alignment horizontal="right"/>
    </xf>
    <xf numFmtId="9" fontId="14" fillId="29" borderId="40" xfId="50" applyFont="1" applyFill="1" applyBorder="1"/>
    <xf numFmtId="9" fontId="14" fillId="29" borderId="48" xfId="50" applyFont="1" applyFill="1" applyBorder="1"/>
    <xf numFmtId="9" fontId="14" fillId="29" borderId="48" xfId="50" applyFont="1" applyFill="1" applyBorder="1" applyAlignment="1">
      <alignment horizontal="right"/>
    </xf>
    <xf numFmtId="0" fontId="13" fillId="29" borderId="0" xfId="0" applyFont="1" applyFill="1" applyAlignment="1">
      <alignment horizontal="right"/>
    </xf>
    <xf numFmtId="9" fontId="14" fillId="29" borderId="0" xfId="50" quotePrefix="1" applyFont="1" applyFill="1" applyAlignment="1">
      <alignment horizontal="right"/>
    </xf>
    <xf numFmtId="0" fontId="14" fillId="29" borderId="0" xfId="0" applyFont="1" applyFill="1" applyAlignment="1">
      <alignment horizontal="right"/>
    </xf>
    <xf numFmtId="0" fontId="14" fillId="29" borderId="40" xfId="0" applyFont="1" applyFill="1" applyBorder="1" applyAlignment="1">
      <alignment horizontal="right"/>
    </xf>
    <xf numFmtId="0" fontId="14" fillId="29" borderId="48" xfId="0" applyFont="1" applyFill="1" applyBorder="1" applyAlignment="1">
      <alignment horizontal="right"/>
    </xf>
    <xf numFmtId="0" fontId="15" fillId="29" borderId="40" xfId="57" applyFont="1" applyFill="1" applyBorder="1">
      <alignment horizontal="left" vertical="center"/>
    </xf>
    <xf numFmtId="0" fontId="15" fillId="29" borderId="48" xfId="57" applyFont="1" applyFill="1" applyBorder="1">
      <alignment horizontal="left" vertical="center"/>
    </xf>
    <xf numFmtId="9" fontId="14" fillId="29" borderId="48" xfId="50" quotePrefix="1" applyFont="1" applyFill="1" applyBorder="1" applyAlignment="1">
      <alignment horizontal="right"/>
    </xf>
    <xf numFmtId="9" fontId="14" fillId="29" borderId="0" xfId="50" applyNumberFormat="1" applyFont="1" applyFill="1"/>
    <xf numFmtId="9" fontId="14" fillId="29" borderId="0" xfId="0" applyNumberFormat="1" applyFont="1" applyFill="1"/>
    <xf numFmtId="9" fontId="14" fillId="29" borderId="40" xfId="50" applyNumberFormat="1" applyFont="1" applyFill="1" applyBorder="1"/>
    <xf numFmtId="9" fontId="14" fillId="29" borderId="48" xfId="50" applyNumberFormat="1" applyFont="1" applyFill="1" applyBorder="1"/>
    <xf numFmtId="0" fontId="16" fillId="29" borderId="49" xfId="57" applyFont="1" applyFill="1" applyBorder="1">
      <alignment horizontal="left" vertical="center"/>
    </xf>
    <xf numFmtId="164" fontId="51" fillId="29" borderId="0" xfId="0" applyNumberFormat="1" applyFont="1" applyFill="1" applyAlignment="1">
      <alignment horizontal="right"/>
    </xf>
    <xf numFmtId="9" fontId="14" fillId="29" borderId="0" xfId="57" applyNumberFormat="1" applyFont="1" applyFill="1" applyBorder="1" applyAlignment="1">
      <alignment horizontal="right" vertical="center"/>
    </xf>
    <xf numFmtId="167" fontId="14" fillId="29" borderId="0" xfId="0" applyNumberFormat="1" applyFont="1" applyFill="1" applyAlignment="1">
      <alignment horizontal="right"/>
    </xf>
    <xf numFmtId="1" fontId="19" fillId="29" borderId="0" xfId="0" applyNumberFormat="1" applyFont="1" applyFill="1"/>
    <xf numFmtId="1" fontId="19" fillId="29" borderId="0" xfId="0" applyNumberFormat="1" applyFont="1" applyFill="1" applyAlignment="1">
      <alignment horizontal="right"/>
    </xf>
    <xf numFmtId="3" fontId="14" fillId="29" borderId="0" xfId="0" quotePrefix="1" applyNumberFormat="1" applyFont="1" applyFill="1" applyAlignment="1">
      <alignment horizontal="right"/>
    </xf>
    <xf numFmtId="178" fontId="14" fillId="29" borderId="0" xfId="0" quotePrefix="1" applyNumberFormat="1" applyFont="1" applyFill="1" applyAlignment="1">
      <alignment horizontal="right"/>
    </xf>
    <xf numFmtId="166" fontId="14" fillId="29" borderId="0" xfId="0" quotePrefix="1" applyNumberFormat="1" applyFont="1" applyFill="1" applyAlignment="1">
      <alignment horizontal="right"/>
    </xf>
    <xf numFmtId="168" fontId="14" fillId="29" borderId="0" xfId="50" applyNumberFormat="1" applyFont="1" applyFill="1" applyAlignment="1">
      <alignment horizontal="right"/>
    </xf>
    <xf numFmtId="168" fontId="19" fillId="29" borderId="0" xfId="50" applyNumberFormat="1" applyFont="1" applyFill="1" applyAlignment="1">
      <alignment horizontal="right"/>
    </xf>
    <xf numFmtId="1" fontId="15" fillId="29" borderId="0" xfId="0" applyNumberFormat="1" applyFont="1" applyFill="1" applyAlignment="1">
      <alignment horizontal="right"/>
    </xf>
    <xf numFmtId="10" fontId="14" fillId="29" borderId="0" xfId="50" applyNumberFormat="1" applyFont="1" applyFill="1"/>
    <xf numFmtId="3" fontId="19" fillId="29" borderId="0" xfId="0" quotePrefix="1" applyNumberFormat="1" applyFont="1" applyFill="1" applyAlignment="1">
      <alignment horizontal="right"/>
    </xf>
    <xf numFmtId="0" fontId="34" fillId="29" borderId="0" xfId="0" applyFont="1" applyFill="1"/>
    <xf numFmtId="0" fontId="35" fillId="29" borderId="0" xfId="0" applyFont="1" applyFill="1"/>
    <xf numFmtId="1" fontId="35" fillId="29" borderId="0" xfId="0" applyNumberFormat="1" applyFont="1" applyFill="1"/>
    <xf numFmtId="1" fontId="35" fillId="29" borderId="0" xfId="50" applyNumberFormat="1" applyFont="1" applyFill="1" applyAlignment="1">
      <alignment horizontal="right"/>
    </xf>
    <xf numFmtId="0" fontId="72" fillId="29" borderId="0" xfId="0" applyFont="1" applyFill="1"/>
    <xf numFmtId="1" fontId="14" fillId="29" borderId="0" xfId="50" applyNumberFormat="1" applyFont="1" applyFill="1" applyAlignment="1">
      <alignment horizontal="right"/>
    </xf>
    <xf numFmtId="164" fontId="14" fillId="29" borderId="0" xfId="50" applyNumberFormat="1" applyFont="1" applyFill="1" applyAlignment="1">
      <alignment horizontal="right"/>
    </xf>
    <xf numFmtId="164" fontId="9" fillId="29" borderId="0" xfId="50" applyNumberFormat="1" applyFont="1" applyFill="1" applyAlignment="1">
      <alignment horizontal="right"/>
    </xf>
    <xf numFmtId="185" fontId="14" fillId="29" borderId="0" xfId="50" applyNumberFormat="1" applyFont="1" applyFill="1" applyAlignment="1">
      <alignment horizontal="right"/>
    </xf>
    <xf numFmtId="2" fontId="14" fillId="29" borderId="0" xfId="50" applyNumberFormat="1" applyFont="1" applyFill="1" applyAlignment="1">
      <alignment horizontal="right"/>
    </xf>
    <xf numFmtId="0" fontId="39" fillId="29" borderId="0" xfId="0" applyFont="1" applyFill="1"/>
    <xf numFmtId="0" fontId="82" fillId="29" borderId="0" xfId="0" applyFont="1" applyFill="1"/>
    <xf numFmtId="176" fontId="14" fillId="29" borderId="0" xfId="0" applyNumberFormat="1" applyFont="1" applyFill="1"/>
    <xf numFmtId="177" fontId="14" fillId="29" borderId="0" xfId="0" applyNumberFormat="1" applyFont="1" applyFill="1"/>
    <xf numFmtId="183" fontId="14" fillId="29" borderId="0" xfId="0" applyNumberFormat="1" applyFont="1" applyFill="1"/>
    <xf numFmtId="8" fontId="14" fillId="29" borderId="0" xfId="0" applyNumberFormat="1" applyFont="1" applyFill="1"/>
    <xf numFmtId="0" fontId="9" fillId="29" borderId="0" xfId="58" applyFont="1" applyFill="1" applyBorder="1">
      <alignment horizontal="left" vertical="center"/>
    </xf>
    <xf numFmtId="0" fontId="21" fillId="29" borderId="0" xfId="58" applyFont="1" applyFill="1" applyBorder="1" applyAlignment="1">
      <alignment horizontal="right" vertical="center"/>
    </xf>
    <xf numFmtId="1" fontId="14" fillId="29" borderId="0" xfId="51" applyNumberFormat="1" applyFont="1" applyFill="1" applyBorder="1">
      <alignment horizontal="right" vertical="center"/>
    </xf>
    <xf numFmtId="0" fontId="31" fillId="29" borderId="0" xfId="0" applyFont="1" applyFill="1"/>
    <xf numFmtId="1" fontId="13" fillId="29" borderId="0" xfId="51" applyNumberFormat="1" applyFont="1" applyFill="1" applyBorder="1">
      <alignment horizontal="right" vertical="center"/>
    </xf>
    <xf numFmtId="1" fontId="17" fillId="29" borderId="0" xfId="51" applyNumberFormat="1" applyFont="1" applyFill="1" applyBorder="1">
      <alignment horizontal="right" vertical="center"/>
    </xf>
    <xf numFmtId="0" fontId="29" fillId="29" borderId="0" xfId="0" applyFont="1" applyFill="1"/>
    <xf numFmtId="0" fontId="28" fillId="29" borderId="0" xfId="0" applyFont="1" applyFill="1"/>
    <xf numFmtId="9" fontId="0" fillId="29" borderId="0" xfId="50" applyFont="1" applyFill="1"/>
    <xf numFmtId="1" fontId="16" fillId="29" borderId="0" xfId="57" applyNumberFormat="1" applyFont="1" applyFill="1" applyBorder="1">
      <alignment horizontal="left" vertical="center"/>
    </xf>
    <xf numFmtId="2" fontId="36" fillId="29" borderId="12" xfId="57" applyNumberFormat="1" applyFont="1" applyFill="1" applyBorder="1">
      <alignment horizontal="left" vertical="center"/>
    </xf>
    <xf numFmtId="2" fontId="36" fillId="29" borderId="0" xfId="57" applyNumberFormat="1" applyFont="1" applyFill="1" applyBorder="1">
      <alignment horizontal="left" vertical="center"/>
    </xf>
    <xf numFmtId="1" fontId="8" fillId="29" borderId="12" xfId="57" applyNumberFormat="1" applyFont="1" applyFill="1" applyBorder="1">
      <alignment horizontal="left" vertical="center"/>
    </xf>
    <xf numFmtId="167" fontId="9" fillId="29" borderId="12" xfId="57" applyNumberFormat="1" applyFont="1" applyFill="1" applyBorder="1">
      <alignment horizontal="left" vertical="center"/>
    </xf>
    <xf numFmtId="0" fontId="4" fillId="29" borderId="12" xfId="57" applyFont="1" applyFill="1" applyBorder="1">
      <alignment horizontal="left" vertical="center"/>
    </xf>
    <xf numFmtId="167" fontId="4" fillId="29" borderId="12" xfId="57" applyNumberFormat="1" applyFont="1" applyFill="1" applyBorder="1">
      <alignment horizontal="left" vertical="center"/>
    </xf>
    <xf numFmtId="2" fontId="36" fillId="29" borderId="13" xfId="57" applyNumberFormat="1" applyFont="1" applyFill="1" applyBorder="1">
      <alignment horizontal="left" vertical="center"/>
    </xf>
    <xf numFmtId="1" fontId="8" fillId="29" borderId="13" xfId="57" applyNumberFormat="1" applyFont="1" applyFill="1" applyBorder="1">
      <alignment horizontal="left" vertical="center"/>
    </xf>
    <xf numFmtId="164" fontId="8" fillId="29" borderId="13" xfId="57" applyNumberFormat="1" applyFont="1" applyFill="1" applyBorder="1">
      <alignment horizontal="left" vertical="center"/>
    </xf>
    <xf numFmtId="167" fontId="8" fillId="29" borderId="13" xfId="57" applyNumberFormat="1" applyFont="1" applyFill="1" applyBorder="1">
      <alignment horizontal="left" vertical="center"/>
    </xf>
    <xf numFmtId="0" fontId="9" fillId="29" borderId="13" xfId="57" applyFont="1" applyFill="1" applyBorder="1">
      <alignment horizontal="left" vertical="center"/>
    </xf>
    <xf numFmtId="164" fontId="4" fillId="29" borderId="13" xfId="57" applyNumberFormat="1" applyFont="1" applyFill="1" applyBorder="1">
      <alignment horizontal="left" vertical="center"/>
    </xf>
    <xf numFmtId="164" fontId="9" fillId="29" borderId="0" xfId="57" applyNumberFormat="1" applyFont="1" applyFill="1" applyBorder="1" applyAlignment="1">
      <alignment horizontal="right" vertical="center"/>
    </xf>
    <xf numFmtId="164" fontId="47" fillId="29" borderId="0" xfId="57" applyNumberFormat="1" applyFont="1" applyFill="1" applyBorder="1" applyAlignment="1">
      <alignment horizontal="right" vertical="center"/>
    </xf>
    <xf numFmtId="167" fontId="9" fillId="29" borderId="0" xfId="57" applyNumberFormat="1" applyFont="1" applyFill="1" applyBorder="1" applyAlignment="1">
      <alignment horizontal="right" vertical="center"/>
    </xf>
    <xf numFmtId="164" fontId="41" fillId="29" borderId="0" xfId="57" applyNumberFormat="1" applyFont="1" applyFill="1" applyBorder="1" applyAlignment="1">
      <alignment horizontal="right" vertical="center"/>
    </xf>
    <xf numFmtId="164" fontId="65" fillId="29" borderId="0" xfId="57" applyNumberFormat="1" applyFont="1" applyFill="1" applyBorder="1" applyAlignment="1">
      <alignment horizontal="right" vertical="center"/>
    </xf>
    <xf numFmtId="164" fontId="10" fillId="29" borderId="0" xfId="57" applyNumberFormat="1" applyFont="1" applyFill="1" applyBorder="1" applyAlignment="1">
      <alignment horizontal="right" vertical="center"/>
    </xf>
    <xf numFmtId="164" fontId="10" fillId="29" borderId="0" xfId="0" applyNumberFormat="1" applyFont="1" applyFill="1" applyAlignment="1">
      <alignment horizontal="right"/>
    </xf>
    <xf numFmtId="164" fontId="10" fillId="29" borderId="40" xfId="0" applyNumberFormat="1" applyFont="1" applyFill="1" applyBorder="1" applyAlignment="1">
      <alignment horizontal="right"/>
    </xf>
    <xf numFmtId="164" fontId="81" fillId="29" borderId="0" xfId="57" applyNumberFormat="1" applyFont="1" applyFill="1" applyBorder="1" applyAlignment="1">
      <alignment horizontal="right" vertical="center"/>
    </xf>
    <xf numFmtId="164" fontId="43" fillId="29" borderId="0" xfId="57" applyNumberFormat="1" applyFont="1" applyFill="1" applyBorder="1" applyAlignment="1">
      <alignment horizontal="right" vertical="center"/>
    </xf>
    <xf numFmtId="0" fontId="7" fillId="31" borderId="0" xfId="57" applyFont="1" applyFill="1" applyBorder="1">
      <alignment horizontal="left" vertical="center"/>
    </xf>
    <xf numFmtId="0" fontId="0" fillId="31" borderId="0" xfId="0" applyFill="1"/>
    <xf numFmtId="0" fontId="14" fillId="31" borderId="0" xfId="0" applyFont="1" applyFill="1"/>
    <xf numFmtId="0" fontId="9" fillId="31" borderId="0" xfId="58" applyFont="1" applyFill="1" applyBorder="1">
      <alignment horizontal="left" vertical="center"/>
    </xf>
    <xf numFmtId="0" fontId="39" fillId="31" borderId="0" xfId="51" applyFont="1" applyFill="1" applyBorder="1">
      <alignment horizontal="right" vertical="center"/>
    </xf>
    <xf numFmtId="165" fontId="39" fillId="31" borderId="0" xfId="51" applyNumberFormat="1" applyFont="1" applyFill="1" applyBorder="1">
      <alignment horizontal="right" vertical="center"/>
    </xf>
    <xf numFmtId="1" fontId="40" fillId="31" borderId="0" xfId="51" applyNumberFormat="1" applyFont="1" applyFill="1" applyBorder="1">
      <alignment horizontal="right" vertical="center"/>
    </xf>
    <xf numFmtId="2" fontId="9" fillId="31" borderId="0" xfId="51" applyNumberFormat="1" applyFont="1" applyFill="1" applyBorder="1">
      <alignment horizontal="right" vertical="center"/>
    </xf>
    <xf numFmtId="1" fontId="9" fillId="31" borderId="0" xfId="51" applyNumberFormat="1" applyFont="1" applyFill="1" applyBorder="1">
      <alignment horizontal="right" vertical="center"/>
    </xf>
    <xf numFmtId="164" fontId="0" fillId="31" borderId="0" xfId="0" applyNumberFormat="1" applyFill="1"/>
    <xf numFmtId="1" fontId="39" fillId="31" borderId="0" xfId="51" applyNumberFormat="1" applyFont="1" applyFill="1" applyBorder="1">
      <alignment horizontal="right" vertical="center"/>
    </xf>
    <xf numFmtId="1" fontId="7" fillId="31" borderId="0" xfId="57" applyNumberFormat="1" applyFont="1" applyFill="1" applyBorder="1">
      <alignment horizontal="left" vertical="center"/>
    </xf>
    <xf numFmtId="167" fontId="39" fillId="31" borderId="0" xfId="51" applyNumberFormat="1" applyFont="1" applyFill="1" applyBorder="1">
      <alignment horizontal="right" vertical="center"/>
    </xf>
    <xf numFmtId="1" fontId="9" fillId="31" borderId="0" xfId="57" applyNumberFormat="1" applyFont="1" applyFill="1" applyBorder="1" applyAlignment="1">
      <alignment horizontal="right" vertical="center"/>
    </xf>
    <xf numFmtId="164" fontId="39" fillId="31" borderId="0" xfId="51" applyNumberFormat="1" applyFont="1" applyFill="1" applyBorder="1">
      <alignment horizontal="right" vertical="center"/>
    </xf>
    <xf numFmtId="164" fontId="40" fillId="31" borderId="0" xfId="51" applyNumberFormat="1" applyFont="1" applyFill="1" applyBorder="1">
      <alignment horizontal="right" vertical="center"/>
    </xf>
    <xf numFmtId="164" fontId="10" fillId="31" borderId="0" xfId="51" applyNumberFormat="1" applyFont="1" applyFill="1" applyBorder="1">
      <alignment horizontal="right" vertical="center"/>
    </xf>
    <xf numFmtId="0" fontId="44" fillId="31" borderId="0" xfId="57" applyFont="1" applyFill="1" applyBorder="1">
      <alignment horizontal="left" vertical="center"/>
    </xf>
    <xf numFmtId="0" fontId="9" fillId="31" borderId="0" xfId="0" applyFont="1" applyFill="1"/>
    <xf numFmtId="1" fontId="66" fillId="31" borderId="0" xfId="51" applyNumberFormat="1" applyFont="1" applyFill="1" applyBorder="1">
      <alignment horizontal="right" vertical="center"/>
    </xf>
    <xf numFmtId="1" fontId="8" fillId="31" borderId="0" xfId="51" applyNumberFormat="1" applyFont="1" applyFill="1" applyBorder="1">
      <alignment horizontal="right" vertical="center"/>
    </xf>
    <xf numFmtId="1" fontId="10" fillId="31" borderId="0" xfId="57" applyNumberFormat="1" applyFont="1" applyFill="1" applyBorder="1" applyAlignment="1">
      <alignment horizontal="right" vertical="center"/>
    </xf>
    <xf numFmtId="0" fontId="10" fillId="31" borderId="0" xfId="0" applyFont="1" applyFill="1"/>
    <xf numFmtId="0" fontId="64" fillId="31" borderId="0" xfId="0" applyFont="1" applyFill="1"/>
    <xf numFmtId="0" fontId="9" fillId="31" borderId="0" xfId="57" applyFont="1" applyFill="1" applyBorder="1">
      <alignment horizontal="left" vertical="center"/>
    </xf>
    <xf numFmtId="0" fontId="76" fillId="31" borderId="0" xfId="0" applyFont="1" applyFill="1"/>
    <xf numFmtId="0" fontId="7" fillId="31" borderId="12" xfId="57" applyFont="1" applyFill="1" applyBorder="1">
      <alignment horizontal="left" vertical="center"/>
    </xf>
    <xf numFmtId="0" fontId="7" fillId="31" borderId="13" xfId="57" applyFont="1" applyFill="1" applyBorder="1">
      <alignment horizontal="left" vertical="center"/>
    </xf>
    <xf numFmtId="0" fontId="7" fillId="31" borderId="40" xfId="57" applyFont="1" applyFill="1" applyBorder="1">
      <alignment horizontal="left" vertical="center"/>
    </xf>
    <xf numFmtId="164" fontId="9" fillId="31" borderId="0" xfId="0" applyNumberFormat="1" applyFont="1" applyFill="1"/>
    <xf numFmtId="164" fontId="9" fillId="31" borderId="40" xfId="0" applyNumberFormat="1" applyFont="1" applyFill="1" applyBorder="1"/>
    <xf numFmtId="164" fontId="41" fillId="31" borderId="0" xfId="0" applyNumberFormat="1" applyFont="1" applyFill="1"/>
    <xf numFmtId="164" fontId="7" fillId="31" borderId="0" xfId="57" applyNumberFormat="1" applyFont="1" applyFill="1" applyBorder="1">
      <alignment horizontal="left" vertical="center"/>
    </xf>
    <xf numFmtId="164" fontId="7" fillId="31" borderId="40" xfId="57" applyNumberFormat="1" applyFont="1" applyFill="1" applyBorder="1">
      <alignment horizontal="left" vertical="center"/>
    </xf>
    <xf numFmtId="164" fontId="9" fillId="31" borderId="0" xfId="0" applyNumberFormat="1" applyFont="1" applyFill="1" applyAlignment="1">
      <alignment horizontal="right"/>
    </xf>
    <xf numFmtId="164" fontId="9" fillId="31" borderId="40" xfId="0" applyNumberFormat="1" applyFont="1" applyFill="1" applyBorder="1" applyAlignment="1">
      <alignment horizontal="right"/>
    </xf>
    <xf numFmtId="164" fontId="9" fillId="31" borderId="0" xfId="0" applyNumberFormat="1" applyFont="1" applyFill="1" applyBorder="1"/>
    <xf numFmtId="164" fontId="8" fillId="31" borderId="0" xfId="0" applyNumberFormat="1" applyFont="1" applyFill="1"/>
    <xf numFmtId="164" fontId="9" fillId="31" borderId="0" xfId="57" applyNumberFormat="1" applyFont="1" applyFill="1" applyBorder="1" applyAlignment="1">
      <alignment horizontal="right" vertical="center"/>
    </xf>
    <xf numFmtId="164" fontId="41" fillId="31" borderId="0" xfId="57" applyNumberFormat="1" applyFont="1" applyFill="1" applyBorder="1" applyAlignment="1">
      <alignment horizontal="right" vertical="center"/>
    </xf>
    <xf numFmtId="164" fontId="10" fillId="31" borderId="0" xfId="57" applyNumberFormat="1" applyFont="1" applyFill="1" applyBorder="1" applyAlignment="1">
      <alignment horizontal="right" vertical="center"/>
    </xf>
    <xf numFmtId="164" fontId="43" fillId="31" borderId="0" xfId="57" applyNumberFormat="1" applyFont="1" applyFill="1" applyBorder="1" applyAlignment="1">
      <alignment horizontal="right" vertical="center"/>
    </xf>
    <xf numFmtId="1" fontId="39" fillId="31" borderId="0" xfId="0" applyNumberFormat="1" applyFont="1" applyFill="1"/>
    <xf numFmtId="167" fontId="8" fillId="31" borderId="13" xfId="57" applyNumberFormat="1" applyFont="1" applyFill="1" applyBorder="1" applyAlignment="1">
      <alignment horizontal="right" vertical="center"/>
    </xf>
    <xf numFmtId="0" fontId="7" fillId="31" borderId="42" xfId="57" applyFont="1" applyFill="1" applyBorder="1">
      <alignment horizontal="left" vertical="center"/>
    </xf>
    <xf numFmtId="1" fontId="9" fillId="31" borderId="0" xfId="0" applyNumberFormat="1" applyFont="1" applyFill="1"/>
    <xf numFmtId="1" fontId="41" fillId="31" borderId="0" xfId="0" applyNumberFormat="1" applyFont="1" applyFill="1"/>
    <xf numFmtId="1" fontId="9" fillId="31" borderId="40" xfId="0" applyNumberFormat="1" applyFont="1" applyFill="1" applyBorder="1" applyAlignment="1">
      <alignment horizontal="right"/>
    </xf>
    <xf numFmtId="1" fontId="9" fillId="31" borderId="40" xfId="0" applyNumberFormat="1" applyFont="1" applyFill="1" applyBorder="1"/>
    <xf numFmtId="1" fontId="41" fillId="31" borderId="0" xfId="0" applyNumberFormat="1" applyFont="1" applyFill="1" applyAlignment="1">
      <alignment horizontal="right"/>
    </xf>
    <xf numFmtId="1" fontId="56" fillId="31" borderId="40" xfId="0" applyNumberFormat="1" applyFont="1" applyFill="1" applyBorder="1" applyAlignment="1">
      <alignment horizontal="right"/>
    </xf>
    <xf numFmtId="9" fontId="41" fillId="31" borderId="0" xfId="50" applyFont="1" applyFill="1" applyBorder="1" applyAlignment="1">
      <alignment horizontal="right" vertical="center"/>
    </xf>
    <xf numFmtId="164" fontId="9" fillId="31" borderId="40" xfId="57" applyNumberFormat="1" applyFont="1" applyFill="1" applyBorder="1" applyAlignment="1">
      <alignment horizontal="right" vertical="center"/>
    </xf>
    <xf numFmtId="168" fontId="41" fillId="31" borderId="0" xfId="57" applyNumberFormat="1" applyFont="1" applyFill="1" applyBorder="1" applyAlignment="1">
      <alignment horizontal="right" vertical="center"/>
    </xf>
    <xf numFmtId="168" fontId="9" fillId="31" borderId="40" xfId="50" applyNumberFormat="1" applyFont="1" applyFill="1" applyBorder="1" applyAlignment="1">
      <alignment horizontal="right" vertical="center"/>
    </xf>
    <xf numFmtId="0" fontId="9" fillId="31" borderId="40" xfId="57" applyFont="1" applyFill="1" applyBorder="1">
      <alignment horizontal="left" vertical="center"/>
    </xf>
    <xf numFmtId="0" fontId="9" fillId="31" borderId="26" xfId="57" applyFont="1" applyFill="1" applyBorder="1">
      <alignment horizontal="left" vertical="center"/>
    </xf>
    <xf numFmtId="164" fontId="9" fillId="31" borderId="26" xfId="57" applyNumberFormat="1" applyFont="1" applyFill="1" applyBorder="1" applyAlignment="1">
      <alignment horizontal="right" vertical="center"/>
    </xf>
    <xf numFmtId="0" fontId="9" fillId="31" borderId="27" xfId="57" applyFont="1" applyFill="1" applyBorder="1">
      <alignment horizontal="left" vertical="center"/>
    </xf>
    <xf numFmtId="166" fontId="40" fillId="31" borderId="0" xfId="0" applyNumberFormat="1" applyFont="1" applyFill="1"/>
    <xf numFmtId="9" fontId="42" fillId="31" borderId="0" xfId="50" applyFont="1" applyFill="1" applyAlignment="1">
      <alignment horizontal="right"/>
    </xf>
    <xf numFmtId="9" fontId="40" fillId="31" borderId="40" xfId="50" applyFont="1" applyFill="1" applyBorder="1" applyAlignment="1">
      <alignment horizontal="right"/>
    </xf>
    <xf numFmtId="1" fontId="8" fillId="31" borderId="0" xfId="0" applyNumberFormat="1" applyFont="1" applyFill="1"/>
    <xf numFmtId="1" fontId="9" fillId="31" borderId="0" xfId="0" applyNumberFormat="1" applyFont="1" applyFill="1" applyAlignment="1">
      <alignment horizontal="right"/>
    </xf>
    <xf numFmtId="166" fontId="10" fillId="31" borderId="0" xfId="0" applyNumberFormat="1" applyFont="1" applyFill="1"/>
    <xf numFmtId="9" fontId="10" fillId="31" borderId="0" xfId="50" applyFont="1" applyFill="1" applyAlignment="1">
      <alignment horizontal="right"/>
    </xf>
    <xf numFmtId="9" fontId="10" fillId="31" borderId="40" xfId="50" applyFont="1" applyFill="1" applyBorder="1" applyAlignment="1">
      <alignment horizontal="right"/>
    </xf>
    <xf numFmtId="166" fontId="10" fillId="31" borderId="40" xfId="0" applyNumberFormat="1" applyFont="1" applyFill="1" applyBorder="1" applyAlignment="1">
      <alignment horizontal="right"/>
    </xf>
    <xf numFmtId="9" fontId="43" fillId="31" borderId="0" xfId="50" applyFont="1" applyFill="1" applyAlignment="1">
      <alignment horizontal="right"/>
    </xf>
    <xf numFmtId="168" fontId="10" fillId="31" borderId="0" xfId="0" applyNumberFormat="1" applyFont="1" applyFill="1"/>
    <xf numFmtId="168" fontId="43" fillId="31" borderId="0" xfId="50" applyNumberFormat="1" applyFont="1" applyFill="1" applyAlignment="1">
      <alignment horizontal="right"/>
    </xf>
    <xf numFmtId="168" fontId="10" fillId="31" borderId="40" xfId="50" applyNumberFormat="1" applyFont="1" applyFill="1" applyBorder="1" applyAlignment="1">
      <alignment horizontal="right"/>
    </xf>
    <xf numFmtId="0" fontId="44" fillId="31" borderId="40" xfId="57" applyFont="1" applyFill="1" applyBorder="1">
      <alignment horizontal="left" vertical="center"/>
    </xf>
    <xf numFmtId="168" fontId="10" fillId="31" borderId="0" xfId="50" applyNumberFormat="1" applyFont="1" applyFill="1" applyAlignment="1">
      <alignment horizontal="right"/>
    </xf>
    <xf numFmtId="0" fontId="9" fillId="31" borderId="40" xfId="0" applyFont="1" applyFill="1" applyBorder="1"/>
    <xf numFmtId="2" fontId="9" fillId="31" borderId="0" xfId="0" applyNumberFormat="1" applyFont="1" applyFill="1"/>
    <xf numFmtId="168" fontId="41" fillId="31" borderId="0" xfId="50" applyNumberFormat="1" applyFont="1" applyFill="1"/>
    <xf numFmtId="9" fontId="9" fillId="31" borderId="40" xfId="50" applyFont="1" applyFill="1" applyBorder="1"/>
    <xf numFmtId="164" fontId="9" fillId="31" borderId="12" xfId="0" applyNumberFormat="1" applyFont="1" applyFill="1" applyBorder="1"/>
    <xf numFmtId="164" fontId="41" fillId="31" borderId="12" xfId="0" applyNumberFormat="1" applyFont="1" applyFill="1" applyBorder="1"/>
    <xf numFmtId="164" fontId="9" fillId="31" borderId="41" xfId="0" applyNumberFormat="1" applyFont="1" applyFill="1" applyBorder="1" applyAlignment="1">
      <alignment horizontal="right"/>
    </xf>
    <xf numFmtId="164" fontId="9" fillId="31" borderId="0" xfId="0" applyNumberFormat="1" applyFont="1" applyFill="1" applyBorder="1" applyAlignment="1">
      <alignment horizontal="right"/>
    </xf>
    <xf numFmtId="164" fontId="9" fillId="31" borderId="13" xfId="0" applyNumberFormat="1" applyFont="1" applyFill="1" applyBorder="1" applyAlignment="1">
      <alignment horizontal="right"/>
    </xf>
    <xf numFmtId="1" fontId="66" fillId="31" borderId="0" xfId="0" applyNumberFormat="1" applyFont="1" applyFill="1" applyBorder="1"/>
    <xf numFmtId="164" fontId="66" fillId="31" borderId="0" xfId="0" applyNumberFormat="1" applyFont="1" applyFill="1" applyBorder="1" applyAlignment="1">
      <alignment horizontal="right"/>
    </xf>
    <xf numFmtId="164" fontId="66" fillId="31" borderId="40" xfId="0" applyNumberFormat="1" applyFont="1" applyFill="1" applyBorder="1" applyAlignment="1">
      <alignment horizontal="right"/>
    </xf>
    <xf numFmtId="164" fontId="10" fillId="31" borderId="0" xfId="0" applyNumberFormat="1" applyFont="1" applyFill="1" applyBorder="1" applyAlignment="1">
      <alignment horizontal="right"/>
    </xf>
    <xf numFmtId="164" fontId="8" fillId="31" borderId="0" xfId="0" applyNumberFormat="1" applyFont="1" applyFill="1" applyBorder="1"/>
    <xf numFmtId="164" fontId="8" fillId="31" borderId="0" xfId="0" applyNumberFormat="1" applyFont="1" applyFill="1" applyBorder="1" applyAlignment="1">
      <alignment horizontal="right"/>
    </xf>
    <xf numFmtId="164" fontId="8" fillId="31" borderId="40" xfId="0" applyNumberFormat="1" applyFont="1" applyFill="1" applyBorder="1" applyAlignment="1">
      <alignment horizontal="right"/>
    </xf>
    <xf numFmtId="2" fontId="9" fillId="31" borderId="0" xfId="0" applyNumberFormat="1" applyFont="1" applyFill="1" applyBorder="1"/>
    <xf numFmtId="164" fontId="41" fillId="31" borderId="0" xfId="0" applyNumberFormat="1" applyFont="1" applyFill="1" applyBorder="1" applyAlignment="1">
      <alignment horizontal="right"/>
    </xf>
    <xf numFmtId="9" fontId="41" fillId="31" borderId="0" xfId="50" applyFont="1" applyFill="1" applyBorder="1" applyAlignment="1">
      <alignment horizontal="right"/>
    </xf>
    <xf numFmtId="164" fontId="81" fillId="31" borderId="0" xfId="57" applyNumberFormat="1" applyFont="1" applyFill="1" applyBorder="1">
      <alignment horizontal="left" vertical="center"/>
    </xf>
    <xf numFmtId="164" fontId="81" fillId="31" borderId="0" xfId="57" applyNumberFormat="1" applyFont="1" applyFill="1" applyBorder="1" applyAlignment="1">
      <alignment horizontal="right" vertical="center"/>
    </xf>
    <xf numFmtId="164" fontId="81" fillId="31" borderId="40" xfId="57" applyNumberFormat="1" applyFont="1" applyFill="1" applyBorder="1" applyAlignment="1">
      <alignment horizontal="right" vertical="center"/>
    </xf>
    <xf numFmtId="168" fontId="44" fillId="31" borderId="0" xfId="57" applyNumberFormat="1" applyFont="1" applyFill="1" applyBorder="1">
      <alignment horizontal="left" vertical="center"/>
    </xf>
    <xf numFmtId="168" fontId="43" fillId="31" borderId="0" xfId="50" applyNumberFormat="1" applyFont="1" applyFill="1" applyBorder="1" applyAlignment="1">
      <alignment horizontal="right" vertical="center"/>
    </xf>
    <xf numFmtId="168" fontId="43" fillId="31" borderId="40" xfId="50" applyNumberFormat="1" applyFont="1" applyFill="1" applyBorder="1" applyAlignment="1">
      <alignment horizontal="right" vertical="center"/>
    </xf>
    <xf numFmtId="2" fontId="81" fillId="31" borderId="13" xfId="57" applyNumberFormat="1" applyFont="1" applyFill="1" applyBorder="1" applyAlignment="1">
      <alignment horizontal="right" vertical="center"/>
    </xf>
    <xf numFmtId="164" fontId="81" fillId="31" borderId="13" xfId="57" applyNumberFormat="1" applyFont="1" applyFill="1" applyBorder="1" applyAlignment="1">
      <alignment horizontal="right" vertical="center"/>
    </xf>
    <xf numFmtId="2" fontId="81" fillId="31" borderId="42" xfId="57" applyNumberFormat="1" applyFont="1" applyFill="1" applyBorder="1" applyAlignment="1">
      <alignment horizontal="right" vertical="center"/>
    </xf>
    <xf numFmtId="164" fontId="44" fillId="31" borderId="0" xfId="57" applyNumberFormat="1" applyFont="1" applyFill="1" applyBorder="1">
      <alignment horizontal="left" vertical="center"/>
    </xf>
    <xf numFmtId="164" fontId="43" fillId="31" borderId="40" xfId="57" applyNumberFormat="1" applyFont="1" applyFill="1" applyBorder="1" applyAlignment="1">
      <alignment horizontal="right" vertical="center"/>
    </xf>
    <xf numFmtId="164" fontId="44" fillId="31" borderId="12" xfId="57" applyNumberFormat="1" applyFont="1" applyFill="1" applyBorder="1">
      <alignment horizontal="left" vertical="center"/>
    </xf>
    <xf numFmtId="164" fontId="9" fillId="31" borderId="12" xfId="57" applyNumberFormat="1" applyFont="1" applyFill="1" applyBorder="1" applyAlignment="1">
      <alignment horizontal="right" vertical="center"/>
    </xf>
    <xf numFmtId="164" fontId="43" fillId="31" borderId="41" xfId="57" applyNumberFormat="1" applyFont="1" applyFill="1" applyBorder="1" applyAlignment="1">
      <alignment horizontal="right" vertical="center"/>
    </xf>
    <xf numFmtId="164" fontId="9" fillId="31" borderId="0" xfId="57" applyNumberFormat="1" applyFont="1" applyFill="1" applyBorder="1">
      <alignment horizontal="left" vertical="center"/>
    </xf>
    <xf numFmtId="164" fontId="10" fillId="31" borderId="0" xfId="57" applyNumberFormat="1" applyFont="1" applyFill="1" applyBorder="1">
      <alignment horizontal="left" vertical="center"/>
    </xf>
    <xf numFmtId="164" fontId="10" fillId="31" borderId="40" xfId="57" applyNumberFormat="1" applyFont="1" applyFill="1" applyBorder="1" applyAlignment="1">
      <alignment horizontal="right" vertical="center"/>
    </xf>
    <xf numFmtId="9" fontId="10" fillId="31" borderId="40" xfId="50" applyFont="1" applyFill="1" applyBorder="1" applyAlignment="1">
      <alignment horizontal="right" vertical="center"/>
    </xf>
    <xf numFmtId="164" fontId="10" fillId="31" borderId="13" xfId="57" applyNumberFormat="1" applyFont="1" applyFill="1" applyBorder="1">
      <alignment horizontal="left" vertical="center"/>
    </xf>
    <xf numFmtId="164" fontId="43" fillId="31" borderId="13" xfId="57" applyNumberFormat="1" applyFont="1" applyFill="1" applyBorder="1" applyAlignment="1">
      <alignment horizontal="right" vertical="center"/>
    </xf>
    <xf numFmtId="164" fontId="10" fillId="31" borderId="42" xfId="57" applyNumberFormat="1" applyFont="1" applyFill="1" applyBorder="1" applyAlignment="1">
      <alignment horizontal="right" vertical="center"/>
    </xf>
    <xf numFmtId="1" fontId="9" fillId="31" borderId="0" xfId="0" applyNumberFormat="1" applyFont="1" applyFill="1" applyBorder="1"/>
    <xf numFmtId="1" fontId="41" fillId="31" borderId="0" xfId="0" applyNumberFormat="1" applyFont="1" applyFill="1" applyBorder="1"/>
    <xf numFmtId="164" fontId="10" fillId="31" borderId="18" xfId="57" applyNumberFormat="1" applyFont="1" applyFill="1" applyBorder="1" applyAlignment="1">
      <alignment horizontal="right" vertical="center"/>
    </xf>
    <xf numFmtId="164" fontId="9" fillId="31" borderId="18" xfId="57" applyNumberFormat="1" applyFont="1" applyFill="1" applyBorder="1" applyAlignment="1">
      <alignment horizontal="right" vertical="center"/>
    </xf>
    <xf numFmtId="164" fontId="9" fillId="31" borderId="18" xfId="0" applyNumberFormat="1" applyFont="1" applyFill="1" applyBorder="1" applyAlignment="1">
      <alignment horizontal="right"/>
    </xf>
    <xf numFmtId="164" fontId="9" fillId="31" borderId="43" xfId="0" applyNumberFormat="1" applyFont="1" applyFill="1" applyBorder="1" applyAlignment="1">
      <alignment horizontal="right"/>
    </xf>
    <xf numFmtId="1" fontId="9" fillId="31" borderId="0" xfId="0" applyNumberFormat="1" applyFont="1" applyFill="1" applyBorder="1" applyAlignment="1">
      <alignment horizontal="right"/>
    </xf>
    <xf numFmtId="164" fontId="9" fillId="31" borderId="21" xfId="57" applyNumberFormat="1" applyFont="1" applyFill="1" applyBorder="1" applyAlignment="1">
      <alignment horizontal="right" vertical="center"/>
    </xf>
    <xf numFmtId="9" fontId="10" fillId="31" borderId="44" xfId="50" applyFont="1" applyFill="1" applyBorder="1" applyAlignment="1">
      <alignment horizontal="right"/>
    </xf>
    <xf numFmtId="44" fontId="43" fillId="31" borderId="0" xfId="34" applyFont="1" applyFill="1" applyBorder="1" applyAlignment="1">
      <alignment horizontal="right" vertical="center"/>
    </xf>
    <xf numFmtId="44" fontId="43" fillId="31" borderId="40" xfId="34" applyFont="1" applyFill="1" applyBorder="1" applyAlignment="1">
      <alignment horizontal="right" vertical="center"/>
    </xf>
    <xf numFmtId="9" fontId="10" fillId="31" borderId="0" xfId="50" applyFont="1" applyFill="1" applyBorder="1" applyAlignment="1">
      <alignment horizontal="right" vertical="center"/>
    </xf>
    <xf numFmtId="9" fontId="43" fillId="31" borderId="0" xfId="57" applyNumberFormat="1" applyFont="1" applyFill="1" applyBorder="1" applyAlignment="1">
      <alignment horizontal="right" vertical="center"/>
    </xf>
    <xf numFmtId="166" fontId="48" fillId="31" borderId="0" xfId="57" applyNumberFormat="1" applyFont="1" applyFill="1" applyBorder="1" applyAlignment="1">
      <alignment horizontal="right" vertical="center"/>
    </xf>
    <xf numFmtId="175" fontId="39" fillId="31" borderId="40" xfId="57" applyNumberFormat="1" applyFont="1" applyFill="1" applyBorder="1" applyAlignment="1">
      <alignment horizontal="right" vertical="center"/>
    </xf>
    <xf numFmtId="1" fontId="43" fillId="31" borderId="0" xfId="0" applyNumberFormat="1" applyFont="1" applyFill="1"/>
    <xf numFmtId="1" fontId="10" fillId="31" borderId="40" xfId="0" applyNumberFormat="1" applyFont="1" applyFill="1" applyBorder="1"/>
    <xf numFmtId="1" fontId="10" fillId="31" borderId="0" xfId="50" applyNumberFormat="1" applyFont="1" applyFill="1" applyBorder="1" applyAlignment="1">
      <alignment horizontal="right" vertical="center"/>
    </xf>
    <xf numFmtId="1" fontId="9" fillId="31" borderId="40" xfId="57" applyNumberFormat="1" applyFont="1" applyFill="1" applyBorder="1" applyAlignment="1">
      <alignment horizontal="right" vertical="center"/>
    </xf>
    <xf numFmtId="1" fontId="64" fillId="31" borderId="0" xfId="0" applyNumberFormat="1" applyFont="1" applyFill="1"/>
    <xf numFmtId="1" fontId="63" fillId="31" borderId="0" xfId="50" applyNumberFormat="1" applyFont="1" applyFill="1" applyBorder="1" applyAlignment="1">
      <alignment horizontal="right" vertical="center"/>
    </xf>
    <xf numFmtId="1" fontId="64" fillId="31" borderId="0" xfId="57" applyNumberFormat="1" applyFont="1" applyFill="1" applyBorder="1" applyAlignment="1">
      <alignment horizontal="right" vertical="center"/>
    </xf>
    <xf numFmtId="1" fontId="64" fillId="31" borderId="40" xfId="57" applyNumberFormat="1" applyFont="1" applyFill="1" applyBorder="1" applyAlignment="1">
      <alignment horizontal="right" vertical="center"/>
    </xf>
    <xf numFmtId="1" fontId="39" fillId="31" borderId="40" xfId="57" applyNumberFormat="1" applyFont="1" applyFill="1" applyBorder="1" applyAlignment="1">
      <alignment horizontal="right" vertical="center"/>
    </xf>
    <xf numFmtId="1" fontId="9" fillId="31" borderId="40" xfId="50" applyNumberFormat="1" applyFont="1" applyFill="1" applyBorder="1"/>
    <xf numFmtId="1" fontId="10" fillId="31" borderId="0" xfId="0" applyNumberFormat="1" applyFont="1" applyFill="1"/>
    <xf numFmtId="1" fontId="39" fillId="31" borderId="0" xfId="57" applyNumberFormat="1" applyFont="1" applyFill="1" applyBorder="1" applyAlignment="1">
      <alignment horizontal="right" vertical="center"/>
    </xf>
    <xf numFmtId="1" fontId="10" fillId="31" borderId="40" xfId="50" applyNumberFormat="1" applyFont="1" applyFill="1" applyBorder="1" applyAlignment="1">
      <alignment horizontal="right" vertical="center"/>
    </xf>
    <xf numFmtId="1" fontId="43" fillId="31" borderId="0" xfId="57" applyNumberFormat="1" applyFont="1" applyFill="1" applyBorder="1" applyAlignment="1">
      <alignment horizontal="right" vertical="center"/>
    </xf>
    <xf numFmtId="1" fontId="43" fillId="31" borderId="40" xfId="57" applyNumberFormat="1" applyFont="1" applyFill="1" applyBorder="1" applyAlignment="1">
      <alignment horizontal="center" vertical="center"/>
    </xf>
    <xf numFmtId="1" fontId="10" fillId="31" borderId="40" xfId="57" applyNumberFormat="1" applyFont="1" applyFill="1" applyBorder="1" applyAlignment="1">
      <alignment horizontal="right" vertical="center"/>
    </xf>
    <xf numFmtId="1" fontId="10" fillId="31" borderId="28" xfId="57" applyNumberFormat="1" applyFont="1" applyFill="1" applyBorder="1" applyAlignment="1">
      <alignment horizontal="right" vertical="center"/>
    </xf>
    <xf numFmtId="1" fontId="9" fillId="31" borderId="28" xfId="57" applyNumberFormat="1" applyFont="1" applyFill="1" applyBorder="1" applyAlignment="1">
      <alignment horizontal="right" vertical="center"/>
    </xf>
    <xf numFmtId="1" fontId="10" fillId="31" borderId="45" xfId="57" applyNumberFormat="1" applyFont="1" applyFill="1" applyBorder="1" applyAlignment="1">
      <alignment horizontal="right" vertical="center"/>
    </xf>
    <xf numFmtId="9" fontId="56" fillId="31" borderId="0" xfId="50" applyFont="1" applyFill="1" applyBorder="1" applyAlignment="1">
      <alignment horizontal="right" vertical="center"/>
    </xf>
    <xf numFmtId="9" fontId="56" fillId="31" borderId="40" xfId="50" applyFont="1" applyFill="1" applyBorder="1" applyAlignment="1">
      <alignment horizontal="right" vertical="center"/>
    </xf>
    <xf numFmtId="167" fontId="9" fillId="31" borderId="0" xfId="0" applyNumberFormat="1" applyFont="1" applyFill="1"/>
    <xf numFmtId="167" fontId="9" fillId="31" borderId="40" xfId="0" applyNumberFormat="1" applyFont="1" applyFill="1" applyBorder="1"/>
    <xf numFmtId="167" fontId="8" fillId="31" borderId="0" xfId="0" applyNumberFormat="1" applyFont="1" applyFill="1"/>
    <xf numFmtId="167" fontId="9" fillId="31" borderId="40" xfId="57" applyNumberFormat="1" applyFont="1" applyFill="1" applyBorder="1" applyAlignment="1">
      <alignment horizontal="right" vertical="center"/>
    </xf>
    <xf numFmtId="164" fontId="56" fillId="31" borderId="0" xfId="57" applyNumberFormat="1" applyFont="1" applyFill="1" applyBorder="1" applyAlignment="1">
      <alignment horizontal="right" vertical="center"/>
    </xf>
    <xf numFmtId="164" fontId="58" fillId="31" borderId="40" xfId="57" applyNumberFormat="1" applyFont="1" applyFill="1" applyBorder="1" applyAlignment="1">
      <alignment horizontal="right" vertical="center"/>
    </xf>
    <xf numFmtId="0" fontId="9" fillId="31" borderId="42" xfId="0" applyFont="1" applyFill="1" applyBorder="1"/>
    <xf numFmtId="167" fontId="9" fillId="31" borderId="13" xfId="0" applyNumberFormat="1" applyFont="1" applyFill="1" applyBorder="1"/>
    <xf numFmtId="2" fontId="8" fillId="31" borderId="0" xfId="0" applyNumberFormat="1" applyFont="1" applyFill="1"/>
    <xf numFmtId="2" fontId="9" fillId="31" borderId="13" xfId="0" applyNumberFormat="1" applyFont="1" applyFill="1" applyBorder="1"/>
    <xf numFmtId="2" fontId="9" fillId="31" borderId="0" xfId="57" applyNumberFormat="1" applyFont="1" applyFill="1" applyBorder="1">
      <alignment horizontal="left" vertical="center"/>
    </xf>
    <xf numFmtId="2" fontId="36" fillId="31" borderId="13" xfId="57" applyNumberFormat="1" applyFont="1" applyFill="1" applyBorder="1">
      <alignment horizontal="left" vertical="center"/>
    </xf>
    <xf numFmtId="0" fontId="8" fillId="31" borderId="13" xfId="57" applyFont="1" applyFill="1" applyBorder="1">
      <alignment horizontal="left" vertical="center"/>
    </xf>
    <xf numFmtId="0" fontId="9" fillId="31" borderId="13" xfId="57" applyFont="1" applyFill="1" applyBorder="1">
      <alignment horizontal="left" vertical="center"/>
    </xf>
    <xf numFmtId="167" fontId="8" fillId="31" borderId="13" xfId="57" applyNumberFormat="1" applyFont="1" applyFill="1" applyBorder="1">
      <alignment horizontal="left" vertical="center"/>
    </xf>
    <xf numFmtId="164" fontId="9" fillId="31" borderId="13" xfId="57" applyNumberFormat="1" applyFont="1" applyFill="1" applyBorder="1">
      <alignment horizontal="left" vertical="center"/>
    </xf>
    <xf numFmtId="1" fontId="40" fillId="31" borderId="0" xfId="43" applyNumberFormat="1" applyFont="1" applyFill="1">
      <alignment horizontal="left" vertical="center"/>
    </xf>
    <xf numFmtId="1" fontId="9" fillId="31" borderId="0" xfId="43" applyNumberFormat="1" applyFont="1" applyFill="1">
      <alignment horizontal="left" vertical="center"/>
    </xf>
    <xf numFmtId="168" fontId="41" fillId="31" borderId="0" xfId="50" applyNumberFormat="1" applyFont="1" applyFill="1" applyBorder="1" applyAlignment="1">
      <alignment horizontal="right" vertical="center"/>
    </xf>
    <xf numFmtId="2" fontId="39" fillId="31" borderId="0" xfId="57" applyNumberFormat="1" applyFont="1" applyFill="1" applyBorder="1">
      <alignment horizontal="left" vertical="center"/>
    </xf>
    <xf numFmtId="0" fontId="8" fillId="31" borderId="0" xfId="57" applyFont="1" applyFill="1" applyBorder="1">
      <alignment horizontal="left" vertical="center"/>
    </xf>
    <xf numFmtId="0" fontId="9" fillId="31" borderId="0" xfId="57" applyFont="1" applyFill="1" applyBorder="1" applyAlignment="1">
      <alignment horizontal="right" vertical="center"/>
    </xf>
    <xf numFmtId="0" fontId="9" fillId="31" borderId="40" xfId="57" applyFont="1" applyFill="1" applyBorder="1" applyAlignment="1">
      <alignment horizontal="right" vertical="center"/>
    </xf>
    <xf numFmtId="0" fontId="9" fillId="31" borderId="0" xfId="57" applyFont="1" applyFill="1" applyBorder="1" applyAlignment="1">
      <alignment vertical="center"/>
    </xf>
    <xf numFmtId="2" fontId="10" fillId="31" borderId="0" xfId="57" applyNumberFormat="1" applyFont="1" applyFill="1" applyBorder="1">
      <alignment horizontal="left" vertical="center"/>
    </xf>
    <xf numFmtId="168" fontId="9" fillId="31" borderId="0" xfId="50" applyNumberFormat="1" applyFont="1" applyFill="1" applyBorder="1" applyAlignment="1">
      <alignment horizontal="right" vertical="center"/>
    </xf>
    <xf numFmtId="2" fontId="9" fillId="31" borderId="25" xfId="57" applyNumberFormat="1" applyFont="1" applyFill="1" applyBorder="1">
      <alignment horizontal="left" vertical="center"/>
    </xf>
    <xf numFmtId="2" fontId="9" fillId="31" borderId="26" xfId="57" applyNumberFormat="1" applyFont="1" applyFill="1" applyBorder="1">
      <alignment horizontal="left" vertical="center"/>
    </xf>
    <xf numFmtId="0" fontId="9" fillId="31" borderId="27" xfId="57" applyFont="1" applyFill="1" applyBorder="1" applyAlignment="1">
      <alignment horizontal="right" vertical="center"/>
    </xf>
    <xf numFmtId="0" fontId="9" fillId="31" borderId="26" xfId="57" applyFont="1" applyFill="1" applyBorder="1" applyAlignment="1">
      <alignment horizontal="right" vertical="center"/>
    </xf>
    <xf numFmtId="9" fontId="9" fillId="31" borderId="0" xfId="50" applyFont="1" applyFill="1" applyBorder="1" applyAlignment="1">
      <alignment horizontal="right" vertical="center"/>
    </xf>
    <xf numFmtId="164" fontId="40" fillId="31" borderId="0" xfId="43" applyNumberFormat="1" applyFont="1" applyFill="1">
      <alignment horizontal="left" vertical="center"/>
    </xf>
    <xf numFmtId="9" fontId="40" fillId="31" borderId="0" xfId="50" applyFont="1" applyFill="1" applyAlignment="1">
      <alignment horizontal="right"/>
    </xf>
    <xf numFmtId="1" fontId="8" fillId="31" borderId="0" xfId="43" applyNumberFormat="1" applyFont="1" applyFill="1">
      <alignment horizontal="left" vertical="center"/>
    </xf>
    <xf numFmtId="1" fontId="8" fillId="31" borderId="0" xfId="0" applyNumberFormat="1" applyFont="1" applyFill="1" applyAlignment="1">
      <alignment horizontal="right"/>
    </xf>
    <xf numFmtId="164" fontId="10" fillId="31" borderId="0" xfId="43" applyNumberFormat="1" applyFont="1" applyFill="1">
      <alignment horizontal="left" vertical="center"/>
    </xf>
    <xf numFmtId="9" fontId="9" fillId="31" borderId="0" xfId="50" applyFont="1" applyFill="1" applyAlignment="1">
      <alignment horizontal="right"/>
    </xf>
    <xf numFmtId="166" fontId="10" fillId="31" borderId="0" xfId="0" applyNumberFormat="1" applyFont="1" applyFill="1" applyAlignment="1">
      <alignment horizontal="right"/>
    </xf>
    <xf numFmtId="9" fontId="10" fillId="31" borderId="0" xfId="50" applyNumberFormat="1" applyFont="1" applyFill="1" applyAlignment="1">
      <alignment horizontal="right"/>
    </xf>
    <xf numFmtId="1" fontId="10" fillId="31" borderId="0" xfId="0" applyNumberFormat="1" applyFont="1" applyFill="1" applyAlignment="1">
      <alignment horizontal="right"/>
    </xf>
    <xf numFmtId="168" fontId="9" fillId="31" borderId="0" xfId="50" applyNumberFormat="1" applyFont="1" applyFill="1"/>
    <xf numFmtId="9" fontId="9" fillId="31" borderId="0" xfId="50" applyFont="1" applyFill="1"/>
    <xf numFmtId="1" fontId="40" fillId="31" borderId="33" xfId="43" applyNumberFormat="1" applyFont="1" applyFill="1" applyBorder="1">
      <alignment horizontal="left" vertical="center"/>
    </xf>
    <xf numFmtId="1" fontId="40" fillId="31" borderId="12" xfId="43" applyNumberFormat="1" applyFont="1" applyFill="1" applyBorder="1">
      <alignment horizontal="left" vertical="center"/>
    </xf>
    <xf numFmtId="1" fontId="9" fillId="31" borderId="12" xfId="0" applyNumberFormat="1" applyFont="1" applyFill="1" applyBorder="1" applyAlignment="1">
      <alignment horizontal="right"/>
    </xf>
    <xf numFmtId="1" fontId="9" fillId="31" borderId="12" xfId="0" applyNumberFormat="1" applyFont="1" applyFill="1" applyBorder="1"/>
    <xf numFmtId="1" fontId="41" fillId="31" borderId="12" xfId="0" applyNumberFormat="1" applyFont="1" applyFill="1" applyBorder="1"/>
    <xf numFmtId="1" fontId="10" fillId="31" borderId="12" xfId="0" applyNumberFormat="1" applyFont="1" applyFill="1" applyBorder="1" applyAlignment="1">
      <alignment horizontal="right"/>
    </xf>
    <xf numFmtId="167" fontId="41" fillId="31" borderId="12" xfId="0" applyNumberFormat="1" applyFont="1" applyFill="1" applyBorder="1"/>
    <xf numFmtId="1" fontId="9" fillId="31" borderId="29" xfId="43" applyNumberFormat="1" applyFont="1" applyFill="1" applyBorder="1">
      <alignment horizontal="left" vertical="center"/>
    </xf>
    <xf numFmtId="1" fontId="9" fillId="31" borderId="0" xfId="43" applyNumberFormat="1" applyFont="1" applyFill="1" applyBorder="1">
      <alignment horizontal="left" vertical="center"/>
    </xf>
    <xf numFmtId="1" fontId="52" fillId="31" borderId="0" xfId="0" applyNumberFormat="1" applyFont="1" applyFill="1" applyBorder="1" applyAlignment="1">
      <alignment horizontal="right"/>
    </xf>
    <xf numFmtId="1" fontId="52" fillId="31" borderId="13" xfId="0" applyNumberFormat="1" applyFont="1" applyFill="1" applyBorder="1" applyAlignment="1">
      <alignment horizontal="right"/>
    </xf>
    <xf numFmtId="1" fontId="9" fillId="31" borderId="13" xfId="0" applyNumberFormat="1" applyFont="1" applyFill="1" applyBorder="1" applyAlignment="1">
      <alignment horizontal="right"/>
    </xf>
    <xf numFmtId="1" fontId="66" fillId="31" borderId="29" xfId="43" applyNumberFormat="1" applyFont="1" applyFill="1" applyBorder="1">
      <alignment horizontal="left" vertical="center"/>
    </xf>
    <xf numFmtId="1" fontId="66" fillId="31" borderId="0" xfId="43" applyNumberFormat="1" applyFont="1" applyFill="1" applyBorder="1">
      <alignment horizontal="left" vertical="center"/>
    </xf>
    <xf numFmtId="167" fontId="67" fillId="31" borderId="0" xfId="0" applyNumberFormat="1" applyFont="1" applyFill="1" applyBorder="1" applyAlignment="1">
      <alignment horizontal="right"/>
    </xf>
    <xf numFmtId="167" fontId="66" fillId="31" borderId="0" xfId="0" applyNumberFormat="1" applyFont="1" applyFill="1" applyBorder="1" applyAlignment="1">
      <alignment horizontal="right"/>
    </xf>
    <xf numFmtId="164" fontId="67" fillId="31" borderId="0" xfId="0" applyNumberFormat="1" applyFont="1" applyFill="1" applyBorder="1" applyAlignment="1">
      <alignment horizontal="right"/>
    </xf>
    <xf numFmtId="1" fontId="66" fillId="31" borderId="0" xfId="0" applyNumberFormat="1" applyFont="1" applyFill="1" applyBorder="1" applyAlignment="1">
      <alignment horizontal="right"/>
    </xf>
    <xf numFmtId="167" fontId="52" fillId="31" borderId="0" xfId="0" applyNumberFormat="1" applyFont="1" applyFill="1" applyBorder="1" applyAlignment="1">
      <alignment horizontal="right"/>
    </xf>
    <xf numFmtId="167" fontId="9" fillId="31" borderId="0" xfId="0" applyNumberFormat="1" applyFont="1" applyFill="1" applyBorder="1" applyAlignment="1">
      <alignment horizontal="right"/>
    </xf>
    <xf numFmtId="164" fontId="52" fillId="31" borderId="0" xfId="0" applyNumberFormat="1" applyFont="1" applyFill="1" applyBorder="1" applyAlignment="1">
      <alignment horizontal="right"/>
    </xf>
    <xf numFmtId="167" fontId="9" fillId="31" borderId="0" xfId="0" applyNumberFormat="1" applyFont="1" applyFill="1" applyBorder="1"/>
    <xf numFmtId="167" fontId="52" fillId="31" borderId="13" xfId="0" applyNumberFormat="1" applyFont="1" applyFill="1" applyBorder="1" applyAlignment="1">
      <alignment horizontal="right"/>
    </xf>
    <xf numFmtId="167" fontId="9" fillId="31" borderId="13" xfId="0" applyNumberFormat="1" applyFont="1" applyFill="1" applyBorder="1" applyAlignment="1">
      <alignment horizontal="right"/>
    </xf>
    <xf numFmtId="2" fontId="9" fillId="31" borderId="0" xfId="0" applyNumberFormat="1" applyFont="1" applyFill="1" applyBorder="1" applyAlignment="1">
      <alignment horizontal="right"/>
    </xf>
    <xf numFmtId="1" fontId="8" fillId="31" borderId="29" xfId="43" applyNumberFormat="1" applyFont="1" applyFill="1" applyBorder="1">
      <alignment horizontal="left" vertical="center"/>
    </xf>
    <xf numFmtId="1" fontId="8" fillId="31" borderId="0" xfId="43" applyNumberFormat="1" applyFont="1" applyFill="1" applyBorder="1">
      <alignment horizontal="left" vertical="center"/>
    </xf>
    <xf numFmtId="167" fontId="8" fillId="31" borderId="0" xfId="0" applyNumberFormat="1" applyFont="1" applyFill="1" applyBorder="1" applyAlignment="1">
      <alignment horizontal="right"/>
    </xf>
    <xf numFmtId="1" fontId="8" fillId="31" borderId="0" xfId="0" applyNumberFormat="1" applyFont="1" applyFill="1" applyBorder="1"/>
    <xf numFmtId="1" fontId="8" fillId="31" borderId="0" xfId="0" applyNumberFormat="1" applyFont="1" applyFill="1" applyBorder="1" applyAlignment="1">
      <alignment horizontal="right"/>
    </xf>
    <xf numFmtId="2" fontId="52" fillId="31" borderId="0" xfId="0" applyNumberFormat="1" applyFont="1" applyFill="1" applyBorder="1" applyAlignment="1">
      <alignment horizontal="right"/>
    </xf>
    <xf numFmtId="168" fontId="9" fillId="31" borderId="0" xfId="50" applyNumberFormat="1" applyFont="1" applyFill="1" applyBorder="1" applyAlignment="1">
      <alignment horizontal="right"/>
    </xf>
    <xf numFmtId="9" fontId="9" fillId="31" borderId="40" xfId="50" applyFont="1" applyFill="1" applyBorder="1" applyAlignment="1">
      <alignment horizontal="right"/>
    </xf>
    <xf numFmtId="9" fontId="9" fillId="31" borderId="0" xfId="50" applyFont="1" applyFill="1" applyBorder="1"/>
    <xf numFmtId="2" fontId="81" fillId="31" borderId="29" xfId="57" applyNumberFormat="1" applyFont="1" applyFill="1" applyBorder="1">
      <alignment horizontal="left" vertical="center"/>
    </xf>
    <xf numFmtId="2" fontId="81" fillId="31" borderId="0" xfId="57" applyNumberFormat="1" applyFont="1" applyFill="1" applyBorder="1">
      <alignment horizontal="left" vertical="center"/>
    </xf>
    <xf numFmtId="0" fontId="81" fillId="31" borderId="0" xfId="57" applyFont="1" applyFill="1" applyBorder="1" applyAlignment="1">
      <alignment horizontal="right" vertical="center"/>
    </xf>
    <xf numFmtId="0" fontId="81" fillId="31" borderId="0" xfId="57" applyFont="1" applyFill="1" applyBorder="1">
      <alignment horizontal="left" vertical="center"/>
    </xf>
    <xf numFmtId="9" fontId="81" fillId="31" borderId="0" xfId="50" applyFont="1" applyFill="1" applyBorder="1" applyAlignment="1">
      <alignment horizontal="right" vertical="center"/>
    </xf>
    <xf numFmtId="168" fontId="81" fillId="31" borderId="0" xfId="50" applyNumberFormat="1" applyFont="1" applyFill="1" applyBorder="1" applyAlignment="1">
      <alignment horizontal="right" vertical="center"/>
    </xf>
    <xf numFmtId="168" fontId="81" fillId="31" borderId="0" xfId="57" applyNumberFormat="1" applyFont="1" applyFill="1" applyBorder="1">
      <alignment horizontal="left" vertical="center"/>
    </xf>
    <xf numFmtId="168" fontId="81" fillId="31" borderId="40" xfId="50" applyNumberFormat="1" applyFont="1" applyFill="1" applyBorder="1" applyAlignment="1">
      <alignment horizontal="right" vertical="center"/>
    </xf>
    <xf numFmtId="2" fontId="81" fillId="31" borderId="30" xfId="57" applyNumberFormat="1" applyFont="1" applyFill="1" applyBorder="1">
      <alignment horizontal="left" vertical="center"/>
    </xf>
    <xf numFmtId="2" fontId="81" fillId="31" borderId="13" xfId="57" applyNumberFormat="1" applyFont="1" applyFill="1" applyBorder="1">
      <alignment horizontal="left" vertical="center"/>
    </xf>
    <xf numFmtId="0" fontId="81" fillId="31" borderId="13" xfId="57" applyFont="1" applyFill="1" applyBorder="1" applyAlignment="1">
      <alignment horizontal="right" vertical="center"/>
    </xf>
    <xf numFmtId="0" fontId="81" fillId="31" borderId="13" xfId="57" applyFont="1" applyFill="1" applyBorder="1">
      <alignment horizontal="left" vertical="center"/>
    </xf>
    <xf numFmtId="164" fontId="81" fillId="31" borderId="13" xfId="57" applyNumberFormat="1" applyFont="1" applyFill="1" applyBorder="1">
      <alignment horizontal="left" vertical="center"/>
    </xf>
    <xf numFmtId="164" fontId="81" fillId="31" borderId="42" xfId="57" applyNumberFormat="1" applyFont="1" applyFill="1" applyBorder="1" applyAlignment="1">
      <alignment horizontal="right" vertical="center"/>
    </xf>
    <xf numFmtId="0" fontId="43" fillId="31" borderId="0" xfId="57" applyFont="1" applyFill="1" applyBorder="1" applyAlignment="1">
      <alignment horizontal="right" vertical="center"/>
    </xf>
    <xf numFmtId="0" fontId="43" fillId="31" borderId="0" xfId="57" applyFont="1" applyFill="1" applyBorder="1">
      <alignment horizontal="left" vertical="center"/>
    </xf>
    <xf numFmtId="164" fontId="43" fillId="31" borderId="0" xfId="57" applyNumberFormat="1" applyFont="1" applyFill="1" applyBorder="1">
      <alignment horizontal="left" vertical="center"/>
    </xf>
    <xf numFmtId="2" fontId="43" fillId="31" borderId="0" xfId="57" applyNumberFormat="1" applyFont="1" applyFill="1" applyBorder="1" applyAlignment="1">
      <alignment horizontal="right" vertical="center"/>
    </xf>
    <xf numFmtId="2" fontId="9" fillId="31" borderId="33" xfId="57" applyNumberFormat="1" applyFont="1" applyFill="1" applyBorder="1">
      <alignment horizontal="left" vertical="center"/>
    </xf>
    <xf numFmtId="2" fontId="10" fillId="31" borderId="12" xfId="57" applyNumberFormat="1" applyFont="1" applyFill="1" applyBorder="1">
      <alignment horizontal="left" vertical="center"/>
    </xf>
    <xf numFmtId="164" fontId="43" fillId="31" borderId="12" xfId="57" applyNumberFormat="1" applyFont="1" applyFill="1" applyBorder="1" applyAlignment="1">
      <alignment horizontal="right" vertical="center"/>
    </xf>
    <xf numFmtId="0" fontId="43" fillId="31" borderId="12" xfId="57" applyFont="1" applyFill="1" applyBorder="1" applyAlignment="1">
      <alignment horizontal="right" vertical="center"/>
    </xf>
    <xf numFmtId="0" fontId="43" fillId="31" borderId="12" xfId="57" applyFont="1" applyFill="1" applyBorder="1">
      <alignment horizontal="left" vertical="center"/>
    </xf>
    <xf numFmtId="164" fontId="43" fillId="31" borderId="12" xfId="57" applyNumberFormat="1" applyFont="1" applyFill="1" applyBorder="1">
      <alignment horizontal="left" vertical="center"/>
    </xf>
    <xf numFmtId="2" fontId="43" fillId="31" borderId="12" xfId="57" applyNumberFormat="1" applyFont="1" applyFill="1" applyBorder="1" applyAlignment="1">
      <alignment horizontal="right" vertical="center"/>
    </xf>
    <xf numFmtId="164" fontId="9" fillId="31" borderId="41" xfId="57" applyNumberFormat="1" applyFont="1" applyFill="1" applyBorder="1" applyAlignment="1">
      <alignment horizontal="right" vertical="center"/>
    </xf>
    <xf numFmtId="2" fontId="9" fillId="31" borderId="29" xfId="57" applyNumberFormat="1" applyFont="1" applyFill="1" applyBorder="1">
      <alignment horizontal="left" vertical="center"/>
    </xf>
    <xf numFmtId="2" fontId="9" fillId="31" borderId="0" xfId="57" applyNumberFormat="1" applyFont="1" applyFill="1" applyBorder="1" applyAlignment="1">
      <alignment horizontal="right" vertical="center"/>
    </xf>
    <xf numFmtId="2" fontId="10" fillId="31" borderId="29" xfId="57" applyNumberFormat="1" applyFont="1" applyFill="1" applyBorder="1">
      <alignment horizontal="left" vertical="center"/>
    </xf>
    <xf numFmtId="0" fontId="10" fillId="31" borderId="0" xfId="57" applyFont="1" applyFill="1" applyBorder="1" applyAlignment="1">
      <alignment horizontal="right" vertical="center"/>
    </xf>
    <xf numFmtId="0" fontId="10" fillId="31" borderId="0" xfId="57" applyFont="1" applyFill="1" applyBorder="1">
      <alignment horizontal="left" vertical="center"/>
    </xf>
    <xf numFmtId="2" fontId="10" fillId="31" borderId="0" xfId="57" applyNumberFormat="1" applyFont="1" applyFill="1" applyBorder="1" applyAlignment="1">
      <alignment horizontal="right" vertical="center"/>
    </xf>
    <xf numFmtId="168" fontId="10" fillId="31" borderId="0" xfId="50" applyNumberFormat="1" applyFont="1" applyFill="1" applyBorder="1" applyAlignment="1">
      <alignment horizontal="right" vertical="center"/>
    </xf>
    <xf numFmtId="2" fontId="10" fillId="31" borderId="30" xfId="57" applyNumberFormat="1" applyFont="1" applyFill="1" applyBorder="1">
      <alignment horizontal="left" vertical="center"/>
    </xf>
    <xf numFmtId="2" fontId="10" fillId="31" borderId="13" xfId="57" applyNumberFormat="1" applyFont="1" applyFill="1" applyBorder="1">
      <alignment horizontal="left" vertical="center"/>
    </xf>
    <xf numFmtId="164" fontId="10" fillId="31" borderId="13" xfId="57" applyNumberFormat="1" applyFont="1" applyFill="1" applyBorder="1" applyAlignment="1">
      <alignment horizontal="right" vertical="center"/>
    </xf>
    <xf numFmtId="0" fontId="10" fillId="31" borderId="13" xfId="57" applyFont="1" applyFill="1" applyBorder="1" applyAlignment="1">
      <alignment horizontal="right" vertical="center"/>
    </xf>
    <xf numFmtId="0" fontId="10" fillId="31" borderId="13" xfId="57" applyFont="1" applyFill="1" applyBorder="1">
      <alignment horizontal="left" vertical="center"/>
    </xf>
    <xf numFmtId="2" fontId="10" fillId="31" borderId="13" xfId="57" applyNumberFormat="1" applyFont="1" applyFill="1" applyBorder="1" applyAlignment="1">
      <alignment horizontal="right" vertical="center"/>
    </xf>
    <xf numFmtId="1" fontId="40" fillId="31" borderId="0" xfId="43" applyNumberFormat="1" applyFont="1" applyFill="1" applyBorder="1">
      <alignment horizontal="left" vertical="center"/>
    </xf>
    <xf numFmtId="1" fontId="41" fillId="31" borderId="40" xfId="0" applyNumberFormat="1" applyFont="1" applyFill="1" applyBorder="1"/>
    <xf numFmtId="1" fontId="9" fillId="31" borderId="17" xfId="57" applyNumberFormat="1" applyFont="1" applyFill="1" applyBorder="1">
      <alignment horizontal="left" vertical="center"/>
    </xf>
    <xf numFmtId="1" fontId="9" fillId="31" borderId="18" xfId="57" applyNumberFormat="1" applyFont="1" applyFill="1" applyBorder="1">
      <alignment horizontal="left" vertical="center"/>
    </xf>
    <xf numFmtId="167" fontId="9" fillId="31" borderId="18" xfId="57" applyNumberFormat="1" applyFont="1" applyFill="1" applyBorder="1" applyAlignment="1">
      <alignment horizontal="right" vertical="center"/>
    </xf>
    <xf numFmtId="1" fontId="9" fillId="31" borderId="20" xfId="57" applyNumberFormat="1" applyFont="1" applyFill="1" applyBorder="1">
      <alignment horizontal="left" vertical="center"/>
    </xf>
    <xf numFmtId="1" fontId="9" fillId="31" borderId="0" xfId="57" applyNumberFormat="1" applyFont="1" applyFill="1" applyBorder="1">
      <alignment horizontal="left" vertical="center"/>
    </xf>
    <xf numFmtId="167" fontId="9" fillId="31" borderId="0" xfId="57" applyNumberFormat="1" applyFont="1" applyFill="1" applyBorder="1" applyAlignment="1">
      <alignment horizontal="right" vertical="center"/>
    </xf>
    <xf numFmtId="0" fontId="9" fillId="31" borderId="20" xfId="0" applyFont="1" applyFill="1" applyBorder="1"/>
    <xf numFmtId="0" fontId="10" fillId="31" borderId="20" xfId="0" applyFont="1" applyFill="1" applyBorder="1"/>
    <xf numFmtId="1" fontId="10" fillId="31" borderId="0" xfId="57" applyNumberFormat="1" applyFont="1" applyFill="1" applyBorder="1">
      <alignment horizontal="left" vertical="center"/>
    </xf>
    <xf numFmtId="167" fontId="10" fillId="31" borderId="0" xfId="57" applyNumberFormat="1" applyFont="1" applyFill="1" applyBorder="1" applyAlignment="1">
      <alignment horizontal="right" vertical="center"/>
    </xf>
    <xf numFmtId="9" fontId="10" fillId="31" borderId="0" xfId="50" applyFont="1" applyFill="1" applyBorder="1" applyAlignment="1">
      <alignment horizontal="right"/>
    </xf>
    <xf numFmtId="0" fontId="10" fillId="31" borderId="24" xfId="0" applyFont="1" applyFill="1" applyBorder="1"/>
    <xf numFmtId="1" fontId="9" fillId="31" borderId="21" xfId="57" applyNumberFormat="1" applyFont="1" applyFill="1" applyBorder="1">
      <alignment horizontal="left" vertical="center"/>
    </xf>
    <xf numFmtId="164" fontId="9" fillId="31" borderId="21" xfId="0" applyNumberFormat="1" applyFont="1" applyFill="1" applyBorder="1" applyAlignment="1">
      <alignment horizontal="right"/>
    </xf>
    <xf numFmtId="9" fontId="10" fillId="31" borderId="21" xfId="50" applyFont="1" applyFill="1" applyBorder="1" applyAlignment="1">
      <alignment horizontal="right"/>
    </xf>
    <xf numFmtId="164" fontId="43" fillId="31" borderId="0" xfId="57" applyNumberFormat="1" applyFont="1" applyFill="1" applyBorder="1" applyAlignment="1">
      <alignment horizontal="center" vertical="center"/>
    </xf>
    <xf numFmtId="2" fontId="9" fillId="31" borderId="13" xfId="57" applyNumberFormat="1" applyFont="1" applyFill="1" applyBorder="1">
      <alignment horizontal="left" vertical="center"/>
    </xf>
    <xf numFmtId="44" fontId="57" fillId="31" borderId="0" xfId="34" applyFont="1" applyFill="1" applyBorder="1" applyAlignment="1">
      <alignment horizontal="right" vertical="center"/>
    </xf>
    <xf numFmtId="0" fontId="8" fillId="31" borderId="0" xfId="0" applyFont="1" applyFill="1"/>
    <xf numFmtId="184" fontId="57" fillId="31" borderId="0" xfId="34" applyNumberFormat="1" applyFont="1" applyFill="1" applyBorder="1" applyAlignment="1">
      <alignment horizontal="right" vertical="center"/>
    </xf>
    <xf numFmtId="184" fontId="43" fillId="31" borderId="0" xfId="34" applyNumberFormat="1" applyFont="1" applyFill="1" applyBorder="1" applyAlignment="1">
      <alignment horizontal="right" vertical="center"/>
    </xf>
    <xf numFmtId="184" fontId="9" fillId="31" borderId="0" xfId="0" applyNumberFormat="1" applyFont="1" applyFill="1"/>
    <xf numFmtId="184" fontId="43" fillId="31" borderId="40" xfId="34" applyNumberFormat="1" applyFont="1" applyFill="1" applyBorder="1" applyAlignment="1">
      <alignment horizontal="right" vertical="center"/>
    </xf>
    <xf numFmtId="175" fontId="39" fillId="31" borderId="0" xfId="57" applyNumberFormat="1" applyFont="1" applyFill="1" applyBorder="1" applyAlignment="1">
      <alignment horizontal="right" vertical="center"/>
    </xf>
    <xf numFmtId="1" fontId="41" fillId="31" borderId="0" xfId="57" applyNumberFormat="1" applyFont="1" applyFill="1" applyBorder="1" applyAlignment="1">
      <alignment horizontal="right" vertical="center"/>
    </xf>
    <xf numFmtId="2" fontId="63" fillId="31" borderId="0" xfId="57" applyNumberFormat="1" applyFont="1" applyFill="1" applyBorder="1">
      <alignment horizontal="left" vertical="center"/>
    </xf>
    <xf numFmtId="1" fontId="9" fillId="31" borderId="0" xfId="50" applyNumberFormat="1" applyFont="1" applyFill="1"/>
    <xf numFmtId="1" fontId="43" fillId="31" borderId="0" xfId="57" applyNumberFormat="1" applyFont="1" applyFill="1" applyBorder="1" applyAlignment="1">
      <alignment horizontal="center" vertical="center"/>
    </xf>
    <xf numFmtId="2" fontId="9" fillId="31" borderId="28" xfId="57" applyNumberFormat="1" applyFont="1" applyFill="1" applyBorder="1">
      <alignment horizontal="left" vertical="center"/>
    </xf>
    <xf numFmtId="167" fontId="41" fillId="31" borderId="0" xfId="0" applyNumberFormat="1" applyFont="1" applyFill="1"/>
    <xf numFmtId="167" fontId="57" fillId="31" borderId="0" xfId="57" applyNumberFormat="1" applyFont="1" applyFill="1" applyBorder="1">
      <alignment horizontal="left" vertical="center"/>
    </xf>
    <xf numFmtId="0" fontId="57" fillId="31" borderId="0" xfId="57" applyFont="1" applyFill="1" applyBorder="1">
      <alignment horizontal="left" vertical="center"/>
    </xf>
    <xf numFmtId="164" fontId="58" fillId="31" borderId="0" xfId="57" applyNumberFormat="1" applyFont="1" applyFill="1" applyBorder="1" applyAlignment="1">
      <alignment horizontal="right" vertical="center"/>
    </xf>
    <xf numFmtId="168" fontId="59" fillId="31" borderId="0" xfId="50" applyNumberFormat="1" applyFont="1" applyFill="1" applyBorder="1" applyAlignment="1">
      <alignment horizontal="right" vertical="center"/>
    </xf>
    <xf numFmtId="168" fontId="59" fillId="31" borderId="42" xfId="50" applyNumberFormat="1" applyFont="1" applyFill="1" applyBorder="1" applyAlignment="1">
      <alignment horizontal="right" vertical="center"/>
    </xf>
    <xf numFmtId="1" fontId="75" fillId="31" borderId="0" xfId="43" applyNumberFormat="1" applyFont="1" applyFill="1">
      <alignment horizontal="left" vertical="center"/>
    </xf>
    <xf numFmtId="0" fontId="9" fillId="31" borderId="0" xfId="0" quotePrefix="1" applyFont="1" applyFill="1"/>
    <xf numFmtId="9" fontId="10" fillId="31" borderId="0" xfId="50" applyFont="1" applyFill="1"/>
    <xf numFmtId="0" fontId="62" fillId="31" borderId="0" xfId="0" applyFont="1" applyFill="1"/>
    <xf numFmtId="175" fontId="9" fillId="31" borderId="0" xfId="0" applyNumberFormat="1" applyFont="1" applyFill="1"/>
    <xf numFmtId="175" fontId="10" fillId="31" borderId="0" xfId="50" applyNumberFormat="1" applyFont="1" applyFill="1"/>
    <xf numFmtId="0" fontId="61" fillId="31" borderId="0" xfId="0" applyFont="1" applyFill="1"/>
    <xf numFmtId="168" fontId="9" fillId="31" borderId="0" xfId="0" applyNumberFormat="1" applyFont="1" applyFill="1"/>
    <xf numFmtId="0" fontId="9" fillId="31" borderId="0" xfId="0" applyFont="1" applyFill="1" applyAlignment="1">
      <alignment horizontal="right"/>
    </xf>
    <xf numFmtId="10" fontId="9" fillId="31" borderId="0" xfId="0" applyNumberFormat="1" applyFont="1" applyFill="1"/>
    <xf numFmtId="0" fontId="4" fillId="31" borderId="0" xfId="0" applyFont="1" applyFill="1" applyAlignment="1">
      <alignment horizontal="right"/>
    </xf>
    <xf numFmtId="10" fontId="9" fillId="31" borderId="0" xfId="50" applyNumberFormat="1" applyFont="1" applyFill="1" applyAlignment="1">
      <alignment horizontal="right"/>
    </xf>
    <xf numFmtId="10" fontId="9" fillId="31" borderId="0" xfId="50" applyNumberFormat="1" applyFont="1" applyFill="1"/>
    <xf numFmtId="9" fontId="9" fillId="31" borderId="0" xfId="0" applyNumberFormat="1" applyFont="1" applyFill="1"/>
    <xf numFmtId="0" fontId="9" fillId="31" borderId="13" xfId="0" applyFont="1" applyFill="1" applyBorder="1"/>
    <xf numFmtId="171" fontId="9" fillId="31" borderId="0" xfId="0" applyNumberFormat="1" applyFont="1" applyFill="1"/>
    <xf numFmtId="2" fontId="8" fillId="31" borderId="13" xfId="0" applyNumberFormat="1" applyFont="1" applyFill="1" applyBorder="1"/>
    <xf numFmtId="2" fontId="9" fillId="31" borderId="0" xfId="0" applyNumberFormat="1" applyFont="1" applyFill="1" applyAlignment="1">
      <alignment horizontal="right"/>
    </xf>
    <xf numFmtId="168" fontId="0" fillId="31" borderId="0" xfId="50" applyNumberFormat="1" applyFont="1" applyFill="1"/>
    <xf numFmtId="2" fontId="5" fillId="29" borderId="12" xfId="57" applyNumberFormat="1" applyFont="1" applyFill="1" applyBorder="1">
      <alignment horizontal="left" vertical="center"/>
    </xf>
    <xf numFmtId="2" fontId="36" fillId="31" borderId="12" xfId="57" applyNumberFormat="1" applyFont="1" applyFill="1" applyBorder="1">
      <alignment horizontal="left" vertical="center"/>
    </xf>
    <xf numFmtId="0" fontId="8" fillId="31" borderId="12" xfId="57" applyFont="1" applyFill="1" applyBorder="1">
      <alignment horizontal="left" vertical="center"/>
    </xf>
    <xf numFmtId="164" fontId="8" fillId="31" borderId="13" xfId="57" applyNumberFormat="1" applyFont="1" applyFill="1" applyBorder="1">
      <alignment horizontal="left" vertical="center"/>
    </xf>
    <xf numFmtId="164" fontId="41" fillId="31" borderId="13" xfId="57" applyNumberFormat="1" applyFont="1" applyFill="1" applyBorder="1">
      <alignment horizontal="left" vertical="center"/>
    </xf>
    <xf numFmtId="0" fontId="10" fillId="31" borderId="0" xfId="58" quotePrefix="1" applyFont="1" applyFill="1">
      <alignment horizontal="left" vertical="center"/>
    </xf>
    <xf numFmtId="0" fontId="9" fillId="31" borderId="0" xfId="58" applyFont="1" applyFill="1">
      <alignment horizontal="left" vertical="center"/>
    </xf>
    <xf numFmtId="0" fontId="39" fillId="31" borderId="0" xfId="43" applyFont="1" applyFill="1">
      <alignment horizontal="left" vertical="center"/>
    </xf>
    <xf numFmtId="164" fontId="39" fillId="31" borderId="13" xfId="51" applyNumberFormat="1" applyFont="1" applyFill="1" applyBorder="1" applyAlignment="1">
      <alignment horizontal="centerContinuous" vertical="center"/>
    </xf>
    <xf numFmtId="0" fontId="39" fillId="31" borderId="13" xfId="51" applyNumberFormat="1" applyFont="1" applyFill="1" applyBorder="1" applyAlignment="1">
      <alignment horizontal="centerContinuous" vertical="center"/>
    </xf>
    <xf numFmtId="164" fontId="39" fillId="31" borderId="13" xfId="51" quotePrefix="1" applyNumberFormat="1" applyFont="1" applyFill="1" applyBorder="1" applyAlignment="1">
      <alignment horizontal="centerContinuous" vertical="center"/>
    </xf>
    <xf numFmtId="164" fontId="39" fillId="31" borderId="0" xfId="51" applyNumberFormat="1" applyFont="1" applyFill="1" applyBorder="1" applyAlignment="1">
      <alignment horizontal="centerContinuous" vertical="center"/>
    </xf>
    <xf numFmtId="0" fontId="39" fillId="31" borderId="0" xfId="51" applyNumberFormat="1" applyFont="1" applyFill="1" applyBorder="1" applyAlignment="1">
      <alignment horizontal="centerContinuous" vertical="center"/>
    </xf>
    <xf numFmtId="164" fontId="39" fillId="31" borderId="0" xfId="51" quotePrefix="1" applyNumberFormat="1" applyFont="1" applyFill="1" applyBorder="1" applyAlignment="1">
      <alignment horizontal="centerContinuous" vertical="center"/>
    </xf>
    <xf numFmtId="165" fontId="39" fillId="31" borderId="0" xfId="43" applyNumberFormat="1" applyFont="1" applyFill="1" applyBorder="1">
      <alignment horizontal="left" vertical="center"/>
    </xf>
    <xf numFmtId="164" fontId="39" fillId="31" borderId="0" xfId="51" quotePrefix="1" applyNumberFormat="1" applyFont="1" applyFill="1" applyBorder="1" applyAlignment="1">
      <alignment horizontal="right" vertical="center"/>
    </xf>
    <xf numFmtId="164" fontId="39" fillId="31" borderId="27" xfId="51" quotePrefix="1" applyNumberFormat="1" applyFont="1" applyFill="1" applyBorder="1" applyAlignment="1">
      <alignment horizontal="right" vertical="center"/>
    </xf>
    <xf numFmtId="164" fontId="39" fillId="31" borderId="26" xfId="51" quotePrefix="1" applyNumberFormat="1" applyFont="1" applyFill="1" applyBorder="1" applyAlignment="1">
      <alignment horizontal="right" vertical="center"/>
    </xf>
    <xf numFmtId="2" fontId="14" fillId="31" borderId="0" xfId="57" applyNumberFormat="1" applyFont="1" applyFill="1" applyBorder="1">
      <alignment horizontal="left" vertical="center"/>
    </xf>
    <xf numFmtId="0" fontId="16" fillId="31" borderId="0" xfId="57" applyFont="1" applyFill="1" applyBorder="1">
      <alignment horizontal="left" vertical="center"/>
    </xf>
    <xf numFmtId="0" fontId="16" fillId="31" borderId="40" xfId="57" applyFont="1" applyFill="1" applyBorder="1">
      <alignment horizontal="left" vertical="center"/>
    </xf>
    <xf numFmtId="166" fontId="9" fillId="31" borderId="0" xfId="0" applyNumberFormat="1" applyFont="1" applyFill="1"/>
    <xf numFmtId="166" fontId="41" fillId="31" borderId="0" xfId="0" applyNumberFormat="1" applyFont="1" applyFill="1"/>
    <xf numFmtId="166" fontId="9" fillId="31" borderId="40" xfId="0" applyNumberFormat="1" applyFont="1" applyFill="1" applyBorder="1"/>
    <xf numFmtId="166" fontId="41" fillId="31" borderId="40" xfId="0" applyNumberFormat="1" applyFont="1" applyFill="1" applyBorder="1"/>
    <xf numFmtId="164" fontId="9" fillId="31" borderId="0" xfId="51" applyNumberFormat="1" applyFont="1" applyFill="1" applyBorder="1">
      <alignment horizontal="right" vertical="center"/>
    </xf>
    <xf numFmtId="1" fontId="39" fillId="31" borderId="0" xfId="43" applyNumberFormat="1" applyFont="1" applyFill="1">
      <alignment horizontal="left" vertical="center"/>
    </xf>
    <xf numFmtId="164" fontId="39" fillId="31" borderId="0" xfId="0" applyNumberFormat="1" applyFont="1" applyFill="1" applyAlignment="1">
      <alignment horizontal="right"/>
    </xf>
    <xf numFmtId="164" fontId="39" fillId="31" borderId="0" xfId="0" applyNumberFormat="1" applyFont="1" applyFill="1"/>
    <xf numFmtId="164" fontId="39" fillId="31" borderId="40" xfId="0" applyNumberFormat="1" applyFont="1" applyFill="1" applyBorder="1" applyAlignment="1">
      <alignment horizontal="right"/>
    </xf>
    <xf numFmtId="164" fontId="39" fillId="31" borderId="40" xfId="0" applyNumberFormat="1" applyFont="1" applyFill="1" applyBorder="1"/>
    <xf numFmtId="1" fontId="7" fillId="31" borderId="40" xfId="57" applyNumberFormat="1" applyFont="1" applyFill="1" applyBorder="1">
      <alignment horizontal="left" vertical="center"/>
    </xf>
    <xf numFmtId="167" fontId="7" fillId="31" borderId="0" xfId="57" applyNumberFormat="1" applyFont="1" applyFill="1" applyBorder="1">
      <alignment horizontal="left" vertical="center"/>
    </xf>
    <xf numFmtId="1" fontId="10" fillId="31" borderId="0" xfId="43" applyNumberFormat="1" applyFont="1" applyFill="1">
      <alignment horizontal="left" vertical="center"/>
    </xf>
    <xf numFmtId="164" fontId="10" fillId="31" borderId="0" xfId="0" applyNumberFormat="1" applyFont="1" applyFill="1" applyAlignment="1">
      <alignment horizontal="right"/>
    </xf>
    <xf numFmtId="1" fontId="10" fillId="31" borderId="40" xfId="0" applyNumberFormat="1" applyFont="1" applyFill="1" applyBorder="1" applyAlignment="1">
      <alignment horizontal="right"/>
    </xf>
    <xf numFmtId="1" fontId="43" fillId="31" borderId="40" xfId="0" applyNumberFormat="1" applyFont="1" applyFill="1" applyBorder="1"/>
    <xf numFmtId="167" fontId="43" fillId="31" borderId="0" xfId="0" applyNumberFormat="1" applyFont="1" applyFill="1"/>
    <xf numFmtId="1" fontId="10" fillId="31" borderId="0" xfId="51" applyNumberFormat="1" applyFont="1" applyFill="1" applyBorder="1">
      <alignment horizontal="right" vertical="center"/>
    </xf>
    <xf numFmtId="164" fontId="80" fillId="31" borderId="0" xfId="0" applyNumberFormat="1" applyFont="1" applyFill="1"/>
    <xf numFmtId="164" fontId="48" fillId="31" borderId="0" xfId="0" applyNumberFormat="1" applyFont="1" applyFill="1"/>
    <xf numFmtId="164" fontId="47" fillId="31" borderId="0" xfId="0" applyNumberFormat="1" applyFont="1" applyFill="1"/>
    <xf numFmtId="164" fontId="9" fillId="31" borderId="40" xfId="57" applyNumberFormat="1" applyFont="1" applyFill="1" applyBorder="1">
      <alignment horizontal="left" vertical="center"/>
    </xf>
    <xf numFmtId="164" fontId="47" fillId="31" borderId="0" xfId="57" applyNumberFormat="1" applyFont="1" applyFill="1" applyBorder="1">
      <alignment horizontal="left" vertical="center"/>
    </xf>
    <xf numFmtId="164" fontId="65" fillId="31" borderId="0" xfId="0" applyNumberFormat="1" applyFont="1" applyFill="1"/>
    <xf numFmtId="164" fontId="68" fillId="31" borderId="0" xfId="0" applyNumberFormat="1" applyFont="1" applyFill="1"/>
    <xf numFmtId="164" fontId="10" fillId="31" borderId="0" xfId="0" applyNumberFormat="1" applyFont="1" applyFill="1"/>
    <xf numFmtId="164" fontId="10" fillId="31" borderId="40" xfId="0" applyNumberFormat="1" applyFont="1" applyFill="1" applyBorder="1"/>
    <xf numFmtId="1" fontId="9" fillId="31" borderId="40" xfId="57" applyNumberFormat="1" applyFont="1" applyFill="1" applyBorder="1">
      <alignment horizontal="left" vertical="center"/>
    </xf>
    <xf numFmtId="43" fontId="9" fillId="31" borderId="0" xfId="32" applyFont="1" applyFill="1"/>
    <xf numFmtId="170" fontId="9" fillId="31" borderId="0" xfId="0" applyNumberFormat="1" applyFont="1" applyFill="1"/>
    <xf numFmtId="187" fontId="9" fillId="31" borderId="40" xfId="32" applyNumberFormat="1" applyFont="1" applyFill="1" applyBorder="1"/>
    <xf numFmtId="43" fontId="8" fillId="31" borderId="40" xfId="32" applyFont="1" applyFill="1" applyBorder="1"/>
    <xf numFmtId="168" fontId="9" fillId="31" borderId="40" xfId="50" applyNumberFormat="1" applyFont="1" applyFill="1" applyBorder="1"/>
    <xf numFmtId="164" fontId="77" fillId="31" borderId="0" xfId="0" applyNumberFormat="1" applyFont="1" applyFill="1"/>
    <xf numFmtId="164" fontId="78" fillId="31" borderId="0" xfId="0" applyNumberFormat="1" applyFont="1" applyFill="1"/>
    <xf numFmtId="167" fontId="39" fillId="31" borderId="0" xfId="0" applyNumberFormat="1" applyFont="1" applyFill="1"/>
    <xf numFmtId="167" fontId="39" fillId="31" borderId="0" xfId="43" applyNumberFormat="1" applyFont="1" applyFill="1">
      <alignment horizontal="left" vertical="center"/>
    </xf>
    <xf numFmtId="0" fontId="9" fillId="31" borderId="33" xfId="0" applyFont="1" applyFill="1" applyBorder="1"/>
    <xf numFmtId="164" fontId="7" fillId="31" borderId="12" xfId="57" applyNumberFormat="1" applyFont="1" applyFill="1" applyBorder="1">
      <alignment horizontal="left" vertical="center"/>
    </xf>
    <xf numFmtId="0" fontId="9" fillId="31" borderId="30" xfId="0" applyFont="1" applyFill="1" applyBorder="1"/>
    <xf numFmtId="164" fontId="7" fillId="31" borderId="13" xfId="57" applyNumberFormat="1" applyFont="1" applyFill="1" applyBorder="1">
      <alignment horizontal="left" vertical="center"/>
    </xf>
    <xf numFmtId="9" fontId="9" fillId="31" borderId="13" xfId="50" applyFont="1" applyFill="1" applyBorder="1" applyAlignment="1">
      <alignment horizontal="right" vertical="center"/>
    </xf>
    <xf numFmtId="9" fontId="9" fillId="31" borderId="42" xfId="50" applyFont="1" applyFill="1" applyBorder="1" applyAlignment="1">
      <alignment horizontal="right" vertical="center"/>
    </xf>
    <xf numFmtId="167" fontId="9" fillId="31" borderId="0" xfId="0" applyNumberFormat="1" applyFont="1" applyFill="1" applyAlignment="1">
      <alignment horizontal="right"/>
    </xf>
    <xf numFmtId="9" fontId="10" fillId="31" borderId="42" xfId="50" applyFont="1" applyFill="1" applyBorder="1"/>
    <xf numFmtId="9" fontId="7" fillId="31" borderId="0" xfId="50" applyFont="1" applyFill="1" applyBorder="1" applyAlignment="1">
      <alignment horizontal="left" vertical="center"/>
    </xf>
    <xf numFmtId="0" fontId="31" fillId="31" borderId="0" xfId="0" applyFont="1" applyFill="1"/>
    <xf numFmtId="2" fontId="9" fillId="31" borderId="41" xfId="0" applyNumberFormat="1" applyFont="1" applyFill="1" applyBorder="1"/>
    <xf numFmtId="164" fontId="9" fillId="31" borderId="42" xfId="0" applyNumberFormat="1" applyFont="1" applyFill="1" applyBorder="1"/>
    <xf numFmtId="0" fontId="28" fillId="31" borderId="0" xfId="0" applyFont="1" applyFill="1"/>
    <xf numFmtId="165" fontId="14" fillId="29" borderId="0" xfId="43" applyNumberFormat="1" applyFont="1" applyFill="1" applyBorder="1">
      <alignment horizontal="left" vertical="center"/>
    </xf>
    <xf numFmtId="165" fontId="13" fillId="29" borderId="40" xfId="43" applyNumberFormat="1" applyFont="1" applyFill="1" applyBorder="1">
      <alignment horizontal="left" vertical="center"/>
    </xf>
    <xf numFmtId="165" fontId="14" fillId="29" borderId="48" xfId="43" applyNumberFormat="1" applyFont="1" applyFill="1" applyBorder="1">
      <alignment horizontal="left" vertical="center"/>
    </xf>
    <xf numFmtId="165" fontId="14" fillId="29" borderId="40" xfId="43" applyNumberFormat="1" applyFont="1" applyFill="1" applyBorder="1">
      <alignment horizontal="left" vertical="center"/>
    </xf>
    <xf numFmtId="0" fontId="14" fillId="29" borderId="0" xfId="0" applyFont="1" applyFill="1" applyBorder="1" applyAlignment="1">
      <alignment horizontal="right"/>
    </xf>
    <xf numFmtId="3" fontId="50" fillId="29" borderId="0" xfId="0" applyNumberFormat="1" applyFont="1" applyFill="1" applyBorder="1" applyAlignment="1">
      <alignment horizontal="right"/>
    </xf>
    <xf numFmtId="3" fontId="13" fillId="29" borderId="0" xfId="0" applyNumberFormat="1" applyFont="1" applyFill="1" applyBorder="1" applyAlignment="1">
      <alignment horizontal="right"/>
    </xf>
    <xf numFmtId="3" fontId="13" fillId="29" borderId="40" xfId="0" applyNumberFormat="1" applyFont="1" applyFill="1" applyBorder="1" applyAlignment="1">
      <alignment horizontal="right"/>
    </xf>
    <xf numFmtId="3" fontId="13" fillId="29" borderId="48" xfId="0" applyNumberFormat="1" applyFont="1" applyFill="1" applyBorder="1" applyAlignment="1">
      <alignment horizontal="right"/>
    </xf>
    <xf numFmtId="0" fontId="13" fillId="29" borderId="0" xfId="0" applyFont="1" applyFill="1" applyBorder="1" applyAlignment="1">
      <alignment horizontal="right"/>
    </xf>
    <xf numFmtId="165" fontId="17" fillId="29" borderId="0" xfId="43" applyNumberFormat="1" applyFont="1" applyFill="1" applyBorder="1">
      <alignment horizontal="left" vertical="center"/>
    </xf>
    <xf numFmtId="9" fontId="17" fillId="29" borderId="0" xfId="50" quotePrefix="1" applyFont="1" applyFill="1" applyBorder="1" applyAlignment="1">
      <alignment horizontal="right" vertical="center"/>
    </xf>
    <xf numFmtId="9" fontId="18" fillId="29" borderId="0" xfId="50" quotePrefix="1" applyFont="1" applyFill="1" applyBorder="1" applyAlignment="1">
      <alignment horizontal="right" vertical="center"/>
    </xf>
    <xf numFmtId="9" fontId="74" fillId="29" borderId="0" xfId="50" quotePrefix="1" applyFont="1" applyFill="1" applyBorder="1" applyAlignment="1">
      <alignment horizontal="right" vertical="center"/>
    </xf>
    <xf numFmtId="9" fontId="18" fillId="29" borderId="40" xfId="50" quotePrefix="1" applyFont="1" applyFill="1" applyBorder="1" applyAlignment="1">
      <alignment horizontal="right" vertical="center"/>
    </xf>
    <xf numFmtId="9" fontId="18" fillId="29" borderId="48" xfId="50" quotePrefix="1" applyFont="1" applyFill="1" applyBorder="1" applyAlignment="1">
      <alignment horizontal="right" vertical="center"/>
    </xf>
    <xf numFmtId="0" fontId="17" fillId="29" borderId="0" xfId="0" applyFont="1" applyFill="1" applyBorder="1"/>
    <xf numFmtId="0" fontId="17" fillId="29" borderId="0" xfId="0" applyFont="1" applyFill="1" applyBorder="1" applyAlignment="1">
      <alignment horizontal="right"/>
    </xf>
    <xf numFmtId="1" fontId="40" fillId="29" borderId="0" xfId="51" applyNumberFormat="1" applyFont="1" applyFill="1" applyBorder="1">
      <alignment horizontal="right" vertical="center"/>
    </xf>
    <xf numFmtId="3" fontId="17" fillId="29" borderId="0" xfId="50" quotePrefix="1" applyNumberFormat="1" applyFont="1" applyFill="1" applyBorder="1" applyAlignment="1">
      <alignment horizontal="right" vertical="center"/>
    </xf>
    <xf numFmtId="3" fontId="17" fillId="29" borderId="40" xfId="50" quotePrefix="1" applyNumberFormat="1" applyFont="1" applyFill="1" applyBorder="1" applyAlignment="1">
      <alignment horizontal="right" vertical="center"/>
    </xf>
    <xf numFmtId="3" fontId="17" fillId="29" borderId="48" xfId="50" quotePrefix="1" applyNumberFormat="1" applyFont="1" applyFill="1" applyBorder="1" applyAlignment="1">
      <alignment horizontal="right" vertical="center"/>
    </xf>
    <xf numFmtId="9" fontId="17" fillId="29" borderId="40" xfId="50" quotePrefix="1" applyFont="1" applyFill="1" applyBorder="1" applyAlignment="1">
      <alignment horizontal="right" vertical="center"/>
    </xf>
    <xf numFmtId="9" fontId="17" fillId="29" borderId="48" xfId="50" quotePrefix="1" applyFont="1" applyFill="1" applyBorder="1" applyAlignment="1">
      <alignment horizontal="right" vertical="center"/>
    </xf>
    <xf numFmtId="168" fontId="17" fillId="29" borderId="0" xfId="50" quotePrefix="1" applyNumberFormat="1" applyFont="1" applyFill="1" applyBorder="1" applyAlignment="1">
      <alignment horizontal="right" vertical="center"/>
    </xf>
    <xf numFmtId="188" fontId="17" fillId="29" borderId="0" xfId="34" quotePrefix="1" applyNumberFormat="1" applyFont="1" applyFill="1" applyBorder="1" applyAlignment="1">
      <alignment horizontal="right" vertical="center"/>
    </xf>
    <xf numFmtId="165" fontId="17" fillId="29" borderId="33" xfId="43" applyNumberFormat="1" applyFont="1" applyFill="1" applyBorder="1">
      <alignment horizontal="left" vertical="center"/>
    </xf>
    <xf numFmtId="165" fontId="17" fillId="29" borderId="12" xfId="43" applyNumberFormat="1" applyFont="1" applyFill="1" applyBorder="1">
      <alignment horizontal="left" vertical="center"/>
    </xf>
    <xf numFmtId="9" fontId="17" fillId="29" borderId="12" xfId="50" quotePrefix="1" applyFont="1" applyFill="1" applyBorder="1" applyAlignment="1">
      <alignment horizontal="right" vertical="center"/>
    </xf>
    <xf numFmtId="9" fontId="74" fillId="29" borderId="12" xfId="50" quotePrefix="1" applyFont="1" applyFill="1" applyBorder="1" applyAlignment="1">
      <alignment horizontal="right" vertical="center"/>
    </xf>
    <xf numFmtId="9" fontId="18" fillId="29" borderId="12" xfId="50" quotePrefix="1" applyFont="1" applyFill="1" applyBorder="1" applyAlignment="1">
      <alignment horizontal="right" vertical="center"/>
    </xf>
    <xf numFmtId="3" fontId="17" fillId="29" borderId="12" xfId="50" quotePrefix="1" applyNumberFormat="1" applyFont="1" applyFill="1" applyBorder="1" applyAlignment="1">
      <alignment horizontal="right" vertical="center"/>
    </xf>
    <xf numFmtId="3" fontId="17" fillId="29" borderId="41" xfId="50" quotePrefix="1" applyNumberFormat="1" applyFont="1" applyFill="1" applyBorder="1" applyAlignment="1">
      <alignment horizontal="right" vertical="center"/>
    </xf>
    <xf numFmtId="3" fontId="17" fillId="29" borderId="54" xfId="50" quotePrefix="1" applyNumberFormat="1" applyFont="1" applyFill="1" applyBorder="1" applyAlignment="1">
      <alignment horizontal="right" vertical="center"/>
    </xf>
    <xf numFmtId="165" fontId="13" fillId="29" borderId="29" xfId="43" applyNumberFormat="1" applyFont="1" applyFill="1" applyBorder="1">
      <alignment horizontal="left" vertical="center"/>
    </xf>
    <xf numFmtId="9" fontId="13" fillId="29" borderId="0" xfId="50" quotePrefix="1" applyFont="1" applyFill="1" applyBorder="1" applyAlignment="1">
      <alignment horizontal="right" vertical="center"/>
    </xf>
    <xf numFmtId="9" fontId="50" fillId="29" borderId="0" xfId="50" quotePrefix="1" applyFont="1" applyFill="1" applyBorder="1" applyAlignment="1">
      <alignment horizontal="right" vertical="center"/>
    </xf>
    <xf numFmtId="3" fontId="13" fillId="29" borderId="0" xfId="50" quotePrefix="1" applyNumberFormat="1" applyFont="1" applyFill="1" applyBorder="1" applyAlignment="1">
      <alignment horizontal="right" vertical="center"/>
    </xf>
    <xf numFmtId="176" fontId="13" fillId="29" borderId="0" xfId="50" quotePrefix="1" applyNumberFormat="1" applyFont="1" applyFill="1" applyBorder="1" applyAlignment="1">
      <alignment horizontal="right" vertical="center"/>
    </xf>
    <xf numFmtId="176" fontId="13" fillId="29" borderId="40" xfId="50" quotePrefix="1" applyNumberFormat="1" applyFont="1" applyFill="1" applyBorder="1" applyAlignment="1">
      <alignment horizontal="right" vertical="center"/>
    </xf>
    <xf numFmtId="176" fontId="13" fillId="29" borderId="48" xfId="50" quotePrefix="1" applyNumberFormat="1" applyFont="1" applyFill="1" applyBorder="1" applyAlignment="1">
      <alignment horizontal="right" vertical="center"/>
    </xf>
    <xf numFmtId="165" fontId="17" fillId="29" borderId="29" xfId="43" applyNumberFormat="1" applyFont="1" applyFill="1" applyBorder="1">
      <alignment horizontal="left" vertical="center"/>
    </xf>
    <xf numFmtId="165" fontId="17" fillId="29" borderId="30" xfId="43" applyNumberFormat="1" applyFont="1" applyFill="1" applyBorder="1">
      <alignment horizontal="left" vertical="center"/>
    </xf>
    <xf numFmtId="165" fontId="17" fillId="29" borderId="13" xfId="43" applyNumberFormat="1" applyFont="1" applyFill="1" applyBorder="1">
      <alignment horizontal="left" vertical="center"/>
    </xf>
    <xf numFmtId="9" fontId="17" fillId="29" borderId="13" xfId="50" quotePrefix="1" applyFont="1" applyFill="1" applyBorder="1" applyAlignment="1">
      <alignment horizontal="right" vertical="center"/>
    </xf>
    <xf numFmtId="9" fontId="74" fillId="29" borderId="13" xfId="50" quotePrefix="1" applyFont="1" applyFill="1" applyBorder="1" applyAlignment="1">
      <alignment horizontal="right" vertical="center"/>
    </xf>
    <xf numFmtId="9" fontId="18" fillId="29" borderId="13" xfId="50" quotePrefix="1" applyFont="1" applyFill="1" applyBorder="1" applyAlignment="1">
      <alignment horizontal="right" vertical="center"/>
    </xf>
    <xf numFmtId="3" fontId="17" fillId="29" borderId="13" xfId="50" quotePrefix="1" applyNumberFormat="1" applyFont="1" applyFill="1" applyBorder="1" applyAlignment="1">
      <alignment horizontal="right" vertical="center"/>
    </xf>
    <xf numFmtId="3" fontId="17" fillId="29" borderId="42" xfId="50" quotePrefix="1" applyNumberFormat="1" applyFont="1" applyFill="1" applyBorder="1" applyAlignment="1">
      <alignment horizontal="right" vertical="center"/>
    </xf>
    <xf numFmtId="3" fontId="38" fillId="29" borderId="42" xfId="50" quotePrefix="1" applyNumberFormat="1" applyFont="1" applyFill="1" applyBorder="1" applyAlignment="1">
      <alignment horizontal="right" vertical="center"/>
    </xf>
    <xf numFmtId="9" fontId="38" fillId="29" borderId="13" xfId="50" quotePrefix="1" applyFont="1" applyFill="1" applyBorder="1" applyAlignment="1">
      <alignment horizontal="right" vertical="center"/>
    </xf>
    <xf numFmtId="3" fontId="17" fillId="29" borderId="49" xfId="50" quotePrefix="1" applyNumberFormat="1" applyFont="1" applyFill="1" applyBorder="1" applyAlignment="1">
      <alignment horizontal="right" vertical="center"/>
    </xf>
    <xf numFmtId="165" fontId="29" fillId="29" borderId="17" xfId="43" applyNumberFormat="1" applyFont="1" applyFill="1" applyBorder="1">
      <alignment horizontal="left" vertical="center"/>
    </xf>
    <xf numFmtId="165" fontId="29" fillId="29" borderId="18" xfId="43" applyNumberFormat="1" applyFont="1" applyFill="1" applyBorder="1">
      <alignment horizontal="left" vertical="center"/>
    </xf>
    <xf numFmtId="177" fontId="29" fillId="29" borderId="18" xfId="32" quotePrefix="1" applyNumberFormat="1" applyFont="1" applyFill="1" applyBorder="1" applyAlignment="1">
      <alignment horizontal="right" vertical="center"/>
    </xf>
    <xf numFmtId="177" fontId="29" fillId="29" borderId="43" xfId="32" quotePrefix="1" applyNumberFormat="1" applyFont="1" applyFill="1" applyBorder="1" applyAlignment="1">
      <alignment horizontal="right" vertical="center"/>
    </xf>
    <xf numFmtId="177" fontId="29" fillId="29" borderId="18" xfId="0" applyNumberFormat="1" applyFont="1" applyFill="1" applyBorder="1"/>
    <xf numFmtId="177" fontId="29" fillId="29" borderId="18" xfId="51" quotePrefix="1" applyNumberFormat="1" applyFont="1" applyFill="1" applyBorder="1" applyAlignment="1">
      <alignment horizontal="right" vertical="center"/>
    </xf>
    <xf numFmtId="177" fontId="29" fillId="29" borderId="55" xfId="32" quotePrefix="1" applyNumberFormat="1" applyFont="1" applyFill="1" applyBorder="1" applyAlignment="1">
      <alignment horizontal="right" vertical="center"/>
    </xf>
    <xf numFmtId="177" fontId="29" fillId="29" borderId="0" xfId="51" quotePrefix="1" applyNumberFormat="1" applyFont="1" applyFill="1" applyBorder="1" applyAlignment="1">
      <alignment horizontal="right" vertical="center"/>
    </xf>
    <xf numFmtId="177" fontId="29" fillId="29" borderId="0" xfId="0" applyNumberFormat="1" applyFont="1" applyFill="1" applyBorder="1"/>
    <xf numFmtId="0" fontId="29" fillId="29" borderId="0" xfId="0" applyFont="1" applyFill="1" applyBorder="1"/>
    <xf numFmtId="165" fontId="17" fillId="29" borderId="20" xfId="43" applyNumberFormat="1" applyFont="1" applyFill="1" applyBorder="1">
      <alignment horizontal="left" vertical="center"/>
    </xf>
    <xf numFmtId="165" fontId="18" fillId="29" borderId="0" xfId="43" applyNumberFormat="1" applyFont="1" applyFill="1" applyBorder="1">
      <alignment horizontal="left" vertical="center"/>
    </xf>
    <xf numFmtId="174" fontId="17" fillId="29" borderId="0" xfId="32" applyNumberFormat="1" applyFont="1" applyFill="1" applyBorder="1" applyAlignment="1">
      <alignment horizontal="right"/>
    </xf>
    <xf numFmtId="174" fontId="18" fillId="29" borderId="0" xfId="32" applyNumberFormat="1" applyFont="1" applyFill="1" applyBorder="1" applyAlignment="1">
      <alignment horizontal="right"/>
    </xf>
    <xf numFmtId="9" fontId="17" fillId="29" borderId="0" xfId="50" quotePrefix="1" applyNumberFormat="1" applyFont="1" applyFill="1" applyBorder="1" applyAlignment="1">
      <alignment horizontal="right" vertical="center"/>
    </xf>
    <xf numFmtId="180" fontId="17" fillId="29" borderId="0" xfId="51" quotePrefix="1" applyNumberFormat="1" applyFont="1" applyFill="1" applyBorder="1" applyAlignment="1">
      <alignment horizontal="right" vertical="center"/>
    </xf>
    <xf numFmtId="0" fontId="18" fillId="29" borderId="0" xfId="0" applyFont="1" applyFill="1" applyBorder="1"/>
    <xf numFmtId="165" fontId="17" fillId="29" borderId="24" xfId="43" applyNumberFormat="1" applyFont="1" applyFill="1" applyBorder="1">
      <alignment horizontal="left" vertical="center"/>
    </xf>
    <xf numFmtId="165" fontId="18" fillId="29" borderId="21" xfId="43" applyNumberFormat="1" applyFont="1" applyFill="1" applyBorder="1">
      <alignment horizontal="left" vertical="center"/>
    </xf>
    <xf numFmtId="174" fontId="17" fillId="29" borderId="21" xfId="32" applyNumberFormat="1" applyFont="1" applyFill="1" applyBorder="1" applyAlignment="1">
      <alignment horizontal="right"/>
    </xf>
    <xf numFmtId="174" fontId="18" fillId="29" borderId="21" xfId="32" applyNumberFormat="1" applyFont="1" applyFill="1" applyBorder="1" applyAlignment="1">
      <alignment horizontal="right"/>
    </xf>
    <xf numFmtId="165" fontId="17" fillId="29" borderId="21" xfId="43" applyNumberFormat="1" applyFont="1" applyFill="1" applyBorder="1">
      <alignment horizontal="left" vertical="center"/>
    </xf>
    <xf numFmtId="9" fontId="17" fillId="29" borderId="21" xfId="50" quotePrefix="1" applyFont="1" applyFill="1" applyBorder="1" applyAlignment="1">
      <alignment horizontal="right" vertical="center"/>
    </xf>
    <xf numFmtId="174" fontId="18" fillId="29" borderId="44" xfId="32" applyNumberFormat="1" applyFont="1" applyFill="1" applyBorder="1" applyAlignment="1">
      <alignment horizontal="right"/>
    </xf>
    <xf numFmtId="180" fontId="17" fillId="29" borderId="21" xfId="51" quotePrefix="1" applyNumberFormat="1" applyFont="1" applyFill="1" applyBorder="1" applyAlignment="1">
      <alignment horizontal="right" vertical="center"/>
    </xf>
    <xf numFmtId="174" fontId="18" fillId="29" borderId="56" xfId="32" applyNumberFormat="1" applyFont="1" applyFill="1" applyBorder="1" applyAlignment="1">
      <alignment horizontal="right"/>
    </xf>
    <xf numFmtId="165" fontId="13" fillId="29" borderId="48" xfId="43" applyNumberFormat="1" applyFont="1" applyFill="1" applyBorder="1">
      <alignment horizontal="left" vertical="center"/>
    </xf>
    <xf numFmtId="165" fontId="39" fillId="29" borderId="0" xfId="51" applyNumberFormat="1" applyFont="1" applyFill="1" applyBorder="1">
      <alignment horizontal="right" vertical="center"/>
    </xf>
    <xf numFmtId="1" fontId="39" fillId="29" borderId="0" xfId="51" applyNumberFormat="1" applyFont="1" applyFill="1" applyBorder="1">
      <alignment horizontal="right" vertical="center"/>
    </xf>
    <xf numFmtId="174" fontId="32" fillId="29" borderId="0" xfId="32" applyNumberFormat="1" applyFont="1" applyFill="1" applyBorder="1"/>
    <xf numFmtId="180" fontId="25" fillId="29" borderId="0" xfId="51" quotePrefix="1" applyNumberFormat="1" applyFont="1" applyFill="1" applyBorder="1" applyAlignment="1">
      <alignment horizontal="right" vertical="center"/>
    </xf>
    <xf numFmtId="9" fontId="25" fillId="29" borderId="0" xfId="51" quotePrefix="1" applyNumberFormat="1" applyFont="1" applyFill="1" applyBorder="1" applyAlignment="1">
      <alignment horizontal="right" vertical="center"/>
    </xf>
    <xf numFmtId="3" fontId="25" fillId="29" borderId="0" xfId="0" applyNumberFormat="1" applyFont="1" applyFill="1" applyBorder="1" applyAlignment="1">
      <alignment horizontal="right"/>
    </xf>
    <xf numFmtId="177" fontId="25" fillId="29" borderId="0" xfId="0" applyNumberFormat="1" applyFont="1" applyFill="1" applyBorder="1" applyAlignment="1">
      <alignment horizontal="right"/>
    </xf>
    <xf numFmtId="0" fontId="24" fillId="29" borderId="0" xfId="0" applyFont="1" applyFill="1" applyBorder="1"/>
    <xf numFmtId="0" fontId="94" fillId="29" borderId="0" xfId="0" applyFont="1" applyFill="1"/>
    <xf numFmtId="177" fontId="25" fillId="29" borderId="0" xfId="51" quotePrefix="1" applyNumberFormat="1" applyFont="1" applyFill="1" applyBorder="1" applyAlignment="1">
      <alignment horizontal="right" vertical="center"/>
    </xf>
    <xf numFmtId="166" fontId="25" fillId="29" borderId="0" xfId="0" applyNumberFormat="1" applyFont="1" applyFill="1" applyBorder="1" applyAlignment="1">
      <alignment horizontal="right"/>
    </xf>
    <xf numFmtId="166" fontId="32" fillId="29" borderId="0" xfId="0" applyNumberFormat="1" applyFont="1" applyFill="1" applyBorder="1" applyAlignment="1">
      <alignment horizontal="right"/>
    </xf>
    <xf numFmtId="166" fontId="32" fillId="29" borderId="40" xfId="0" applyNumberFormat="1" applyFont="1" applyFill="1" applyBorder="1" applyAlignment="1">
      <alignment horizontal="right"/>
    </xf>
    <xf numFmtId="166" fontId="32" fillId="29" borderId="48" xfId="0" applyNumberFormat="1" applyFont="1" applyFill="1" applyBorder="1" applyAlignment="1">
      <alignment horizontal="right"/>
    </xf>
    <xf numFmtId="9" fontId="38" fillId="29" borderId="0" xfId="50" quotePrefix="1" applyFont="1" applyFill="1" applyBorder="1" applyAlignment="1">
      <alignment horizontal="right" vertical="center"/>
    </xf>
    <xf numFmtId="3" fontId="73" fillId="29" borderId="0" xfId="0" applyNumberFormat="1" applyFont="1" applyFill="1" applyBorder="1" applyAlignment="1">
      <alignment horizontal="right"/>
    </xf>
    <xf numFmtId="3" fontId="32" fillId="29" borderId="0" xfId="0" applyNumberFormat="1" applyFont="1" applyFill="1" applyBorder="1" applyAlignment="1">
      <alignment horizontal="right"/>
    </xf>
    <xf numFmtId="3" fontId="32" fillId="29" borderId="40" xfId="0" applyNumberFormat="1" applyFont="1" applyFill="1" applyBorder="1" applyAlignment="1">
      <alignment horizontal="right"/>
    </xf>
    <xf numFmtId="3" fontId="38" fillId="29" borderId="0" xfId="0" applyNumberFormat="1" applyFont="1" applyFill="1" applyBorder="1" applyAlignment="1">
      <alignment horizontal="right"/>
    </xf>
    <xf numFmtId="3" fontId="37" fillId="29" borderId="0" xfId="0" applyNumberFormat="1" applyFont="1" applyFill="1" applyBorder="1" applyAlignment="1">
      <alignment horizontal="right"/>
    </xf>
    <xf numFmtId="3" fontId="32" fillId="29" borderId="48" xfId="0" applyNumberFormat="1" applyFont="1" applyFill="1" applyBorder="1" applyAlignment="1">
      <alignment horizontal="right"/>
    </xf>
    <xf numFmtId="165" fontId="32" fillId="29" borderId="0" xfId="43" applyNumberFormat="1" applyFont="1" applyFill="1" applyBorder="1">
      <alignment horizontal="left" vertical="center"/>
    </xf>
    <xf numFmtId="174" fontId="18" fillId="29" borderId="40" xfId="32" applyNumberFormat="1" applyFont="1" applyFill="1" applyBorder="1" applyAlignment="1">
      <alignment horizontal="right"/>
    </xf>
    <xf numFmtId="174" fontId="18" fillId="29" borderId="48" xfId="32" applyNumberFormat="1" applyFont="1" applyFill="1" applyBorder="1" applyAlignment="1">
      <alignment horizontal="right"/>
    </xf>
    <xf numFmtId="9" fontId="25" fillId="29" borderId="0" xfId="50" quotePrefix="1" applyNumberFormat="1" applyFont="1" applyFill="1" applyBorder="1" applyAlignment="1">
      <alignment horizontal="right" vertical="center"/>
    </xf>
    <xf numFmtId="9" fontId="37" fillId="29" borderId="0" xfId="50" quotePrefix="1" applyNumberFormat="1" applyFont="1" applyFill="1" applyBorder="1" applyAlignment="1">
      <alignment horizontal="right" vertical="center"/>
    </xf>
    <xf numFmtId="9" fontId="32" fillId="29" borderId="0" xfId="50" quotePrefix="1" applyFont="1" applyFill="1" applyBorder="1" applyAlignment="1">
      <alignment horizontal="right" vertical="center"/>
    </xf>
    <xf numFmtId="165" fontId="25" fillId="29" borderId="0" xfId="43" applyNumberFormat="1" applyFont="1" applyFill="1" applyBorder="1">
      <alignment horizontal="left" vertical="center"/>
    </xf>
    <xf numFmtId="9" fontId="32" fillId="29" borderId="40" xfId="50" quotePrefix="1" applyFont="1" applyFill="1" applyBorder="1" applyAlignment="1">
      <alignment horizontal="right" vertical="center"/>
    </xf>
    <xf numFmtId="9" fontId="32" fillId="29" borderId="48" xfId="50" quotePrefix="1" applyFont="1" applyFill="1" applyBorder="1" applyAlignment="1">
      <alignment horizontal="right" vertical="center"/>
    </xf>
    <xf numFmtId="9" fontId="71" fillId="29" borderId="0" xfId="50" quotePrefix="1" applyFont="1" applyFill="1" applyBorder="1" applyAlignment="1">
      <alignment horizontal="right" vertical="center"/>
    </xf>
    <xf numFmtId="9" fontId="13" fillId="29" borderId="0" xfId="50" applyFont="1" applyFill="1" applyBorder="1" applyAlignment="1">
      <alignment horizontal="right" vertical="center"/>
    </xf>
    <xf numFmtId="9" fontId="13" fillId="29" borderId="40" xfId="50" applyFont="1" applyFill="1" applyBorder="1" applyAlignment="1">
      <alignment horizontal="right" vertical="center"/>
    </xf>
    <xf numFmtId="9" fontId="13" fillId="29" borderId="48" xfId="50" applyFont="1" applyFill="1" applyBorder="1" applyAlignment="1">
      <alignment horizontal="right" vertical="center"/>
    </xf>
    <xf numFmtId="165" fontId="13" fillId="29" borderId="33" xfId="43" applyNumberFormat="1" applyFont="1" applyFill="1" applyBorder="1">
      <alignment horizontal="left" vertical="center"/>
    </xf>
    <xf numFmtId="165" fontId="13" fillId="29" borderId="12" xfId="43" applyNumberFormat="1" applyFont="1" applyFill="1" applyBorder="1">
      <alignment horizontal="left" vertical="center"/>
    </xf>
    <xf numFmtId="177" fontId="25" fillId="29" borderId="12" xfId="0" applyNumberFormat="1" applyFont="1" applyFill="1" applyBorder="1" applyAlignment="1">
      <alignment horizontal="right"/>
    </xf>
    <xf numFmtId="177" fontId="32" fillId="29" borderId="12" xfId="0" applyNumberFormat="1" applyFont="1" applyFill="1" applyBorder="1" applyAlignment="1">
      <alignment horizontal="right"/>
    </xf>
    <xf numFmtId="177" fontId="13" fillId="29" borderId="12" xfId="43" applyNumberFormat="1" applyFont="1" applyFill="1" applyBorder="1">
      <alignment horizontal="left" vertical="center"/>
    </xf>
    <xf numFmtId="177" fontId="14" fillId="29" borderId="12" xfId="43" applyNumberFormat="1" applyFont="1" applyFill="1" applyBorder="1">
      <alignment horizontal="left" vertical="center"/>
    </xf>
    <xf numFmtId="177" fontId="32" fillId="29" borderId="41" xfId="0" applyNumberFormat="1" applyFont="1" applyFill="1" applyBorder="1" applyAlignment="1">
      <alignment horizontal="right"/>
    </xf>
    <xf numFmtId="177" fontId="14" fillId="29" borderId="12" xfId="51" quotePrefix="1" applyNumberFormat="1" applyFont="1" applyFill="1" applyBorder="1" applyAlignment="1">
      <alignment horizontal="right" vertical="center"/>
    </xf>
    <xf numFmtId="177" fontId="32" fillId="29" borderId="54" xfId="0" applyNumberFormat="1" applyFont="1" applyFill="1" applyBorder="1" applyAlignment="1">
      <alignment horizontal="right"/>
    </xf>
    <xf numFmtId="174" fontId="17" fillId="29" borderId="13" xfId="32" applyNumberFormat="1" applyFont="1" applyFill="1" applyBorder="1" applyAlignment="1">
      <alignment horizontal="right"/>
    </xf>
    <xf numFmtId="174" fontId="18" fillId="29" borderId="13" xfId="32" applyNumberFormat="1" applyFont="1" applyFill="1" applyBorder="1" applyAlignment="1">
      <alignment horizontal="right"/>
    </xf>
    <xf numFmtId="174" fontId="18" fillId="29" borderId="42" xfId="32" applyNumberFormat="1" applyFont="1" applyFill="1" applyBorder="1" applyAlignment="1">
      <alignment horizontal="right"/>
    </xf>
    <xf numFmtId="180" fontId="17" fillId="29" borderId="13" xfId="51" quotePrefix="1" applyNumberFormat="1" applyFont="1" applyFill="1" applyBorder="1" applyAlignment="1">
      <alignment horizontal="right" vertical="center"/>
    </xf>
    <xf numFmtId="174" fontId="18" fillId="29" borderId="49" xfId="32" applyNumberFormat="1" applyFont="1" applyFill="1" applyBorder="1" applyAlignment="1">
      <alignment horizontal="right"/>
    </xf>
    <xf numFmtId="174" fontId="17" fillId="29" borderId="0" xfId="32" quotePrefix="1" applyNumberFormat="1" applyFont="1" applyFill="1" applyBorder="1" applyAlignment="1">
      <alignment horizontal="right" vertical="center"/>
    </xf>
    <xf numFmtId="173" fontId="17" fillId="29" borderId="0" xfId="32" quotePrefix="1" applyNumberFormat="1" applyFont="1" applyFill="1" applyBorder="1" applyAlignment="1">
      <alignment horizontal="right" vertical="center"/>
    </xf>
    <xf numFmtId="43" fontId="17" fillId="29" borderId="0" xfId="32" quotePrefix="1" applyNumberFormat="1" applyFont="1" applyFill="1" applyBorder="1" applyAlignment="1">
      <alignment horizontal="right" vertical="center"/>
    </xf>
    <xf numFmtId="168" fontId="18" fillId="29" borderId="0" xfId="50" applyNumberFormat="1" applyFont="1" applyFill="1" applyBorder="1" applyAlignment="1">
      <alignment horizontal="right"/>
    </xf>
    <xf numFmtId="166" fontId="15" fillId="29" borderId="0" xfId="43" applyNumberFormat="1" applyFont="1" applyFill="1" applyBorder="1">
      <alignment horizontal="left" vertical="center"/>
    </xf>
    <xf numFmtId="177" fontId="29" fillId="29" borderId="40" xfId="32" quotePrefix="1" applyNumberFormat="1" applyFont="1" applyFill="1" applyBorder="1" applyAlignment="1">
      <alignment horizontal="right" vertical="center"/>
    </xf>
    <xf numFmtId="177" fontId="29" fillId="29" borderId="0" xfId="32" quotePrefix="1" applyNumberFormat="1" applyFont="1" applyFill="1" applyBorder="1" applyAlignment="1">
      <alignment horizontal="right" vertical="center"/>
    </xf>
    <xf numFmtId="177" fontId="29" fillId="29" borderId="48" xfId="32" quotePrefix="1" applyNumberFormat="1" applyFont="1" applyFill="1" applyBorder="1" applyAlignment="1">
      <alignment horizontal="right" vertical="center"/>
    </xf>
    <xf numFmtId="165" fontId="29" fillId="29" borderId="0" xfId="43" applyNumberFormat="1" applyFont="1" applyFill="1" applyBorder="1">
      <alignment horizontal="left" vertical="center"/>
    </xf>
    <xf numFmtId="9" fontId="28" fillId="29" borderId="40" xfId="50" quotePrefix="1" applyFont="1" applyFill="1" applyBorder="1" applyAlignment="1">
      <alignment horizontal="right" vertical="center"/>
    </xf>
    <xf numFmtId="0" fontId="25" fillId="29" borderId="17" xfId="0" applyFont="1" applyFill="1" applyBorder="1"/>
    <xf numFmtId="0" fontId="25" fillId="29" borderId="18" xfId="0" applyFont="1" applyFill="1" applyBorder="1"/>
    <xf numFmtId="0" fontId="32" fillId="29" borderId="18" xfId="0" applyFont="1" applyFill="1" applyBorder="1"/>
    <xf numFmtId="164" fontId="25" fillId="29" borderId="18" xfId="0" applyNumberFormat="1" applyFont="1" applyFill="1" applyBorder="1"/>
    <xf numFmtId="164" fontId="32" fillId="29" borderId="18" xfId="0" applyNumberFormat="1" applyFont="1" applyFill="1" applyBorder="1"/>
    <xf numFmtId="164" fontId="32" fillId="29" borderId="43" xfId="0" applyNumberFormat="1" applyFont="1" applyFill="1" applyBorder="1"/>
    <xf numFmtId="164" fontId="32" fillId="29" borderId="55" xfId="0" applyNumberFormat="1" applyFont="1" applyFill="1" applyBorder="1"/>
    <xf numFmtId="0" fontId="25" fillId="29" borderId="20" xfId="0" applyFont="1" applyFill="1" applyBorder="1"/>
    <xf numFmtId="168" fontId="25" fillId="29" borderId="40" xfId="50" applyNumberFormat="1" applyFont="1" applyFill="1" applyBorder="1"/>
    <xf numFmtId="168" fontId="25" fillId="29" borderId="48" xfId="50" applyNumberFormat="1" applyFont="1" applyFill="1" applyBorder="1"/>
    <xf numFmtId="0" fontId="25" fillId="29" borderId="24" xfId="0" applyFont="1" applyFill="1" applyBorder="1"/>
    <xf numFmtId="0" fontId="25" fillId="29" borderId="21" xfId="0" applyFont="1" applyFill="1" applyBorder="1"/>
    <xf numFmtId="0" fontId="32" fillId="29" borderId="21" xfId="0" applyFont="1" applyFill="1" applyBorder="1"/>
    <xf numFmtId="168" fontId="25" fillId="29" borderId="21" xfId="50" applyNumberFormat="1" applyFont="1" applyFill="1" applyBorder="1"/>
    <xf numFmtId="0" fontId="32" fillId="29" borderId="44" xfId="0" applyFont="1" applyFill="1" applyBorder="1"/>
    <xf numFmtId="0" fontId="32" fillId="29" borderId="56" xfId="0" applyFont="1" applyFill="1" applyBorder="1"/>
    <xf numFmtId="0" fontId="25" fillId="29" borderId="12" xfId="0" applyFont="1" applyFill="1" applyBorder="1"/>
    <xf numFmtId="0" fontId="32" fillId="29" borderId="12" xfId="0" applyFont="1" applyFill="1" applyBorder="1"/>
    <xf numFmtId="164" fontId="25" fillId="29" borderId="12" xfId="0" applyNumberFormat="1" applyFont="1" applyFill="1" applyBorder="1"/>
    <xf numFmtId="164" fontId="32" fillId="29" borderId="12" xfId="0" applyNumberFormat="1" applyFont="1" applyFill="1" applyBorder="1"/>
    <xf numFmtId="164" fontId="32" fillId="29" borderId="41" xfId="0" applyNumberFormat="1" applyFont="1" applyFill="1" applyBorder="1"/>
    <xf numFmtId="9" fontId="37" fillId="29" borderId="0" xfId="50" applyFont="1" applyFill="1" applyBorder="1" applyAlignment="1">
      <alignment horizontal="right"/>
    </xf>
    <xf numFmtId="168" fontId="17" fillId="29" borderId="0" xfId="50" applyNumberFormat="1" applyFont="1" applyFill="1" applyBorder="1"/>
    <xf numFmtId="9" fontId="17" fillId="29" borderId="0" xfId="50" applyNumberFormat="1" applyFont="1" applyFill="1" applyBorder="1"/>
    <xf numFmtId="9" fontId="17" fillId="29" borderId="41" xfId="50" applyNumberFormat="1" applyFont="1" applyFill="1" applyBorder="1"/>
    <xf numFmtId="0" fontId="18" fillId="29" borderId="40" xfId="0" applyFont="1" applyFill="1" applyBorder="1"/>
    <xf numFmtId="9" fontId="17" fillId="29" borderId="40" xfId="50" applyNumberFormat="1" applyFont="1" applyFill="1" applyBorder="1"/>
    <xf numFmtId="9" fontId="17" fillId="29" borderId="0" xfId="50" applyFont="1" applyFill="1" applyBorder="1"/>
    <xf numFmtId="174" fontId="38" fillId="29" borderId="0" xfId="32" applyNumberFormat="1" applyFont="1" applyFill="1" applyBorder="1"/>
    <xf numFmtId="0" fontId="37" fillId="29" borderId="0" xfId="0" applyFont="1" applyFill="1" applyBorder="1"/>
    <xf numFmtId="173" fontId="17" fillId="29" borderId="0" xfId="32" applyNumberFormat="1" applyFont="1" applyFill="1" applyBorder="1"/>
    <xf numFmtId="174" fontId="17" fillId="29" borderId="0" xfId="32" applyNumberFormat="1" applyFont="1" applyFill="1" applyBorder="1"/>
    <xf numFmtId="173" fontId="46" fillId="29" borderId="0" xfId="32" applyNumberFormat="1" applyFont="1" applyFill="1" applyBorder="1"/>
    <xf numFmtId="173" fontId="38" fillId="29" borderId="0" xfId="32" applyNumberFormat="1" applyFont="1" applyFill="1" applyBorder="1"/>
    <xf numFmtId="173" fontId="18" fillId="29" borderId="40" xfId="0" applyNumberFormat="1" applyFont="1" applyFill="1" applyBorder="1"/>
    <xf numFmtId="173" fontId="37" fillId="29" borderId="0" xfId="32" applyNumberFormat="1" applyFont="1" applyFill="1" applyBorder="1"/>
    <xf numFmtId="173" fontId="17" fillId="29" borderId="0" xfId="50" applyNumberFormat="1" applyFont="1" applyFill="1" applyBorder="1"/>
    <xf numFmtId="9" fontId="25" fillId="29" borderId="0" xfId="50" applyNumberFormat="1" applyFont="1" applyFill="1" applyBorder="1"/>
    <xf numFmtId="9" fontId="25" fillId="29" borderId="40" xfId="50" applyNumberFormat="1" applyFont="1" applyFill="1" applyBorder="1"/>
    <xf numFmtId="177" fontId="25" fillId="29" borderId="0" xfId="0" applyNumberFormat="1" applyFont="1" applyFill="1" applyBorder="1"/>
    <xf numFmtId="164" fontId="13" fillId="29" borderId="50" xfId="0" applyNumberFormat="1" applyFont="1" applyFill="1" applyBorder="1"/>
    <xf numFmtId="167" fontId="32" fillId="29" borderId="40" xfId="0" applyNumberFormat="1" applyFont="1" applyFill="1" applyBorder="1" applyAlignment="1">
      <alignment horizontal="center"/>
    </xf>
    <xf numFmtId="167" fontId="25" fillId="29" borderId="0" xfId="0" applyNumberFormat="1" applyFont="1" applyFill="1" applyBorder="1" applyAlignment="1">
      <alignment horizontal="center"/>
    </xf>
    <xf numFmtId="168" fontId="25" fillId="29" borderId="0" xfId="50" applyNumberFormat="1" applyFont="1" applyFill="1" applyBorder="1" applyAlignment="1">
      <alignment horizontal="center"/>
    </xf>
    <xf numFmtId="164" fontId="25" fillId="29" borderId="0" xfId="0" applyNumberFormat="1" applyFont="1" applyFill="1" applyBorder="1" applyAlignment="1">
      <alignment horizontal="center"/>
    </xf>
    <xf numFmtId="175" fontId="25" fillId="29" borderId="0" xfId="0" applyNumberFormat="1" applyFont="1" applyFill="1" applyBorder="1"/>
    <xf numFmtId="177" fontId="25" fillId="29" borderId="40" xfId="0" applyNumberFormat="1" applyFont="1" applyFill="1" applyBorder="1"/>
    <xf numFmtId="177" fontId="32" fillId="29" borderId="40" xfId="0" applyNumberFormat="1" applyFont="1" applyFill="1" applyBorder="1"/>
    <xf numFmtId="177" fontId="25" fillId="29" borderId="0" xfId="32" quotePrefix="1" applyNumberFormat="1" applyFont="1" applyFill="1" applyBorder="1" applyAlignment="1">
      <alignment horizontal="right" vertical="center"/>
    </xf>
    <xf numFmtId="177" fontId="32" fillId="29" borderId="0" xfId="32" quotePrefix="1" applyNumberFormat="1" applyFont="1" applyFill="1" applyBorder="1" applyAlignment="1">
      <alignment horizontal="right" vertical="center"/>
    </xf>
    <xf numFmtId="177" fontId="32" fillId="29" borderId="40" xfId="32" quotePrefix="1" applyNumberFormat="1" applyFont="1" applyFill="1" applyBorder="1" applyAlignment="1">
      <alignment horizontal="right" vertical="center"/>
    </xf>
    <xf numFmtId="9" fontId="70" fillId="29" borderId="0" xfId="50" applyFont="1" applyFill="1" applyBorder="1"/>
    <xf numFmtId="9" fontId="70" fillId="29" borderId="40" xfId="50" applyFont="1" applyFill="1" applyBorder="1"/>
    <xf numFmtId="175" fontId="14" fillId="29" borderId="0" xfId="50" applyNumberFormat="1" applyFont="1" applyFill="1" applyBorder="1"/>
    <xf numFmtId="43" fontId="14" fillId="29" borderId="0" xfId="32" applyFont="1" applyFill="1" applyBorder="1"/>
    <xf numFmtId="177" fontId="14" fillId="29" borderId="0" xfId="50" applyNumberFormat="1" applyFont="1" applyFill="1" applyBorder="1"/>
    <xf numFmtId="177" fontId="14" fillId="29" borderId="40" xfId="50" applyNumberFormat="1" applyFont="1" applyFill="1" applyBorder="1"/>
    <xf numFmtId="164" fontId="14" fillId="29" borderId="0" xfId="50" applyNumberFormat="1" applyFont="1" applyFill="1" applyBorder="1"/>
    <xf numFmtId="168" fontId="25" fillId="29" borderId="42" xfId="50" applyNumberFormat="1" applyFont="1" applyFill="1" applyBorder="1"/>
    <xf numFmtId="164" fontId="25" fillId="29" borderId="40" xfId="0" applyNumberFormat="1" applyFont="1" applyFill="1" applyBorder="1"/>
    <xf numFmtId="3" fontId="13" fillId="29" borderId="0" xfId="0" applyNumberFormat="1" applyFont="1" applyFill="1" applyBorder="1"/>
    <xf numFmtId="3" fontId="13" fillId="29" borderId="40" xfId="0" applyNumberFormat="1" applyFont="1" applyFill="1" applyBorder="1"/>
    <xf numFmtId="174" fontId="14" fillId="29" borderId="0" xfId="32" applyNumberFormat="1" applyFont="1" applyFill="1" applyBorder="1" applyAlignment="1">
      <alignment horizontal="right"/>
    </xf>
    <xf numFmtId="1" fontId="25" fillId="29" borderId="0" xfId="0" applyNumberFormat="1" applyFont="1" applyFill="1" applyBorder="1"/>
    <xf numFmtId="1" fontId="37" fillId="29" borderId="0" xfId="0" applyNumberFormat="1" applyFont="1" applyFill="1" applyBorder="1"/>
    <xf numFmtId="174" fontId="14" fillId="29" borderId="0" xfId="32" applyNumberFormat="1" applyFont="1" applyFill="1" applyBorder="1" applyAlignment="1">
      <alignment horizontal="left" vertical="center"/>
    </xf>
    <xf numFmtId="174" fontId="14" fillId="29" borderId="40" xfId="32" applyNumberFormat="1" applyFont="1" applyFill="1" applyBorder="1" applyAlignment="1">
      <alignment horizontal="left" vertical="center"/>
    </xf>
    <xf numFmtId="175" fontId="14" fillId="29" borderId="0" xfId="43" applyNumberFormat="1" applyFont="1" applyFill="1" applyBorder="1" applyAlignment="1">
      <alignment horizontal="right" vertical="center"/>
    </xf>
    <xf numFmtId="175" fontId="14" fillId="29" borderId="0" xfId="0" applyNumberFormat="1" applyFont="1" applyFill="1"/>
    <xf numFmtId="0" fontId="14" fillId="29" borderId="0" xfId="0" quotePrefix="1" applyFont="1" applyFill="1"/>
    <xf numFmtId="9" fontId="17" fillId="29" borderId="0" xfId="50" applyFont="1" applyFill="1" applyBorder="1" applyAlignment="1"/>
    <xf numFmtId="9" fontId="17" fillId="29" borderId="40" xfId="50" applyFont="1" applyFill="1" applyBorder="1" applyAlignment="1"/>
    <xf numFmtId="0" fontId="18" fillId="29" borderId="0" xfId="0" applyFont="1" applyFill="1" applyBorder="1" applyAlignment="1"/>
    <xf numFmtId="1" fontId="13" fillId="29" borderId="40" xfId="0" applyNumberFormat="1" applyFont="1" applyFill="1" applyBorder="1"/>
    <xf numFmtId="0" fontId="13" fillId="29" borderId="12" xfId="0" applyFont="1" applyFill="1" applyBorder="1" applyAlignment="1"/>
    <xf numFmtId="1" fontId="13" fillId="29" borderId="41" xfId="0" applyNumberFormat="1" applyFont="1" applyFill="1" applyBorder="1" applyAlignment="1"/>
    <xf numFmtId="1" fontId="13" fillId="29" borderId="12" xfId="0" applyNumberFormat="1" applyFont="1" applyFill="1" applyBorder="1" applyAlignment="1"/>
    <xf numFmtId="0" fontId="13" fillId="29" borderId="0" xfId="0" applyFont="1" applyFill="1" applyBorder="1" applyAlignment="1"/>
    <xf numFmtId="0" fontId="13" fillId="29" borderId="40" xfId="0" applyFont="1" applyFill="1" applyBorder="1" applyAlignment="1"/>
    <xf numFmtId="9" fontId="17" fillId="29" borderId="40" xfId="50" applyNumberFormat="1" applyFont="1" applyFill="1" applyBorder="1" applyAlignment="1"/>
    <xf numFmtId="9" fontId="17" fillId="29" borderId="0" xfId="50" applyNumberFormat="1" applyFont="1" applyFill="1" applyBorder="1" applyAlignment="1"/>
    <xf numFmtId="173" fontId="14" fillId="29" borderId="40" xfId="32" applyNumberFormat="1" applyFont="1" applyFill="1" applyBorder="1"/>
    <xf numFmtId="0" fontId="17" fillId="29" borderId="0" xfId="0" quotePrefix="1" applyFont="1" applyFill="1"/>
    <xf numFmtId="0" fontId="17" fillId="29" borderId="40" xfId="0" applyFont="1" applyFill="1" applyBorder="1"/>
    <xf numFmtId="168" fontId="17" fillId="29" borderId="40" xfId="0" applyNumberFormat="1" applyFont="1" applyFill="1" applyBorder="1"/>
    <xf numFmtId="168" fontId="69" fillId="29" borderId="0" xfId="50" applyNumberFormat="1" applyFont="1" applyFill="1"/>
    <xf numFmtId="9" fontId="17" fillId="29" borderId="0" xfId="50" applyNumberFormat="1" applyFont="1" applyFill="1"/>
    <xf numFmtId="174" fontId="14" fillId="29" borderId="0" xfId="32" applyNumberFormat="1" applyFont="1" applyFill="1"/>
    <xf numFmtId="3" fontId="14" fillId="29" borderId="0" xfId="0" applyNumberFormat="1" applyFont="1" applyFill="1"/>
    <xf numFmtId="3" fontId="13" fillId="29" borderId="0" xfId="0" applyNumberFormat="1" applyFont="1" applyFill="1"/>
    <xf numFmtId="0" fontId="13" fillId="29" borderId="42" xfId="0" applyFont="1" applyFill="1" applyBorder="1"/>
    <xf numFmtId="0" fontId="14" fillId="29" borderId="42" xfId="0" applyFont="1" applyFill="1" applyBorder="1"/>
    <xf numFmtId="2" fontId="18" fillId="29" borderId="40" xfId="0" applyNumberFormat="1" applyFont="1" applyFill="1" applyBorder="1"/>
    <xf numFmtId="2" fontId="17" fillId="29" borderId="0" xfId="0" applyNumberFormat="1" applyFont="1" applyFill="1" applyBorder="1"/>
    <xf numFmtId="2" fontId="17" fillId="29" borderId="0" xfId="50" applyNumberFormat="1" applyFont="1" applyFill="1" applyBorder="1"/>
    <xf numFmtId="2" fontId="25" fillId="29" borderId="0" xfId="0" applyNumberFormat="1" applyFont="1" applyFill="1" applyBorder="1"/>
    <xf numFmtId="167" fontId="9" fillId="29" borderId="0" xfId="0" applyNumberFormat="1" applyFont="1" applyFill="1"/>
    <xf numFmtId="0" fontId="17" fillId="30" borderId="0" xfId="0" applyFont="1" applyFill="1" applyBorder="1" applyAlignment="1">
      <alignment horizontal="right"/>
    </xf>
    <xf numFmtId="0" fontId="0" fillId="29" borderId="0" xfId="0" applyFill="1" applyBorder="1"/>
    <xf numFmtId="0" fontId="13" fillId="29" borderId="0" xfId="0" applyFont="1" applyFill="1" applyAlignment="1">
      <alignment horizontal="left" indent="1"/>
    </xf>
    <xf numFmtId="164" fontId="0" fillId="29" borderId="0" xfId="0" applyNumberFormat="1" applyFill="1"/>
    <xf numFmtId="168" fontId="0" fillId="29" borderId="0" xfId="50" applyNumberFormat="1" applyFont="1" applyFill="1"/>
    <xf numFmtId="165" fontId="14" fillId="29" borderId="28" xfId="43" applyNumberFormat="1" applyFont="1" applyFill="1" applyBorder="1">
      <alignment horizontal="left" vertical="center"/>
    </xf>
    <xf numFmtId="165" fontId="13" fillId="29" borderId="28" xfId="43" applyNumberFormat="1" applyFont="1" applyFill="1" applyBorder="1">
      <alignment horizontal="left" vertical="center"/>
    </xf>
    <xf numFmtId="0" fontId="14" fillId="29" borderId="28" xfId="0" applyFont="1" applyFill="1" applyBorder="1"/>
    <xf numFmtId="165" fontId="13" fillId="29" borderId="45" xfId="43" applyNumberFormat="1" applyFont="1" applyFill="1" applyBorder="1">
      <alignment horizontal="left" vertical="center"/>
    </xf>
    <xf numFmtId="166" fontId="15" fillId="29" borderId="28" xfId="43" applyNumberFormat="1" applyFont="1" applyFill="1" applyBorder="1">
      <alignment horizontal="left" vertical="center"/>
    </xf>
    <xf numFmtId="177" fontId="29" fillId="29" borderId="28" xfId="0" applyNumberFormat="1" applyFont="1" applyFill="1" applyBorder="1"/>
    <xf numFmtId="177" fontId="29" fillId="29" borderId="45" xfId="32" quotePrefix="1" applyNumberFormat="1" applyFont="1" applyFill="1" applyBorder="1" applyAlignment="1">
      <alignment horizontal="right" vertical="center"/>
    </xf>
    <xf numFmtId="177" fontId="29" fillId="29" borderId="28" xfId="32" quotePrefix="1" applyNumberFormat="1" applyFont="1" applyFill="1" applyBorder="1" applyAlignment="1">
      <alignment horizontal="right" vertical="center"/>
    </xf>
    <xf numFmtId="177" fontId="29" fillId="29" borderId="58" xfId="32" quotePrefix="1" applyNumberFormat="1" applyFont="1" applyFill="1" applyBorder="1" applyAlignment="1">
      <alignment horizontal="right" vertical="center"/>
    </xf>
    <xf numFmtId="0" fontId="3" fillId="29" borderId="0" xfId="0" applyFont="1" applyFill="1" applyAlignment="1">
      <alignment horizontal="left" indent="2"/>
    </xf>
    <xf numFmtId="0" fontId="14" fillId="29" borderId="0" xfId="0" applyFont="1" applyFill="1" applyAlignment="1">
      <alignment horizontal="left" indent="2"/>
    </xf>
    <xf numFmtId="164" fontId="119" fillId="28" borderId="0" xfId="58" applyNumberFormat="1" applyFont="1" applyFill="1">
      <alignment horizontal="left" vertical="center"/>
    </xf>
    <xf numFmtId="168" fontId="118" fillId="28" borderId="0" xfId="50" applyNumberFormat="1" applyFont="1" applyFill="1" applyBorder="1" applyAlignment="1">
      <alignment horizontal="centerContinuous" vertical="center"/>
    </xf>
    <xf numFmtId="2" fontId="4" fillId="29" borderId="13" xfId="57" applyNumberFormat="1" applyFont="1" applyFill="1" applyBorder="1">
      <alignment horizontal="left" vertical="center"/>
    </xf>
    <xf numFmtId="167" fontId="4" fillId="29" borderId="13" xfId="57" applyNumberFormat="1" applyFont="1" applyFill="1" applyBorder="1">
      <alignment horizontal="left" vertical="center"/>
    </xf>
    <xf numFmtId="10" fontId="4" fillId="29" borderId="31" xfId="50" applyNumberFormat="1" applyFont="1" applyFill="1" applyBorder="1" applyAlignment="1">
      <alignment horizontal="right" vertical="center"/>
    </xf>
    <xf numFmtId="14" fontId="129" fillId="29" borderId="13" xfId="57" applyNumberFormat="1" applyFont="1" applyFill="1" applyBorder="1">
      <alignment horizontal="left" vertical="center"/>
    </xf>
    <xf numFmtId="10" fontId="4" fillId="29" borderId="0" xfId="50" applyNumberFormat="1" applyFont="1" applyFill="1" applyBorder="1" applyAlignment="1">
      <alignment horizontal="right" vertical="center"/>
    </xf>
    <xf numFmtId="9" fontId="29" fillId="29" borderId="40" xfId="50" quotePrefix="1" applyFont="1" applyFill="1" applyBorder="1" applyAlignment="1">
      <alignment horizontal="right" vertical="center"/>
    </xf>
    <xf numFmtId="9" fontId="28" fillId="21" borderId="0" xfId="50" applyNumberFormat="1" applyFont="1" applyFill="1"/>
    <xf numFmtId="174" fontId="4" fillId="29" borderId="12" xfId="32" applyNumberFormat="1" applyFont="1" applyFill="1" applyBorder="1" applyAlignment="1">
      <alignment horizontal="left" vertical="center"/>
    </xf>
    <xf numFmtId="164" fontId="19" fillId="0" borderId="12" xfId="0" applyNumberFormat="1" applyFont="1" applyFill="1" applyBorder="1"/>
    <xf numFmtId="1" fontId="14" fillId="0" borderId="0" xfId="0" applyNumberFormat="1" applyFont="1" applyFill="1" applyAlignment="1"/>
    <xf numFmtId="165" fontId="14" fillId="29" borderId="0" xfId="43" applyNumberFormat="1" applyFont="1" applyFill="1" applyBorder="1" applyAlignment="1">
      <alignment horizontal="left" vertical="center" indent="1"/>
    </xf>
    <xf numFmtId="165" fontId="14" fillId="29" borderId="28" xfId="43" applyNumberFormat="1" applyFont="1" applyFill="1" applyBorder="1" applyAlignment="1">
      <alignment horizontal="left" vertical="center" indent="1"/>
    </xf>
    <xf numFmtId="168" fontId="3" fillId="29" borderId="0" xfId="50" applyNumberFormat="1" applyFont="1" applyFill="1" applyBorder="1"/>
    <xf numFmtId="168" fontId="37" fillId="29" borderId="0" xfId="50" applyNumberFormat="1" applyFont="1" applyFill="1" applyBorder="1" applyAlignment="1">
      <alignment horizontal="right"/>
    </xf>
    <xf numFmtId="2" fontId="8" fillId="31" borderId="13" xfId="57" applyNumberFormat="1" applyFont="1" applyFill="1" applyBorder="1">
      <alignment horizontal="left" vertical="center"/>
    </xf>
    <xf numFmtId="10" fontId="4" fillId="29" borderId="13" xfId="50" applyNumberFormat="1" applyFont="1" applyFill="1" applyBorder="1" applyAlignment="1">
      <alignment horizontal="right" vertical="center"/>
    </xf>
    <xf numFmtId="176" fontId="3" fillId="27" borderId="0" xfId="46" applyNumberFormat="1" applyFont="1" applyFill="1"/>
    <xf numFmtId="9" fontId="3" fillId="27" borderId="0" xfId="50" applyFont="1" applyFill="1"/>
    <xf numFmtId="3" fontId="3" fillId="21" borderId="0" xfId="46" applyNumberFormat="1" applyFont="1" applyFill="1"/>
    <xf numFmtId="9" fontId="3" fillId="21" borderId="0" xfId="46" applyNumberFormat="1" applyFont="1" applyFill="1"/>
    <xf numFmtId="3" fontId="3" fillId="21" borderId="18" xfId="33" applyNumberFormat="1" applyFont="1" applyFill="1" applyBorder="1"/>
    <xf numFmtId="9" fontId="3" fillId="21" borderId="0" xfId="50" applyNumberFormat="1" applyFont="1" applyFill="1" applyBorder="1"/>
    <xf numFmtId="6" fontId="3" fillId="21" borderId="21" xfId="35" applyNumberFormat="1" applyFont="1" applyFill="1" applyBorder="1"/>
    <xf numFmtId="0" fontId="3" fillId="21" borderId="0" xfId="46" applyFont="1" applyFill="1" applyBorder="1"/>
    <xf numFmtId="9" fontId="3" fillId="27" borderId="0" xfId="50" applyFont="1" applyFill="1" applyBorder="1"/>
    <xf numFmtId="168" fontId="60" fillId="21" borderId="0" xfId="50" applyNumberFormat="1" applyFont="1" applyFill="1"/>
    <xf numFmtId="0" fontId="3" fillId="21" borderId="18" xfId="46" applyFont="1" applyFill="1" applyBorder="1"/>
    <xf numFmtId="0" fontId="3" fillId="21" borderId="13" xfId="46" applyFont="1" applyFill="1" applyBorder="1"/>
    <xf numFmtId="164" fontId="3" fillId="21" borderId="0" xfId="46" applyNumberFormat="1" applyFont="1" applyFill="1"/>
    <xf numFmtId="174" fontId="3" fillId="21" borderId="13" xfId="32" applyNumberFormat="1" applyFont="1" applyFill="1" applyBorder="1"/>
    <xf numFmtId="164" fontId="3" fillId="21" borderId="0" xfId="46" applyNumberFormat="1" applyFont="1" applyFill="1" applyBorder="1"/>
    <xf numFmtId="177" fontId="3" fillId="27" borderId="0" xfId="46" applyNumberFormat="1" applyFont="1" applyFill="1"/>
    <xf numFmtId="164" fontId="3" fillId="27" borderId="0" xfId="46" applyNumberFormat="1" applyFont="1" applyFill="1"/>
    <xf numFmtId="177" fontId="3" fillId="21" borderId="0" xfId="46" applyNumberFormat="1" applyFont="1" applyFill="1"/>
    <xf numFmtId="168" fontId="13" fillId="29" borderId="12" xfId="50" applyNumberFormat="1" applyFont="1" applyFill="1" applyBorder="1" applyAlignment="1">
      <alignment horizontal="right"/>
    </xf>
    <xf numFmtId="174" fontId="4" fillId="29" borderId="31" xfId="32" applyNumberFormat="1" applyFont="1" applyFill="1" applyBorder="1" applyAlignment="1">
      <alignment horizontal="right" vertical="center"/>
    </xf>
    <xf numFmtId="43" fontId="4" fillId="29" borderId="13" xfId="32" applyFont="1" applyFill="1" applyBorder="1" applyAlignment="1">
      <alignment horizontal="right" vertical="center"/>
    </xf>
    <xf numFmtId="168" fontId="17" fillId="30" borderId="40" xfId="50" applyNumberFormat="1" applyFont="1" applyFill="1" applyBorder="1"/>
    <xf numFmtId="9" fontId="17" fillId="30" borderId="40" xfId="50" applyNumberFormat="1" applyFont="1" applyFill="1" applyBorder="1" applyAlignment="1">
      <alignment horizontal="right"/>
    </xf>
    <xf numFmtId="0" fontId="14" fillId="29" borderId="0" xfId="0" applyFont="1" applyFill="1" applyBorder="1" applyAlignment="1">
      <alignment horizontal="left" indent="1"/>
    </xf>
    <xf numFmtId="10" fontId="129" fillId="29" borderId="13" xfId="50" applyNumberFormat="1" applyFont="1" applyFill="1" applyBorder="1" applyAlignment="1">
      <alignment horizontal="right" vertical="center"/>
    </xf>
    <xf numFmtId="172" fontId="4" fillId="29" borderId="12" xfId="32" applyNumberFormat="1" applyFont="1" applyFill="1" applyBorder="1" applyAlignment="1">
      <alignment horizontal="left" vertical="center"/>
    </xf>
    <xf numFmtId="0" fontId="25" fillId="29" borderId="0" xfId="0" applyFont="1" applyFill="1" applyBorder="1" applyAlignment="1">
      <alignment horizontal="left" indent="1"/>
    </xf>
    <xf numFmtId="0" fontId="14" fillId="29" borderId="0" xfId="0" applyFont="1" applyFill="1" applyBorder="1" applyAlignment="1">
      <alignment horizontal="left"/>
    </xf>
    <xf numFmtId="0" fontId="4" fillId="31" borderId="0" xfId="57" applyFont="1" applyFill="1" applyBorder="1">
      <alignment horizontal="left" vertical="center"/>
    </xf>
    <xf numFmtId="2" fontId="7" fillId="31" borderId="12" xfId="57" applyNumberFormat="1" applyFont="1" applyFill="1" applyBorder="1">
      <alignment horizontal="left" vertical="center"/>
    </xf>
    <xf numFmtId="164" fontId="4" fillId="29" borderId="0" xfId="0" applyNumberFormat="1" applyFont="1" applyFill="1" applyBorder="1"/>
    <xf numFmtId="164" fontId="4" fillId="31" borderId="0" xfId="0" applyNumberFormat="1" applyFont="1" applyFill="1"/>
    <xf numFmtId="164" fontId="14" fillId="0" borderId="0" xfId="57" applyNumberFormat="1" applyFont="1" applyFill="1" applyBorder="1" applyAlignment="1">
      <alignment horizontal="right" vertical="center"/>
    </xf>
    <xf numFmtId="164" fontId="14" fillId="0" borderId="0" xfId="0" applyNumberFormat="1" applyFont="1" applyFill="1"/>
    <xf numFmtId="164" fontId="13" fillId="0" borderId="12" xfId="0" applyNumberFormat="1" applyFont="1" applyFill="1" applyBorder="1" applyAlignment="1">
      <alignment horizontal="right"/>
    </xf>
    <xf numFmtId="164" fontId="13" fillId="0" borderId="12" xfId="0" applyNumberFormat="1" applyFont="1" applyFill="1" applyBorder="1"/>
    <xf numFmtId="9" fontId="25" fillId="30" borderId="43" xfId="50" applyFont="1" applyFill="1" applyBorder="1"/>
    <xf numFmtId="0" fontId="4" fillId="31" borderId="40" xfId="57" applyFont="1" applyFill="1" applyBorder="1">
      <alignment horizontal="left" vertical="center"/>
    </xf>
    <xf numFmtId="168" fontId="4" fillId="31" borderId="0" xfId="50" applyNumberFormat="1" applyFont="1" applyFill="1" applyBorder="1" applyAlignment="1">
      <alignment horizontal="right" vertical="center"/>
    </xf>
    <xf numFmtId="9" fontId="4" fillId="31" borderId="0" xfId="50" applyFont="1" applyFill="1" applyBorder="1" applyAlignment="1">
      <alignment horizontal="right" vertical="center"/>
    </xf>
    <xf numFmtId="177" fontId="28" fillId="21" borderId="18" xfId="46" applyNumberFormat="1" applyFont="1" applyFill="1" applyBorder="1" applyAlignment="1">
      <alignment horizontal="right"/>
    </xf>
    <xf numFmtId="0" fontId="28" fillId="22" borderId="20" xfId="46" applyFont="1" applyFill="1" applyBorder="1"/>
    <xf numFmtId="0" fontId="28" fillId="22" borderId="0" xfId="46" applyFont="1" applyFill="1" applyBorder="1"/>
    <xf numFmtId="168" fontId="28" fillId="22" borderId="0" xfId="50" applyNumberFormat="1" applyFont="1" applyFill="1" applyBorder="1"/>
    <xf numFmtId="3" fontId="28" fillId="22" borderId="0" xfId="46" applyNumberFormat="1" applyFont="1" applyFill="1" applyBorder="1"/>
    <xf numFmtId="168" fontId="3" fillId="22" borderId="0" xfId="50" applyNumberFormat="1" applyFont="1" applyFill="1" applyBorder="1"/>
    <xf numFmtId="3" fontId="3" fillId="22" borderId="19" xfId="46" applyNumberFormat="1" applyFont="1" applyFill="1" applyBorder="1"/>
    <xf numFmtId="177" fontId="28" fillId="21" borderId="0" xfId="46" applyNumberFormat="1" applyFont="1" applyFill="1" applyBorder="1" applyAlignment="1">
      <alignment horizontal="right"/>
    </xf>
    <xf numFmtId="177" fontId="28" fillId="21" borderId="19" xfId="46" applyNumberFormat="1" applyFont="1" applyFill="1" applyBorder="1" applyAlignment="1">
      <alignment horizontal="right"/>
    </xf>
    <xf numFmtId="9" fontId="28" fillId="21" borderId="0" xfId="46" applyNumberFormat="1" applyFont="1" applyFill="1" applyBorder="1"/>
    <xf numFmtId="9" fontId="3" fillId="21" borderId="0" xfId="46" applyNumberFormat="1" applyFont="1" applyFill="1" applyBorder="1"/>
    <xf numFmtId="9" fontId="3" fillId="21" borderId="19" xfId="46" applyNumberFormat="1" applyFont="1" applyFill="1" applyBorder="1"/>
    <xf numFmtId="0" fontId="3" fillId="21" borderId="19" xfId="46" applyFont="1" applyFill="1" applyBorder="1"/>
    <xf numFmtId="0" fontId="29" fillId="21" borderId="0" xfId="46" applyFont="1" applyFill="1" applyBorder="1" applyAlignment="1">
      <alignment horizontal="center"/>
    </xf>
    <xf numFmtId="0" fontId="29" fillId="21" borderId="19" xfId="46" applyFont="1" applyFill="1" applyBorder="1" applyAlignment="1">
      <alignment horizontal="center"/>
    </xf>
    <xf numFmtId="168" fontId="28" fillId="21" borderId="19" xfId="50" applyNumberFormat="1" applyFont="1" applyFill="1" applyBorder="1"/>
    <xf numFmtId="0" fontId="28" fillId="21" borderId="0" xfId="46" applyFont="1" applyFill="1" applyBorder="1" applyAlignment="1">
      <alignment horizontal="right"/>
    </xf>
    <xf numFmtId="176" fontId="28" fillId="21" borderId="0" xfId="46" applyNumberFormat="1" applyFont="1" applyFill="1" applyBorder="1"/>
    <xf numFmtId="9" fontId="53" fillId="21" borderId="0" xfId="46" applyNumberFormat="1" applyFont="1" applyFill="1" applyBorder="1"/>
    <xf numFmtId="177" fontId="3" fillId="21" borderId="0" xfId="46" applyNumberFormat="1" applyFont="1" applyFill="1" applyBorder="1" applyAlignment="1">
      <alignment horizontal="right"/>
    </xf>
    <xf numFmtId="177" fontId="3" fillId="21" borderId="19" xfId="46" applyNumberFormat="1" applyFont="1" applyFill="1" applyBorder="1" applyAlignment="1">
      <alignment horizontal="right"/>
    </xf>
    <xf numFmtId="9" fontId="28" fillId="21" borderId="0" xfId="50" applyFont="1" applyFill="1" applyBorder="1"/>
    <xf numFmtId="9" fontId="83" fillId="21" borderId="0" xfId="46" applyNumberFormat="1" applyFont="1" applyFill="1" applyBorder="1"/>
    <xf numFmtId="9" fontId="60" fillId="21" borderId="0" xfId="46" applyNumberFormat="1" applyFont="1" applyFill="1" applyBorder="1"/>
    <xf numFmtId="9" fontId="60" fillId="21" borderId="19" xfId="46" applyNumberFormat="1" applyFont="1" applyFill="1" applyBorder="1"/>
    <xf numFmtId="177" fontId="28" fillId="21" borderId="0" xfId="46" applyNumberFormat="1" applyFont="1" applyFill="1" applyBorder="1"/>
    <xf numFmtId="177" fontId="3" fillId="21" borderId="0" xfId="46" applyNumberFormat="1" applyFont="1" applyFill="1" applyBorder="1"/>
    <xf numFmtId="177" fontId="3" fillId="21" borderId="19" xfId="46" applyNumberFormat="1" applyFont="1" applyFill="1" applyBorder="1"/>
    <xf numFmtId="177" fontId="29" fillId="21" borderId="23" xfId="46" applyNumberFormat="1" applyFont="1" applyFill="1" applyBorder="1" applyAlignment="1">
      <alignment horizontal="right"/>
    </xf>
    <xf numFmtId="44" fontId="14" fillId="29" borderId="13" xfId="34" applyFont="1" applyFill="1" applyBorder="1" applyAlignment="1">
      <alignment horizontal="left" vertical="center"/>
    </xf>
    <xf numFmtId="0" fontId="119" fillId="28" borderId="35" xfId="58" applyFont="1" applyFill="1" applyBorder="1">
      <alignment horizontal="left" vertical="center"/>
    </xf>
    <xf numFmtId="164" fontId="117" fillId="28" borderId="36" xfId="51" applyNumberFormat="1" applyFont="1" applyFill="1" applyBorder="1" applyAlignment="1">
      <alignment horizontal="centerContinuous" vertical="center"/>
    </xf>
    <xf numFmtId="1" fontId="118" fillId="28" borderId="13" xfId="51" applyNumberFormat="1" applyFont="1" applyFill="1" applyBorder="1" applyAlignment="1">
      <alignment horizontal="center" vertical="center"/>
    </xf>
    <xf numFmtId="164" fontId="117" fillId="28" borderId="0" xfId="0" applyNumberFormat="1" applyFont="1" applyFill="1" applyBorder="1"/>
    <xf numFmtId="164" fontId="117" fillId="28" borderId="0" xfId="51" quotePrefix="1" applyNumberFormat="1" applyFont="1" applyFill="1" applyBorder="1" applyAlignment="1">
      <alignment horizontal="right" vertical="center"/>
    </xf>
    <xf numFmtId="1" fontId="40" fillId="29" borderId="0" xfId="0" applyNumberFormat="1" applyFont="1" applyFill="1" applyBorder="1"/>
    <xf numFmtId="164" fontId="40" fillId="29" borderId="0" xfId="0" applyNumberFormat="1" applyFont="1" applyFill="1" applyBorder="1"/>
    <xf numFmtId="167" fontId="9" fillId="29" borderId="0" xfId="0" applyNumberFormat="1" applyFont="1" applyFill="1" applyBorder="1" applyAlignment="1">
      <alignment horizontal="right"/>
    </xf>
    <xf numFmtId="164" fontId="10" fillId="29" borderId="0" xfId="0" applyNumberFormat="1" applyFont="1" applyFill="1" applyBorder="1" applyAlignment="1">
      <alignment horizontal="right"/>
    </xf>
    <xf numFmtId="167" fontId="39" fillId="29" borderId="0" xfId="0" applyNumberFormat="1" applyFont="1" applyFill="1" applyBorder="1"/>
    <xf numFmtId="1" fontId="56" fillId="31" borderId="0" xfId="0" applyNumberFormat="1" applyFont="1" applyFill="1" applyBorder="1" applyAlignment="1">
      <alignment horizontal="right"/>
    </xf>
    <xf numFmtId="9" fontId="40" fillId="31" borderId="0" xfId="50" applyFont="1" applyFill="1" applyBorder="1" applyAlignment="1">
      <alignment horizontal="right"/>
    </xf>
    <xf numFmtId="166" fontId="10" fillId="31" borderId="0" xfId="0" applyNumberFormat="1" applyFont="1" applyFill="1" applyBorder="1" applyAlignment="1">
      <alignment horizontal="right"/>
    </xf>
    <xf numFmtId="168" fontId="10" fillId="31" borderId="0" xfId="50" applyNumberFormat="1" applyFont="1" applyFill="1" applyBorder="1" applyAlignment="1">
      <alignment horizontal="right"/>
    </xf>
    <xf numFmtId="0" fontId="9" fillId="31" borderId="0" xfId="0" applyFont="1" applyFill="1" applyBorder="1"/>
    <xf numFmtId="2" fontId="81" fillId="31" borderId="0" xfId="57" applyNumberFormat="1" applyFont="1" applyFill="1" applyBorder="1" applyAlignment="1">
      <alignment horizontal="right" vertical="center"/>
    </xf>
    <xf numFmtId="1" fontId="10" fillId="31" borderId="0" xfId="0" applyNumberFormat="1" applyFont="1" applyFill="1" applyBorder="1"/>
    <xf numFmtId="1" fontId="9" fillId="31" borderId="0" xfId="50" applyNumberFormat="1" applyFont="1" applyFill="1" applyBorder="1"/>
    <xf numFmtId="9" fontId="25" fillId="29" borderId="0" xfId="0" applyNumberFormat="1" applyFont="1" applyFill="1" applyBorder="1"/>
    <xf numFmtId="0" fontId="4" fillId="31" borderId="0" xfId="58" applyFont="1" applyFill="1" applyBorder="1">
      <alignment horizontal="left" vertical="center"/>
    </xf>
    <xf numFmtId="1" fontId="4" fillId="31" borderId="0" xfId="51" applyNumberFormat="1" applyFont="1" applyFill="1" applyBorder="1">
      <alignment horizontal="right" vertical="center"/>
    </xf>
    <xf numFmtId="0" fontId="4" fillId="31" borderId="0" xfId="0" applyFont="1" applyFill="1"/>
    <xf numFmtId="164" fontId="4" fillId="31" borderId="0" xfId="51" applyNumberFormat="1" applyFont="1" applyFill="1" applyBorder="1">
      <alignment horizontal="right" vertical="center"/>
    </xf>
    <xf numFmtId="1" fontId="4" fillId="31" borderId="0" xfId="57" applyNumberFormat="1" applyFont="1" applyFill="1" applyBorder="1">
      <alignment horizontal="left" vertical="center"/>
    </xf>
    <xf numFmtId="167" fontId="4" fillId="31" borderId="0" xfId="51" applyNumberFormat="1" applyFont="1" applyFill="1" applyBorder="1">
      <alignment horizontal="right" vertical="center"/>
    </xf>
    <xf numFmtId="1" fontId="4" fillId="31" borderId="0" xfId="0" applyNumberFormat="1" applyFont="1" applyFill="1" applyAlignment="1">
      <alignment horizontal="right"/>
    </xf>
    <xf numFmtId="0" fontId="3" fillId="31" borderId="0" xfId="0" applyFont="1" applyFill="1"/>
    <xf numFmtId="0" fontId="120" fillId="31" borderId="0" xfId="0" applyFont="1" applyFill="1"/>
    <xf numFmtId="0" fontId="121" fillId="28" borderId="33" xfId="58" quotePrefix="1" applyFont="1" applyFill="1" applyBorder="1">
      <alignment horizontal="left" vertical="center"/>
    </xf>
    <xf numFmtId="0" fontId="117" fillId="28" borderId="12" xfId="58" applyFont="1" applyFill="1" applyBorder="1">
      <alignment horizontal="left" vertical="center"/>
    </xf>
    <xf numFmtId="0" fontId="119" fillId="28" borderId="12" xfId="58" applyFont="1" applyFill="1" applyBorder="1">
      <alignment horizontal="left" vertical="center"/>
    </xf>
    <xf numFmtId="43" fontId="119" fillId="28" borderId="12" xfId="32" applyFont="1" applyFill="1" applyBorder="1" applyAlignment="1">
      <alignment horizontal="left" vertical="center"/>
    </xf>
    <xf numFmtId="0" fontId="119" fillId="28" borderId="34" xfId="58" applyFont="1" applyFill="1" applyBorder="1">
      <alignment horizontal="left" vertical="center"/>
    </xf>
    <xf numFmtId="0" fontId="118" fillId="28" borderId="29" xfId="58" applyFont="1" applyFill="1" applyBorder="1" applyAlignment="1">
      <alignment horizontal="right" vertical="center"/>
    </xf>
    <xf numFmtId="0" fontId="118" fillId="28" borderId="35" xfId="58" applyFont="1" applyFill="1" applyBorder="1" applyAlignment="1">
      <alignment horizontal="right" vertical="center"/>
    </xf>
    <xf numFmtId="0" fontId="118" fillId="28" borderId="29" xfId="43" applyFont="1" applyFill="1" applyBorder="1">
      <alignment horizontal="left" vertical="center"/>
    </xf>
    <xf numFmtId="0" fontId="0" fillId="28" borderId="0" xfId="0" applyFill="1" applyBorder="1"/>
    <xf numFmtId="164" fontId="118" fillId="28" borderId="36" xfId="51" applyNumberFormat="1" applyFont="1" applyFill="1" applyBorder="1" applyAlignment="1">
      <alignment horizontal="centerContinuous" vertical="center"/>
    </xf>
    <xf numFmtId="164" fontId="18" fillId="29" borderId="29" xfId="43" applyNumberFormat="1" applyFont="1" applyFill="1" applyBorder="1">
      <alignment horizontal="left" vertical="center"/>
    </xf>
    <xf numFmtId="1" fontId="14" fillId="29" borderId="29" xfId="43" applyNumberFormat="1" applyFont="1" applyFill="1" applyBorder="1">
      <alignment horizontal="left" vertical="center"/>
    </xf>
    <xf numFmtId="1" fontId="13" fillId="29" borderId="0" xfId="0" applyNumberFormat="1" applyFont="1" applyFill="1" applyBorder="1"/>
    <xf numFmtId="164" fontId="14" fillId="29" borderId="0" xfId="0" applyNumberFormat="1" applyFont="1" applyFill="1" applyBorder="1" applyAlignment="1">
      <alignment horizontal="right"/>
    </xf>
    <xf numFmtId="164" fontId="17" fillId="30" borderId="29" xfId="43" applyNumberFormat="1" applyFont="1" applyFill="1" applyBorder="1">
      <alignment horizontal="left" vertical="center"/>
    </xf>
    <xf numFmtId="164" fontId="17" fillId="30" borderId="0" xfId="0" quotePrefix="1" applyNumberFormat="1" applyFont="1" applyFill="1" applyBorder="1" applyAlignment="1">
      <alignment horizontal="right"/>
    </xf>
    <xf numFmtId="168" fontId="17" fillId="30" borderId="0" xfId="50" applyNumberFormat="1" applyFont="1" applyFill="1" applyBorder="1"/>
    <xf numFmtId="1" fontId="13" fillId="29" borderId="29" xfId="43" applyNumberFormat="1" applyFont="1" applyFill="1" applyBorder="1">
      <alignment horizontal="left" vertical="center"/>
    </xf>
    <xf numFmtId="167" fontId="14" fillId="29" borderId="0" xfId="0" applyNumberFormat="1" applyFont="1" applyFill="1" applyBorder="1"/>
    <xf numFmtId="1" fontId="14" fillId="29" borderId="0" xfId="0" quotePrefix="1" applyNumberFormat="1" applyFont="1" applyFill="1" applyBorder="1" applyAlignment="1">
      <alignment horizontal="right"/>
    </xf>
    <xf numFmtId="168" fontId="14" fillId="29" borderId="0" xfId="0" applyNumberFormat="1" applyFont="1" applyFill="1" applyBorder="1"/>
    <xf numFmtId="1" fontId="17" fillId="29" borderId="29" xfId="43" applyNumberFormat="1" applyFont="1" applyFill="1" applyBorder="1">
      <alignment horizontal="left" vertical="center"/>
    </xf>
    <xf numFmtId="1" fontId="18" fillId="29" borderId="0" xfId="0" applyNumberFormat="1" applyFont="1" applyFill="1" applyBorder="1"/>
    <xf numFmtId="1" fontId="17" fillId="29" borderId="0" xfId="0" applyNumberFormat="1" applyFont="1" applyFill="1" applyBorder="1" applyAlignment="1">
      <alignment horizontal="right"/>
    </xf>
    <xf numFmtId="9" fontId="17" fillId="29" borderId="0" xfId="50" quotePrefix="1" applyFont="1" applyFill="1" applyBorder="1" applyAlignment="1">
      <alignment horizontal="right"/>
    </xf>
    <xf numFmtId="1" fontId="17" fillId="29" borderId="0" xfId="0" applyNumberFormat="1" applyFont="1" applyFill="1" applyBorder="1"/>
    <xf numFmtId="168" fontId="17" fillId="29" borderId="0" xfId="0" applyNumberFormat="1" applyFont="1" applyFill="1" applyBorder="1"/>
    <xf numFmtId="168" fontId="128" fillId="29" borderId="0" xfId="50" applyNumberFormat="1" applyFont="1" applyFill="1" applyBorder="1"/>
    <xf numFmtId="168" fontId="17" fillId="29" borderId="0" xfId="50" quotePrefix="1" applyNumberFormat="1" applyFont="1" applyFill="1" applyBorder="1" applyAlignment="1">
      <alignment horizontal="right"/>
    </xf>
    <xf numFmtId="168" fontId="127" fillId="29" borderId="0" xfId="50" applyNumberFormat="1" applyFont="1" applyFill="1" applyBorder="1"/>
    <xf numFmtId="1" fontId="14" fillId="30" borderId="29" xfId="43" applyNumberFormat="1" applyFont="1" applyFill="1" applyBorder="1">
      <alignment horizontal="left" vertical="center"/>
    </xf>
    <xf numFmtId="1" fontId="13" fillId="30" borderId="0" xfId="0" applyNumberFormat="1" applyFont="1" applyFill="1" applyBorder="1"/>
    <xf numFmtId="164" fontId="14" fillId="30" borderId="0" xfId="0" applyNumberFormat="1" applyFont="1" applyFill="1" applyBorder="1"/>
    <xf numFmtId="9" fontId="14" fillId="30" borderId="0" xfId="50" applyFont="1" applyFill="1" applyBorder="1"/>
    <xf numFmtId="1" fontId="14" fillId="30" borderId="0" xfId="0" applyNumberFormat="1" applyFont="1" applyFill="1" applyBorder="1"/>
    <xf numFmtId="168" fontId="14" fillId="30" borderId="0" xfId="50" applyNumberFormat="1" applyFont="1" applyFill="1" applyBorder="1"/>
    <xf numFmtId="164" fontId="17" fillId="29" borderId="29" xfId="43" applyNumberFormat="1" applyFont="1" applyFill="1" applyBorder="1" applyAlignment="1">
      <alignment horizontal="left" vertical="center" indent="1"/>
    </xf>
    <xf numFmtId="164" fontId="17" fillId="29" borderId="0" xfId="0" applyNumberFormat="1" applyFont="1" applyFill="1" applyBorder="1" applyAlignment="1">
      <alignment horizontal="right"/>
    </xf>
    <xf numFmtId="9" fontId="14" fillId="29" borderId="29" xfId="50" applyFont="1" applyFill="1" applyBorder="1" applyAlignment="1">
      <alignment horizontal="left" vertical="center" indent="1"/>
    </xf>
    <xf numFmtId="164" fontId="14" fillId="30" borderId="0" xfId="0" applyNumberFormat="1" applyFont="1" applyFill="1" applyBorder="1" applyAlignment="1">
      <alignment horizontal="right"/>
    </xf>
    <xf numFmtId="9" fontId="14" fillId="29" borderId="29" xfId="50" applyFont="1" applyFill="1" applyBorder="1" applyAlignment="1">
      <alignment horizontal="left" vertical="center" indent="2"/>
    </xf>
    <xf numFmtId="1" fontId="14" fillId="29" borderId="29" xfId="57" applyNumberFormat="1" applyFont="1" applyFill="1" applyBorder="1">
      <alignment horizontal="left" vertical="center"/>
    </xf>
    <xf numFmtId="178" fontId="14" fillId="29" borderId="0" xfId="0" applyNumberFormat="1" applyFont="1" applyFill="1" applyBorder="1"/>
    <xf numFmtId="1" fontId="14" fillId="29" borderId="29" xfId="43" applyNumberFormat="1" applyFont="1" applyFill="1" applyBorder="1" applyAlignment="1">
      <alignment horizontal="left" vertical="center" indent="1"/>
    </xf>
    <xf numFmtId="164" fontId="17" fillId="29" borderId="29" xfId="43" applyNumberFormat="1" applyFont="1" applyFill="1" applyBorder="1">
      <alignment horizontal="left" vertical="center"/>
    </xf>
    <xf numFmtId="9" fontId="17" fillId="29" borderId="0" xfId="50" applyFont="1" applyFill="1" applyBorder="1" applyAlignment="1">
      <alignment horizontal="right"/>
    </xf>
    <xf numFmtId="43" fontId="28" fillId="21" borderId="0" xfId="46" applyNumberFormat="1" applyFont="1" applyFill="1"/>
    <xf numFmtId="9" fontId="3" fillId="29" borderId="0" xfId="50" applyFont="1" applyFill="1" applyBorder="1"/>
    <xf numFmtId="9" fontId="130" fillId="29" borderId="0" xfId="50" applyFont="1" applyFill="1" applyBorder="1"/>
    <xf numFmtId="9" fontId="131" fillId="29" borderId="40" xfId="50" quotePrefix="1" applyFont="1" applyFill="1" applyBorder="1" applyAlignment="1">
      <alignment horizontal="right" vertical="center"/>
    </xf>
    <xf numFmtId="9" fontId="132" fillId="29" borderId="0" xfId="50" applyFont="1" applyFill="1" applyBorder="1" applyAlignment="1">
      <alignment horizontal="left" vertical="center"/>
    </xf>
    <xf numFmtId="177" fontId="29" fillId="29" borderId="59" xfId="32" quotePrefix="1" applyNumberFormat="1" applyFont="1" applyFill="1" applyBorder="1" applyAlignment="1">
      <alignment horizontal="right" vertical="center"/>
    </xf>
    <xf numFmtId="9" fontId="130" fillId="29" borderId="0" xfId="50" applyNumberFormat="1" applyFont="1" applyFill="1" applyBorder="1"/>
    <xf numFmtId="168" fontId="29" fillId="29" borderId="40" xfId="50" quotePrefix="1" applyNumberFormat="1" applyFont="1" applyFill="1" applyBorder="1" applyAlignment="1">
      <alignment horizontal="right" vertical="center"/>
    </xf>
    <xf numFmtId="168" fontId="14" fillId="29" borderId="0" xfId="43" applyNumberFormat="1" applyFont="1" applyFill="1" applyBorder="1">
      <alignment horizontal="left" vertical="center"/>
    </xf>
    <xf numFmtId="177" fontId="3" fillId="29" borderId="0" xfId="0" applyNumberFormat="1" applyFont="1" applyFill="1" applyBorder="1" applyAlignment="1"/>
    <xf numFmtId="177" fontId="29" fillId="29" borderId="40" xfId="32" quotePrefix="1" applyNumberFormat="1" applyFont="1" applyFill="1" applyBorder="1" applyAlignment="1">
      <alignment horizontal="right"/>
    </xf>
    <xf numFmtId="165" fontId="14" fillId="29" borderId="0" xfId="43" applyNumberFormat="1" applyFont="1" applyFill="1" applyBorder="1" applyAlignment="1">
      <alignment horizontal="left"/>
    </xf>
    <xf numFmtId="168" fontId="3" fillId="29" borderId="0" xfId="50" applyNumberFormat="1" applyFont="1" applyFill="1" applyBorder="1" applyAlignment="1"/>
    <xf numFmtId="9" fontId="3" fillId="29" borderId="40" xfId="50" quotePrefix="1" applyFont="1" applyFill="1" applyBorder="1" applyAlignment="1">
      <alignment horizontal="right"/>
    </xf>
    <xf numFmtId="9" fontId="3" fillId="29" borderId="40" xfId="50" quotePrefix="1" applyNumberFormat="1" applyFont="1" applyFill="1" applyBorder="1" applyAlignment="1">
      <alignment horizontal="right"/>
    </xf>
    <xf numFmtId="177" fontId="29" fillId="29" borderId="28" xfId="0" applyNumberFormat="1" applyFont="1" applyFill="1" applyBorder="1" applyAlignment="1"/>
    <xf numFmtId="168" fontId="3" fillId="29" borderId="28" xfId="50" applyNumberFormat="1" applyFont="1" applyFill="1" applyBorder="1" applyAlignment="1"/>
    <xf numFmtId="177" fontId="29" fillId="29" borderId="45" xfId="32" quotePrefix="1" applyNumberFormat="1" applyFont="1" applyFill="1" applyBorder="1" applyAlignment="1">
      <alignment horizontal="right"/>
    </xf>
    <xf numFmtId="165" fontId="14" fillId="29" borderId="28" xfId="43" applyNumberFormat="1" applyFont="1" applyFill="1" applyBorder="1" applyAlignment="1">
      <alignment horizontal="left"/>
    </xf>
    <xf numFmtId="9" fontId="3" fillId="29" borderId="45" xfId="50" quotePrefix="1" applyFont="1" applyFill="1" applyBorder="1" applyAlignment="1">
      <alignment horizontal="right"/>
    </xf>
    <xf numFmtId="177" fontId="29" fillId="29" borderId="0" xfId="0" applyNumberFormat="1" applyFont="1" applyFill="1" applyBorder="1" applyAlignment="1"/>
    <xf numFmtId="177" fontId="29" fillId="29" borderId="59" xfId="32" quotePrefix="1" applyNumberFormat="1" applyFont="1" applyFill="1" applyBorder="1" applyAlignment="1">
      <alignment horizontal="right"/>
    </xf>
    <xf numFmtId="9" fontId="29" fillId="29" borderId="40" xfId="50" quotePrefix="1" applyNumberFormat="1" applyFont="1" applyFill="1" applyBorder="1" applyAlignment="1">
      <alignment horizontal="right" vertical="center"/>
    </xf>
    <xf numFmtId="168" fontId="29" fillId="29" borderId="40" xfId="50" quotePrefix="1" applyNumberFormat="1" applyFont="1" applyFill="1" applyBorder="1" applyAlignment="1">
      <alignment horizontal="right"/>
    </xf>
    <xf numFmtId="177" fontId="14" fillId="29" borderId="0" xfId="32" applyNumberFormat="1" applyFont="1" applyFill="1" applyBorder="1" applyAlignment="1">
      <alignment horizontal="left"/>
    </xf>
    <xf numFmtId="175" fontId="29" fillId="29" borderId="40" xfId="32" quotePrefix="1" applyNumberFormat="1" applyFont="1" applyFill="1" applyBorder="1" applyAlignment="1">
      <alignment horizontal="right" vertical="center"/>
    </xf>
    <xf numFmtId="177" fontId="29" fillId="0" borderId="0" xfId="0" applyNumberFormat="1" applyFont="1" applyFill="1" applyBorder="1"/>
    <xf numFmtId="177" fontId="29" fillId="0" borderId="40" xfId="32" quotePrefix="1" applyNumberFormat="1" applyFont="1" applyFill="1" applyBorder="1" applyAlignment="1">
      <alignment horizontal="right" vertical="center"/>
    </xf>
    <xf numFmtId="43" fontId="28" fillId="21" borderId="0" xfId="32" applyFont="1" applyFill="1"/>
    <xf numFmtId="168" fontId="17" fillId="29" borderId="0" xfId="50" applyNumberFormat="1" applyFont="1" applyFill="1" applyBorder="1" applyAlignment="1">
      <alignment horizontal="left" vertical="center"/>
    </xf>
    <xf numFmtId="43" fontId="4" fillId="29" borderId="31" xfId="32" applyFont="1" applyFill="1" applyBorder="1" applyAlignment="1">
      <alignment horizontal="right" vertical="center"/>
    </xf>
    <xf numFmtId="168" fontId="14" fillId="29" borderId="0" xfId="50" applyNumberFormat="1" applyFont="1" applyFill="1" applyAlignment="1"/>
    <xf numFmtId="9" fontId="25" fillId="30" borderId="0" xfId="50" applyNumberFormat="1" applyFont="1" applyFill="1" applyBorder="1"/>
    <xf numFmtId="173" fontId="4" fillId="29" borderId="12" xfId="32" applyNumberFormat="1" applyFont="1" applyFill="1" applyBorder="1" applyAlignment="1">
      <alignment horizontal="left" vertical="center"/>
    </xf>
    <xf numFmtId="173" fontId="4" fillId="29" borderId="13" xfId="32" applyNumberFormat="1" applyFont="1" applyFill="1" applyBorder="1" applyAlignment="1">
      <alignment horizontal="left" vertical="center"/>
    </xf>
    <xf numFmtId="170" fontId="7" fillId="31" borderId="42" xfId="57" applyNumberFormat="1" applyFont="1" applyFill="1" applyBorder="1">
      <alignment horizontal="left" vertical="center"/>
    </xf>
    <xf numFmtId="170" fontId="8" fillId="31" borderId="13" xfId="57" applyNumberFormat="1" applyFont="1" applyFill="1" applyBorder="1" applyAlignment="1">
      <alignment horizontal="right" vertical="center"/>
    </xf>
    <xf numFmtId="170" fontId="7" fillId="31" borderId="13" xfId="57" applyNumberFormat="1" applyFont="1" applyFill="1" applyBorder="1">
      <alignment horizontal="left" vertical="center"/>
    </xf>
    <xf numFmtId="174" fontId="0" fillId="29" borderId="0" xfId="32" applyNumberFormat="1" applyFont="1" applyFill="1"/>
    <xf numFmtId="164" fontId="29" fillId="21" borderId="18" xfId="46" applyNumberFormat="1" applyFont="1" applyFill="1" applyBorder="1"/>
    <xf numFmtId="0" fontId="28" fillId="21" borderId="21" xfId="46" applyFont="1" applyFill="1" applyBorder="1"/>
    <xf numFmtId="164" fontId="29" fillId="21" borderId="23" xfId="46" applyNumberFormat="1" applyFont="1" applyFill="1" applyBorder="1"/>
    <xf numFmtId="9" fontId="115" fillId="21" borderId="19" xfId="46" applyNumberFormat="1" applyFont="1" applyFill="1" applyBorder="1"/>
    <xf numFmtId="164" fontId="29" fillId="21" borderId="19" xfId="46" applyNumberFormat="1" applyFont="1" applyFill="1" applyBorder="1"/>
    <xf numFmtId="0" fontId="31" fillId="21" borderId="20" xfId="46" applyFont="1" applyFill="1" applyBorder="1"/>
    <xf numFmtId="0" fontId="31" fillId="21" borderId="0" xfId="46" applyFont="1" applyFill="1" applyBorder="1"/>
    <xf numFmtId="9" fontId="31" fillId="21" borderId="0" xfId="46" applyNumberFormat="1" applyFont="1" applyFill="1" applyBorder="1"/>
    <xf numFmtId="0" fontId="3" fillId="21" borderId="21" xfId="46" applyFont="1" applyFill="1" applyBorder="1"/>
    <xf numFmtId="3" fontId="3" fillId="21" borderId="23" xfId="33" applyNumberFormat="1" applyFont="1" applyFill="1" applyBorder="1"/>
    <xf numFmtId="1" fontId="29" fillId="21" borderId="18" xfId="46" applyNumberFormat="1" applyFont="1" applyFill="1" applyBorder="1"/>
    <xf numFmtId="1" fontId="29" fillId="21" borderId="0" xfId="46" applyNumberFormat="1" applyFont="1" applyFill="1" applyBorder="1"/>
    <xf numFmtId="164" fontId="19" fillId="0" borderId="0" xfId="0" applyNumberFormat="1" applyFont="1" applyFill="1"/>
    <xf numFmtId="3" fontId="13" fillId="0" borderId="0" xfId="0" applyNumberFormat="1" applyFont="1" applyFill="1" applyBorder="1"/>
    <xf numFmtId="3" fontId="17" fillId="0" borderId="0" xfId="50" quotePrefix="1" applyNumberFormat="1" applyFont="1" applyFill="1" applyBorder="1" applyAlignment="1">
      <alignment horizontal="right" vertical="center"/>
    </xf>
    <xf numFmtId="9" fontId="3" fillId="29" borderId="0" xfId="50" applyNumberFormat="1" applyFont="1" applyFill="1" applyBorder="1"/>
    <xf numFmtId="9" fontId="14" fillId="29" borderId="0" xfId="50" applyNumberFormat="1" applyFont="1" applyFill="1" applyBorder="1"/>
    <xf numFmtId="44" fontId="4" fillId="29" borderId="12" xfId="34" applyFont="1" applyFill="1" applyBorder="1" applyAlignment="1">
      <alignment horizontal="left" vertical="center"/>
    </xf>
    <xf numFmtId="0" fontId="0" fillId="29" borderId="40" xfId="0" applyFill="1" applyBorder="1"/>
    <xf numFmtId="177" fontId="3" fillId="29" borderId="40" xfId="32" quotePrefix="1" applyNumberFormat="1" applyFont="1" applyFill="1" applyBorder="1" applyAlignment="1">
      <alignment horizontal="right"/>
    </xf>
    <xf numFmtId="177" fontId="3" fillId="29" borderId="0" xfId="0" applyNumberFormat="1" applyFont="1" applyFill="1" applyBorder="1"/>
    <xf numFmtId="9" fontId="10" fillId="29" borderId="40" xfId="50" applyNumberFormat="1" applyFont="1" applyFill="1" applyBorder="1"/>
    <xf numFmtId="176" fontId="28" fillId="21" borderId="0" xfId="50" applyNumberFormat="1" applyFont="1" applyFill="1"/>
    <xf numFmtId="9" fontId="115" fillId="21" borderId="0" xfId="50" applyFont="1" applyFill="1" applyBorder="1"/>
    <xf numFmtId="9" fontId="115" fillId="21" borderId="19" xfId="50" applyFont="1" applyFill="1" applyBorder="1"/>
    <xf numFmtId="9" fontId="114" fillId="21" borderId="0" xfId="50" applyFont="1" applyFill="1"/>
    <xf numFmtId="0" fontId="3" fillId="21" borderId="20" xfId="46" applyFont="1" applyFill="1" applyBorder="1"/>
    <xf numFmtId="9" fontId="3" fillId="21" borderId="19" xfId="50" applyNumberFormat="1" applyFont="1" applyFill="1" applyBorder="1"/>
    <xf numFmtId="201" fontId="31" fillId="21" borderId="0" xfId="46" applyNumberFormat="1" applyFont="1" applyFill="1" applyBorder="1" applyAlignment="1">
      <alignment horizontal="right"/>
    </xf>
    <xf numFmtId="9" fontId="134" fillId="21" borderId="0" xfId="50" applyFont="1" applyFill="1"/>
    <xf numFmtId="9" fontId="134" fillId="21" borderId="0" xfId="50" applyNumberFormat="1" applyFont="1" applyFill="1"/>
    <xf numFmtId="168" fontId="134" fillId="21" borderId="0" xfId="46" applyNumberFormat="1" applyFont="1" applyFill="1"/>
    <xf numFmtId="176" fontId="0" fillId="29" borderId="0" xfId="34" applyNumberFormat="1" applyFont="1" applyFill="1"/>
    <xf numFmtId="168" fontId="0" fillId="29" borderId="0" xfId="0" applyNumberFormat="1" applyFill="1"/>
    <xf numFmtId="176" fontId="0" fillId="29" borderId="0" xfId="0" applyNumberFormat="1" applyFill="1"/>
    <xf numFmtId="0" fontId="29" fillId="21" borderId="37" xfId="46" applyFont="1" applyFill="1" applyBorder="1" applyAlignment="1">
      <alignment horizontal="center"/>
    </xf>
    <xf numFmtId="175" fontId="29" fillId="19" borderId="18" xfId="46" applyNumberFormat="1" applyFont="1" applyFill="1" applyBorder="1"/>
    <xf numFmtId="6" fontId="28" fillId="21" borderId="0" xfId="35" applyNumberFormat="1" applyFont="1" applyFill="1" applyBorder="1"/>
    <xf numFmtId="174" fontId="28" fillId="21" borderId="0" xfId="32" applyNumberFormat="1" applyFont="1" applyFill="1" applyBorder="1"/>
    <xf numFmtId="174" fontId="3" fillId="21" borderId="0" xfId="32" applyNumberFormat="1" applyFont="1" applyFill="1" applyBorder="1"/>
    <xf numFmtId="0" fontId="33" fillId="21" borderId="14" xfId="46" applyFont="1" applyFill="1" applyBorder="1"/>
    <xf numFmtId="9" fontId="29" fillId="19" borderId="0" xfId="50" applyNumberFormat="1" applyFont="1" applyFill="1" applyBorder="1"/>
    <xf numFmtId="168" fontId="28" fillId="21" borderId="0" xfId="46" applyNumberFormat="1" applyFont="1" applyFill="1"/>
    <xf numFmtId="9" fontId="37" fillId="29" borderId="0" xfId="50" applyNumberFormat="1" applyFont="1" applyFill="1" applyBorder="1" applyAlignment="1">
      <alignment horizontal="right"/>
    </xf>
    <xf numFmtId="0" fontId="14" fillId="29" borderId="33" xfId="0" applyFont="1" applyFill="1" applyBorder="1"/>
    <xf numFmtId="168" fontId="116" fillId="19" borderId="21" xfId="46" applyNumberFormat="1" applyFont="1" applyFill="1" applyBorder="1"/>
    <xf numFmtId="168" fontId="116" fillId="19" borderId="21" xfId="50" applyNumberFormat="1" applyFont="1" applyFill="1" applyBorder="1"/>
    <xf numFmtId="168" fontId="3" fillId="29" borderId="40" xfId="50" quotePrefix="1" applyNumberFormat="1" applyFont="1" applyFill="1" applyBorder="1" applyAlignment="1">
      <alignment horizontal="right"/>
    </xf>
    <xf numFmtId="168" fontId="3" fillId="29" borderId="45" xfId="50" quotePrefix="1" applyNumberFormat="1" applyFont="1" applyFill="1" applyBorder="1" applyAlignment="1">
      <alignment horizontal="right"/>
    </xf>
    <xf numFmtId="0" fontId="85" fillId="25" borderId="38" xfId="46" applyFont="1" applyFill="1" applyBorder="1"/>
    <xf numFmtId="0" fontId="0" fillId="29" borderId="38" xfId="0" applyFill="1" applyBorder="1"/>
    <xf numFmtId="176" fontId="0" fillId="29" borderId="38" xfId="34" applyNumberFormat="1" applyFont="1" applyFill="1" applyBorder="1"/>
    <xf numFmtId="176" fontId="0" fillId="29" borderId="38" xfId="0" applyNumberFormat="1" applyFill="1" applyBorder="1"/>
    <xf numFmtId="168" fontId="0" fillId="29" borderId="38" xfId="50" applyNumberFormat="1" applyFont="1" applyFill="1" applyBorder="1"/>
    <xf numFmtId="3" fontId="3" fillId="21" borderId="37" xfId="33" applyNumberFormat="1" applyFont="1" applyFill="1" applyBorder="1"/>
    <xf numFmtId="176" fontId="29" fillId="19" borderId="37" xfId="46" applyNumberFormat="1" applyFont="1" applyFill="1" applyBorder="1"/>
    <xf numFmtId="164" fontId="29" fillId="21" borderId="37" xfId="46" applyNumberFormat="1" applyFont="1" applyFill="1" applyBorder="1"/>
    <xf numFmtId="164" fontId="29" fillId="21" borderId="38" xfId="46" applyNumberFormat="1" applyFont="1" applyFill="1" applyBorder="1"/>
    <xf numFmtId="9" fontId="115" fillId="21" borderId="38" xfId="46" applyNumberFormat="1" applyFont="1" applyFill="1" applyBorder="1"/>
    <xf numFmtId="166" fontId="29" fillId="19" borderId="37" xfId="46" applyNumberFormat="1" applyFont="1" applyFill="1" applyBorder="1"/>
    <xf numFmtId="9" fontId="29" fillId="19" borderId="38" xfId="50" applyFont="1" applyFill="1" applyBorder="1"/>
    <xf numFmtId="168" fontId="116" fillId="19" borderId="39" xfId="46" applyNumberFormat="1" applyFont="1" applyFill="1" applyBorder="1"/>
    <xf numFmtId="189" fontId="55" fillId="21" borderId="60" xfId="46" applyNumberFormat="1" applyFont="1" applyFill="1" applyBorder="1"/>
    <xf numFmtId="168" fontId="55" fillId="21" borderId="38" xfId="46" applyNumberFormat="1" applyFont="1" applyFill="1" applyBorder="1"/>
    <xf numFmtId="174" fontId="3" fillId="21" borderId="39" xfId="32" applyNumberFormat="1" applyFont="1" applyFill="1" applyBorder="1"/>
    <xf numFmtId="0" fontId="3" fillId="27" borderId="0" xfId="46" applyFont="1" applyFill="1"/>
    <xf numFmtId="176" fontId="3" fillId="27" borderId="38" xfId="46" applyNumberFormat="1" applyFont="1" applyFill="1" applyBorder="1"/>
    <xf numFmtId="6" fontId="93" fillId="29" borderId="16" xfId="46" applyNumberFormat="1" applyFont="1" applyFill="1" applyBorder="1"/>
    <xf numFmtId="44" fontId="28" fillId="21" borderId="0" xfId="34" applyFont="1" applyFill="1"/>
    <xf numFmtId="8" fontId="3" fillId="21" borderId="0" xfId="46" applyNumberFormat="1" applyFont="1" applyFill="1"/>
    <xf numFmtId="43" fontId="9" fillId="29" borderId="0" xfId="32" applyFont="1" applyFill="1" applyBorder="1" applyAlignment="1">
      <alignment horizontal="right" vertical="center"/>
    </xf>
    <xf numFmtId="174" fontId="9" fillId="29" borderId="0" xfId="32" applyNumberFormat="1" applyFont="1" applyFill="1" applyBorder="1" applyAlignment="1">
      <alignment horizontal="right" vertical="center"/>
    </xf>
    <xf numFmtId="174" fontId="9" fillId="29" borderId="40" xfId="32" applyNumberFormat="1" applyFont="1" applyFill="1" applyBorder="1" applyAlignment="1">
      <alignment horizontal="left" vertical="center"/>
    </xf>
    <xf numFmtId="43" fontId="9" fillId="29" borderId="0" xfId="32" applyNumberFormat="1" applyFont="1" applyFill="1" applyBorder="1" applyAlignment="1">
      <alignment horizontal="right" vertical="center"/>
    </xf>
    <xf numFmtId="0" fontId="17" fillId="29" borderId="0" xfId="57" applyFont="1" applyFill="1" applyBorder="1" applyAlignment="1">
      <alignment horizontal="left" vertical="center" indent="1"/>
    </xf>
    <xf numFmtId="44" fontId="0" fillId="29" borderId="0" xfId="34" applyFont="1" applyFill="1"/>
    <xf numFmtId="172" fontId="0" fillId="29" borderId="0" xfId="32" applyNumberFormat="1" applyFont="1" applyFill="1"/>
    <xf numFmtId="0" fontId="3" fillId="21" borderId="20" xfId="46" quotePrefix="1" applyFont="1" applyFill="1" applyBorder="1"/>
    <xf numFmtId="0" fontId="29" fillId="21" borderId="20" xfId="46" quotePrefix="1" applyFont="1" applyFill="1" applyBorder="1"/>
    <xf numFmtId="9" fontId="3" fillId="21" borderId="0" xfId="50" applyFont="1" applyFill="1" applyBorder="1"/>
    <xf numFmtId="173" fontId="29" fillId="21" borderId="0" xfId="32" applyNumberFormat="1" applyFont="1" applyFill="1" applyBorder="1"/>
    <xf numFmtId="174" fontId="29" fillId="21" borderId="0" xfId="32" applyNumberFormat="1" applyFont="1" applyFill="1" applyBorder="1"/>
    <xf numFmtId="9" fontId="31" fillId="21" borderId="0" xfId="50" applyFont="1" applyFill="1" applyBorder="1"/>
    <xf numFmtId="9" fontId="130" fillId="21" borderId="0" xfId="50" applyFont="1" applyFill="1" applyBorder="1"/>
    <xf numFmtId="173" fontId="29" fillId="21" borderId="38" xfId="32" applyNumberFormat="1" applyFont="1" applyFill="1" applyBorder="1"/>
    <xf numFmtId="174" fontId="29" fillId="21" borderId="38" xfId="32" applyNumberFormat="1" applyFont="1" applyFill="1" applyBorder="1"/>
    <xf numFmtId="174" fontId="29" fillId="21" borderId="19" xfId="32" applyNumberFormat="1" applyFont="1" applyFill="1" applyBorder="1"/>
    <xf numFmtId="9" fontId="130" fillId="21" borderId="38" xfId="50" applyFont="1" applyFill="1" applyBorder="1"/>
    <xf numFmtId="9" fontId="130" fillId="21" borderId="19" xfId="50" applyFont="1" applyFill="1" applyBorder="1"/>
    <xf numFmtId="9" fontId="31" fillId="21" borderId="0" xfId="50" applyNumberFormat="1" applyFont="1" applyFill="1" applyBorder="1"/>
    <xf numFmtId="166" fontId="29" fillId="19" borderId="23" xfId="46" applyNumberFormat="1" applyFont="1" applyFill="1" applyBorder="1"/>
    <xf numFmtId="9" fontId="29" fillId="19" borderId="19" xfId="50" applyFont="1" applyFill="1" applyBorder="1"/>
    <xf numFmtId="168" fontId="116" fillId="19" borderId="22" xfId="50" applyNumberFormat="1" applyFont="1" applyFill="1" applyBorder="1"/>
    <xf numFmtId="9" fontId="136" fillId="21" borderId="0" xfId="50" applyNumberFormat="1" applyFont="1" applyFill="1" applyBorder="1"/>
    <xf numFmtId="9" fontId="136" fillId="21" borderId="0" xfId="50" applyFont="1" applyFill="1" applyBorder="1"/>
    <xf numFmtId="9" fontId="136" fillId="21" borderId="19" xfId="50" applyFont="1" applyFill="1" applyBorder="1"/>
    <xf numFmtId="9" fontId="136" fillId="21" borderId="38" xfId="50" applyFont="1" applyFill="1" applyBorder="1"/>
    <xf numFmtId="0" fontId="3" fillId="21" borderId="20" xfId="46" applyFont="1" applyFill="1" applyBorder="1" applyAlignment="1">
      <alignment horizontal="left" indent="1"/>
    </xf>
    <xf numFmtId="0" fontId="31" fillId="21" borderId="20" xfId="46" applyFont="1" applyFill="1" applyBorder="1" applyAlignment="1">
      <alignment horizontal="left" indent="2"/>
    </xf>
    <xf numFmtId="0" fontId="3" fillId="21" borderId="20" xfId="46" quotePrefix="1" applyFont="1" applyFill="1" applyBorder="1" applyAlignment="1">
      <alignment horizontal="left" indent="1"/>
    </xf>
    <xf numFmtId="174" fontId="3" fillId="21" borderId="38" xfId="32" applyNumberFormat="1" applyFont="1" applyFill="1" applyBorder="1"/>
    <xf numFmtId="174" fontId="3" fillId="21" borderId="19" xfId="32" applyNumberFormat="1" applyFont="1" applyFill="1" applyBorder="1"/>
    <xf numFmtId="174" fontId="130" fillId="21" borderId="0" xfId="32" applyNumberFormat="1" applyFont="1" applyFill="1" applyBorder="1"/>
    <xf numFmtId="174" fontId="130" fillId="21" borderId="38" xfId="32" applyNumberFormat="1" applyFont="1" applyFill="1" applyBorder="1"/>
    <xf numFmtId="174" fontId="130" fillId="21" borderId="19" xfId="32" applyNumberFormat="1" applyFont="1" applyFill="1" applyBorder="1"/>
    <xf numFmtId="174" fontId="25" fillId="29" borderId="0" xfId="32" applyNumberFormat="1" applyFont="1" applyFill="1" applyBorder="1"/>
    <xf numFmtId="0" fontId="29" fillId="21" borderId="33" xfId="46" applyFont="1" applyFill="1" applyBorder="1"/>
    <xf numFmtId="0" fontId="29" fillId="21" borderId="12" xfId="46" applyFont="1" applyFill="1" applyBorder="1"/>
    <xf numFmtId="164" fontId="29" fillId="21" borderId="12" xfId="46" applyNumberFormat="1" applyFont="1" applyFill="1" applyBorder="1"/>
    <xf numFmtId="164" fontId="29" fillId="21" borderId="34" xfId="46" applyNumberFormat="1" applyFont="1" applyFill="1" applyBorder="1"/>
    <xf numFmtId="0" fontId="31" fillId="21" borderId="29" xfId="46" applyFont="1" applyFill="1" applyBorder="1"/>
    <xf numFmtId="0" fontId="29" fillId="21" borderId="29" xfId="46" applyFont="1" applyFill="1" applyBorder="1"/>
    <xf numFmtId="164" fontId="29" fillId="21" borderId="35" xfId="46" applyNumberFormat="1" applyFont="1" applyFill="1" applyBorder="1"/>
    <xf numFmtId="9" fontId="115" fillId="21" borderId="35" xfId="46" applyNumberFormat="1" applyFont="1" applyFill="1" applyBorder="1"/>
    <xf numFmtId="9" fontId="116" fillId="19" borderId="22" xfId="46" applyNumberFormat="1" applyFont="1" applyFill="1" applyBorder="1"/>
    <xf numFmtId="9" fontId="115" fillId="21" borderId="0" xfId="50" applyNumberFormat="1" applyFont="1" applyFill="1" applyBorder="1"/>
    <xf numFmtId="164" fontId="41" fillId="0" borderId="0" xfId="0" applyNumberFormat="1" applyFont="1" applyFill="1" applyAlignment="1">
      <alignment horizontal="right"/>
    </xf>
    <xf numFmtId="168" fontId="17" fillId="29" borderId="40" xfId="50" applyNumberFormat="1" applyFont="1" applyFill="1" applyBorder="1" applyAlignment="1"/>
    <xf numFmtId="168" fontId="17" fillId="26" borderId="40" xfId="50" applyNumberFormat="1" applyFont="1" applyFill="1" applyBorder="1" applyAlignment="1"/>
    <xf numFmtId="43" fontId="0" fillId="29" borderId="0" xfId="32" applyFont="1" applyFill="1"/>
    <xf numFmtId="168" fontId="4" fillId="29" borderId="0" xfId="50" applyNumberFormat="1" applyFont="1" applyFill="1" applyBorder="1" applyAlignment="1">
      <alignment horizontal="left" vertical="center"/>
    </xf>
    <xf numFmtId="168" fontId="4" fillId="29" borderId="0" xfId="50" applyNumberFormat="1" applyFont="1" applyFill="1" applyBorder="1" applyAlignment="1">
      <alignment horizontal="right" vertical="center"/>
    </xf>
    <xf numFmtId="9" fontId="4" fillId="29" borderId="12" xfId="50" applyFont="1" applyFill="1" applyBorder="1" applyAlignment="1">
      <alignment horizontal="left" vertical="center"/>
    </xf>
    <xf numFmtId="2" fontId="17" fillId="29" borderId="40" xfId="50" applyNumberFormat="1" applyFont="1" applyFill="1" applyBorder="1" applyAlignment="1">
      <alignment horizontal="left" vertical="center"/>
    </xf>
    <xf numFmtId="9" fontId="53" fillId="21" borderId="38" xfId="46" applyNumberFormat="1" applyFont="1" applyFill="1" applyBorder="1"/>
    <xf numFmtId="6" fontId="93" fillId="0" borderId="16" xfId="46" applyNumberFormat="1" applyFont="1" applyFill="1" applyBorder="1"/>
    <xf numFmtId="189" fontId="55" fillId="21" borderId="34" xfId="46" applyNumberFormat="1" applyFont="1" applyFill="1" applyBorder="1"/>
    <xf numFmtId="168" fontId="55" fillId="21" borderId="35" xfId="46" applyNumberFormat="1" applyFont="1" applyFill="1" applyBorder="1"/>
    <xf numFmtId="174" fontId="3" fillId="21" borderId="36" xfId="32" applyNumberFormat="1" applyFont="1" applyFill="1" applyBorder="1"/>
    <xf numFmtId="168" fontId="4" fillId="29" borderId="31" xfId="50" applyNumberFormat="1" applyFont="1" applyFill="1" applyBorder="1" applyAlignment="1">
      <alignment horizontal="right" vertical="center"/>
    </xf>
    <xf numFmtId="1" fontId="4" fillId="29" borderId="31" xfId="57" applyNumberFormat="1" applyFont="1" applyFill="1" applyBorder="1" applyAlignment="1">
      <alignment horizontal="right" vertical="center"/>
    </xf>
    <xf numFmtId="173" fontId="4" fillId="29" borderId="0" xfId="32" applyNumberFormat="1" applyFont="1" applyFill="1" applyBorder="1" applyAlignment="1">
      <alignment horizontal="left" vertical="center"/>
    </xf>
    <xf numFmtId="0" fontId="121" fillId="31" borderId="0" xfId="58" quotePrefix="1" applyFont="1" applyFill="1">
      <alignment horizontal="left" vertical="center"/>
    </xf>
    <xf numFmtId="0" fontId="124" fillId="31" borderId="0" xfId="0" applyFont="1" applyFill="1"/>
    <xf numFmtId="0" fontId="119" fillId="31" borderId="0" xfId="58" applyFont="1" applyFill="1">
      <alignment horizontal="left" vertical="center"/>
    </xf>
    <xf numFmtId="0" fontId="119" fillId="31" borderId="0" xfId="58" applyFont="1" applyFill="1" applyBorder="1">
      <alignment horizontal="left" vertical="center"/>
    </xf>
    <xf numFmtId="9" fontId="17" fillId="30" borderId="13" xfId="50" applyNumberFormat="1" applyFont="1" applyFill="1" applyBorder="1" applyAlignment="1">
      <alignment horizontal="right" vertical="center"/>
    </xf>
    <xf numFmtId="177" fontId="4" fillId="29" borderId="0" xfId="57" applyNumberFormat="1" applyFont="1" applyFill="1" applyBorder="1">
      <alignment horizontal="left" vertical="center"/>
    </xf>
    <xf numFmtId="1" fontId="4" fillId="29" borderId="12" xfId="57" applyNumberFormat="1" applyFont="1" applyFill="1" applyBorder="1">
      <alignment horizontal="left" vertical="center"/>
    </xf>
    <xf numFmtId="164" fontId="4" fillId="29" borderId="0" xfId="0" applyNumberFormat="1" applyFont="1" applyFill="1" applyAlignment="1">
      <alignment horizontal="right"/>
    </xf>
    <xf numFmtId="0" fontId="4" fillId="29" borderId="0" xfId="57" applyFont="1" applyFill="1" applyBorder="1">
      <alignment horizontal="left" vertical="center"/>
    </xf>
    <xf numFmtId="173" fontId="3" fillId="29" borderId="0" xfId="32" applyNumberFormat="1" applyFont="1" applyFill="1"/>
    <xf numFmtId="9" fontId="4" fillId="29" borderId="0" xfId="50" applyFont="1" applyFill="1" applyBorder="1" applyAlignment="1">
      <alignment horizontal="left" vertical="center"/>
    </xf>
    <xf numFmtId="9" fontId="17" fillId="29" borderId="0" xfId="57" applyNumberFormat="1" applyFont="1" applyFill="1" applyBorder="1">
      <alignment horizontal="left" vertical="center"/>
    </xf>
    <xf numFmtId="0" fontId="4" fillId="29" borderId="13" xfId="57" applyNumberFormat="1" applyFont="1" applyFill="1" applyBorder="1" applyAlignment="1">
      <alignment horizontal="right" vertical="center"/>
    </xf>
    <xf numFmtId="9" fontId="37" fillId="0" borderId="0" xfId="50" applyNumberFormat="1" applyFont="1" applyFill="1" applyBorder="1" applyAlignment="1">
      <alignment horizontal="right"/>
    </xf>
    <xf numFmtId="173" fontId="46" fillId="0" borderId="0" xfId="32" applyNumberFormat="1" applyFont="1" applyFill="1" applyBorder="1"/>
    <xf numFmtId="167" fontId="0" fillId="29" borderId="0" xfId="0" applyNumberFormat="1" applyFill="1"/>
    <xf numFmtId="164" fontId="31" fillId="29" borderId="0" xfId="0" applyNumberFormat="1" applyFont="1" applyFill="1"/>
    <xf numFmtId="164" fontId="117" fillId="28" borderId="13" xfId="51" applyNumberFormat="1" applyFont="1" applyFill="1" applyBorder="1" applyAlignment="1">
      <alignment horizontal="centerContinuous" vertical="center"/>
    </xf>
    <xf numFmtId="165" fontId="92" fillId="28" borderId="40" xfId="43" applyNumberFormat="1" applyFont="1" applyFill="1" applyBorder="1">
      <alignment horizontal="left" vertical="center"/>
    </xf>
    <xf numFmtId="10" fontId="0" fillId="29" borderId="0" xfId="0" applyNumberFormat="1" applyFill="1"/>
    <xf numFmtId="43" fontId="4" fillId="29" borderId="0" xfId="32" applyFont="1" applyFill="1" applyBorder="1" applyAlignment="1">
      <alignment horizontal="left" vertical="center"/>
    </xf>
    <xf numFmtId="173" fontId="135" fillId="29" borderId="12" xfId="32" applyNumberFormat="1" applyFont="1" applyFill="1" applyBorder="1" applyAlignment="1">
      <alignment horizontal="left" vertical="center"/>
    </xf>
    <xf numFmtId="173" fontId="135" fillId="29" borderId="13" xfId="32" applyNumberFormat="1" applyFont="1" applyFill="1" applyBorder="1" applyAlignment="1">
      <alignment horizontal="left" vertical="center"/>
    </xf>
    <xf numFmtId="9" fontId="114" fillId="21" borderId="0" xfId="50" applyNumberFormat="1" applyFont="1" applyFill="1"/>
    <xf numFmtId="168" fontId="114" fillId="21" borderId="38" xfId="46" applyNumberFormat="1" applyFont="1" applyFill="1" applyBorder="1"/>
    <xf numFmtId="168" fontId="114" fillId="21" borderId="0" xfId="46" applyNumberFormat="1" applyFont="1" applyFill="1"/>
    <xf numFmtId="168" fontId="3" fillId="21" borderId="0" xfId="46" applyNumberFormat="1" applyFont="1" applyFill="1"/>
    <xf numFmtId="168" fontId="3" fillId="21" borderId="0" xfId="50" applyNumberFormat="1" applyFont="1" applyFill="1"/>
    <xf numFmtId="9" fontId="115" fillId="21" borderId="35" xfId="50" applyNumberFormat="1" applyFont="1" applyFill="1" applyBorder="1"/>
    <xf numFmtId="164" fontId="129" fillId="29" borderId="13" xfId="57" applyNumberFormat="1" applyFont="1" applyFill="1" applyBorder="1" applyAlignment="1">
      <alignment horizontal="right" vertical="center"/>
    </xf>
    <xf numFmtId="0" fontId="137" fillId="29" borderId="9" xfId="57" applyFont="1" applyFill="1" applyBorder="1">
      <alignment horizontal="left" vertical="center"/>
    </xf>
    <xf numFmtId="9" fontId="29" fillId="19" borderId="21" xfId="50" applyNumberFormat="1" applyFont="1" applyFill="1" applyBorder="1"/>
    <xf numFmtId="173" fontId="135" fillId="29" borderId="0" xfId="32" applyNumberFormat="1" applyFont="1" applyFill="1" applyBorder="1" applyAlignment="1">
      <alignment horizontal="left" vertical="center"/>
    </xf>
    <xf numFmtId="167" fontId="137" fillId="29" borderId="9" xfId="57" applyNumberFormat="1" applyFont="1" applyFill="1" applyBorder="1">
      <alignment horizontal="left" vertical="center"/>
    </xf>
    <xf numFmtId="175" fontId="3" fillId="21" borderId="0" xfId="34" applyNumberFormat="1" applyFont="1" applyFill="1"/>
    <xf numFmtId="174" fontId="14" fillId="29" borderId="0" xfId="32" applyNumberFormat="1" applyFont="1" applyFill="1" applyAlignment="1">
      <alignment horizontal="right"/>
    </xf>
    <xf numFmtId="168" fontId="25" fillId="30" borderId="43" xfId="50" applyNumberFormat="1" applyFont="1" applyFill="1" applyBorder="1"/>
    <xf numFmtId="168" fontId="25" fillId="30" borderId="0" xfId="0" applyNumberFormat="1" applyFont="1" applyFill="1" applyBorder="1"/>
    <xf numFmtId="168" fontId="44" fillId="31" borderId="0" xfId="50" applyNumberFormat="1" applyFont="1" applyFill="1" applyBorder="1" applyAlignment="1">
      <alignment horizontal="left" vertical="center"/>
    </xf>
    <xf numFmtId="168" fontId="53" fillId="21" borderId="0" xfId="50" applyNumberFormat="1" applyFont="1" applyFill="1"/>
    <xf numFmtId="6" fontId="93" fillId="29" borderId="15" xfId="46" applyNumberFormat="1" applyFont="1" applyFill="1" applyBorder="1"/>
    <xf numFmtId="9" fontId="3" fillId="27" borderId="38" xfId="50" applyFont="1" applyFill="1" applyBorder="1"/>
    <xf numFmtId="0" fontId="3" fillId="21" borderId="38" xfId="46" applyFont="1" applyFill="1" applyBorder="1"/>
    <xf numFmtId="3" fontId="3" fillId="21" borderId="38" xfId="46" applyNumberFormat="1" applyFont="1" applyFill="1" applyBorder="1"/>
    <xf numFmtId="9" fontId="3" fillId="21" borderId="38" xfId="50" applyNumberFormat="1" applyFont="1" applyFill="1" applyBorder="1"/>
    <xf numFmtId="6" fontId="3" fillId="21" borderId="39" xfId="35" applyNumberFormat="1" applyFont="1" applyFill="1" applyBorder="1"/>
    <xf numFmtId="6" fontId="3" fillId="21" borderId="22" xfId="35" applyNumberFormat="1" applyFont="1" applyFill="1" applyBorder="1"/>
    <xf numFmtId="164" fontId="3" fillId="27" borderId="38" xfId="46" applyNumberFormat="1" applyFont="1" applyFill="1" applyBorder="1"/>
    <xf numFmtId="168" fontId="60" fillId="21" borderId="38" xfId="50" applyNumberFormat="1" applyFont="1" applyFill="1" applyBorder="1"/>
    <xf numFmtId="168" fontId="3" fillId="21" borderId="38" xfId="50" applyNumberFormat="1" applyFont="1" applyFill="1" applyBorder="1"/>
    <xf numFmtId="168" fontId="3" fillId="21" borderId="19" xfId="50" applyNumberFormat="1" applyFont="1" applyFill="1" applyBorder="1"/>
    <xf numFmtId="0" fontId="3" fillId="21" borderId="39" xfId="46" applyFont="1" applyFill="1" applyBorder="1"/>
    <xf numFmtId="0" fontId="3" fillId="21" borderId="22" xfId="46" applyFont="1" applyFill="1" applyBorder="1"/>
    <xf numFmtId="3" fontId="3" fillId="21" borderId="0" xfId="33" applyNumberFormat="1" applyFont="1" applyFill="1"/>
    <xf numFmtId="43" fontId="3" fillId="21" borderId="0" xfId="46" applyNumberFormat="1" applyFont="1" applyFill="1"/>
    <xf numFmtId="9" fontId="3" fillId="21" borderId="0" xfId="50" applyFont="1" applyFill="1"/>
    <xf numFmtId="44" fontId="3" fillId="21" borderId="0" xfId="34" applyFont="1" applyFill="1"/>
    <xf numFmtId="44" fontId="3" fillId="21" borderId="0" xfId="46" applyNumberFormat="1" applyFont="1" applyFill="1"/>
    <xf numFmtId="0" fontId="3" fillId="21" borderId="35" xfId="46" applyFont="1" applyFill="1" applyBorder="1"/>
    <xf numFmtId="43" fontId="3" fillId="21" borderId="0" xfId="32" applyFont="1" applyFill="1"/>
    <xf numFmtId="175" fontId="3" fillId="21" borderId="0" xfId="46" applyNumberFormat="1" applyFont="1" applyFill="1"/>
    <xf numFmtId="9" fontId="3" fillId="21" borderId="0" xfId="50" applyNumberFormat="1" applyFont="1" applyFill="1"/>
    <xf numFmtId="177" fontId="3" fillId="21" borderId="0" xfId="46" applyNumberFormat="1" applyFont="1" applyFill="1" applyAlignment="1">
      <alignment horizontal="right"/>
    </xf>
    <xf numFmtId="9" fontId="28" fillId="21" borderId="19" xfId="46" applyNumberFormat="1" applyFont="1" applyFill="1" applyBorder="1"/>
    <xf numFmtId="9" fontId="28" fillId="21" borderId="19" xfId="50" applyFont="1" applyFill="1" applyBorder="1"/>
    <xf numFmtId="201" fontId="31" fillId="21" borderId="19" xfId="46" applyNumberFormat="1" applyFont="1" applyFill="1" applyBorder="1" applyAlignment="1">
      <alignment horizontal="right"/>
    </xf>
    <xf numFmtId="2" fontId="39" fillId="29" borderId="40" xfId="0" applyNumberFormat="1" applyFont="1" applyFill="1" applyBorder="1"/>
    <xf numFmtId="170" fontId="39" fillId="29" borderId="0" xfId="0" applyNumberFormat="1" applyFont="1" applyFill="1"/>
    <xf numFmtId="2" fontId="39" fillId="29" borderId="0" xfId="0" applyNumberFormat="1" applyFont="1" applyFill="1" applyBorder="1"/>
    <xf numFmtId="171" fontId="39" fillId="29" borderId="40" xfId="0" applyNumberFormat="1" applyFont="1" applyFill="1" applyBorder="1"/>
    <xf numFmtId="164" fontId="117" fillId="29" borderId="40" xfId="0" applyNumberFormat="1" applyFont="1" applyFill="1" applyBorder="1"/>
    <xf numFmtId="164" fontId="117" fillId="29" borderId="0" xfId="0" applyNumberFormat="1" applyFont="1" applyFill="1"/>
    <xf numFmtId="164" fontId="3" fillId="21" borderId="18" xfId="46" applyNumberFormat="1" applyFont="1" applyFill="1" applyBorder="1"/>
    <xf numFmtId="2" fontId="117" fillId="29" borderId="0" xfId="0" applyNumberFormat="1" applyFont="1" applyFill="1"/>
    <xf numFmtId="164" fontId="41" fillId="0" borderId="0" xfId="0" applyNumberFormat="1" applyFont="1" applyFill="1"/>
    <xf numFmtId="189" fontId="55" fillId="21" borderId="20" xfId="46" applyNumberFormat="1" applyFont="1" applyFill="1" applyBorder="1"/>
    <xf numFmtId="164" fontId="3" fillId="21" borderId="37" xfId="46" applyNumberFormat="1" applyFont="1" applyFill="1" applyBorder="1"/>
    <xf numFmtId="174" fontId="28" fillId="21" borderId="0" xfId="32" applyNumberFormat="1" applyFont="1" applyFill="1"/>
    <xf numFmtId="174" fontId="3" fillId="21" borderId="0" xfId="32" applyNumberFormat="1" applyFont="1" applyFill="1"/>
    <xf numFmtId="2" fontId="14" fillId="29" borderId="0" xfId="32" applyNumberFormat="1" applyFont="1" applyFill="1" applyBorder="1"/>
    <xf numFmtId="173" fontId="3" fillId="27" borderId="0" xfId="32" applyNumberFormat="1" applyFont="1" applyFill="1"/>
    <xf numFmtId="0" fontId="14" fillId="29" borderId="17" xfId="0" applyFont="1" applyFill="1" applyBorder="1"/>
    <xf numFmtId="0" fontId="14" fillId="30" borderId="20" xfId="0" applyFont="1" applyFill="1" applyBorder="1"/>
    <xf numFmtId="164" fontId="14" fillId="29" borderId="43" xfId="0" applyNumberFormat="1" applyFont="1" applyFill="1" applyBorder="1"/>
    <xf numFmtId="9" fontId="14" fillId="30" borderId="0" xfId="50" applyNumberFormat="1" applyFont="1" applyFill="1" applyBorder="1" applyAlignment="1"/>
    <xf numFmtId="9" fontId="14" fillId="30" borderId="40" xfId="50" applyNumberFormat="1" applyFont="1" applyFill="1" applyBorder="1"/>
    <xf numFmtId="9" fontId="14" fillId="30" borderId="0" xfId="50" applyNumberFormat="1" applyFont="1" applyFill="1" applyBorder="1"/>
    <xf numFmtId="9" fontId="14" fillId="30" borderId="51" xfId="50" applyFont="1" applyFill="1" applyBorder="1"/>
    <xf numFmtId="9" fontId="14" fillId="30" borderId="51" xfId="50" applyNumberFormat="1" applyFont="1" applyFill="1" applyBorder="1"/>
    <xf numFmtId="9" fontId="25" fillId="30" borderId="0" xfId="0" applyNumberFormat="1" applyFont="1" applyFill="1" applyBorder="1"/>
    <xf numFmtId="9" fontId="40" fillId="29" borderId="40" xfId="50" applyFont="1" applyFill="1" applyBorder="1"/>
    <xf numFmtId="10" fontId="39" fillId="29" borderId="40" xfId="50" applyNumberFormat="1" applyFont="1" applyFill="1" applyBorder="1"/>
    <xf numFmtId="168" fontId="29" fillId="19" borderId="39" xfId="50" applyNumberFormat="1" applyFont="1" applyFill="1" applyBorder="1"/>
    <xf numFmtId="168" fontId="29" fillId="19" borderId="22" xfId="50" applyNumberFormat="1" applyFont="1" applyFill="1" applyBorder="1"/>
    <xf numFmtId="9" fontId="115" fillId="21" borderId="38" xfId="50" applyNumberFormat="1" applyFont="1" applyFill="1" applyBorder="1"/>
    <xf numFmtId="10" fontId="0" fillId="29" borderId="0" xfId="50" applyNumberFormat="1" applyFont="1" applyFill="1"/>
    <xf numFmtId="202" fontId="0" fillId="29" borderId="0" xfId="0" applyNumberFormat="1" applyFill="1"/>
    <xf numFmtId="168" fontId="3" fillId="29" borderId="0" xfId="50" applyNumberFormat="1" applyFont="1" applyFill="1"/>
    <xf numFmtId="164" fontId="4" fillId="29" borderId="12" xfId="57" applyNumberFormat="1" applyFont="1" applyFill="1" applyBorder="1">
      <alignment horizontal="left" vertical="center"/>
    </xf>
    <xf numFmtId="164" fontId="4" fillId="29" borderId="12" xfId="50" applyNumberFormat="1" applyFont="1" applyFill="1" applyBorder="1" applyAlignment="1">
      <alignment horizontal="left" vertical="center"/>
    </xf>
    <xf numFmtId="171" fontId="0" fillId="29" borderId="0" xfId="0" applyNumberFormat="1" applyFill="1"/>
    <xf numFmtId="9" fontId="14" fillId="30" borderId="42" xfId="50" applyNumberFormat="1" applyFont="1" applyFill="1" applyBorder="1" applyAlignment="1">
      <alignment horizontal="right"/>
    </xf>
    <xf numFmtId="9" fontId="17" fillId="29" borderId="0" xfId="50" applyFont="1" applyFill="1" applyBorder="1" applyAlignment="1">
      <alignment horizontal="left" vertical="center"/>
    </xf>
    <xf numFmtId="1" fontId="118" fillId="28" borderId="13" xfId="51" applyNumberFormat="1" applyFont="1" applyFill="1" applyBorder="1" applyAlignment="1">
      <alignment horizontal="center" vertical="center"/>
    </xf>
    <xf numFmtId="0" fontId="39" fillId="31" borderId="13" xfId="51" applyNumberFormat="1" applyFont="1" applyFill="1" applyBorder="1" applyAlignment="1">
      <alignment horizontal="center" vertical="center"/>
    </xf>
    <xf numFmtId="1" fontId="117" fillId="28" borderId="13" xfId="51" applyNumberFormat="1" applyFont="1" applyFill="1" applyBorder="1" applyAlignment="1">
      <alignment horizontal="center" vertical="center"/>
    </xf>
    <xf numFmtId="0" fontId="3" fillId="17" borderId="0" xfId="70" applyFont="1" applyFill="1" applyAlignment="1">
      <alignment vertical="top"/>
    </xf>
    <xf numFmtId="0" fontId="3" fillId="17" borderId="0" xfId="61" applyFill="1" applyAlignment="1">
      <alignment vertical="top"/>
    </xf>
    <xf numFmtId="0" fontId="3" fillId="17" borderId="0" xfId="61" applyFill="1"/>
    <xf numFmtId="0" fontId="92" fillId="17" borderId="0" xfId="70" applyFont="1" applyFill="1" applyAlignment="1">
      <alignment horizontal="left" vertical="top"/>
    </xf>
    <xf numFmtId="0" fontId="3" fillId="17" borderId="0" xfId="61" applyFont="1" applyFill="1" applyAlignment="1">
      <alignment vertical="top"/>
    </xf>
    <xf numFmtId="0" fontId="31" fillId="17" borderId="0" xfId="70" applyFont="1" applyFill="1" applyAlignment="1">
      <alignment vertical="top"/>
    </xf>
    <xf numFmtId="0" fontId="0" fillId="17" borderId="0" xfId="0" applyFill="1" applyAlignment="1">
      <alignment vertical="top"/>
    </xf>
    <xf numFmtId="0" fontId="139" fillId="17" borderId="0" xfId="0" applyFont="1" applyFill="1" applyAlignment="1">
      <alignment vertical="top"/>
    </xf>
    <xf numFmtId="0" fontId="140" fillId="17" borderId="0" xfId="0" applyFont="1" applyFill="1" applyAlignment="1">
      <alignment vertical="top"/>
    </xf>
    <xf numFmtId="0" fontId="140" fillId="17" borderId="0" xfId="0" applyFont="1" applyFill="1" applyAlignment="1">
      <alignment vertical="top"/>
    </xf>
    <xf numFmtId="0" fontId="139" fillId="17" borderId="0" xfId="0" applyFont="1" applyFill="1" applyAlignment="1">
      <alignment vertical="top"/>
    </xf>
    <xf numFmtId="0" fontId="0" fillId="17" borderId="0" xfId="0" applyFill="1" applyAlignment="1">
      <alignment vertical="top"/>
    </xf>
    <xf numFmtId="0" fontId="0" fillId="17" borderId="65" xfId="0" applyFill="1" applyBorder="1" applyAlignment="1">
      <alignment vertical="top"/>
    </xf>
    <xf numFmtId="0" fontId="139" fillId="17" borderId="61" xfId="0" applyFont="1" applyFill="1" applyBorder="1" applyAlignment="1">
      <alignment vertical="top"/>
    </xf>
    <xf numFmtId="0" fontId="139" fillId="17" borderId="62" xfId="0" applyFont="1" applyFill="1" applyBorder="1" applyAlignment="1">
      <alignment vertical="top"/>
    </xf>
    <xf numFmtId="0" fontId="139" fillId="17" borderId="63" xfId="0" applyFont="1" applyFill="1" applyBorder="1" applyAlignment="1">
      <alignment vertical="top"/>
    </xf>
    <xf numFmtId="0" fontId="139" fillId="17" borderId="64" xfId="0" applyFont="1" applyFill="1" applyBorder="1" applyAlignment="1">
      <alignment vertical="top"/>
    </xf>
    <xf numFmtId="9" fontId="139" fillId="17" borderId="61" xfId="0" applyNumberFormat="1" applyFont="1" applyFill="1" applyBorder="1" applyAlignment="1">
      <alignment vertical="top"/>
    </xf>
    <xf numFmtId="3" fontId="139" fillId="17" borderId="61" xfId="0" applyNumberFormat="1" applyFont="1" applyFill="1" applyBorder="1" applyAlignment="1">
      <alignment vertical="top"/>
    </xf>
    <xf numFmtId="0" fontId="0" fillId="17" borderId="66" xfId="0" applyFill="1" applyBorder="1" applyAlignment="1">
      <alignment vertical="top"/>
    </xf>
    <xf numFmtId="2" fontId="3" fillId="0" borderId="0" xfId="61" applyNumberFormat="1" applyAlignment="1">
      <alignment horizontal="left"/>
    </xf>
    <xf numFmtId="0" fontId="3" fillId="0" borderId="0" xfId="61" applyNumberFormat="1" applyAlignment="1">
      <alignment horizontal="left"/>
    </xf>
    <xf numFmtId="1" fontId="3" fillId="0" borderId="0" xfId="61" applyNumberFormat="1" applyAlignment="1">
      <alignment horizontal="left"/>
    </xf>
    <xf numFmtId="0" fontId="3" fillId="0" borderId="0" xfId="61" applyFont="1"/>
    <xf numFmtId="208" fontId="3" fillId="0" borderId="0" xfId="61" applyNumberFormat="1" applyAlignment="1">
      <alignment horizontal="left"/>
    </xf>
    <xf numFmtId="49" fontId="3" fillId="0" borderId="0" xfId="61" applyNumberFormat="1"/>
  </cellXfs>
  <cellStyles count="71">
    <cellStyle name="_SUMMARY " xfId="1"/>
    <cellStyle name="0_Capex &amp; Depreciation " xfId="2"/>
    <cellStyle name="0_Valuing BP " xfId="3"/>
    <cellStyle name="20% - Accent1" xfId="4" builtinId="30" customBuiltin="1"/>
    <cellStyle name="20% - Accent2" xfId="5" builtinId="34" customBuiltin="1"/>
    <cellStyle name="20% - Accent3" xfId="6" builtinId="38" customBuiltin="1"/>
    <cellStyle name="20% - Accent4" xfId="7" builtinId="42" customBuiltin="1"/>
    <cellStyle name="20% - Accent5" xfId="8" builtinId="46" customBuiltin="1"/>
    <cellStyle name="20% - Accent6" xfId="9" builtinId="50" customBuiltin="1"/>
    <cellStyle name="40% - Accent1" xfId="10" builtinId="31" customBuiltin="1"/>
    <cellStyle name="40% - Accent2" xfId="11" builtinId="35" customBuiltin="1"/>
    <cellStyle name="40% - Accent3" xfId="12" builtinId="39" customBuiltin="1"/>
    <cellStyle name="40% - Accent4" xfId="13" builtinId="43" customBuiltin="1"/>
    <cellStyle name="40% - Accent5" xfId="14" builtinId="47" customBuiltin="1"/>
    <cellStyle name="40% - Accent6" xfId="15" builtinId="51" customBuiltin="1"/>
    <cellStyle name="60% - Accent1" xfId="16" builtinId="32" customBuiltin="1"/>
    <cellStyle name="60% - Accent2" xfId="17" builtinId="36" customBuiltin="1"/>
    <cellStyle name="60% - Accent3" xfId="18" builtinId="40" customBuiltin="1"/>
    <cellStyle name="60% - Accent4" xfId="19" builtinId="44" customBuiltin="1"/>
    <cellStyle name="60% - Accent5" xfId="20" builtinId="48" customBuiltin="1"/>
    <cellStyle name="60% - Accent6" xfId="21" builtinId="52" customBuiltin="1"/>
    <cellStyle name="Accent1" xfId="22" builtinId="29" customBuiltin="1"/>
    <cellStyle name="Accent2" xfId="23" builtinId="33" customBuiltin="1"/>
    <cellStyle name="Accent3" xfId="24" builtinId="37" customBuiltin="1"/>
    <cellStyle name="Accent4" xfId="25" builtinId="41" customBuiltin="1"/>
    <cellStyle name="Accent5" xfId="26" builtinId="45" customBuiltin="1"/>
    <cellStyle name="Accent6" xfId="27" builtinId="49" customBuiltin="1"/>
    <cellStyle name="Bad" xfId="28" builtinId="27" customBuiltin="1"/>
    <cellStyle name="c_HardInc " xfId="29"/>
    <cellStyle name="Calculation" xfId="30" builtinId="22" customBuiltin="1"/>
    <cellStyle name="Check Cell" xfId="31" builtinId="23" customBuiltin="1"/>
    <cellStyle name="Comma" xfId="32" builtinId="3"/>
    <cellStyle name="Comma 2" xfId="65"/>
    <cellStyle name="Comma 2 3" xfId="69"/>
    <cellStyle name="Comma_SPLK" xfId="33"/>
    <cellStyle name="Currency" xfId="34" builtinId="4"/>
    <cellStyle name="Currency_SPLK" xfId="35"/>
    <cellStyle name="Explanatory Text" xfId="36" builtinId="53" customBuiltin="1"/>
    <cellStyle name="Good" xfId="37" builtinId="26" customBuiltin="1"/>
    <cellStyle name="Heading 1" xfId="38" builtinId="16" customBuiltin="1"/>
    <cellStyle name="Heading 2" xfId="39" builtinId="17" customBuiltin="1"/>
    <cellStyle name="Heading 3" xfId="40" builtinId="18" customBuiltin="1"/>
    <cellStyle name="Heading 4" xfId="41" builtinId="19" customBuiltin="1"/>
    <cellStyle name="Input" xfId="42" builtinId="20" customBuiltin="1"/>
    <cellStyle name="KP_Normal" xfId="43"/>
    <cellStyle name="Linked Cell" xfId="44" builtinId="24" customBuiltin="1"/>
    <cellStyle name="Neutral" xfId="45" builtinId="28" customBuiltin="1"/>
    <cellStyle name="Normal" xfId="0" builtinId="0"/>
    <cellStyle name="Normal 2" xfId="61"/>
    <cellStyle name="Normal 3" xfId="63"/>
    <cellStyle name="Normal 3 2" xfId="67"/>
    <cellStyle name="Normal_DisclaimerSheet Samples" xfId="70"/>
    <cellStyle name="Normal_SPLK" xfId="46"/>
    <cellStyle name="Note" xfId="47" builtinId="10" customBuiltin="1"/>
    <cellStyle name="Output" xfId="48" builtinId="21" customBuiltin="1"/>
    <cellStyle name="p " xfId="49"/>
    <cellStyle name="Percent" xfId="50" builtinId="5"/>
    <cellStyle name="Percent 2" xfId="64"/>
    <cellStyle name="Percent 2 2" xfId="68"/>
    <cellStyle name="Right" xfId="51"/>
    <cellStyle name="RRSInstruction" xfId="66"/>
    <cellStyle name="RRSInstruction 2" xfId="62"/>
    <cellStyle name="s_HardInc " xfId="52"/>
    <cellStyle name="s_Valuation " xfId="53"/>
    <cellStyle name="ssp " xfId="54"/>
    <cellStyle name="Style 1" xfId="55"/>
    <cellStyle name="Title" xfId="56" builtinId="15" customBuiltin="1"/>
    <cellStyle name="title1" xfId="57"/>
    <cellStyle name="title2" xfId="58"/>
    <cellStyle name="Total" xfId="59" builtinId="25" customBuiltin="1"/>
    <cellStyle name="Warning Text" xfId="60" builtinId="11" customBuiltin="1"/>
  </cellStyles>
  <dxfs count="9">
    <dxf>
      <font>
        <b val="0"/>
        <i/>
        <condense val="0"/>
        <extend val="0"/>
        <color indexed="10"/>
      </font>
    </dxf>
    <dxf>
      <font>
        <b val="0"/>
        <i/>
        <condense val="0"/>
        <extend val="0"/>
        <color indexed="10"/>
      </font>
    </dxf>
    <dxf>
      <font>
        <b val="0"/>
        <i/>
        <condense val="0"/>
        <extend val="0"/>
        <color indexed="10"/>
      </font>
    </dxf>
    <dxf>
      <font>
        <b val="0"/>
        <i/>
        <condense val="0"/>
        <extend val="0"/>
        <color indexed="10"/>
      </font>
    </dxf>
    <dxf>
      <font>
        <b val="0"/>
        <i/>
        <condense val="0"/>
        <extend val="0"/>
        <color indexed="10"/>
      </font>
    </dxf>
    <dxf>
      <font>
        <b val="0"/>
        <i/>
        <condense val="0"/>
        <extend val="0"/>
        <color indexed="10"/>
      </font>
    </dxf>
    <dxf>
      <font>
        <b val="0"/>
        <i/>
        <condense val="0"/>
        <extend val="0"/>
        <color indexed="10"/>
      </font>
    </dxf>
    <dxf>
      <font>
        <b val="0"/>
        <i/>
        <condense val="0"/>
        <extend val="0"/>
        <color indexed="10"/>
      </font>
    </dxf>
    <dxf>
      <font>
        <b val="0"/>
        <i/>
        <condense val="0"/>
        <extend val="0"/>
        <color indexed="1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74BE74"/>
      <rgbColor rgb="000000FF"/>
      <rgbColor rgb="00F8CD14"/>
      <rgbColor rgb="00F26163"/>
      <rgbColor rgb="00A8D7E2"/>
      <rgbColor rgb="00B2122B"/>
      <rgbColor rgb="00238B45"/>
      <rgbColor rgb="00000080"/>
      <rgbColor rgb="0041A95C"/>
      <rgbColor rgb="00800080"/>
      <rgbColor rgb="00238B45"/>
      <rgbColor rgb="00C0C0C0"/>
      <rgbColor rgb="00808080"/>
      <rgbColor rgb="009999FF"/>
      <rgbColor rgb="00EACC80"/>
      <rgbColor rgb="004AAC6B"/>
      <rgbColor rgb="00A8D7E2"/>
      <rgbColor rgb="00E58061"/>
      <rgbColor rgb="00BCE3A1"/>
      <rgbColor rgb="008E466A"/>
      <rgbColor rgb="00CCCCFF"/>
      <rgbColor rgb="001275A6"/>
      <rgbColor rgb="00E5BF61"/>
      <rgbColor rgb="004AAC6B"/>
      <rgbColor rgb="0097D0DD"/>
      <rgbColor rgb="00763A58"/>
      <rgbColor rgb="00800000"/>
      <rgbColor rgb="00E2704C"/>
      <rgbColor rgb="00A5D981"/>
      <rgbColor rgb="0069ADCA"/>
      <rgbColor rgb="00C6D9E2"/>
      <rgbColor rgb="00E3EEDE"/>
      <rgbColor rgb="00F3EEA1"/>
      <rgbColor rgb="009DC9DC"/>
      <rgbColor rgb="00EFC1D2"/>
      <rgbColor rgb="009DC9DC"/>
      <rgbColor rgb="00E3E3E3"/>
      <rgbColor rgb="004091BF"/>
      <rgbColor rgb="0097D0DD"/>
      <rgbColor rgb="00A5D981"/>
      <rgbColor rgb="00F8CD14"/>
      <rgbColor rgb="00EACC80"/>
      <rgbColor rgb="00FC7114"/>
      <rgbColor rgb="004091BF"/>
      <rgbColor rgb="00969696"/>
      <rgbColor rgb="001B4694"/>
      <rgbColor rgb="0041A95C"/>
      <rgbColor rgb="00125A31"/>
      <rgbColor rgb="00125A31"/>
      <rgbColor rgb="00DDDDDD"/>
      <rgbColor rgb="008E006A"/>
      <rgbColor rgb="001B4694"/>
      <rgbColor rgb="00333333"/>
    </indexedColors>
    <mruColors>
      <color rgb="FFFFCC00"/>
      <color rgb="FF3333FF"/>
      <color rgb="FF0000FF"/>
      <color rgb="FF15367F"/>
      <color rgb="FF00CCFF"/>
    </mruColors>
  </colors>
  <extLst>
    <ext xmlns:x14="http://schemas.microsoft.com/office/spreadsheetml/2009/9/main" uri="{EB79DEF2-80B8-43e5-95BD-54CBDDF9020C}">
      <x14:slicerStyles defaultSlicerStyle="SlicerStyleLight1"/>
    </ext>
  </extLst>
</styleSheet>
</file>

<file path=xl/volatileDependencies.xml><?xml version="1.0" encoding="utf-8"?>
<volTypes xmlns="http://schemas.openxmlformats.org/spreadsheetml/2006/main">
  <volType type="realTimeData">
    <main first="thomsononeaddinshim.rtdformula">
      <tp>
        <v>8372.6</v>
        <stp/>
        <stp>f4339fd3-0a22-4c03-80b7-08149b878ae6</stp>
        <tr r="CQ122" s="1"/>
      </tp>
      <tp>
        <v>819</v>
        <stp/>
        <stp>d8f04175-aa12-4cb2-af4f-fd6831b6e33c</stp>
        <tr r="CK123" s="1"/>
      </tp>
      <tp t="s">
        <v>Manual Calculation</v>
        <stp/>
        <stp>ce5505cd-77cc-4841-8a8a-bbfd53db6683</stp>
        <tr r="CJ125" s="1"/>
      </tp>
      <tp t="s">
        <v>Manual Calculation</v>
        <stp/>
        <stp>08529fc7-b846-4493-abfc-061e44c76ba2</stp>
        <tr r="CM123" s="1"/>
      </tp>
      <tp t="s">
        <v xml:space="preserve">                                                       $ 0.21                                                       </v>
        <stp/>
        <stp>bf46dfd1-8168-4ba3-8089-6d811dad2891</stp>
        <tr r="CO125" s="1"/>
      </tp>
      <tp t="s">
        <v>Manual Calculation</v>
        <stp/>
        <stp>66a7abfa-094e-4517-bf85-8f33ca65eae3</stp>
        <tr r="CJ123" s="1"/>
      </tp>
      <tp t="s">
        <v>Manual Calculation</v>
        <stp/>
        <stp>869db0c0-2711-45c7-9d86-e36126d95350</stp>
        <tr r="CO122" s="1"/>
      </tp>
      <tp t="s">
        <v xml:space="preserve">                                                       $ 0.23                                                       </v>
        <stp/>
        <stp>99c922a7-3603-41b1-adf6-798a0f7190f6</stp>
        <tr r="CM125" s="1"/>
      </tp>
      <tp t="s">
        <v>Manual Calculation</v>
        <stp/>
        <stp>3e2577cd-0af1-4e42-82b9-61527fe2edd8</stp>
        <tr r="CN123" s="1"/>
      </tp>
      <tp t="s">
        <v>Manual Calculation</v>
        <stp/>
        <stp>73dbaa00-a08d-420f-9eaf-273956ea067e</stp>
        <tr r="CN122" s="1"/>
      </tp>
      <tp>
        <v>6648.8</v>
        <stp/>
        <stp>d6ad6a7e-1451-4f97-bcc6-a170818981d7</stp>
        <tr r="CK122" s="1"/>
      </tp>
      <tp t="s">
        <v xml:space="preserve">                                                       $ 0.19                                                       </v>
        <stp/>
        <stp>05cd0ea1-ba8d-4587-bea7-882589f4ca08</stp>
        <tr r="CI125" s="1"/>
      </tp>
      <tp>
        <v>0.97929999999999995</v>
        <stp/>
        <stp>15f2cdd4-d269-4c4b-bf2a-cc69e6127648</stp>
        <tr r="CQ125" s="1"/>
      </tp>
      <tp>
        <v>1099.5999999999999</v>
        <stp/>
        <stp>5e061c10-7513-4f8a-80f7-2d7a1bf4c625</stp>
        <tr r="CQ123" s="1"/>
      </tp>
      <tp t="s">
        <v>Manual Calculation</v>
        <stp/>
        <stp>8c455eb1-36d9-47db-9c82-1ea6dd5ff512</stp>
        <tr r="CM122" s="1"/>
      </tp>
      <tp t="s">
        <v>Manual Calculation</v>
        <stp/>
        <stp>966986c3-ee82-43cc-beb2-18182175c12f</stp>
        <tr r="CJ122" s="1"/>
      </tp>
      <tp t="s">
        <v xml:space="preserve">                                                       $  0.22                                                       </v>
        <stp/>
        <stp>2d15c935-c8af-47c6-ba1c-3b800d0b0a2e</stp>
        <tr r="CN125" s="1"/>
      </tp>
      <tp t="s">
        <v>Manual Calculation</v>
        <stp/>
        <stp>2ba8fa66-c8a2-4005-8824-1e4253ebfa37</stp>
        <tr r="CI123" s="1"/>
      </tp>
      <tp>
        <v>0.75270000000000004</v>
        <stp/>
        <stp>fa2d6ec8-1c23-4a05-92c4-462951926686</stp>
        <tr r="CK125" s="1"/>
      </tp>
      <tp t="s">
        <v>Manual Calculation</v>
        <stp/>
        <stp>ac064d16-3c28-44d5-bbc5-0057f56555a9</stp>
        <tr r="CO123" s="1"/>
      </tp>
      <tp t="s">
        <v xml:space="preserve">                                                       $ 0.25                                                       </v>
        <stp/>
        <stp>b893bc59-f66d-4d33-8693-41e11aa13403</stp>
        <tr r="CP125" s="1"/>
      </tp>
      <tp t="s">
        <v>Manual Calculation</v>
        <stp/>
        <stp>4738159f-c8a8-4e0b-83bc-95d853a40255</stp>
        <tr r="CP123" s="1"/>
      </tp>
      <tp t="s">
        <v>Manual Calculation</v>
        <stp/>
        <stp>72d05dfa-db45-4ab3-8ac0-8d1f2df87483</stp>
        <tr r="CP122" s="1"/>
      </tp>
      <tp t="s">
        <v>Manual Calculation</v>
        <stp/>
        <stp>87658af3-c2f4-4597-9054-7305b2ce6a62</stp>
        <tr r="CI122" s="1"/>
      </tp>
    </main>
  </volType>
</volTypes>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externalLinks/externalLink1.xml" Type="http://schemas.openxmlformats.org/officeDocument/2006/relationships/externalLink"/>
<Relationship Id="rId12" Target="externalLinks/externalLink2.xml" Type="http://schemas.openxmlformats.org/officeDocument/2006/relationships/externalLink"/>
<Relationship Id="rId13" Target="externalLinks/externalLink3.xml" Type="http://schemas.openxmlformats.org/officeDocument/2006/relationships/externalLink"/>
<Relationship Id="rId14" Target="externalLinks/externalLink4.xml" Type="http://schemas.openxmlformats.org/officeDocument/2006/relationships/externalLink"/>
<Relationship Id="rId15" Target="externalLinks/externalLink5.xml" Type="http://schemas.openxmlformats.org/officeDocument/2006/relationships/externalLink"/>
<Relationship Id="rId16" Target="externalLinks/externalLink6.xml" Type="http://schemas.openxmlformats.org/officeDocument/2006/relationships/externalLink"/>
<Relationship Id="rId17" Target="theme/theme1.xml" Type="http://schemas.openxmlformats.org/officeDocument/2006/relationships/theme"/>
<Relationship Id="rId18" Target="styles.xml" Type="http://schemas.openxmlformats.org/officeDocument/2006/relationships/styles"/>
<Relationship Id="rId19" Target="sharedStrings.xml" Type="http://schemas.openxmlformats.org/officeDocument/2006/relationships/sharedStrings"/>
<Relationship Id="rId2" Target="worksheets/sheet2.xml" Type="http://schemas.openxmlformats.org/officeDocument/2006/relationships/worksheet"/>
<Relationship Id="rId20" Target="calcChain.xml" Type="http://schemas.openxmlformats.org/officeDocument/2006/relationships/calcChain"/>
<Relationship Id="rId21" Target="../customXml/item1.xml" Type="http://schemas.openxmlformats.org/officeDocument/2006/relationships/customXml"/>
<Relationship Id="rId22" Target="../customXml/item2.xml" Type="http://schemas.openxmlformats.org/officeDocument/2006/relationships/customXml"/>
<Relationship Id="rId23" Target="volatileDependencies.xml" Type="http://schemas.openxmlformats.org/officeDocument/2006/relationships/volatileDependencies"/>
<Relationship Id="rId24" Target="vbaProject.bin" Type="http://schemas.microsoft.com/office/2006/relationships/vbaProject"/>
<Relationship Id="rId3" Target="worksheets/sheet3.xml" Type="http://schemas.openxmlformats.org/officeDocument/2006/relationships/worksheet"/>
<Relationship Id="rId4" Target="worksheets/sheet4.xml" Type="http://schemas.openxmlformats.org/officeDocument/2006/relationships/workshee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charts/_rels/chart1.xml.rels><?xml version="1.0" encoding="UTF-8" standalone="yes"?>
<Relationships xmlns="http://schemas.openxmlformats.org/package/2006/relationships">
<Relationship Id="rId1" Target="../drawings/drawing3.xml" Type="http://schemas.openxmlformats.org/officeDocument/2006/relationships/chartUserShapes"/>
</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Billings Growth, YoY</a:t>
            </a:r>
          </a:p>
        </c:rich>
      </c:tx>
      <c:layout>
        <c:manualLayout>
          <c:xMode val="edge"/>
          <c:yMode val="edge"/>
          <c:x val="0.42095003884423876"/>
          <c:y val="9.2281377090893041E-2"/>
        </c:manualLayout>
      </c:layout>
      <c:overlay val="0"/>
      <c:spPr>
        <a:noFill/>
        <a:ln w="25400">
          <a:noFill/>
        </a:ln>
      </c:spPr>
    </c:title>
    <c:autoTitleDeleted val="0"/>
    <c:plotArea>
      <c:layout>
        <c:manualLayout>
          <c:layoutTarget val="inner"/>
          <c:xMode val="edge"/>
          <c:yMode val="edge"/>
          <c:x val="7.9900557949658904E-2"/>
          <c:y val="0.11101289127554782"/>
          <c:w val="0.89834118934104079"/>
          <c:h val="0.75021392794126684"/>
        </c:manualLayout>
      </c:layout>
      <c:lineChart>
        <c:grouping val="standard"/>
        <c:varyColors val="0"/>
        <c:ser>
          <c:idx val="0"/>
          <c:order val="0"/>
          <c:tx>
            <c:strRef>
              <c:f>'MS Revenue Analysis'!$EH$244</c:f>
              <c:strCache>
                <c:ptCount val="1"/>
                <c:pt idx="0">
                  <c:v>Reported Growth</c:v>
                </c:pt>
              </c:strCache>
            </c:strRef>
          </c:tx>
          <c:spPr>
            <a:ln w="12700">
              <a:solidFill>
                <a:srgbClr val="1275A6"/>
              </a:solidFill>
              <a:prstDash val="solid"/>
            </a:ln>
          </c:spPr>
          <c:marker>
            <c:symbol val="diamond"/>
            <c:size val="5"/>
            <c:spPr>
              <a:solidFill>
                <a:srgbClr val="1275A6"/>
              </a:solidFill>
              <a:ln>
                <a:solidFill>
                  <a:srgbClr val="1275A6"/>
                </a:solidFill>
                <a:prstDash val="solid"/>
              </a:ln>
            </c:spPr>
          </c:marker>
          <c:dLbls>
            <c:dLbl>
              <c:idx val="8"/>
              <c:layout>
                <c:manualLayout>
                  <c:x val="-5.4286899287321853E-2"/>
                  <c:y val="-3.5902571776348091E-2"/>
                </c:manualLayout>
              </c:layout>
              <c:dLblPos val="r"/>
              <c:showLegendKey val="0"/>
              <c:showVal val="1"/>
              <c:showCatName val="0"/>
              <c:showSerName val="0"/>
              <c:showPercent val="0"/>
              <c:showBubbleSize val="0"/>
            </c:dLbl>
            <c:dLbl>
              <c:idx val="9"/>
              <c:layout>
                <c:manualLayout>
                  <c:x val="-3.2986004815904184E-2"/>
                  <c:y val="3.7630682117840916E-2"/>
                </c:manualLayout>
              </c:layout>
              <c:dLblPos val="r"/>
              <c:showLegendKey val="0"/>
              <c:showVal val="1"/>
              <c:showCatName val="0"/>
              <c:showSerName val="0"/>
              <c:showPercent val="0"/>
              <c:showBubbleSize val="0"/>
            </c:dLbl>
            <c:dLbl>
              <c:idx val="10"/>
              <c:layout>
                <c:manualLayout>
                  <c:x val="-2.9946825509086814E-2"/>
                  <c:y val="3.8775501896084009E-2"/>
                </c:manualLayout>
              </c:layout>
              <c:dLblPos val="r"/>
              <c:showLegendKey val="0"/>
              <c:showVal val="1"/>
              <c:showCatName val="0"/>
              <c:showSerName val="0"/>
              <c:showPercent val="0"/>
              <c:showBubbleSize val="0"/>
            </c:dLbl>
            <c:dLbl>
              <c:idx val="12"/>
              <c:layout>
                <c:manualLayout>
                  <c:x val="-5.2551670015050719E-2"/>
                  <c:y val="3.825625359130766E-2"/>
                </c:manualLayout>
              </c:layout>
              <c:dLblPos val="r"/>
              <c:showLegendKey val="0"/>
              <c:showVal val="1"/>
              <c:showCatName val="0"/>
              <c:showSerName val="0"/>
              <c:showPercent val="0"/>
              <c:showBubbleSize val="0"/>
            </c:dLbl>
            <c:dLbl>
              <c:idx val="13"/>
              <c:layout>
                <c:manualLayout>
                  <c:x val="-2.6791698402163645E-2"/>
                  <c:y val="3.3238842477468465E-2"/>
                </c:manualLayout>
              </c:layout>
              <c:dLblPos val="r"/>
              <c:showLegendKey val="0"/>
              <c:showVal val="1"/>
              <c:showCatName val="0"/>
              <c:showSerName val="0"/>
              <c:showPercent val="0"/>
              <c:showBubbleSize val="0"/>
            </c:dLbl>
            <c:dLbl>
              <c:idx val="14"/>
              <c:layout>
                <c:manualLayout>
                  <c:x val="-1.642408909939749E-2"/>
                  <c:y val="3.3239040005562388E-2"/>
                </c:manualLayout>
              </c:layout>
              <c:dLblPos val="r"/>
              <c:showLegendKey val="0"/>
              <c:showVal val="1"/>
              <c:showCatName val="0"/>
              <c:showSerName val="0"/>
              <c:showPercent val="0"/>
              <c:showBubbleSize val="0"/>
            </c:dLbl>
            <c:dLblPos val="t"/>
            <c:showLegendKey val="0"/>
            <c:showVal val="1"/>
            <c:showCatName val="0"/>
            <c:showSerName val="0"/>
            <c:showPercent val="0"/>
            <c:showBubbleSize val="0"/>
            <c:showLeaderLines val="0"/>
          </c:dLbls>
          <c:cat>
            <c:strRef>
              <c:f>'MS Revenue Analysis'!$EK$242:$EZ$242</c:f>
              <c:strCache>
                <c:ptCount val="16"/>
                <c:pt idx="0">
                  <c:v>1Q15</c:v>
                </c:pt>
                <c:pt idx="1">
                  <c:v>2Q15</c:v>
                </c:pt>
                <c:pt idx="2">
                  <c:v>3Q15</c:v>
                </c:pt>
                <c:pt idx="3">
                  <c:v>4Q15</c:v>
                </c:pt>
                <c:pt idx="4">
                  <c:v>1Q16</c:v>
                </c:pt>
                <c:pt idx="5">
                  <c:v>2Q16</c:v>
                </c:pt>
                <c:pt idx="6">
                  <c:v>3Q16</c:v>
                </c:pt>
                <c:pt idx="7">
                  <c:v>4Q16</c:v>
                </c:pt>
                <c:pt idx="8">
                  <c:v>1Q17</c:v>
                </c:pt>
                <c:pt idx="9">
                  <c:v>2Q17</c:v>
                </c:pt>
                <c:pt idx="10">
                  <c:v>3Q17</c:v>
                </c:pt>
                <c:pt idx="11">
                  <c:v>4Q17</c:v>
                </c:pt>
                <c:pt idx="12">
                  <c:v>1Q18</c:v>
                </c:pt>
                <c:pt idx="13">
                  <c:v>2Q18e</c:v>
                </c:pt>
                <c:pt idx="14">
                  <c:v>3Q18e</c:v>
                </c:pt>
                <c:pt idx="15">
                  <c:v>4Q18e</c:v>
                </c:pt>
              </c:strCache>
            </c:strRef>
          </c:cat>
          <c:val>
            <c:numRef>
              <c:f>('MS Revenue Analysis'!$CI$140:$CL$140,'MS Revenue Analysis'!$CO$140:$CR$140,'MS Revenue Analysis'!$CU$140:$CX$140,'MS Revenue Analysis'!$DA$140:$DD$140)</c:f>
              <c:numCache>
                <c:formatCode>0%</c:formatCode>
                <c:ptCount val="4"/>
                <c:pt idx="0">
                  <c:v>0.16257793414910848</c:v>
                </c:pt>
                <c:pt idx="1">
                  <c:v>0.26132582226502965</c:v>
                </c:pt>
                <c:pt idx="2">
                  <c:v>0.24056086199388083</c:v>
                </c:pt>
                <c:pt idx="3">
                  <c:v>0.28121516447902684</c:v>
                </c:pt>
              </c:numCache>
            </c:numRef>
          </c:val>
          <c:smooth val="0"/>
        </c:ser>
        <c:dLbls>
          <c:showLegendKey val="0"/>
          <c:showVal val="0"/>
          <c:showCatName val="0"/>
          <c:showSerName val="0"/>
          <c:showPercent val="0"/>
          <c:showBubbleSize val="0"/>
        </c:dLbls>
        <c:marker val="1"/>
        <c:smooth val="0"/>
        <c:axId val="782764672"/>
        <c:axId val="782767616"/>
      </c:lineChart>
      <c:catAx>
        <c:axId val="782764672"/>
        <c:scaling>
          <c:orientation val="minMax"/>
        </c:scaling>
        <c:delete val="0"/>
        <c:axPos val="b"/>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782767616"/>
        <c:crosses val="autoZero"/>
        <c:auto val="0"/>
        <c:lblAlgn val="ctr"/>
        <c:lblOffset val="100"/>
        <c:tickLblSkip val="1"/>
        <c:tickMarkSkip val="1"/>
        <c:noMultiLvlLbl val="0"/>
      </c:catAx>
      <c:valAx>
        <c:axId val="782767616"/>
        <c:scaling>
          <c:orientation val="minMax"/>
        </c:scaling>
        <c:delete val="0"/>
        <c:axPos val="l"/>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782764672"/>
        <c:crosses val="autoZero"/>
        <c:crossBetween val="between"/>
      </c:valAx>
      <c:spPr>
        <a:noFill/>
        <a:ln w="25400">
          <a:noFill/>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horizontalDpi="1200" verticalDpi="1200"/>
  </c:printSettings>
  <c:userShapes r:id="rId1"/>
</c:chartSpace>
</file>

<file path=xl/drawings/_rels/drawing1.xml.rels><?xml version="1.0" encoding="UTF-8" standalone="yes"?>
<Relationships xmlns="http://schemas.openxmlformats.org/package/2006/relationships">
<Relationship Id="rId1" Target="../media/image1.png" Type="http://schemas.openxmlformats.org/officeDocument/2006/relationships/image"/>
<Relationship Id="rId2" Target="../media/image2.jpeg" Type="http://schemas.openxmlformats.org/officeDocument/2006/relationships/image"/>
<Relationship Id="rId3" Target="../media/image3.gif" Type="http://schemas.openxmlformats.org/officeDocument/2006/relationships/image"/>
</Relationships>

</file>

<file path=xl/drawings/_rels/drawing2.xml.rels><?xml version="1.0" encoding="UTF-8" standalone="yes"?>
<Relationships xmlns="http://schemas.openxmlformats.org/package/2006/relationships">
<Relationship Id="rId1" Target="../charts/chart1.xml" Type="http://schemas.openxmlformats.org/officeDocument/2006/relationships/chart"/>
</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28575</xdr:rowOff>
    </xdr:from>
    <xdr:to>
      <xdr:col>0</xdr:col>
      <xdr:colOff>1581150</xdr:colOff>
      <xdr:row>0</xdr:row>
      <xdr:rowOff>323850</xdr:rowOff>
    </xdr:to>
    <xdr:pic>
      <xdr:nvPicPr>
        <xdr:cNvPr id="2"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 y="28575"/>
          <a:ext cx="15621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19050</xdr:colOff>
      <xdr:row>0</xdr:row>
      <xdr:rowOff>95250</xdr:rowOff>
    </xdr:from>
    <xdr:to>
      <xdr:col>1</xdr:col>
      <xdr:colOff>523875</xdr:colOff>
      <xdr:row>0</xdr:row>
      <xdr:rowOff>314325</xdr:rowOff>
    </xdr:to>
    <xdr:pic>
      <xdr:nvPicPr>
        <xdr:cNvPr id="3" name="Picture 6" descr="MSMS_logo_3" hidden="1"/>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050" y="95250"/>
          <a:ext cx="2219325"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180</xdr:row>
      <xdr:rowOff>0</xdr:rowOff>
    </xdr:from>
    <xdr:to>
      <xdr:col>7</xdr:col>
      <xdr:colOff>390525</xdr:colOff>
      <xdr:row>203</xdr:row>
      <xdr:rowOff>104775</xdr:rowOff>
    </xdr:to>
    <xdr:pic>
      <xdr:nvPicPr>
        <xdr:cNvPr id="728065" name="Picture 1" descr="C:\Users\hamzaf\AppData\Local\Temp\MercuryPriceRatingHistoryChart\CRM.N_2018_04_02_18_35_54.gif"/>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7774900"/>
          <a:ext cx="6400800" cy="382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140</xdr:col>
      <xdr:colOff>105833</xdr:colOff>
      <xdr:row>252</xdr:row>
      <xdr:rowOff>56030</xdr:rowOff>
    </xdr:from>
    <xdr:to>
      <xdr:col>148</xdr:col>
      <xdr:colOff>392206</xdr:colOff>
      <xdr:row>308</xdr:row>
      <xdr:rowOff>100853</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148</xdr:col>
      <xdr:colOff>148166</xdr:colOff>
      <xdr:row>267</xdr:row>
      <xdr:rowOff>105833</xdr:rowOff>
    </xdr:from>
    <xdr:to>
      <xdr:col>149</xdr:col>
      <xdr:colOff>306917</xdr:colOff>
      <xdr:row>272</xdr:row>
      <xdr:rowOff>10584</xdr:rowOff>
    </xdr:to>
    <xdr:sp macro="" textlink="">
      <xdr:nvSpPr>
        <xdr:cNvPr id="2" name="Oval 1"/>
        <xdr:cNvSpPr/>
      </xdr:nvSpPr>
      <xdr:spPr>
        <a:xfrm>
          <a:off x="41772416" y="37327416"/>
          <a:ext cx="772584" cy="698501"/>
        </a:xfrm>
        <a:prstGeom prst="ellipse">
          <a:avLst/>
        </a:prstGeom>
        <a:noFill/>
        <a:ln>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143</xdr:col>
      <xdr:colOff>121895</xdr:colOff>
      <xdr:row>282</xdr:row>
      <xdr:rowOff>128868</xdr:rowOff>
    </xdr:from>
    <xdr:to>
      <xdr:col>145</xdr:col>
      <xdr:colOff>54162</xdr:colOff>
      <xdr:row>286</xdr:row>
      <xdr:rowOff>107702</xdr:rowOff>
    </xdr:to>
    <xdr:sp macro="" textlink="">
      <xdr:nvSpPr>
        <xdr:cNvPr id="5" name="Oval 4"/>
        <xdr:cNvSpPr/>
      </xdr:nvSpPr>
      <xdr:spPr>
        <a:xfrm>
          <a:off x="29100307" y="30127015"/>
          <a:ext cx="1142502" cy="606363"/>
        </a:xfrm>
        <a:prstGeom prst="ellipse">
          <a:avLst/>
        </a:prstGeom>
        <a:noFill/>
        <a:ln>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3.xml><?xml version="1.0" encoding="utf-8"?>
<c:userShapes xmlns:c="http://schemas.openxmlformats.org/drawingml/2006/chart">
  <cdr:relSizeAnchor xmlns:cdr="http://schemas.openxmlformats.org/drawingml/2006/chartDrawing">
    <cdr:from>
      <cdr:x>0.70048</cdr:x>
      <cdr:y>0.3749</cdr:y>
    </cdr:from>
    <cdr:to>
      <cdr:x>0.79066</cdr:x>
      <cdr:y>0.53729</cdr:y>
    </cdr:to>
    <cdr:cxnSp macro="">
      <cdr:nvCxnSpPr>
        <cdr:cNvPr id="3" name="Straight Arrow Connector 2"/>
        <cdr:cNvCxnSpPr/>
      </cdr:nvCxnSpPr>
      <cdr:spPr>
        <a:xfrm xmlns:a="http://schemas.openxmlformats.org/drawingml/2006/main" flipH="1">
          <a:off x="5067317" y="1604803"/>
          <a:ext cx="652361" cy="695155"/>
        </a:xfrm>
        <a:prstGeom xmlns:a="http://schemas.openxmlformats.org/drawingml/2006/main" prst="straightConnector1">
          <a:avLst/>
        </a:prstGeom>
        <a:ln xmlns:a="http://schemas.openxmlformats.org/drawingml/2006/main">
          <a:tailEnd type="arrow"/>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0.73615</cdr:x>
      <cdr:y>0.28655</cdr:y>
    </cdr:from>
    <cdr:to>
      <cdr:x>0.97505</cdr:x>
      <cdr:y>0.41929</cdr:y>
    </cdr:to>
    <cdr:sp macro="" textlink="">
      <cdr:nvSpPr>
        <cdr:cNvPr id="4" name="Rectangle 3"/>
        <cdr:cNvSpPr/>
      </cdr:nvSpPr>
      <cdr:spPr>
        <a:xfrm xmlns:a="http://schemas.openxmlformats.org/drawingml/2006/main">
          <a:off x="5325321" y="1226615"/>
          <a:ext cx="1728199" cy="568213"/>
        </a:xfrm>
        <a:prstGeom xmlns:a="http://schemas.openxmlformats.org/drawingml/2006/main" prst="rect">
          <a:avLst/>
        </a:prstGeom>
        <a:noFill xmlns:a="http://schemas.openxmlformats.org/drawingml/2006/main"/>
        <a:ln xmlns:a="http://schemas.openxmlformats.org/drawingml/2006/main" w="12700">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pPr algn="ctr"/>
          <a:r>
            <a:rPr lang="en-US" sz="1000">
              <a:solidFill>
                <a:sysClr val="windowText" lastClr="000000"/>
              </a:solidFill>
              <a:latin typeface="Arial" panose="020B0604020202020204" pitchFamily="34" charset="0"/>
              <a:cs typeface="Arial" panose="020B0604020202020204" pitchFamily="34" charset="0"/>
            </a:rPr>
            <a:t>Easiest</a:t>
          </a:r>
          <a:r>
            <a:rPr lang="en-US" sz="1000" baseline="0">
              <a:solidFill>
                <a:sysClr val="windowText" lastClr="000000"/>
              </a:solidFill>
              <a:latin typeface="Arial" panose="020B0604020202020204" pitchFamily="34" charset="0"/>
              <a:cs typeface="Arial" panose="020B0604020202020204" pitchFamily="34" charset="0"/>
            </a:rPr>
            <a:t> </a:t>
          </a:r>
          <a:r>
            <a:rPr lang="en-US" sz="1000">
              <a:solidFill>
                <a:sysClr val="windowText" lastClr="000000"/>
              </a:solidFill>
              <a:latin typeface="Arial" panose="020B0604020202020204" pitchFamily="34" charset="0"/>
              <a:cs typeface="Arial" panose="020B0604020202020204" pitchFamily="34" charset="0"/>
            </a:rPr>
            <a:t>YoY Comparables in Q2/Q3</a:t>
          </a:r>
        </a:p>
      </cdr:txBody>
    </cdr:sp>
  </cdr:relSizeAnchor>
</c:userShapes>
</file>

<file path=xl/externalLinks/_rels/externalLink1.xml.rels><?xml version="1.0" encoding="UTF-8" standalone="yes"?>
<Relationships xmlns="http://schemas.openxmlformats.org/package/2006/relationships">
<Relationship Id="rId1" Target="file://///Sony/c/business/&#38750;&#37444;/&#38750;&#37444;&#20250;~1/&#21516;&#21644;&#37489;&#26989;/5714work.wk4" TargetMode="External" Type="http://schemas.openxmlformats.org/officeDocument/2006/relationships/externalLinkPath"/>
</Relationships>

</file>

<file path=xl/externalLinks/_rels/externalLink2.xml.rels><?xml version="1.0" encoding="UTF-8" standalone="yes"?>
<Relationships xmlns="http://schemas.openxmlformats.org/package/2006/relationships">
<Relationship Id="rId1" Target="ER43/ESWModels/SPLK.xls" TargetMode="External" Type="http://schemas.microsoft.com/office/2006/relationships/xlExternalLinkPath/xlStartup"/>
</Relationships>

</file>

<file path=xl/externalLinks/_rels/externalLink3.xml.rels><?xml version="1.0" encoding="UTF-8" standalone="yes"?>
<Relationships xmlns="http://schemas.openxmlformats.org/package/2006/relationships">
<Relationship Id="rId1" Target="ER43/US%20Enterprise%20Software/CRM/Sheets/AcqImpacts.xls" TargetMode="External" Type="http://schemas.microsoft.com/office/2006/relationships/xlExternalLinkPath/xlStartup"/>
</Relationships>

</file>

<file path=xl/externalLinks/_rels/externalLink4.xml.rels><?xml version="1.0" encoding="UTF-8" standalone="yes"?>
<Relationships xmlns="http://schemas.openxmlformats.org/package/2006/relationships">
<Relationship Id="rId1" Target="Notes" TargetMode="External" Type="http://schemas.microsoft.com/office/2006/relationships/xlExternalLinkPath/xlPathMissing"/>
</Relationships>

</file>

<file path=xl/externalLinks/_rels/externalLink5.xml.rels><?xml version="1.0" encoding="UTF-8" standalone="yes"?>
<Relationships xmlns="http://schemas.openxmlformats.org/package/2006/relationships">
<Relationship Id="rId1" Target="ER43/US%20Enterprise%20Software/Holt's%20Launch_051208/Overview.Charts/valuations.xls" TargetMode="External" Type="http://schemas.microsoft.com/office/2006/relationships/xlExternalLinkPath/xlStartup"/>
</Relationships>

</file>

<file path=xl/externalLinks/_rels/externalLink6.xml.rels><?xml version="1.0" encoding="UTF-8" standalone="yes"?>
<Relationships xmlns="http://schemas.openxmlformats.org/package/2006/relationships">
<Relationship Id="rId1" Target="ER43/US%20Enterprise%20Software/CRM/Sheets/CRMmultipleanalysis102009.xls" TargetMode="External" Type="http://schemas.microsoft.com/office/2006/relationships/xlExternalLinkPath/xlStartup"/>
</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単独"/>
      <sheetName val="連結"/>
      <sheetName val="期中"/>
      <sheetName val="valu"/>
      <sheetName val="増減分析"/>
      <sheetName val="新素材"/>
      <sheetName val="子会社"/>
      <sheetName val="環境"/>
      <sheetName val="製錬拠点"/>
      <sheetName val="ﾃｨｻﾊﾟ"/>
      <sheetName val="ﾚｲﾃﾞﾌﾟﾗﾀ"/>
      <sheetName val="小坂"/>
      <sheetName val="中計"/>
      <sheetName val="cash"/>
      <sheetName val="ｾｸﾞﾒﾝﾄ"/>
      <sheetName val="含み益"/>
      <sheetName val="capx"/>
      <sheetName val="dep"/>
      <sheetName val="人"/>
      <sheetName val="exp"/>
      <sheetName val="Valuation Matrix"/>
      <sheetName val="HANDOUT"/>
      <sheetName val="Interm-Euro"/>
      <sheetName val="SCATTER DATA"/>
      <sheetName val="10 Yr DCF"/>
      <sheetName val="Annual-Euro"/>
      <sheetName val="Residual Income Model"/>
      <sheetName val="P"/>
      <sheetName val="EARNMOD"/>
      <sheetName val="exh 11"/>
      <sheetName val="exh 14"/>
      <sheetName val="exh 12"/>
      <sheetName val="exh 10"/>
      <sheetName val="exh 1 and 5"/>
      <sheetName val="exh 15"/>
      <sheetName val="exh 3"/>
      <sheetName val="exh 9"/>
      <sheetName val="Good 12-00 (2)"/>
      <sheetName val="Good 11-36"/>
      <sheetName val="Good 11-50"/>
      <sheetName val="Sheet3 (5)"/>
      <sheetName val="Operating Leases tagged"/>
      <sheetName val="WACC"/>
      <sheetName val="Sheet1"/>
      <sheetName val="Fixed Line Mkt"/>
      <sheetName val="Cash Flow"/>
      <sheetName val="upside_downside"/>
      <sheetName val="Income Statement"/>
      <sheetName val="Balance Sheet"/>
      <sheetName val="Valsum"/>
      <sheetName val="DCF"/>
      <sheetName val="OP"/>
      <sheetName val="Inputs"/>
      <sheetName val="MWA RR"/>
      <sheetName val="Summary"/>
      <sheetName val="IS"/>
      <sheetName val="IS Quarterly"/>
      <sheetName val="Sheet1 (2)"/>
      <sheetName val="1Q11 Preview"/>
      <sheetName val="2Q11 Preview"/>
      <sheetName val="Total_Production"/>
      <sheetName val="RFS"/>
      <sheetName val="Corn_Uses"/>
      <sheetName val="US_Production"/>
      <sheetName val="Risk-Reward_View_Chart"/>
      <sheetName val="variables"/>
      <sheetName val="Model"/>
      <sheetName val="Intrinsic Value"/>
      <sheetName val="Rev by Geo"/>
      <sheetName val="Report template"/>
      <sheetName val="Model (WIP)"/>
      <sheetName val="Exclusion List"/>
      <sheetName val="fin"/>
      <sheetName val="sales bkd"/>
    </sheetNames>
    <sheetDataSet>
      <sheetData sheetId="0" refreshError="1">
        <row r="14">
          <cell r="AR14">
            <v>28</v>
          </cell>
        </row>
        <row r="15">
          <cell r="AR15">
            <v>5</v>
          </cell>
        </row>
        <row r="16">
          <cell r="AR16">
            <v>14</v>
          </cell>
        </row>
        <row r="17">
          <cell r="AR17">
            <v>6</v>
          </cell>
        </row>
        <row r="18">
          <cell r="AR18">
            <v>-5</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row r="164">
          <cell r="E164">
            <v>1247</v>
          </cell>
          <cell r="F164">
            <v>1807</v>
          </cell>
          <cell r="G164">
            <v>2812</v>
          </cell>
          <cell r="H164">
            <v>2828</v>
          </cell>
          <cell r="I164">
            <v>6670</v>
          </cell>
        </row>
        <row r="165">
          <cell r="E165" t="e">
            <v>#VALUE!</v>
          </cell>
          <cell r="F165" t="e">
            <v>#VALUE!</v>
          </cell>
          <cell r="G165" t="e">
            <v>#VALUE!</v>
          </cell>
          <cell r="H165" t="e">
            <v>#VALUE!</v>
          </cell>
          <cell r="I165" t="e">
            <v>#VALUE!</v>
          </cell>
        </row>
        <row r="167">
          <cell r="E167">
            <v>2721</v>
          </cell>
          <cell r="F167">
            <v>1584</v>
          </cell>
          <cell r="G167">
            <v>1802</v>
          </cell>
          <cell r="H167">
            <v>1616</v>
          </cell>
          <cell r="I167">
            <v>795</v>
          </cell>
        </row>
      </sheetData>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odel Notes"/>
      <sheetName val="Scenario Analysis"/>
      <sheetName val="Model &amp; Scenario Assumptions"/>
      <sheetName val="Model"/>
      <sheetName val="MW-Cache"/>
      <sheetName val="Revenue Drivers"/>
      <sheetName val="Balance Sheet"/>
      <sheetName val="Cash Flow"/>
      <sheetName val="__FDSCACHE__"/>
      <sheetName val="Intrinsic Value"/>
      <sheetName val="Metrics"/>
      <sheetName val="Charts"/>
      <sheetName val="Changes to the Model"/>
      <sheetName val="Seasonality"/>
      <sheetName val="Rev by Geo"/>
      <sheetName val="mwareSettings"/>
      <sheetName val="Acq"/>
      <sheetName val="mwareDates"/>
      <sheetName val="MWA RR"/>
      <sheetName val="Consensus"/>
      <sheetName val="Sheet1"/>
      <sheetName val="Pricing"/>
    </sheetNames>
    <sheetDataSet>
      <sheetData sheetId="0" refreshError="1"/>
      <sheetData sheetId="1" refreshError="1"/>
      <sheetData sheetId="2" refreshError="1"/>
      <sheetData sheetId="3" refreshError="1">
        <row r="1">
          <cell r="A1" t="str">
            <v>Splunk Inc.</v>
          </cell>
          <cell r="AV1" t="str">
            <v>ElementName</v>
          </cell>
          <cell r="AW1" t="str">
            <v>ScaleOverride</v>
          </cell>
          <cell r="AX1" t="str">
            <v>UnitOverride</v>
          </cell>
          <cell r="AY1" t="str">
            <v>ReverseSign</v>
          </cell>
          <cell r="AZ1" t="str">
            <v>IsDrivingAssumption</v>
          </cell>
          <cell r="BA1" t="str">
            <v>SegmentID</v>
          </cell>
          <cell r="BB1" t="str">
            <v>ScaleOverride</v>
          </cell>
          <cell r="BC1" t="str">
            <v>UnitOverride</v>
          </cell>
          <cell r="BD1" t="str">
            <v>ReverseSign</v>
          </cell>
          <cell r="BE1" t="str">
            <v>IsDrivingAssumption</v>
          </cell>
          <cell r="BF1" t="str">
            <v>SegmentID</v>
          </cell>
        </row>
        <row r="2">
          <cell r="A2" t="str">
            <v>Income Statement</v>
          </cell>
        </row>
        <row r="3">
          <cell r="F3" t="str">
            <v>2008-FY</v>
          </cell>
          <cell r="G3" t="str">
            <v>2009-Q1</v>
          </cell>
          <cell r="H3" t="str">
            <v>2009-Q2</v>
          </cell>
          <cell r="I3" t="str">
            <v>2009-Q3</v>
          </cell>
          <cell r="J3" t="str">
            <v>2009-Q4</v>
          </cell>
          <cell r="K3" t="str">
            <v>2009-FY</v>
          </cell>
          <cell r="L3" t="str">
            <v>2010-Q1</v>
          </cell>
          <cell r="M3" t="str">
            <v>2010-Q2</v>
          </cell>
          <cell r="N3" t="str">
            <v>2010-Q3</v>
          </cell>
          <cell r="O3" t="str">
            <v>2010-Q4</v>
          </cell>
          <cell r="P3" t="str">
            <v>2010-FY</v>
          </cell>
          <cell r="Q3" t="str">
            <v>2011-Q1</v>
          </cell>
          <cell r="R3" t="str">
            <v>2011-Q2</v>
          </cell>
          <cell r="S3" t="str">
            <v>2011-Q3</v>
          </cell>
          <cell r="T3" t="str">
            <v>2011-Q4</v>
          </cell>
          <cell r="U3" t="str">
            <v>2011-FY</v>
          </cell>
          <cell r="V3" t="str">
            <v>2012-Q1</v>
          </cell>
          <cell r="W3" t="str">
            <v>2012-Q2</v>
          </cell>
          <cell r="X3" t="str">
            <v>2012-Q3</v>
          </cell>
          <cell r="Y3" t="str">
            <v>2012-Q4</v>
          </cell>
          <cell r="Z3" t="str">
            <v>2012-FY</v>
          </cell>
          <cell r="AA3" t="str">
            <v>2013-Q1</v>
          </cell>
          <cell r="AB3" t="str">
            <v>2013-Q2</v>
          </cell>
          <cell r="AC3" t="str">
            <v>2013-Q3</v>
          </cell>
          <cell r="AD3" t="str">
            <v>2013-Q4</v>
          </cell>
          <cell r="AE3" t="str">
            <v>2013-FY</v>
          </cell>
          <cell r="AF3" t="str">
            <v>2014-Q1</v>
          </cell>
          <cell r="AG3" t="str">
            <v>2014-Q2</v>
          </cell>
          <cell r="AH3" t="str">
            <v>2014-Q3</v>
          </cell>
          <cell r="AI3" t="str">
            <v>2014-Q4</v>
          </cell>
          <cell r="AJ3" t="str">
            <v>2014-FY</v>
          </cell>
          <cell r="AK3" t="str">
            <v>2015-Q1</v>
          </cell>
          <cell r="AL3" t="str">
            <v>2015-Q2</v>
          </cell>
          <cell r="AM3" t="str">
            <v>2015-Q3</v>
          </cell>
          <cell r="AN3" t="str">
            <v>2015-Q4</v>
          </cell>
          <cell r="AO3" t="str">
            <v>2015-FY</v>
          </cell>
          <cell r="AP3" t="str">
            <v>2016-Q1</v>
          </cell>
          <cell r="AQ3" t="str">
            <v>2016-Q2</v>
          </cell>
          <cell r="AR3" t="str">
            <v>2016-Q3</v>
          </cell>
          <cell r="AS3" t="str">
            <v>2016-Q4</v>
          </cell>
          <cell r="AT3" t="str">
            <v>2016-FY</v>
          </cell>
          <cell r="AU3" t="str">
            <v>2017-Q1</v>
          </cell>
          <cell r="AV3" t="str">
            <v>2017-Q2</v>
          </cell>
          <cell r="AW3" t="str">
            <v>2017-Q3</v>
          </cell>
          <cell r="AX3" t="str">
            <v>2017-Q4</v>
          </cell>
          <cell r="AY3" t="str">
            <v>2017-FY</v>
          </cell>
        </row>
        <row r="4">
          <cell r="A4" t="str">
            <v>($ millions, Except Per-Share Data)</v>
          </cell>
        </row>
        <row r="5">
          <cell r="B5" t="str">
            <v>2008</v>
          </cell>
          <cell r="G5" t="str">
            <v>2009</v>
          </cell>
          <cell r="L5" t="str">
            <v>2010</v>
          </cell>
          <cell r="Q5" t="str">
            <v>2011</v>
          </cell>
          <cell r="V5" t="str">
            <v>2012</v>
          </cell>
          <cell r="AA5">
            <v>2013</v>
          </cell>
          <cell r="AF5" t="str">
            <v xml:space="preserve">  2014E</v>
          </cell>
          <cell r="AK5" t="str">
            <v xml:space="preserve">  2015E</v>
          </cell>
          <cell r="AP5" t="str">
            <v xml:space="preserve">  2016E</v>
          </cell>
          <cell r="AU5" t="str">
            <v xml:space="preserve">  2017E</v>
          </cell>
        </row>
        <row r="6">
          <cell r="B6" t="str">
            <v>4/07</v>
          </cell>
          <cell r="C6" t="str">
            <v>7/07</v>
          </cell>
          <cell r="D6" t="str">
            <v>10/07</v>
          </cell>
          <cell r="E6" t="str">
            <v>1/08</v>
          </cell>
          <cell r="F6" t="str">
            <v>FY08</v>
          </cell>
          <cell r="G6" t="str">
            <v>4/08</v>
          </cell>
          <cell r="H6" t="str">
            <v>7/08</v>
          </cell>
          <cell r="I6" t="str">
            <v>10/08</v>
          </cell>
          <cell r="J6" t="str">
            <v>1/09</v>
          </cell>
          <cell r="K6" t="str">
            <v>FY09</v>
          </cell>
          <cell r="L6" t="str">
            <v>4/09</v>
          </cell>
          <cell r="M6" t="str">
            <v>7/09</v>
          </cell>
          <cell r="N6" t="str">
            <v>10/09</v>
          </cell>
          <cell r="O6" t="str">
            <v>1/10</v>
          </cell>
          <cell r="P6" t="str">
            <v>FY10</v>
          </cell>
          <cell r="Q6" t="str">
            <v>4/10</v>
          </cell>
          <cell r="R6" t="str">
            <v>7/10</v>
          </cell>
          <cell r="S6" t="str">
            <v>10/10</v>
          </cell>
          <cell r="T6" t="str">
            <v>1/11</v>
          </cell>
          <cell r="U6" t="str">
            <v>FY11</v>
          </cell>
          <cell r="V6" t="str">
            <v>4/11</v>
          </cell>
          <cell r="W6" t="str">
            <v>7/11</v>
          </cell>
          <cell r="X6" t="str">
            <v>10/11</v>
          </cell>
          <cell r="Y6" t="str">
            <v>1/12</v>
          </cell>
          <cell r="Z6" t="str">
            <v>FY12</v>
          </cell>
          <cell r="AA6" t="str">
            <v>4/12</v>
          </cell>
          <cell r="AB6" t="str">
            <v>7/12</v>
          </cell>
          <cell r="AC6" t="str">
            <v>10/12</v>
          </cell>
          <cell r="AD6" t="str">
            <v>1/13</v>
          </cell>
          <cell r="AE6" t="str">
            <v>FY13</v>
          </cell>
          <cell r="AF6" t="str">
            <v>4/13</v>
          </cell>
          <cell r="AG6" t="str">
            <v>7/13</v>
          </cell>
          <cell r="AH6" t="str">
            <v>10/13E</v>
          </cell>
          <cell r="AI6" t="str">
            <v>1/14E</v>
          </cell>
          <cell r="AJ6" t="str">
            <v>FY14E</v>
          </cell>
          <cell r="AK6" t="str">
            <v>4/14E</v>
          </cell>
          <cell r="AL6" t="str">
            <v>7/14E</v>
          </cell>
          <cell r="AM6" t="str">
            <v>10/14E</v>
          </cell>
          <cell r="AN6" t="str">
            <v>1/15E</v>
          </cell>
          <cell r="AO6" t="str">
            <v>FY15E</v>
          </cell>
          <cell r="AP6" t="str">
            <v>4/15E</v>
          </cell>
          <cell r="AQ6" t="str">
            <v>7/15E</v>
          </cell>
          <cell r="AR6" t="str">
            <v>10/15E</v>
          </cell>
          <cell r="AS6" t="str">
            <v>1/16E</v>
          </cell>
          <cell r="AT6" t="str">
            <v>FY16E</v>
          </cell>
          <cell r="AU6" t="str">
            <v>4/16E</v>
          </cell>
          <cell r="AV6" t="str">
            <v>7/16E</v>
          </cell>
          <cell r="AW6" t="str">
            <v>10/16E</v>
          </cell>
          <cell r="AX6" t="str">
            <v>1/17E</v>
          </cell>
          <cell r="AY6" t="str">
            <v>FY17E</v>
          </cell>
        </row>
        <row r="8">
          <cell r="A8" t="str">
            <v>License</v>
          </cell>
          <cell r="F8">
            <v>7.742</v>
          </cell>
          <cell r="K8">
            <v>14.948</v>
          </cell>
          <cell r="P8">
            <v>27.183</v>
          </cell>
          <cell r="Q8">
            <v>9.1790000000000003</v>
          </cell>
          <cell r="R8">
            <v>11.547000000000001</v>
          </cell>
          <cell r="S8">
            <v>11.529</v>
          </cell>
          <cell r="T8">
            <v>17.670999999999999</v>
          </cell>
          <cell r="U8">
            <v>49.925999999999995</v>
          </cell>
          <cell r="V8">
            <v>14.545999999999999</v>
          </cell>
          <cell r="W8">
            <v>18.765999999999998</v>
          </cell>
          <cell r="X8">
            <v>22.181999999999999</v>
          </cell>
          <cell r="Y8">
            <v>33</v>
          </cell>
          <cell r="Z8">
            <v>88.494</v>
          </cell>
          <cell r="AA8">
            <v>24.385999999999999</v>
          </cell>
          <cell r="AB8">
            <v>30.202999999999999</v>
          </cell>
          <cell r="AC8">
            <v>34.557000000000002</v>
          </cell>
          <cell r="AD8">
            <v>46.776000000000003</v>
          </cell>
          <cell r="AE8">
            <v>135.922</v>
          </cell>
          <cell r="AF8">
            <v>36.171999999999997</v>
          </cell>
          <cell r="AG8">
            <v>43.185000000000002</v>
          </cell>
          <cell r="AH8">
            <v>46.076338941434138</v>
          </cell>
          <cell r="AI8">
            <v>58.674795994416712</v>
          </cell>
          <cell r="AJ8">
            <v>184.10813493585084</v>
          </cell>
          <cell r="AK8">
            <v>44.51748360337281</v>
          </cell>
          <cell r="AL8">
            <v>57.771138377790685</v>
          </cell>
          <cell r="AM8">
            <v>61.065196283376608</v>
          </cell>
          <cell r="AN8">
            <v>77.274184542587747</v>
          </cell>
          <cell r="AO8">
            <v>240.62800280712787</v>
          </cell>
          <cell r="AP8">
            <v>62.05904788368408</v>
          </cell>
          <cell r="AQ8">
            <v>72.858368385271376</v>
          </cell>
          <cell r="AR8">
            <v>72.695723429704941</v>
          </cell>
          <cell r="AS8">
            <v>88.781638824878385</v>
          </cell>
          <cell r="AT8">
            <v>296.39477852353878</v>
          </cell>
          <cell r="AU8">
            <v>76.827876799141748</v>
          </cell>
          <cell r="AV8">
            <v>92.007162339272284</v>
          </cell>
          <cell r="AW8">
            <v>106.35648536863062</v>
          </cell>
          <cell r="AX8">
            <v>125.72739700274801</v>
          </cell>
          <cell r="AY8">
            <v>400.91892150979265</v>
          </cell>
        </row>
        <row r="9">
          <cell r="A9" t="str">
            <v>YoY change</v>
          </cell>
          <cell r="F9" t="str">
            <v/>
          </cell>
          <cell r="G9" t="str">
            <v/>
          </cell>
          <cell r="H9" t="str">
            <v/>
          </cell>
          <cell r="I9" t="str">
            <v/>
          </cell>
          <cell r="J9" t="str">
            <v/>
          </cell>
          <cell r="K9">
            <v>0.93076724360630325</v>
          </cell>
          <cell r="L9" t="str">
            <v/>
          </cell>
          <cell r="M9" t="str">
            <v/>
          </cell>
          <cell r="N9" t="str">
            <v/>
          </cell>
          <cell r="O9" t="str">
            <v/>
          </cell>
          <cell r="P9">
            <v>0.81850414771206847</v>
          </cell>
          <cell r="Q9" t="str">
            <v/>
          </cell>
          <cell r="R9" t="str">
            <v/>
          </cell>
          <cell r="S9" t="str">
            <v/>
          </cell>
          <cell r="T9" t="str">
            <v/>
          </cell>
          <cell r="U9">
            <v>0.83666262001986524</v>
          </cell>
          <cell r="V9">
            <v>0.58470421614554957</v>
          </cell>
          <cell r="W9">
            <v>0.62518403048410809</v>
          </cell>
          <cell r="X9">
            <v>0.92401769450949778</v>
          </cell>
          <cell r="Y9">
            <v>0.86746647048837078</v>
          </cell>
          <cell r="Z9">
            <v>0.77250330489123931</v>
          </cell>
          <cell r="AA9">
            <v>0.67647463220129245</v>
          </cell>
          <cell r="AB9">
            <v>0.60945326654588095</v>
          </cell>
          <cell r="AC9">
            <v>0.5578847714363</v>
          </cell>
          <cell r="AD9">
            <v>0.41745454545454552</v>
          </cell>
          <cell r="AE9">
            <v>0.53594593983772909</v>
          </cell>
          <cell r="AF9">
            <v>0.48331009595669649</v>
          </cell>
          <cell r="AG9">
            <v>0.42982485183591046</v>
          </cell>
          <cell r="AH9">
            <v>0.33334314151790179</v>
          </cell>
          <cell r="AI9">
            <v>0.2543782280318263</v>
          </cell>
          <cell r="AJ9">
            <v>0.35451313941709839</v>
          </cell>
          <cell r="AK9">
            <v>0.23071667597514134</v>
          </cell>
          <cell r="AL9">
            <v>0.33775936963738995</v>
          </cell>
          <cell r="AM9">
            <v>0.32530486766742106</v>
          </cell>
          <cell r="AN9">
            <v>0.31699110721988522</v>
          </cell>
          <cell r="AO9">
            <v>0.30699277840694195</v>
          </cell>
          <cell r="AP9">
            <v>0.39403764230245608</v>
          </cell>
          <cell r="AQ9">
            <v>0.26115514478559709</v>
          </cell>
          <cell r="AR9">
            <v>0.19046081654034475</v>
          </cell>
          <cell r="AS9">
            <v>0.14891718819690158</v>
          </cell>
          <cell r="AT9">
            <v>0.23175513683297289</v>
          </cell>
          <cell r="AU9">
            <v>0.22789313391353683</v>
          </cell>
          <cell r="AV9">
            <v>0.22840159528722781</v>
          </cell>
          <cell r="AW9">
            <v>0.22481626623960449</v>
          </cell>
          <cell r="AX9">
            <v>0.21049278525102255</v>
          </cell>
          <cell r="AY9">
            <v>0.22168784995313628</v>
          </cell>
        </row>
        <row r="10">
          <cell r="A10" t="str">
            <v>QoQ change</v>
          </cell>
          <cell r="G10" t="str">
            <v/>
          </cell>
          <cell r="H10" t="str">
            <v/>
          </cell>
          <cell r="I10" t="str">
            <v/>
          </cell>
          <cell r="J10" t="str">
            <v/>
          </cell>
          <cell r="L10" t="str">
            <v/>
          </cell>
          <cell r="M10" t="str">
            <v/>
          </cell>
          <cell r="N10" t="str">
            <v/>
          </cell>
          <cell r="O10" t="str">
            <v/>
          </cell>
          <cell r="Q10" t="str">
            <v/>
          </cell>
          <cell r="R10">
            <v>0.2579801721320405</v>
          </cell>
          <cell r="S10">
            <v>-1.5588464536243629E-3</v>
          </cell>
          <cell r="T10">
            <v>0.53274351635007378</v>
          </cell>
          <cell r="V10">
            <v>-0.1768434157659442</v>
          </cell>
          <cell r="W10">
            <v>0.29011412072047293</v>
          </cell>
          <cell r="X10">
            <v>0.18203133326228293</v>
          </cell>
          <cell r="Y10">
            <v>0.48769272383013273</v>
          </cell>
          <cell r="AA10">
            <v>-0.26103030303030306</v>
          </cell>
          <cell r="AB10">
            <v>0.2385385056999918</v>
          </cell>
          <cell r="AC10">
            <v>0.14415786511273732</v>
          </cell>
          <cell r="AD10">
            <v>0.35358972132997657</v>
          </cell>
          <cell r="AF10">
            <v>-0.22669745168462474</v>
          </cell>
          <cell r="AG10">
            <v>0.19387924361384523</v>
          </cell>
          <cell r="AH10">
            <v>6.6952389520299471E-2</v>
          </cell>
          <cell r="AI10">
            <v>0.27342573959697591</v>
          </cell>
          <cell r="AK10">
            <v>-0.24128439053100526</v>
          </cell>
          <cell r="AL10">
            <v>0.29771796834926501</v>
          </cell>
          <cell r="AM10">
            <v>5.7019092891066769E-2</v>
          </cell>
          <cell r="AN10">
            <v>0.26543742173516294</v>
          </cell>
          <cell r="AP10">
            <v>-0.19689805526861592</v>
          </cell>
          <cell r="AQ10">
            <v>0.17401685765189678</v>
          </cell>
          <cell r="AR10">
            <v>-2.2323441928644439E-3</v>
          </cell>
          <cell r="AS10">
            <v>0.22127732741704054</v>
          </cell>
          <cell r="AU10">
            <v>-0.26030767526760434</v>
          </cell>
          <cell r="AV10">
            <v>0.19757523144645983</v>
          </cell>
          <cell r="AW10">
            <v>0.15595876086739691</v>
          </cell>
          <cell r="AX10">
            <v>0.18213192704683667</v>
          </cell>
        </row>
        <row r="11">
          <cell r="A11" t="str">
            <v>Services</v>
          </cell>
          <cell r="F11">
            <v>1.33</v>
          </cell>
          <cell r="K11">
            <v>3.2080000000000002</v>
          </cell>
          <cell r="P11">
            <v>7.8170000000000002</v>
          </cell>
          <cell r="Q11">
            <v>3.0089999999999999</v>
          </cell>
          <cell r="R11">
            <v>3.746</v>
          </cell>
          <cell r="S11">
            <v>4.4539999999999997</v>
          </cell>
          <cell r="T11">
            <v>5.1100000000000003</v>
          </cell>
          <cell r="U11">
            <v>16.318999999999999</v>
          </cell>
          <cell r="V11">
            <v>6.093</v>
          </cell>
          <cell r="W11">
            <v>7.1829999999999998</v>
          </cell>
          <cell r="X11">
            <v>8.9909999999999997</v>
          </cell>
          <cell r="Y11">
            <v>10</v>
          </cell>
          <cell r="Z11">
            <v>32.266999999999996</v>
          </cell>
          <cell r="AA11">
            <v>12.805</v>
          </cell>
          <cell r="AB11">
            <v>14.28</v>
          </cell>
          <cell r="AC11">
            <v>17.488</v>
          </cell>
          <cell r="AD11">
            <v>18.449000000000002</v>
          </cell>
          <cell r="AE11">
            <v>63.022000000000006</v>
          </cell>
          <cell r="AF11">
            <v>21.035</v>
          </cell>
          <cell r="AG11">
            <v>23.687999999999999</v>
          </cell>
          <cell r="AH11">
            <v>24.177930657653576</v>
          </cell>
          <cell r="AI11">
            <v>25.262201115261728</v>
          </cell>
          <cell r="AJ11">
            <v>94.163131772915307</v>
          </cell>
          <cell r="AK11">
            <v>29.884800989006347</v>
          </cell>
          <cell r="AL11">
            <v>31.104619745553475</v>
          </cell>
          <cell r="AM11">
            <v>34.078498971573879</v>
          </cell>
          <cell r="AN11">
            <v>36.782998001584502</v>
          </cell>
          <cell r="AO11">
            <v>131.8509177077182</v>
          </cell>
          <cell r="AP11">
            <v>41.510138174511326</v>
          </cell>
          <cell r="AQ11">
            <v>42.441942759019561</v>
          </cell>
          <cell r="AR11">
            <v>45.489246220981521</v>
          </cell>
          <cell r="AS11">
            <v>48.476905951363769</v>
          </cell>
          <cell r="AT11">
            <v>177.91823310587617</v>
          </cell>
          <cell r="AU11">
            <v>63.362281579643557</v>
          </cell>
          <cell r="AV11">
            <v>62.159401609715466</v>
          </cell>
          <cell r="AW11">
            <v>67.81319499235839</v>
          </cell>
          <cell r="AX11">
            <v>79.698981534254301</v>
          </cell>
          <cell r="AY11">
            <v>273.03385971597174</v>
          </cell>
        </row>
        <row r="12">
          <cell r="A12" t="str">
            <v>YoY change</v>
          </cell>
          <cell r="G12" t="str">
            <v/>
          </cell>
          <cell r="H12" t="str">
            <v/>
          </cell>
          <cell r="I12" t="str">
            <v/>
          </cell>
          <cell r="J12" t="str">
            <v/>
          </cell>
          <cell r="K12">
            <v>1.4120300751879697</v>
          </cell>
          <cell r="L12" t="str">
            <v/>
          </cell>
          <cell r="M12" t="str">
            <v/>
          </cell>
          <cell r="N12" t="str">
            <v/>
          </cell>
          <cell r="O12" t="str">
            <v/>
          </cell>
          <cell r="P12">
            <v>1.4367206982543639</v>
          </cell>
          <cell r="Q12" t="str">
            <v/>
          </cell>
          <cell r="R12" t="str">
            <v/>
          </cell>
          <cell r="S12" t="str">
            <v/>
          </cell>
          <cell r="T12" t="str">
            <v/>
          </cell>
          <cell r="U12">
            <v>1.0876295253933734</v>
          </cell>
          <cell r="V12">
            <v>1.0249252243270188</v>
          </cell>
          <cell r="W12">
            <v>0.91751201281366779</v>
          </cell>
          <cell r="X12">
            <v>1.0186349348899864</v>
          </cell>
          <cell r="Y12">
            <v>0.95694716242661437</v>
          </cell>
          <cell r="Z12">
            <v>0.977265763833568</v>
          </cell>
          <cell r="AA12">
            <v>1.1015919908091254</v>
          </cell>
          <cell r="AB12">
            <v>0.9880272866490325</v>
          </cell>
          <cell r="AC12">
            <v>0.94505616727838948</v>
          </cell>
          <cell r="AD12">
            <v>0.84490000000000021</v>
          </cell>
          <cell r="AE12">
            <v>0.95314097994855462</v>
          </cell>
          <cell r="AF12">
            <v>0.64271768840296772</v>
          </cell>
          <cell r="AG12">
            <v>0.65882352941176481</v>
          </cell>
          <cell r="AH12">
            <v>0.38254406779812311</v>
          </cell>
          <cell r="AI12">
            <v>0.36929920945643269</v>
          </cell>
          <cell r="AJ12">
            <v>0.49413112520890001</v>
          </cell>
          <cell r="AK12">
            <v>0.42071789821755878</v>
          </cell>
          <cell r="AL12">
            <v>0.31309607166301401</v>
          </cell>
          <cell r="AM12">
            <v>0.40948782813992635</v>
          </cell>
          <cell r="AN12">
            <v>0.45604881513522111</v>
          </cell>
          <cell r="AO12">
            <v>0.40023929987472284</v>
          </cell>
          <cell r="AP12">
            <v>0.38900500591526654</v>
          </cell>
          <cell r="AQ12">
            <v>0.36449000522138841</v>
          </cell>
          <cell r="AR12">
            <v>0.33483714347060189</v>
          </cell>
          <cell r="AS12">
            <v>0.31791611845438839</v>
          </cell>
          <cell r="AT12">
            <v>0.34938941798098178</v>
          </cell>
          <cell r="AU12">
            <v>0.38420855440114665</v>
          </cell>
          <cell r="AV12">
            <v>0.38177118728130655</v>
          </cell>
          <cell r="AW12">
            <v>0.36648605657049438</v>
          </cell>
          <cell r="AX12">
            <v>0.34155670957483775</v>
          </cell>
          <cell r="AY12">
            <v>0.36657543254467395</v>
          </cell>
        </row>
        <row r="13">
          <cell r="A13" t="str">
            <v>QoQ change</v>
          </cell>
          <cell r="G13" t="str">
            <v/>
          </cell>
          <cell r="H13" t="str">
            <v/>
          </cell>
          <cell r="I13" t="str">
            <v/>
          </cell>
          <cell r="J13" t="str">
            <v/>
          </cell>
          <cell r="L13" t="str">
            <v/>
          </cell>
          <cell r="M13" t="str">
            <v/>
          </cell>
          <cell r="N13" t="str">
            <v/>
          </cell>
          <cell r="O13" t="str">
            <v/>
          </cell>
          <cell r="Q13" t="str">
            <v/>
          </cell>
          <cell r="R13">
            <v>0.24493187105350622</v>
          </cell>
          <cell r="S13">
            <v>0.18900160170848901</v>
          </cell>
          <cell r="T13">
            <v>0.14728334081724315</v>
          </cell>
          <cell r="V13">
            <v>0.1923679060665362</v>
          </cell>
          <cell r="W13">
            <v>0.17889381257180359</v>
          </cell>
          <cell r="X13">
            <v>0.2517054155645273</v>
          </cell>
          <cell r="Y13">
            <v>0.11222333444555677</v>
          </cell>
          <cell r="AA13">
            <v>0.28049999999999997</v>
          </cell>
          <cell r="AB13">
            <v>0.11518937914876992</v>
          </cell>
          <cell r="AC13">
            <v>0.22464985994397768</v>
          </cell>
          <cell r="AD13">
            <v>5.4951967063129104E-2</v>
          </cell>
          <cell r="AF13">
            <v>0.14017019892677096</v>
          </cell>
          <cell r="AG13">
            <v>0.12612312811980031</v>
          </cell>
          <cell r="AH13">
            <v>2.0682651876628544E-2</v>
          </cell>
          <cell r="AI13">
            <v>4.4845461464872116E-2</v>
          </cell>
          <cell r="AK13">
            <v>0.18298484176630025</v>
          </cell>
          <cell r="AL13">
            <v>4.0817362544788516E-2</v>
          </cell>
          <cell r="AM13">
            <v>9.5608924023111719E-2</v>
          </cell>
          <cell r="AN13">
            <v>7.9360861294581753E-2</v>
          </cell>
          <cell r="AP13">
            <v>0.12851427098800361</v>
          </cell>
          <cell r="AQ13">
            <v>2.2447638709147899E-2</v>
          </cell>
          <cell r="AR13">
            <v>7.1799339612331092E-2</v>
          </cell>
          <cell r="AS13">
            <v>6.5678374090186953E-2</v>
          </cell>
          <cell r="AU13">
            <v>6.6564369465706985E-2</v>
          </cell>
          <cell r="AV13">
            <v>-1.898416439465056E-2</v>
          </cell>
          <cell r="AW13">
            <v>9.0956367600540711E-2</v>
          </cell>
          <cell r="AX13">
            <v>0.17527247526436818</v>
          </cell>
        </row>
        <row r="14">
          <cell r="A14" t="str">
            <v>Total Revenue</v>
          </cell>
          <cell r="F14">
            <v>9.0719999999999992</v>
          </cell>
          <cell r="G14">
            <v>0</v>
          </cell>
          <cell r="H14">
            <v>0</v>
          </cell>
          <cell r="I14">
            <v>0</v>
          </cell>
          <cell r="J14">
            <v>0</v>
          </cell>
          <cell r="K14">
            <v>18.155999999999999</v>
          </cell>
          <cell r="L14">
            <v>6.1</v>
          </cell>
          <cell r="M14">
            <v>7.9</v>
          </cell>
          <cell r="N14">
            <v>9.9</v>
          </cell>
          <cell r="O14">
            <v>11.1</v>
          </cell>
          <cell r="P14">
            <v>35</v>
          </cell>
          <cell r="Q14">
            <v>12.188000000000001</v>
          </cell>
          <cell r="R14">
            <v>15.293000000000001</v>
          </cell>
          <cell r="S14">
            <v>15.983000000000001</v>
          </cell>
          <cell r="T14">
            <v>22.780999999999999</v>
          </cell>
          <cell r="U14">
            <v>66.24499999999999</v>
          </cell>
          <cell r="V14">
            <v>20.638999999999999</v>
          </cell>
          <cell r="W14">
            <v>25.948999999999998</v>
          </cell>
          <cell r="X14">
            <v>31.172999999999998</v>
          </cell>
          <cell r="Y14">
            <v>43</v>
          </cell>
          <cell r="Z14">
            <v>120.761</v>
          </cell>
          <cell r="AA14">
            <v>37.191000000000003</v>
          </cell>
          <cell r="AB14">
            <v>44.482999999999997</v>
          </cell>
          <cell r="AC14">
            <v>52.045000000000002</v>
          </cell>
          <cell r="AD14">
            <v>65.225000000000009</v>
          </cell>
          <cell r="AE14">
            <v>198.94400000000002</v>
          </cell>
          <cell r="AF14">
            <v>57.206999999999994</v>
          </cell>
          <cell r="AG14">
            <v>66.873000000000005</v>
          </cell>
          <cell r="AH14">
            <v>70.254269599087706</v>
          </cell>
          <cell r="AI14">
            <v>83.936997109678444</v>
          </cell>
          <cell r="AJ14">
            <v>278.27126670876612</v>
          </cell>
          <cell r="AK14">
            <v>74.402284592379161</v>
          </cell>
          <cell r="AL14">
            <v>88.875758123344156</v>
          </cell>
          <cell r="AM14">
            <v>95.143695254950487</v>
          </cell>
          <cell r="AN14">
            <v>114.05718254417225</v>
          </cell>
          <cell r="AO14">
            <v>372.4789205148461</v>
          </cell>
          <cell r="AP14">
            <v>103.56918605819541</v>
          </cell>
          <cell r="AQ14">
            <v>115.30031114429093</v>
          </cell>
          <cell r="AR14">
            <v>118.18496965068647</v>
          </cell>
          <cell r="AS14">
            <v>137.25854477624216</v>
          </cell>
          <cell r="AT14">
            <v>474.31301162941497</v>
          </cell>
          <cell r="AU14">
            <v>140.1901583787853</v>
          </cell>
          <cell r="AV14" t="str">
            <v>mstag:revenueGross</v>
          </cell>
          <cell r="AW14">
            <v>6</v>
          </cell>
          <cell r="AX14" t="str">
            <v>ISO4217:USD</v>
          </cell>
          <cell r="AY14" t="b">
            <v>0</v>
          </cell>
          <cell r="BA14" t="str">
            <v>mstag:revenueGross</v>
          </cell>
          <cell r="BB14">
            <v>6</v>
          </cell>
          <cell r="BC14" t="str">
            <v>ISO4217:USD</v>
          </cell>
          <cell r="BD14" t="b">
            <v>0</v>
          </cell>
        </row>
        <row r="15">
          <cell r="A15" t="str">
            <v>YoY change</v>
          </cell>
          <cell r="F15" t="str">
            <v/>
          </cell>
          <cell r="G15" t="str">
            <v/>
          </cell>
          <cell r="H15" t="str">
            <v/>
          </cell>
          <cell r="I15" t="str">
            <v/>
          </cell>
          <cell r="J15" t="str">
            <v/>
          </cell>
          <cell r="K15">
            <v>1.0013227513227512</v>
          </cell>
          <cell r="L15" t="str">
            <v/>
          </cell>
          <cell r="M15" t="str">
            <v/>
          </cell>
          <cell r="N15" t="str">
            <v/>
          </cell>
          <cell r="O15" t="str">
            <v/>
          </cell>
          <cell r="P15">
            <v>0.92773738708966746</v>
          </cell>
          <cell r="Q15">
            <v>0.9980327868852461</v>
          </cell>
          <cell r="R15">
            <v>0.9358227848101266</v>
          </cell>
          <cell r="S15">
            <v>0.61444444444444435</v>
          </cell>
          <cell r="T15">
            <v>1.0523423423423424</v>
          </cell>
          <cell r="U15">
            <v>0.89271428571428535</v>
          </cell>
          <cell r="V15">
            <v>0.69338693797177542</v>
          </cell>
          <cell r="W15">
            <v>0.69678938076244012</v>
          </cell>
          <cell r="X15">
            <v>0.9503847838328221</v>
          </cell>
          <cell r="Y15">
            <v>0.88753786049778327</v>
          </cell>
          <cell r="Z15">
            <v>0.82294512793418395</v>
          </cell>
          <cell r="AA15">
            <v>0.80197683996317659</v>
          </cell>
          <cell r="AB15">
            <v>0.71424717715518904</v>
          </cell>
          <cell r="AC15">
            <v>0.66955378051518966</v>
          </cell>
          <cell r="AD15">
            <v>0.51686046511627937</v>
          </cell>
          <cell r="AE15">
            <v>0.64741928271544635</v>
          </cell>
          <cell r="AF15">
            <v>0.53819472453012795</v>
          </cell>
          <cell r="AG15">
            <v>0.50333835397792437</v>
          </cell>
          <cell r="AH15">
            <v>0.34987548465919316</v>
          </cell>
          <cell r="AI15">
            <v>0.28688381923615847</v>
          </cell>
          <cell r="AJ15">
            <v>0.39874168966526313</v>
          </cell>
          <cell r="AK15">
            <v>0.30058007922770247</v>
          </cell>
          <cell r="AL15">
            <v>0.32902304552426465</v>
          </cell>
          <cell r="AM15">
            <v>0.3542763421767321</v>
          </cell>
          <cell r="AN15">
            <v>0.35884278055761865</v>
          </cell>
          <cell r="AO15">
            <v>0.3385461061801831</v>
          </cell>
          <cell r="AP15">
            <v>0.39201620791095637</v>
          </cell>
          <cell r="AQ15">
            <v>0.29732014194775225</v>
          </cell>
          <cell r="AR15">
            <v>0.24217342340965153</v>
          </cell>
          <cell r="AS15">
            <v>0.20341868626365955</v>
          </cell>
          <cell r="AT15">
            <v>0.27339558161791344</v>
          </cell>
          <cell r="AU15">
            <v>0.29393607353685614</v>
          </cell>
          <cell r="AV15">
            <v>0.28595146423396489</v>
          </cell>
          <cell r="AW15">
            <v>0.27633663134871189</v>
          </cell>
          <cell r="AX15">
            <v>0.25818131402625477</v>
          </cell>
          <cell r="AY15">
            <v>0.27651695849525293</v>
          </cell>
        </row>
        <row r="16">
          <cell r="A16" t="str">
            <v>QoQ change</v>
          </cell>
          <cell r="G16" t="str">
            <v/>
          </cell>
          <cell r="H16" t="str">
            <v/>
          </cell>
          <cell r="I16" t="str">
            <v/>
          </cell>
          <cell r="J16" t="str">
            <v/>
          </cell>
          <cell r="L16" t="str">
            <v/>
          </cell>
          <cell r="M16">
            <v>0.29508196721311486</v>
          </cell>
          <cell r="N16">
            <v>0.25316455696202533</v>
          </cell>
          <cell r="O16">
            <v>0.1212121212121211</v>
          </cell>
          <cell r="Q16">
            <v>9.8018018018018127E-2</v>
          </cell>
          <cell r="R16">
            <v>0.25475877912701028</v>
          </cell>
          <cell r="S16">
            <v>4.5118681749820144E-2</v>
          </cell>
          <cell r="T16">
            <v>0.42532690984170674</v>
          </cell>
          <cell r="V16">
            <v>-9.4025723190377941E-2</v>
          </cell>
          <cell r="W16">
            <v>0.2572799069722369</v>
          </cell>
          <cell r="X16">
            <v>0.201317969863964</v>
          </cell>
          <cell r="Y16">
            <v>0.37939883873865221</v>
          </cell>
          <cell r="AA16">
            <v>-0.13509302325581385</v>
          </cell>
          <cell r="AB16">
            <v>0.19606894141055609</v>
          </cell>
          <cell r="AC16">
            <v>0.16999752714520167</v>
          </cell>
          <cell r="AD16">
            <v>0.25324238639638796</v>
          </cell>
          <cell r="AF16">
            <v>-0.12292832502874684</v>
          </cell>
          <cell r="AG16">
            <v>0.16896533640988021</v>
          </cell>
          <cell r="AH16">
            <v>5.0562552885136114E-2</v>
          </cell>
          <cell r="AI16">
            <v>0.19476008488412799</v>
          </cell>
          <cell r="AK16">
            <v>-0.11359368151853833</v>
          </cell>
          <cell r="AL16">
            <v>0.19452996114648169</v>
          </cell>
          <cell r="AM16">
            <v>7.0524710719288786E-2</v>
          </cell>
          <cell r="AN16">
            <v>0.19878865581729288</v>
          </cell>
          <cell r="AP16">
            <v>-9.1953845010287139E-2</v>
          </cell>
          <cell r="AQ16">
            <v>0.11326848778654885</v>
          </cell>
          <cell r="AR16">
            <v>2.5018653269595958E-2</v>
          </cell>
          <cell r="AS16">
            <v>0.16138748592084529</v>
          </cell>
          <cell r="AU16">
            <v>-0.14137298754552263</v>
          </cell>
          <cell r="AV16">
            <v>9.9696053787449612E-2</v>
          </cell>
          <cell r="AW16">
            <v>0.12975003074350222</v>
          </cell>
          <cell r="AX16">
            <v>0.17946119043928777</v>
          </cell>
        </row>
        <row r="18">
          <cell r="A18" t="str">
            <v>Cost of Revenue</v>
          </cell>
        </row>
        <row r="19">
          <cell r="A19" t="str">
            <v xml:space="preserve">  Cost of License Revenue</v>
          </cell>
          <cell r="F19">
            <v>4.5999999999999999E-2</v>
          </cell>
          <cell r="K19">
            <v>8.5999999999999993E-2</v>
          </cell>
          <cell r="L19">
            <v>0</v>
          </cell>
          <cell r="M19">
            <v>0</v>
          </cell>
          <cell r="N19">
            <v>0</v>
          </cell>
          <cell r="O19">
            <v>0</v>
          </cell>
          <cell r="P19">
            <v>0.10199999999999999</v>
          </cell>
          <cell r="Q19">
            <v>3.6999999999999998E-2</v>
          </cell>
          <cell r="R19">
            <v>4.2999999999999997E-2</v>
          </cell>
          <cell r="S19">
            <v>4.2999999999999997E-2</v>
          </cell>
          <cell r="T19">
            <v>0.105</v>
          </cell>
          <cell r="U19">
            <v>0.22800000000000001</v>
          </cell>
          <cell r="V19">
            <v>0.13600000000000001</v>
          </cell>
          <cell r="W19">
            <v>0.42299999999999999</v>
          </cell>
          <cell r="X19">
            <v>0.153</v>
          </cell>
          <cell r="Y19">
            <v>0.19608397940127809</v>
          </cell>
          <cell r="Z19">
            <v>0.90808397940127805</v>
          </cell>
          <cell r="AA19">
            <v>0.129</v>
          </cell>
          <cell r="AB19">
            <v>9.1999999999999998E-2</v>
          </cell>
          <cell r="AC19">
            <v>6.2E-2</v>
          </cell>
          <cell r="AD19">
            <v>0.44400000000000001</v>
          </cell>
          <cell r="AE19">
            <v>0.72700000000000009</v>
          </cell>
          <cell r="AF19">
            <v>6.9000000000000006E-2</v>
          </cell>
          <cell r="AG19">
            <v>7.5999999999999998E-2</v>
          </cell>
          <cell r="AH19">
            <v>0.27645803364860505</v>
          </cell>
          <cell r="AI19">
            <v>0.55694393324613267</v>
          </cell>
          <cell r="AJ19">
            <v>0.97840196689473768</v>
          </cell>
          <cell r="AK19">
            <v>8.4919450642285205E-2</v>
          </cell>
          <cell r="AL19">
            <v>0.1016697120924397</v>
          </cell>
          <cell r="AM19">
            <v>0.36639117770025997</v>
          </cell>
          <cell r="AN19">
            <v>0.73349020730522208</v>
          </cell>
          <cell r="AO19">
            <v>1.286470547740207</v>
          </cell>
          <cell r="AP19">
            <v>0.11838091075899106</v>
          </cell>
          <cell r="AQ19">
            <v>0.12822128047425077</v>
          </cell>
          <cell r="AR19">
            <v>0.43617434057823001</v>
          </cell>
          <cell r="AS19">
            <v>0.84271950654707806</v>
          </cell>
          <cell r="AT19">
            <v>1.5254960383585499</v>
          </cell>
          <cell r="AU19">
            <v>0.14655323175773552</v>
          </cell>
          <cell r="AV19" t="str">
            <v>mstag:costOfMaintenanceRevenues</v>
          </cell>
          <cell r="AW19">
            <v>6</v>
          </cell>
          <cell r="AX19" t="str">
            <v>ISO4217:USD</v>
          </cell>
          <cell r="AY19" t="b">
            <v>0</v>
          </cell>
          <cell r="BA19" t="str">
            <v>mstag:costOfMaintenanceRevenues</v>
          </cell>
          <cell r="BB19">
            <v>6</v>
          </cell>
          <cell r="BC19" t="str">
            <v>ISO4217:USD</v>
          </cell>
          <cell r="BD19" t="b">
            <v>0</v>
          </cell>
        </row>
        <row r="20">
          <cell r="A20" t="str">
            <v xml:space="preserve">  License Gross Margin</v>
          </cell>
          <cell r="F20">
            <v>0.99405838284680959</v>
          </cell>
          <cell r="K20">
            <v>0.99424672196949426</v>
          </cell>
          <cell r="P20">
            <v>0.99624765478424016</v>
          </cell>
          <cell r="Q20">
            <v>0.99596905981043682</v>
          </cell>
          <cell r="R20">
            <v>0.99627608902745302</v>
          </cell>
          <cell r="S20">
            <v>0.9962702749587995</v>
          </cell>
          <cell r="T20">
            <v>0.9940580612302643</v>
          </cell>
          <cell r="U20">
            <v>0.99543324119697152</v>
          </cell>
          <cell r="V20">
            <v>0.99065035061185203</v>
          </cell>
          <cell r="W20">
            <v>0.97745923478631569</v>
          </cell>
          <cell r="X20">
            <v>0.99310251555315121</v>
          </cell>
          <cell r="Y20">
            <v>0.9940580612302643</v>
          </cell>
          <cell r="Z20">
            <v>0.98973846837750268</v>
          </cell>
          <cell r="AA20">
            <v>0.99471007955384239</v>
          </cell>
          <cell r="AB20">
            <v>0.99695394497235379</v>
          </cell>
          <cell r="AC20">
            <v>0.99820586277744017</v>
          </cell>
          <cell r="AD20">
            <v>0.99050795279630577</v>
          </cell>
          <cell r="AE20">
            <v>0.99465134415326439</v>
          </cell>
          <cell r="AF20">
            <v>0.99809244719672674</v>
          </cell>
          <cell r="AG20">
            <v>0.99824012967465559</v>
          </cell>
          <cell r="AH20">
            <v>0.99399999999999999</v>
          </cell>
          <cell r="AI20">
            <v>0.99050795279630577</v>
          </cell>
          <cell r="AJ20">
            <v>0.99468572115384446</v>
          </cell>
          <cell r="AK20">
            <v>0.99809244719672674</v>
          </cell>
          <cell r="AL20">
            <v>0.99824012967465559</v>
          </cell>
          <cell r="AM20">
            <v>0.99399999999999999</v>
          </cell>
          <cell r="AN20">
            <v>0.99050795279630577</v>
          </cell>
          <cell r="AO20">
            <v>0.99465369561010175</v>
          </cell>
          <cell r="AP20">
            <v>0.99809244719672674</v>
          </cell>
          <cell r="AQ20">
            <v>0.99824012967465559</v>
          </cell>
          <cell r="AR20">
            <v>0.99399999999999999</v>
          </cell>
          <cell r="AS20">
            <v>0.99050795279630577</v>
          </cell>
          <cell r="AT20">
            <v>0.99485316156391934</v>
          </cell>
          <cell r="AU20">
            <v>0.99809244719672674</v>
          </cell>
          <cell r="AV20">
            <v>0.99824012967465559</v>
          </cell>
          <cell r="AW20">
            <v>0.99834882943801229</v>
          </cell>
          <cell r="AX20">
            <v>0.99050795279630577</v>
          </cell>
          <cell r="AY20">
            <v>0.9958158697398829</v>
          </cell>
        </row>
        <row r="21">
          <cell r="A21" t="str">
            <v xml:space="preserve">     GAAP Cost</v>
          </cell>
          <cell r="F21">
            <v>4.5999999999999999E-2</v>
          </cell>
          <cell r="K21">
            <v>8.5999999999999993E-2</v>
          </cell>
          <cell r="P21">
            <v>0.10199999999999999</v>
          </cell>
          <cell r="Q21">
            <v>3.6999999999999998E-2</v>
          </cell>
          <cell r="R21">
            <v>4.2999999999999997E-2</v>
          </cell>
          <cell r="S21">
            <v>4.2999999999999997E-2</v>
          </cell>
          <cell r="T21">
            <v>0.105</v>
          </cell>
          <cell r="U21">
            <v>0.22800000000000001</v>
          </cell>
          <cell r="V21">
            <v>0.13600000000000001</v>
          </cell>
          <cell r="W21">
            <v>0.42299999999999999</v>
          </cell>
          <cell r="X21">
            <v>0.153</v>
          </cell>
          <cell r="Y21">
            <v>0.19608397940127809</v>
          </cell>
          <cell r="Z21">
            <v>0.90808397940127805</v>
          </cell>
          <cell r="AA21">
            <v>0.129</v>
          </cell>
          <cell r="AB21">
            <v>9.1999999999999998E-2</v>
          </cell>
          <cell r="AC21">
            <v>6.2E-2</v>
          </cell>
          <cell r="AD21">
            <v>0.44400000000000001</v>
          </cell>
          <cell r="AE21">
            <v>0.72700000000000009</v>
          </cell>
          <cell r="AF21">
            <v>6.9000000000000006E-2</v>
          </cell>
          <cell r="AG21">
            <v>7.5999999999999998E-2</v>
          </cell>
          <cell r="AH21">
            <v>0.27645803364860505</v>
          </cell>
          <cell r="AI21">
            <v>0.55694393324613267</v>
          </cell>
          <cell r="AJ21">
            <v>0.97840196689473768</v>
          </cell>
          <cell r="AK21">
            <v>8.4919450642285205E-2</v>
          </cell>
          <cell r="AL21">
            <v>0.1016697120924397</v>
          </cell>
          <cell r="AM21">
            <v>0.36639117770025997</v>
          </cell>
          <cell r="AN21">
            <v>0.73349020730522208</v>
          </cell>
          <cell r="AO21">
            <v>1.286470547740207</v>
          </cell>
          <cell r="AP21">
            <v>0.11838091075899106</v>
          </cell>
          <cell r="AQ21">
            <v>0.12822128047425077</v>
          </cell>
          <cell r="AR21">
            <v>0.43617434057823001</v>
          </cell>
          <cell r="AS21">
            <v>0.84271950654707806</v>
          </cell>
          <cell r="AT21">
            <v>1.5254960383585499</v>
          </cell>
          <cell r="AU21">
            <v>0.14655323175773552</v>
          </cell>
          <cell r="AV21">
            <v>0.16192067472003149</v>
          </cell>
          <cell r="AW21">
            <v>0.17561269771715987</v>
          </cell>
          <cell r="AX21">
            <v>1.1934103871476887</v>
          </cell>
          <cell r="AY21">
            <v>1.6774969913426157</v>
          </cell>
        </row>
        <row r="22">
          <cell r="A22" t="str">
            <v xml:space="preserve">     SBC</v>
          </cell>
          <cell r="F22">
            <v>0</v>
          </cell>
          <cell r="U22">
            <v>0</v>
          </cell>
          <cell r="Z22">
            <v>0</v>
          </cell>
          <cell r="AE22">
            <v>0</v>
          </cell>
          <cell r="AJ22">
            <v>0</v>
          </cell>
          <cell r="AO22">
            <v>0</v>
          </cell>
          <cell r="AT22">
            <v>0</v>
          </cell>
          <cell r="AY22">
            <v>0</v>
          </cell>
        </row>
        <row r="23">
          <cell r="A23" t="str">
            <v xml:space="preserve">     Other one-time items</v>
          </cell>
          <cell r="U23">
            <v>0</v>
          </cell>
          <cell r="Z23">
            <v>0</v>
          </cell>
          <cell r="AE23">
            <v>0</v>
          </cell>
          <cell r="AJ23">
            <v>0</v>
          </cell>
          <cell r="AO23">
            <v>0</v>
          </cell>
          <cell r="AT23">
            <v>0</v>
          </cell>
          <cell r="AY23">
            <v>0</v>
          </cell>
        </row>
        <row r="24">
          <cell r="A24" t="str">
            <v xml:space="preserve">  Cost of Services</v>
          </cell>
          <cell r="F24">
            <v>1.411</v>
          </cell>
          <cell r="K24">
            <v>2.6999999999999997</v>
          </cell>
          <cell r="L24">
            <v>0</v>
          </cell>
          <cell r="M24">
            <v>0</v>
          </cell>
          <cell r="N24">
            <v>0</v>
          </cell>
          <cell r="O24">
            <v>0</v>
          </cell>
          <cell r="P24">
            <v>3.157</v>
          </cell>
          <cell r="Q24">
            <v>1.109</v>
          </cell>
          <cell r="R24">
            <v>1.46</v>
          </cell>
          <cell r="S24">
            <v>1.603</v>
          </cell>
          <cell r="T24">
            <v>2.198</v>
          </cell>
          <cell r="U24">
            <v>6.37</v>
          </cell>
          <cell r="V24">
            <v>1.8490000000000002</v>
          </cell>
          <cell r="W24">
            <v>2.5229999999999997</v>
          </cell>
          <cell r="X24">
            <v>3.0030000000000001</v>
          </cell>
          <cell r="Y24">
            <v>2.8039160205987219</v>
          </cell>
          <cell r="Z24">
            <v>10.178916020598722</v>
          </cell>
          <cell r="AA24">
            <v>4.0280000000000005</v>
          </cell>
          <cell r="AB24">
            <v>4.2859999999999996</v>
          </cell>
          <cell r="AC24">
            <v>5.4950000000000001</v>
          </cell>
          <cell r="AD24">
            <v>5.6639999999999997</v>
          </cell>
          <cell r="AE24">
            <v>19.472999999999999</v>
          </cell>
          <cell r="AF24">
            <v>5.8849999999999998</v>
          </cell>
          <cell r="AG24">
            <v>6.4579999999999993</v>
          </cell>
          <cell r="AH24">
            <v>6.7698205841430017</v>
          </cell>
          <cell r="AI24">
            <v>7.0734163122732845</v>
          </cell>
          <cell r="AJ24">
            <v>26.186236896416286</v>
          </cell>
          <cell r="AK24">
            <v>8.0688962670317146</v>
          </cell>
          <cell r="AL24">
            <v>8.398247331299439</v>
          </cell>
          <cell r="AM24">
            <v>8.8604097326092095</v>
          </cell>
          <cell r="AN24">
            <v>9.5635794804119705</v>
          </cell>
          <cell r="AO24">
            <v>34.891132811352335</v>
          </cell>
          <cell r="AP24">
            <v>11.207737307118059</v>
          </cell>
          <cell r="AQ24">
            <v>11.459324544935281</v>
          </cell>
          <cell r="AR24">
            <v>11.827204017455196</v>
          </cell>
          <cell r="AS24">
            <v>12.603995547354581</v>
          </cell>
          <cell r="AT24">
            <v>47.098261416863117</v>
          </cell>
          <cell r="AU24">
            <v>15.840570394910889</v>
          </cell>
          <cell r="AV24" t="str">
            <v>mstag:costOfLicense</v>
          </cell>
          <cell r="AW24">
            <v>6</v>
          </cell>
          <cell r="AX24" t="str">
            <v>ISO4217:USD</v>
          </cell>
          <cell r="AY24" t="b">
            <v>0</v>
          </cell>
          <cell r="BA24" t="str">
            <v>mstag:costOfLicense</v>
          </cell>
          <cell r="BB24">
            <v>6</v>
          </cell>
          <cell r="BC24" t="str">
            <v>ISO4217:USD</v>
          </cell>
          <cell r="BD24" t="b">
            <v>0</v>
          </cell>
        </row>
        <row r="25">
          <cell r="A25" t="str">
            <v xml:space="preserve">  Maintenance Gross Margin</v>
          </cell>
          <cell r="K25">
            <v>0.15835411471321714</v>
          </cell>
          <cell r="P25">
            <v>0.59613662530382494</v>
          </cell>
          <cell r="Q25">
            <v>0.63143901628447985</v>
          </cell>
          <cell r="R25">
            <v>0.61025093432995203</v>
          </cell>
          <cell r="S25">
            <v>0.64009878760664574</v>
          </cell>
          <cell r="T25">
            <v>0.56986301369863024</v>
          </cell>
          <cell r="U25">
            <v>0.60965745450088848</v>
          </cell>
          <cell r="V25">
            <v>0.69653700968324306</v>
          </cell>
          <cell r="W25">
            <v>0.64875400250591686</v>
          </cell>
          <cell r="X25">
            <v>0.66599933266599931</v>
          </cell>
          <cell r="Y25">
            <v>0.71960839794012776</v>
          </cell>
          <cell r="Z25">
            <v>0.68454098550845366</v>
          </cell>
          <cell r="AA25">
            <v>0.68543537680593514</v>
          </cell>
          <cell r="AB25">
            <v>0.69985994397759099</v>
          </cell>
          <cell r="AC25">
            <v>0.68578453796889294</v>
          </cell>
          <cell r="AD25">
            <v>0.69299149005366156</v>
          </cell>
          <cell r="AE25">
            <v>0.69101266224493041</v>
          </cell>
          <cell r="AF25">
            <v>0.72022819111005476</v>
          </cell>
          <cell r="AG25">
            <v>0.72737250928740294</v>
          </cell>
          <cell r="AH25">
            <v>0.72</v>
          </cell>
          <cell r="AI25">
            <v>0.72</v>
          </cell>
          <cell r="AJ25">
            <v>0.72190562905695121</v>
          </cell>
          <cell r="AK25">
            <v>0.73</v>
          </cell>
          <cell r="AL25">
            <v>0.73</v>
          </cell>
          <cell r="AM25">
            <v>0.74</v>
          </cell>
          <cell r="AN25">
            <v>0.74</v>
          </cell>
          <cell r="AO25">
            <v>0.73537436509393439</v>
          </cell>
          <cell r="AP25">
            <v>0.73</v>
          </cell>
          <cell r="AQ25">
            <v>0.73</v>
          </cell>
          <cell r="AR25">
            <v>0.74</v>
          </cell>
          <cell r="AS25">
            <v>0.74</v>
          </cell>
          <cell r="AT25">
            <v>0.73528142341186742</v>
          </cell>
          <cell r="AU25">
            <v>0.75</v>
          </cell>
          <cell r="AV25">
            <v>0.74</v>
          </cell>
          <cell r="AW25">
            <v>0.74</v>
          </cell>
          <cell r="AX25">
            <v>0.77</v>
          </cell>
          <cell r="AY25">
            <v>0.75107771858395311</v>
          </cell>
        </row>
        <row r="26">
          <cell r="A26" t="str">
            <v xml:space="preserve">     GAAP Cost</v>
          </cell>
          <cell r="F26">
            <v>1.4179999999999999</v>
          </cell>
          <cell r="K26">
            <v>2.7109999999999999</v>
          </cell>
          <cell r="P26">
            <v>3.1880000000000002</v>
          </cell>
          <cell r="Q26">
            <v>1.119</v>
          </cell>
          <cell r="R26">
            <v>1.476</v>
          </cell>
          <cell r="S26">
            <v>1.619</v>
          </cell>
          <cell r="T26">
            <v>2.214</v>
          </cell>
          <cell r="U26">
            <v>6.4279999999999999</v>
          </cell>
          <cell r="V26">
            <v>1.8680000000000001</v>
          </cell>
          <cell r="W26">
            <v>2.5499999999999998</v>
          </cell>
          <cell r="X26">
            <v>3.04</v>
          </cell>
          <cell r="Y26">
            <v>2.842766020598722</v>
          </cell>
          <cell r="Z26">
            <v>10.300766020598722</v>
          </cell>
          <cell r="AA26">
            <v>4.1360000000000001</v>
          </cell>
          <cell r="AB26">
            <v>4.5529999999999999</v>
          </cell>
          <cell r="AC26">
            <v>5.8170000000000002</v>
          </cell>
          <cell r="AD26">
            <v>6.1909999999999998</v>
          </cell>
          <cell r="AE26">
            <v>20.696999999999999</v>
          </cell>
          <cell r="AF26">
            <v>6.6120000000000001</v>
          </cell>
          <cell r="AG26">
            <v>7.3449999999999998</v>
          </cell>
          <cell r="AH26">
            <v>7.6780705841430015</v>
          </cell>
          <cell r="AI26">
            <v>8.0270788122732846</v>
          </cell>
          <cell r="AJ26">
            <v>29.662149396416286</v>
          </cell>
          <cell r="AK26">
            <v>9.0702418920317154</v>
          </cell>
          <cell r="AL26">
            <v>9.4496602375494394</v>
          </cell>
          <cell r="AM26">
            <v>9.9643932841717096</v>
          </cell>
          <cell r="AN26">
            <v>10.722762209552595</v>
          </cell>
          <cell r="AO26">
            <v>39.20705762330546</v>
          </cell>
          <cell r="AP26">
            <v>12.424879172715716</v>
          </cell>
          <cell r="AQ26">
            <v>12.737323503812821</v>
          </cell>
          <cell r="AR26">
            <v>13.169102924276613</v>
          </cell>
          <cell r="AS26">
            <v>14.012989399517068</v>
          </cell>
          <cell r="AT26">
            <v>52.344295000322219</v>
          </cell>
          <cell r="AU26">
            <v>17.738232635106609</v>
          </cell>
          <cell r="AV26">
            <v>18.153989770731528</v>
          </cell>
          <cell r="AW26">
            <v>19.723603317828967</v>
          </cell>
          <cell r="AX26">
            <v>20.527547003685058</v>
          </cell>
          <cell r="AY26">
            <v>76.143372727352158</v>
          </cell>
        </row>
        <row r="27">
          <cell r="A27" t="str">
            <v xml:space="preserve">     SBC</v>
          </cell>
          <cell r="F27">
            <v>7.0000000000000001E-3</v>
          </cell>
          <cell r="K27">
            <v>1.0999999999999999E-2</v>
          </cell>
          <cell r="P27">
            <v>3.1E-2</v>
          </cell>
          <cell r="Q27">
            <v>0.01</v>
          </cell>
          <cell r="R27">
            <v>1.6E-2</v>
          </cell>
          <cell r="S27">
            <v>1.6E-2</v>
          </cell>
          <cell r="T27">
            <v>1.6E-2</v>
          </cell>
          <cell r="U27">
            <v>5.8000000000000003E-2</v>
          </cell>
          <cell r="V27">
            <v>1.9E-2</v>
          </cell>
          <cell r="W27">
            <v>2.7E-2</v>
          </cell>
          <cell r="X27">
            <v>3.6999999999999998E-2</v>
          </cell>
          <cell r="Y27">
            <v>3.8850000000000003E-2</v>
          </cell>
          <cell r="Z27">
            <v>0.12184999999999999</v>
          </cell>
          <cell r="AA27">
            <v>0.108</v>
          </cell>
          <cell r="AB27">
            <v>0.26700000000000002</v>
          </cell>
          <cell r="AC27">
            <v>0.32200000000000001</v>
          </cell>
          <cell r="AD27">
            <v>0.52</v>
          </cell>
          <cell r="AE27">
            <v>1.2170000000000001</v>
          </cell>
          <cell r="AF27">
            <v>0.70499999999999996</v>
          </cell>
          <cell r="AG27">
            <v>0.86499999999999999</v>
          </cell>
          <cell r="AH27">
            <v>0.90825</v>
          </cell>
          <cell r="AI27">
            <v>0.95366250000000008</v>
          </cell>
          <cell r="AJ27">
            <v>3.4319125000000001</v>
          </cell>
          <cell r="AK27">
            <v>1.0013456250000001</v>
          </cell>
          <cell r="AL27">
            <v>1.0514129062500002</v>
          </cell>
          <cell r="AM27">
            <v>1.1039835515625003</v>
          </cell>
          <cell r="AN27">
            <v>1.1591827291406254</v>
          </cell>
          <cell r="AO27">
            <v>4.3159248119531259</v>
          </cell>
          <cell r="AP27">
            <v>1.2171418655976567</v>
          </cell>
          <cell r="AQ27">
            <v>1.2779989588775396</v>
          </cell>
          <cell r="AR27">
            <v>1.3418989068214167</v>
          </cell>
          <cell r="AS27">
            <v>1.4089938521624876</v>
          </cell>
          <cell r="AT27">
            <v>5.2460335834591003</v>
          </cell>
          <cell r="AU27">
            <v>1.8976622401957208</v>
          </cell>
          <cell r="AV27">
            <v>1.992545352205507</v>
          </cell>
          <cell r="AW27">
            <v>2.0921726198157824</v>
          </cell>
          <cell r="AX27">
            <v>2.1967812508065716</v>
          </cell>
          <cell r="AY27">
            <v>8.1791614630235827</v>
          </cell>
        </row>
        <row r="28">
          <cell r="A28" t="str">
            <v xml:space="preserve">     Other one-time items</v>
          </cell>
          <cell r="U28">
            <v>0</v>
          </cell>
          <cell r="Z28">
            <v>0</v>
          </cell>
          <cell r="AD28">
            <v>7.0000000000000001E-3</v>
          </cell>
          <cell r="AE28">
            <v>7.0000000000000001E-3</v>
          </cell>
          <cell r="AF28">
            <v>2.1999999999999999E-2</v>
          </cell>
          <cell r="AG28">
            <v>2.1999999999999999E-2</v>
          </cell>
          <cell r="AH28">
            <v>0.13500000000000001</v>
          </cell>
          <cell r="AJ28">
            <v>4.3999999999999997E-2</v>
          </cell>
          <cell r="AO28">
            <v>0</v>
          </cell>
          <cell r="AT28">
            <v>0</v>
          </cell>
          <cell r="AY28">
            <v>0</v>
          </cell>
        </row>
        <row r="29">
          <cell r="A29" t="str">
            <v xml:space="preserve">  Total Cost of Sales</v>
          </cell>
          <cell r="F29">
            <v>1.4570000000000001</v>
          </cell>
          <cell r="K29">
            <v>2.7859999999999996</v>
          </cell>
          <cell r="L29">
            <v>0</v>
          </cell>
          <cell r="M29">
            <v>0</v>
          </cell>
          <cell r="N29">
            <v>0</v>
          </cell>
          <cell r="O29">
            <v>0</v>
          </cell>
          <cell r="P29">
            <v>3.2589999999999999</v>
          </cell>
          <cell r="Q29">
            <v>1.1459999999999999</v>
          </cell>
          <cell r="R29">
            <v>1.5029999999999999</v>
          </cell>
          <cell r="S29">
            <v>1.6459999999999999</v>
          </cell>
          <cell r="T29">
            <v>2.3029999999999999</v>
          </cell>
          <cell r="U29">
            <v>6.5979999999999999</v>
          </cell>
          <cell r="V29">
            <v>1.9850000000000003</v>
          </cell>
          <cell r="W29">
            <v>2.9459999999999997</v>
          </cell>
          <cell r="X29">
            <v>3.1560000000000001</v>
          </cell>
          <cell r="Y29">
            <v>3</v>
          </cell>
          <cell r="Z29">
            <v>11.087</v>
          </cell>
          <cell r="AA29">
            <v>4.157</v>
          </cell>
          <cell r="AB29">
            <v>4.3779999999999992</v>
          </cell>
          <cell r="AC29">
            <v>5.5570000000000004</v>
          </cell>
          <cell r="AD29">
            <v>6.1079999999999997</v>
          </cell>
          <cell r="AE29">
            <v>20.2</v>
          </cell>
          <cell r="AF29">
            <v>5.9539999999999997</v>
          </cell>
          <cell r="AG29">
            <v>6.5339999999999989</v>
          </cell>
          <cell r="AH29">
            <v>7.0462786177916064</v>
          </cell>
          <cell r="AI29">
            <v>7.6303602455194168</v>
          </cell>
          <cell r="AJ29">
            <v>27.164638863311023</v>
          </cell>
          <cell r="AK29">
            <v>8.153815717674</v>
          </cell>
          <cell r="AL29">
            <v>8.4999170433918785</v>
          </cell>
          <cell r="AM29">
            <v>9.2268009103094695</v>
          </cell>
          <cell r="AN29">
            <v>10.297069687717192</v>
          </cell>
          <cell r="AO29">
            <v>36.177603359092544</v>
          </cell>
          <cell r="AP29">
            <v>11.326118217877051</v>
          </cell>
          <cell r="AQ29">
            <v>11.587545825409531</v>
          </cell>
          <cell r="AR29">
            <v>12.263378358033426</v>
          </cell>
          <cell r="AS29">
            <v>13.446715053901659</v>
          </cell>
          <cell r="AT29">
            <v>48.623757455221664</v>
          </cell>
          <cell r="AU29">
            <v>15.987123626668625</v>
          </cell>
          <cell r="AV29">
            <v>16.323365093246053</v>
          </cell>
          <cell r="AW29">
            <v>17.807043395730343</v>
          </cell>
          <cell r="AX29">
            <v>19.524176140026178</v>
          </cell>
          <cell r="AY29">
            <v>69.641708255671205</v>
          </cell>
        </row>
        <row r="30">
          <cell r="A30" t="str">
            <v>Gross Profit</v>
          </cell>
          <cell r="F30">
            <v>7.6149999999999993</v>
          </cell>
          <cell r="K30">
            <v>15.37</v>
          </cell>
          <cell r="L30">
            <v>6.1</v>
          </cell>
          <cell r="M30">
            <v>7.9</v>
          </cell>
          <cell r="N30">
            <v>9.9</v>
          </cell>
          <cell r="O30">
            <v>11.1</v>
          </cell>
          <cell r="P30">
            <v>31.741</v>
          </cell>
          <cell r="Q30">
            <v>11.042</v>
          </cell>
          <cell r="R30">
            <v>13.790000000000003</v>
          </cell>
          <cell r="S30">
            <v>14.337000000000002</v>
          </cell>
          <cell r="T30">
            <v>20.477999999999998</v>
          </cell>
          <cell r="U30">
            <v>59.646999999999991</v>
          </cell>
          <cell r="V30">
            <v>18.654</v>
          </cell>
          <cell r="W30">
            <v>23.003</v>
          </cell>
          <cell r="X30">
            <v>28.016999999999999</v>
          </cell>
          <cell r="Y30">
            <v>40</v>
          </cell>
          <cell r="Z30">
            <v>109.67399999999999</v>
          </cell>
          <cell r="AA30">
            <v>33.034000000000006</v>
          </cell>
          <cell r="AB30">
            <v>40.104999999999997</v>
          </cell>
          <cell r="AC30">
            <v>46.488000000000007</v>
          </cell>
          <cell r="AD30">
            <v>59.117000000000004</v>
          </cell>
          <cell r="AE30">
            <v>178.744</v>
          </cell>
          <cell r="AF30">
            <v>51.252999999999993</v>
          </cell>
          <cell r="AG30">
            <v>60.339000000000006</v>
          </cell>
          <cell r="AH30">
            <v>63.207990981296099</v>
          </cell>
          <cell r="AI30">
            <v>76.306636864159032</v>
          </cell>
          <cell r="AJ30">
            <v>251.10662784545508</v>
          </cell>
          <cell r="AK30">
            <v>66.248468874705154</v>
          </cell>
          <cell r="AL30">
            <v>80.375841079952266</v>
          </cell>
          <cell r="AM30">
            <v>85.916894344641008</v>
          </cell>
          <cell r="AN30">
            <v>103.76011285645505</v>
          </cell>
          <cell r="AO30">
            <v>336.30131715575357</v>
          </cell>
          <cell r="AP30">
            <v>92.243067840318361</v>
          </cell>
          <cell r="AQ30">
            <v>103.7127653188814</v>
          </cell>
          <cell r="AR30">
            <v>105.92159129265303</v>
          </cell>
          <cell r="AS30">
            <v>123.81182972234049</v>
          </cell>
          <cell r="AT30">
            <v>425.68925417419331</v>
          </cell>
          <cell r="AU30">
            <v>124.20303475211668</v>
          </cell>
          <cell r="AV30">
            <v>137.84319885574169</v>
          </cell>
          <cell r="AW30">
            <v>156.36263696525864</v>
          </cell>
          <cell r="AX30">
            <v>185.90220239697615</v>
          </cell>
          <cell r="AY30">
            <v>604.31107297009316</v>
          </cell>
        </row>
        <row r="31">
          <cell r="A31" t="str">
            <v xml:space="preserve">    Gross margin</v>
          </cell>
          <cell r="F31">
            <v>0.83939594356261027</v>
          </cell>
          <cell r="K31">
            <v>0.84655210398766245</v>
          </cell>
          <cell r="L31">
            <v>1</v>
          </cell>
          <cell r="M31">
            <v>1</v>
          </cell>
          <cell r="N31">
            <v>1</v>
          </cell>
          <cell r="O31">
            <v>1</v>
          </cell>
          <cell r="P31">
            <v>0.9068857142857143</v>
          </cell>
          <cell r="Q31">
            <v>0.90597308828355749</v>
          </cell>
          <cell r="R31">
            <v>0.90171974105800046</v>
          </cell>
          <cell r="S31">
            <v>0.89701557905274365</v>
          </cell>
          <cell r="T31">
            <v>0.89890698389008383</v>
          </cell>
          <cell r="U31">
            <v>0.90040003019095782</v>
          </cell>
          <cell r="V31">
            <v>0.90382285963467224</v>
          </cell>
          <cell r="W31">
            <v>0.88646961347258091</v>
          </cell>
          <cell r="X31">
            <v>0.8987585410451352</v>
          </cell>
          <cell r="Y31">
            <v>0.93023255813953487</v>
          </cell>
          <cell r="Z31">
            <v>0.90819055821001815</v>
          </cell>
          <cell r="AA31">
            <v>0.88822564598962128</v>
          </cell>
          <cell r="AB31">
            <v>0.90158037902119914</v>
          </cell>
          <cell r="AC31">
            <v>0.89322701508310121</v>
          </cell>
          <cell r="AD31">
            <v>0.90635492525871975</v>
          </cell>
          <cell r="AE31">
            <v>0.89846388933569243</v>
          </cell>
          <cell r="AF31">
            <v>0.8959218277483525</v>
          </cell>
          <cell r="AG31">
            <v>0.90229240500650487</v>
          </cell>
          <cell r="AH31">
            <v>0.89970319728606063</v>
          </cell>
          <cell r="AI31">
            <v>0.90909419554825144</v>
          </cell>
          <cell r="AJ31">
            <v>0.902380726603221</v>
          </cell>
          <cell r="AK31">
            <v>0.890409067915783</v>
          </cell>
          <cell r="AL31">
            <v>0.90436180548136114</v>
          </cell>
          <cell r="AM31">
            <v>0.90302246632753747</v>
          </cell>
          <cell r="AN31">
            <v>0.90972011180681822</v>
          </cell>
          <cell r="AO31">
            <v>0.90287342083925903</v>
          </cell>
          <cell r="AP31">
            <v>0.8906420080243469</v>
          </cell>
          <cell r="AQ31">
            <v>0.89950117471141544</v>
          </cell>
          <cell r="AR31">
            <v>0.89623571936194846</v>
          </cell>
          <cell r="AS31">
            <v>0.90203367611231489</v>
          </cell>
          <cell r="AT31">
            <v>0.89748592962233165</v>
          </cell>
          <cell r="AU31">
            <v>0.88596115582184887</v>
          </cell>
          <cell r="AV31">
            <v>0.89411864236237826</v>
          </cell>
          <cell r="AW31">
            <v>0.8977603716167879</v>
          </cell>
          <cell r="AX31">
            <v>0.90495779422743716</v>
          </cell>
          <cell r="AY31">
            <v>0.89666678408981548</v>
          </cell>
        </row>
        <row r="33">
          <cell r="A33" t="str">
            <v>Operating Expenses</v>
          </cell>
        </row>
        <row r="34">
          <cell r="A34" t="str">
            <v xml:space="preserve">  Sales &amp; Marketing</v>
          </cell>
          <cell r="F34">
            <v>7.6979999999999995</v>
          </cell>
          <cell r="K34">
            <v>17.105</v>
          </cell>
          <cell r="L34">
            <v>0</v>
          </cell>
          <cell r="M34">
            <v>0</v>
          </cell>
          <cell r="N34">
            <v>0</v>
          </cell>
          <cell r="O34">
            <v>0</v>
          </cell>
          <cell r="P34">
            <v>23.689999999999998</v>
          </cell>
          <cell r="Q34">
            <v>7.5479999999999992</v>
          </cell>
          <cell r="R34">
            <v>8.5150000000000006</v>
          </cell>
          <cell r="S34">
            <v>9.2469999999999999</v>
          </cell>
          <cell r="T34">
            <v>14.103999999999999</v>
          </cell>
          <cell r="U34">
            <v>39.414000000000001</v>
          </cell>
          <cell r="V34">
            <v>12.589</v>
          </cell>
          <cell r="W34">
            <v>16.145</v>
          </cell>
          <cell r="X34">
            <v>18.773999999999997</v>
          </cell>
          <cell r="Y34">
            <v>26</v>
          </cell>
          <cell r="Z34">
            <v>73.50800000000001</v>
          </cell>
          <cell r="AA34">
            <v>23.308</v>
          </cell>
          <cell r="AB34">
            <v>26.234999999999999</v>
          </cell>
          <cell r="AC34">
            <v>30.754000000000001</v>
          </cell>
          <cell r="AD34">
            <v>36.25</v>
          </cell>
          <cell r="AE34">
            <v>116.547</v>
          </cell>
          <cell r="AF34">
            <v>36.713000000000001</v>
          </cell>
          <cell r="AG34">
            <v>39.164000000000001</v>
          </cell>
          <cell r="AH34">
            <v>40.747476367470867</v>
          </cell>
          <cell r="AI34">
            <v>44.906293453677968</v>
          </cell>
          <cell r="AJ34">
            <v>161.53076982114882</v>
          </cell>
          <cell r="AK34">
            <v>44.641370755427495</v>
          </cell>
          <cell r="AL34">
            <v>50.214803339689446</v>
          </cell>
          <cell r="AM34">
            <v>53.756187819047021</v>
          </cell>
          <cell r="AN34">
            <v>59.651906470602086</v>
          </cell>
          <cell r="AO34">
            <v>208.26426838476607</v>
          </cell>
          <cell r="AP34">
            <v>59.552281983462358</v>
          </cell>
          <cell r="AQ34">
            <v>62.262168017917105</v>
          </cell>
          <cell r="AR34">
            <v>63.819883611370699</v>
          </cell>
          <cell r="AS34">
            <v>70.001857835883499</v>
          </cell>
          <cell r="AT34">
            <v>255.63619144863367</v>
          </cell>
          <cell r="AU34">
            <v>79.557914879960663</v>
          </cell>
          <cell r="AV34" t="str">
            <v>mstag:marketingAndDistributionCosts</v>
          </cell>
          <cell r="AW34">
            <v>6</v>
          </cell>
          <cell r="AX34" t="str">
            <v>ISO4217:USD</v>
          </cell>
          <cell r="AY34" t="b">
            <v>0</v>
          </cell>
          <cell r="BA34" t="str">
            <v>mstag:marketingAndDistributionCosts</v>
          </cell>
          <cell r="BB34">
            <v>6</v>
          </cell>
          <cell r="BC34" t="str">
            <v>ISO4217:USD</v>
          </cell>
          <cell r="BD34" t="b">
            <v>0</v>
          </cell>
        </row>
        <row r="35">
          <cell r="A35" t="str">
            <v xml:space="preserve">     YoY change</v>
          </cell>
          <cell r="F35" t="str">
            <v/>
          </cell>
          <cell r="K35">
            <v>1.2220057157703303</v>
          </cell>
          <cell r="L35" t="str">
            <v/>
          </cell>
          <cell r="M35" t="str">
            <v/>
          </cell>
          <cell r="N35" t="str">
            <v/>
          </cell>
          <cell r="O35" t="str">
            <v/>
          </cell>
          <cell r="P35">
            <v>0.38497515346389921</v>
          </cell>
          <cell r="Q35" t="str">
            <v/>
          </cell>
          <cell r="R35" t="str">
            <v/>
          </cell>
          <cell r="S35" t="str">
            <v/>
          </cell>
          <cell r="T35" t="str">
            <v/>
          </cell>
          <cell r="U35">
            <v>0.66373997467285806</v>
          </cell>
          <cell r="V35">
            <v>0.66785903550609449</v>
          </cell>
          <cell r="W35">
            <v>0.89606576629477375</v>
          </cell>
          <cell r="X35">
            <v>1.0302800908402721</v>
          </cell>
          <cell r="Y35">
            <v>0.84344866704481003</v>
          </cell>
          <cell r="Z35">
            <v>0.86502258080884986</v>
          </cell>
          <cell r="AA35">
            <v>0.85145762173325923</v>
          </cell>
          <cell r="AB35">
            <v>0.62496128832455877</v>
          </cell>
          <cell r="AC35">
            <v>0.63811654415681285</v>
          </cell>
          <cell r="AD35">
            <v>0.39423076923076916</v>
          </cell>
          <cell r="AE35">
            <v>0.58550089786145709</v>
          </cell>
          <cell r="AF35">
            <v>0.57512442079972548</v>
          </cell>
          <cell r="AG35">
            <v>0.49281494187154573</v>
          </cell>
          <cell r="AH35">
            <v>0.3249488316144522</v>
          </cell>
          <cell r="AI35">
            <v>0.23879430217042663</v>
          </cell>
          <cell r="AJ35">
            <v>0.38597106593175989</v>
          </cell>
          <cell r="AK35">
            <v>0.2159554042281342</v>
          </cell>
          <cell r="AL35">
            <v>0.28216738177125533</v>
          </cell>
          <cell r="AM35">
            <v>0.31925195401698891</v>
          </cell>
          <cell r="AN35">
            <v>0.32836406398436346</v>
          </cell>
          <cell r="AO35">
            <v>0.28931638606911747</v>
          </cell>
          <cell r="AP35">
            <v>0.33401553258133299</v>
          </cell>
          <cell r="AQ35">
            <v>0.23991659584386937</v>
          </cell>
          <cell r="AR35">
            <v>0.1872099975950654</v>
          </cell>
          <cell r="AS35">
            <v>0.1735057934884634</v>
          </cell>
          <cell r="AT35">
            <v>0.22746063658096394</v>
          </cell>
          <cell r="AU35">
            <v>0.26604952022787209</v>
          </cell>
          <cell r="AV35">
            <v>0.25562242026618276</v>
          </cell>
          <cell r="AW35">
            <v>0.24623435230746882</v>
          </cell>
          <cell r="AX35">
            <v>0.22672678117559841</v>
          </cell>
          <cell r="AY35">
            <v>0.24712313487497406</v>
          </cell>
        </row>
        <row r="36">
          <cell r="A36" t="str">
            <v xml:space="preserve">     % of revenues</v>
          </cell>
          <cell r="F36">
            <v>0.8485449735449736</v>
          </cell>
          <cell r="K36">
            <v>0.94211280017625032</v>
          </cell>
          <cell r="L36">
            <v>0</v>
          </cell>
          <cell r="M36">
            <v>0</v>
          </cell>
          <cell r="N36">
            <v>0</v>
          </cell>
          <cell r="O36">
            <v>0</v>
          </cell>
          <cell r="P36">
            <v>0.67685714285714282</v>
          </cell>
          <cell r="Q36">
            <v>0.61929766983918599</v>
          </cell>
          <cell r="R36">
            <v>0.5567906885503171</v>
          </cell>
          <cell r="S36">
            <v>0.57855221172495774</v>
          </cell>
          <cell r="T36">
            <v>0.6191124182432729</v>
          </cell>
          <cell r="U36">
            <v>0.59497320552494537</v>
          </cell>
          <cell r="V36">
            <v>0.60996172295169349</v>
          </cell>
          <cell r="W36">
            <v>0.62218197233034034</v>
          </cell>
          <cell r="X36">
            <v>0.60225194880184774</v>
          </cell>
          <cell r="Y36">
            <v>0.60465116279069764</v>
          </cell>
          <cell r="Z36">
            <v>0.60870645324235484</v>
          </cell>
          <cell r="AA36">
            <v>0.62671076335672604</v>
          </cell>
          <cell r="AB36">
            <v>0.58977586943326665</v>
          </cell>
          <cell r="AC36">
            <v>0.59091171101931017</v>
          </cell>
          <cell r="AD36">
            <v>0.55576849367573777</v>
          </cell>
          <cell r="AE36">
            <v>0.58582817275213117</v>
          </cell>
          <cell r="AF36">
            <v>0.64175712762424186</v>
          </cell>
          <cell r="AG36">
            <v>0.5856474212312891</v>
          </cell>
          <cell r="AH36">
            <v>0.57999999999999996</v>
          </cell>
          <cell r="AI36">
            <v>0.53500000000000003</v>
          </cell>
          <cell r="AJ36">
            <v>0.58047951458173408</v>
          </cell>
          <cell r="AK36">
            <v>0.6</v>
          </cell>
          <cell r="AL36">
            <v>0.56499999999999995</v>
          </cell>
          <cell r="AM36">
            <v>0.56499999999999995</v>
          </cell>
          <cell r="AN36">
            <v>0.52300000000000002</v>
          </cell>
          <cell r="AO36">
            <v>0.55913034782451576</v>
          </cell>
          <cell r="AP36">
            <v>0.57499999999999996</v>
          </cell>
          <cell r="AQ36">
            <v>0.54</v>
          </cell>
          <cell r="AR36">
            <v>0.54</v>
          </cell>
          <cell r="AS36">
            <v>0.51</v>
          </cell>
          <cell r="AT36">
            <v>0.53896095021817481</v>
          </cell>
          <cell r="AU36">
            <v>0.5675</v>
          </cell>
          <cell r="AV36">
            <v>0.51750000000000007</v>
          </cell>
          <cell r="AW36">
            <v>0.51750000000000007</v>
          </cell>
          <cell r="AX36">
            <v>0.48749999999999999</v>
          </cell>
          <cell r="AY36">
            <v>0.51875634404429516</v>
          </cell>
        </row>
        <row r="37">
          <cell r="A37" t="str">
            <v xml:space="preserve">     GAAP Cost</v>
          </cell>
          <cell r="F37">
            <v>7.7389999999999999</v>
          </cell>
          <cell r="K37">
            <v>17.280999999999999</v>
          </cell>
          <cell r="P37">
            <v>24.071999999999999</v>
          </cell>
          <cell r="Q37">
            <v>7.6289999999999996</v>
          </cell>
          <cell r="R37">
            <v>8.6460000000000008</v>
          </cell>
          <cell r="S37">
            <v>9.3870000000000005</v>
          </cell>
          <cell r="T37">
            <v>14.247</v>
          </cell>
          <cell r="U37">
            <v>39.908999999999999</v>
          </cell>
          <cell r="V37">
            <v>12.768000000000001</v>
          </cell>
          <cell r="W37">
            <v>16.39</v>
          </cell>
          <cell r="X37">
            <v>19.178999999999998</v>
          </cell>
          <cell r="Y37">
            <v>26.417149999999999</v>
          </cell>
          <cell r="Z37">
            <v>74.75415000000001</v>
          </cell>
          <cell r="AA37">
            <v>24.166</v>
          </cell>
          <cell r="AB37">
            <v>27.74</v>
          </cell>
          <cell r="AC37">
            <v>32.847000000000001</v>
          </cell>
          <cell r="AD37">
            <v>40.344999999999999</v>
          </cell>
          <cell r="AE37">
            <v>125.098</v>
          </cell>
          <cell r="AF37">
            <v>41.313000000000002</v>
          </cell>
          <cell r="AG37">
            <v>44.634</v>
          </cell>
          <cell r="AH37">
            <v>46.032376367470867</v>
          </cell>
          <cell r="AI37">
            <v>50.32331595367797</v>
          </cell>
          <cell r="AJ37">
            <v>182.30269232114884</v>
          </cell>
          <cell r="AK37">
            <v>49.938600411677491</v>
          </cell>
          <cell r="AL37">
            <v>55.512032995939443</v>
          </cell>
          <cell r="AM37">
            <v>59.053417475297017</v>
          </cell>
          <cell r="AN37">
            <v>64.949136126852082</v>
          </cell>
          <cell r="AO37">
            <v>229.45318700976605</v>
          </cell>
          <cell r="AP37">
            <v>65.114373122524853</v>
          </cell>
          <cell r="AQ37">
            <v>67.824259156979608</v>
          </cell>
          <cell r="AR37">
            <v>69.381974750433201</v>
          </cell>
          <cell r="AS37">
            <v>75.563948974946001</v>
          </cell>
          <cell r="AT37">
            <v>277.88455600488368</v>
          </cell>
          <cell r="AU37">
            <v>85.786132729179414</v>
          </cell>
          <cell r="AV37">
            <v>86.009414692819917</v>
          </cell>
          <cell r="AW37">
            <v>96.361027436030568</v>
          </cell>
          <cell r="AX37">
            <v>106.37357738600737</v>
          </cell>
          <cell r="AY37">
            <v>374.53015224403725</v>
          </cell>
        </row>
        <row r="38">
          <cell r="A38" t="str">
            <v xml:space="preserve">     SBC</v>
          </cell>
          <cell r="F38">
            <v>4.1000000000000002E-2</v>
          </cell>
          <cell r="K38">
            <v>0.17599999999999999</v>
          </cell>
          <cell r="P38">
            <v>0.38200000000000001</v>
          </cell>
          <cell r="Q38">
            <v>8.1000000000000003E-2</v>
          </cell>
          <cell r="R38">
            <v>0.13100000000000001</v>
          </cell>
          <cell r="S38">
            <v>0.14000000000000001</v>
          </cell>
          <cell r="T38">
            <v>0.14299999999999999</v>
          </cell>
          <cell r="U38">
            <v>0.495</v>
          </cell>
          <cell r="V38">
            <v>0.17899999999999999</v>
          </cell>
          <cell r="W38">
            <v>0.245</v>
          </cell>
          <cell r="X38">
            <v>0.40500000000000003</v>
          </cell>
          <cell r="Y38">
            <v>0.41715000000000002</v>
          </cell>
          <cell r="Z38">
            <v>1.2461500000000001</v>
          </cell>
          <cell r="AA38">
            <v>0.85799999999999998</v>
          </cell>
          <cell r="AB38">
            <v>1.5049999999999999</v>
          </cell>
          <cell r="AC38">
            <v>2.093</v>
          </cell>
          <cell r="AD38">
            <v>3.637</v>
          </cell>
          <cell r="AE38">
            <v>8.093</v>
          </cell>
          <cell r="AF38">
            <v>4.3220000000000001</v>
          </cell>
          <cell r="AG38">
            <v>5.1559999999999997</v>
          </cell>
          <cell r="AH38">
            <v>5.2848999999999995</v>
          </cell>
          <cell r="AI38">
            <v>5.417022499999999</v>
          </cell>
          <cell r="AJ38">
            <v>20.179922499999996</v>
          </cell>
          <cell r="AK38">
            <v>5.297229656249999</v>
          </cell>
          <cell r="AL38">
            <v>5.297229656249999</v>
          </cell>
          <cell r="AM38">
            <v>5.297229656249999</v>
          </cell>
          <cell r="AN38">
            <v>5.297229656249999</v>
          </cell>
          <cell r="AO38">
            <v>21.188918624999996</v>
          </cell>
          <cell r="AP38">
            <v>5.562091139062499</v>
          </cell>
          <cell r="AQ38">
            <v>5.562091139062499</v>
          </cell>
          <cell r="AR38">
            <v>5.562091139062499</v>
          </cell>
          <cell r="AS38">
            <v>5.562091139062499</v>
          </cell>
          <cell r="AT38">
            <v>22.248364556249996</v>
          </cell>
          <cell r="AU38">
            <v>6.2282178492187512</v>
          </cell>
          <cell r="AV38">
            <v>6.2282178492187512</v>
          </cell>
          <cell r="AW38">
            <v>6.2282178492187512</v>
          </cell>
          <cell r="AX38">
            <v>6.2282178492187512</v>
          </cell>
          <cell r="AY38">
            <v>24.912871396875005</v>
          </cell>
        </row>
        <row r="39">
          <cell r="A39" t="str">
            <v xml:space="preserve">     Other one-time items</v>
          </cell>
          <cell r="P39">
            <v>0</v>
          </cell>
          <cell r="U39">
            <v>0</v>
          </cell>
          <cell r="V39">
            <v>0</v>
          </cell>
          <cell r="W39">
            <v>0</v>
          </cell>
          <cell r="X39">
            <v>0</v>
          </cell>
          <cell r="Y39">
            <v>0</v>
          </cell>
          <cell r="Z39">
            <v>0</v>
          </cell>
          <cell r="AA39">
            <v>0</v>
          </cell>
          <cell r="AB39">
            <v>0</v>
          </cell>
          <cell r="AC39">
            <v>0</v>
          </cell>
          <cell r="AD39">
            <v>0.45800000000000002</v>
          </cell>
          <cell r="AE39">
            <v>0.45800000000000002</v>
          </cell>
          <cell r="AF39">
            <v>0.27800000000000002</v>
          </cell>
          <cell r="AG39">
            <v>0.314</v>
          </cell>
          <cell r="AH39">
            <v>0</v>
          </cell>
          <cell r="AI39">
            <v>0</v>
          </cell>
          <cell r="AJ39">
            <v>0.59200000000000008</v>
          </cell>
          <cell r="AK39">
            <v>0</v>
          </cell>
          <cell r="AL39">
            <v>0</v>
          </cell>
          <cell r="AM39">
            <v>0</v>
          </cell>
          <cell r="AN39">
            <v>0</v>
          </cell>
          <cell r="AO39">
            <v>0</v>
          </cell>
          <cell r="AP39">
            <v>0</v>
          </cell>
          <cell r="AQ39">
            <v>0</v>
          </cell>
          <cell r="AR39">
            <v>0</v>
          </cell>
          <cell r="AS39">
            <v>0</v>
          </cell>
          <cell r="AT39">
            <v>0</v>
          </cell>
          <cell r="AU39">
            <v>0</v>
          </cell>
          <cell r="AV39">
            <v>0</v>
          </cell>
          <cell r="AW39">
            <v>0</v>
          </cell>
          <cell r="AX39">
            <v>0</v>
          </cell>
          <cell r="AY39">
            <v>0</v>
          </cell>
        </row>
        <row r="40">
          <cell r="A40" t="str">
            <v xml:space="preserve">  Research &amp; Development</v>
          </cell>
          <cell r="F40">
            <v>5.1660000000000004</v>
          </cell>
          <cell r="K40">
            <v>8.5879999999999992</v>
          </cell>
          <cell r="L40">
            <v>0</v>
          </cell>
          <cell r="M40">
            <v>0</v>
          </cell>
          <cell r="N40">
            <v>0</v>
          </cell>
          <cell r="O40">
            <v>0</v>
          </cell>
          <cell r="P40">
            <v>8.2639999999999993</v>
          </cell>
          <cell r="Q40">
            <v>2.4019999999999997</v>
          </cell>
          <cell r="R40">
            <v>2.8109999999999999</v>
          </cell>
          <cell r="S40">
            <v>3.7189999999999999</v>
          </cell>
          <cell r="T40">
            <v>4.7460000000000004</v>
          </cell>
          <cell r="U40">
            <v>13.678000000000003</v>
          </cell>
          <cell r="V40">
            <v>4.2170000000000005</v>
          </cell>
          <cell r="W40">
            <v>5.2329999999999997</v>
          </cell>
          <cell r="X40">
            <v>6.2459999999999996</v>
          </cell>
          <cell r="Y40">
            <v>7</v>
          </cell>
          <cell r="Z40">
            <v>22.695999999999998</v>
          </cell>
          <cell r="AA40">
            <v>7.2080000000000002</v>
          </cell>
          <cell r="AB40">
            <v>8.1240000000000006</v>
          </cell>
          <cell r="AC40">
            <v>9.5139999999999993</v>
          </cell>
          <cell r="AD40">
            <v>10.657</v>
          </cell>
          <cell r="AE40">
            <v>35.503</v>
          </cell>
          <cell r="AF40">
            <v>11.279</v>
          </cell>
          <cell r="AG40">
            <v>12.614000000000001</v>
          </cell>
          <cell r="AH40">
            <v>13.699582571822104</v>
          </cell>
          <cell r="AI40">
            <v>15.108659479742119</v>
          </cell>
          <cell r="AJ40">
            <v>52.701242051564222</v>
          </cell>
          <cell r="AK40">
            <v>13.764422649590145</v>
          </cell>
          <cell r="AL40">
            <v>16.442015252818667</v>
          </cell>
          <cell r="AM40">
            <v>17.791871012675742</v>
          </cell>
          <cell r="AN40">
            <v>19.731892580141796</v>
          </cell>
          <cell r="AO40">
            <v>67.730201495226339</v>
          </cell>
          <cell r="AP40">
            <v>18.642453490475173</v>
          </cell>
          <cell r="AQ40">
            <v>20.754056005972366</v>
          </cell>
          <cell r="AR40">
            <v>21.273294537123565</v>
          </cell>
          <cell r="AS40">
            <v>23.33395261196117</v>
          </cell>
          <cell r="AT40">
            <v>84.003756645532263</v>
          </cell>
          <cell r="AU40">
            <v>25.93517930007528</v>
          </cell>
          <cell r="AV40" t="str">
            <v>mstag:researchAndDevelopment</v>
          </cell>
          <cell r="AW40">
            <v>6</v>
          </cell>
          <cell r="AX40" t="str">
            <v>ISO4217:USD</v>
          </cell>
          <cell r="AY40" t="b">
            <v>0</v>
          </cell>
          <cell r="BA40" t="str">
            <v>mstag:researchAndDevelopment</v>
          </cell>
          <cell r="BB40">
            <v>6</v>
          </cell>
          <cell r="BC40" t="str">
            <v>ISO4217:USD</v>
          </cell>
          <cell r="BD40" t="b">
            <v>0</v>
          </cell>
        </row>
        <row r="41">
          <cell r="A41" t="str">
            <v xml:space="preserve">     YoY change</v>
          </cell>
          <cell r="F41" t="str">
            <v/>
          </cell>
          <cell r="K41">
            <v>0.6624080526519549</v>
          </cell>
          <cell r="L41" t="str">
            <v/>
          </cell>
          <cell r="M41" t="str">
            <v/>
          </cell>
          <cell r="N41" t="str">
            <v/>
          </cell>
          <cell r="O41" t="str">
            <v/>
          </cell>
          <cell r="P41">
            <v>-3.7727061015370267E-2</v>
          </cell>
          <cell r="Q41" t="str">
            <v/>
          </cell>
          <cell r="R41" t="str">
            <v/>
          </cell>
          <cell r="S41" t="str">
            <v/>
          </cell>
          <cell r="T41" t="str">
            <v/>
          </cell>
          <cell r="U41">
            <v>0.65513068731849033</v>
          </cell>
          <cell r="V41">
            <v>0.75562031640299798</v>
          </cell>
          <cell r="W41">
            <v>0.86161508360014216</v>
          </cell>
          <cell r="X41">
            <v>0.67948373218607139</v>
          </cell>
          <cell r="Y41">
            <v>0.47492625368731556</v>
          </cell>
          <cell r="Z41">
            <v>0.65930691621582049</v>
          </cell>
          <cell r="AA41">
            <v>0.70927199430875021</v>
          </cell>
          <cell r="AB41">
            <v>0.55245557041849813</v>
          </cell>
          <cell r="AC41">
            <v>0.52321485750880559</v>
          </cell>
          <cell r="AD41">
            <v>0.52242857142857146</v>
          </cell>
          <cell r="AE41">
            <v>0.5642844554106452</v>
          </cell>
          <cell r="AF41">
            <v>0.56478912319644836</v>
          </cell>
          <cell r="AG41">
            <v>0.55268340718857711</v>
          </cell>
          <cell r="AH41">
            <v>0.43993930752807486</v>
          </cell>
          <cell r="AI41">
            <v>0.41772163645886451</v>
          </cell>
          <cell r="AJ41">
            <v>0.48441658596637538</v>
          </cell>
          <cell r="AK41">
            <v>0.22035842269617389</v>
          </cell>
          <cell r="AL41">
            <v>0.30347354152676909</v>
          </cell>
          <cell r="AM41">
            <v>0.2987162871130713</v>
          </cell>
          <cell r="AN41">
            <v>0.30599889464704444</v>
          </cell>
          <cell r="AO41">
            <v>0.28517277503549932</v>
          </cell>
          <cell r="AP41">
            <v>0.35439414823768711</v>
          </cell>
          <cell r="AQ41">
            <v>0.26225743540862378</v>
          </cell>
          <cell r="AR41">
            <v>0.19567495301463778</v>
          </cell>
          <cell r="AS41">
            <v>0.18255015413192011</v>
          </cell>
          <cell r="AT41">
            <v>0.24027028993045141</v>
          </cell>
          <cell r="AU41">
            <v>0.25988512423325449</v>
          </cell>
          <cell r="AV41">
            <v>0.25023059022746574</v>
          </cell>
          <cell r="AW41">
            <v>0.24088283603346983</v>
          </cell>
          <cell r="AX41">
            <v>0.22117598126077653</v>
          </cell>
          <cell r="AY41">
            <v>0.24136860505737734</v>
          </cell>
        </row>
        <row r="42">
          <cell r="A42" t="str">
            <v xml:space="preserve">     % of revenues</v>
          </cell>
          <cell r="F42">
            <v>0.56944444444444453</v>
          </cell>
          <cell r="K42">
            <v>0.47301167658074467</v>
          </cell>
          <cell r="L42">
            <v>0</v>
          </cell>
          <cell r="M42">
            <v>0</v>
          </cell>
          <cell r="N42">
            <v>0</v>
          </cell>
          <cell r="O42">
            <v>0</v>
          </cell>
          <cell r="P42">
            <v>0.23611428571428569</v>
          </cell>
          <cell r="Q42">
            <v>0.19707909419100753</v>
          </cell>
          <cell r="R42">
            <v>0.18380958608513698</v>
          </cell>
          <cell r="S42">
            <v>0.23268472752299316</v>
          </cell>
          <cell r="T42">
            <v>0.20833150432377862</v>
          </cell>
          <cell r="U42">
            <v>0.20647596044984534</v>
          </cell>
          <cell r="V42">
            <v>0.20432191482145456</v>
          </cell>
          <cell r="W42">
            <v>0.20166480403869128</v>
          </cell>
          <cell r="X42">
            <v>0.20036570108747956</v>
          </cell>
          <cell r="Y42">
            <v>0.16279069767441862</v>
          </cell>
          <cell r="Z42">
            <v>0.18794147117032817</v>
          </cell>
          <cell r="AA42">
            <v>0.19381033045629317</v>
          </cell>
          <cell r="AB42">
            <v>0.1826315671155273</v>
          </cell>
          <cell r="AC42">
            <v>0.18280334326063982</v>
          </cell>
          <cell r="AD42">
            <v>0.16338827136834033</v>
          </cell>
          <cell r="AE42">
            <v>0.17845725430271833</v>
          </cell>
          <cell r="AF42">
            <v>0.19716118656807735</v>
          </cell>
          <cell r="AG42">
            <v>0.18862620190510371</v>
          </cell>
          <cell r="AH42">
            <v>0.19500000000000001</v>
          </cell>
          <cell r="AI42">
            <v>0.18</v>
          </cell>
          <cell r="AJ42">
            <v>0.18938801218999168</v>
          </cell>
          <cell r="AK42">
            <v>0.185</v>
          </cell>
          <cell r="AL42">
            <v>0.185</v>
          </cell>
          <cell r="AM42">
            <v>0.187</v>
          </cell>
          <cell r="AN42">
            <v>0.17299999999999999</v>
          </cell>
          <cell r="AO42">
            <v>0.18183633425915383</v>
          </cell>
          <cell r="AP42">
            <v>0.18</v>
          </cell>
          <cell r="AQ42">
            <v>0.18</v>
          </cell>
          <cell r="AR42">
            <v>0.18</v>
          </cell>
          <cell r="AS42">
            <v>0.17</v>
          </cell>
          <cell r="AT42">
            <v>0.17710616109170785</v>
          </cell>
          <cell r="AU42">
            <v>0.185</v>
          </cell>
          <cell r="AV42">
            <v>0.17499999999999999</v>
          </cell>
          <cell r="AW42">
            <v>0.17499999999999999</v>
          </cell>
          <cell r="AX42">
            <v>0.16500000000000001</v>
          </cell>
          <cell r="AY42">
            <v>0.17403203574529999</v>
          </cell>
        </row>
        <row r="43">
          <cell r="A43" t="str">
            <v xml:space="preserve">     GAAP Cost</v>
          </cell>
          <cell r="F43">
            <v>5.1980000000000004</v>
          </cell>
          <cell r="K43">
            <v>8.6839999999999993</v>
          </cell>
          <cell r="P43">
            <v>8.4789999999999992</v>
          </cell>
          <cell r="Q43">
            <v>2.4689999999999999</v>
          </cell>
          <cell r="R43">
            <v>2.9020000000000001</v>
          </cell>
          <cell r="S43">
            <v>3.81</v>
          </cell>
          <cell r="T43">
            <v>4.8440000000000003</v>
          </cell>
          <cell r="U43">
            <v>14.025000000000002</v>
          </cell>
          <cell r="V43">
            <v>4.3380000000000001</v>
          </cell>
          <cell r="W43">
            <v>5.4139999999999997</v>
          </cell>
          <cell r="X43">
            <v>6.4749999999999996</v>
          </cell>
          <cell r="Y43">
            <v>7.2358700000000002</v>
          </cell>
          <cell r="Z43">
            <v>23.462869999999995</v>
          </cell>
          <cell r="AA43">
            <v>8.1029999999999998</v>
          </cell>
          <cell r="AB43">
            <v>9.391</v>
          </cell>
          <cell r="AC43">
            <v>11.074</v>
          </cell>
          <cell r="AD43">
            <v>13.285</v>
          </cell>
          <cell r="AE43">
            <v>41.852999999999994</v>
          </cell>
          <cell r="AF43">
            <v>14.464</v>
          </cell>
          <cell r="AG43">
            <v>16.21</v>
          </cell>
          <cell r="AH43">
            <v>17.335257571822105</v>
          </cell>
          <cell r="AI43">
            <v>18.835226354742119</v>
          </cell>
          <cell r="AJ43">
            <v>66.844483926564223</v>
          </cell>
          <cell r="AK43">
            <v>17.426886141777644</v>
          </cell>
          <cell r="AL43">
            <v>20.104478745006165</v>
          </cell>
          <cell r="AM43">
            <v>21.45433450486324</v>
          </cell>
          <cell r="AN43">
            <v>23.394356072329295</v>
          </cell>
          <cell r="AO43">
            <v>82.380055463976333</v>
          </cell>
          <cell r="AP43">
            <v>22.488040157272049</v>
          </cell>
          <cell r="AQ43">
            <v>24.599642672769242</v>
          </cell>
          <cell r="AR43">
            <v>25.118881203920441</v>
          </cell>
          <cell r="AS43">
            <v>27.179539278758046</v>
          </cell>
          <cell r="AT43">
            <v>99.386103312719769</v>
          </cell>
          <cell r="AU43">
            <v>30.42390641335653</v>
          </cell>
          <cell r="AV43">
            <v>31.467875804354104</v>
          </cell>
          <cell r="AW43">
            <v>34.968421176454321</v>
          </cell>
          <cell r="AX43">
            <v>38.38407957188663</v>
          </cell>
          <cell r="AY43">
            <v>135.24428296605157</v>
          </cell>
        </row>
        <row r="44">
          <cell r="A44" t="str">
            <v xml:space="preserve">     SBC</v>
          </cell>
          <cell r="F44">
            <v>3.2000000000000001E-2</v>
          </cell>
          <cell r="K44">
            <v>9.6000000000000002E-2</v>
          </cell>
          <cell r="P44">
            <v>0.215</v>
          </cell>
          <cell r="Q44">
            <v>6.7000000000000004E-2</v>
          </cell>
          <cell r="R44">
            <v>9.0999999999999998E-2</v>
          </cell>
          <cell r="S44">
            <v>9.0999999999999998E-2</v>
          </cell>
          <cell r="T44">
            <v>9.8000000000000004E-2</v>
          </cell>
          <cell r="U44">
            <v>0.34699999999999998</v>
          </cell>
          <cell r="V44">
            <v>0.121</v>
          </cell>
          <cell r="W44">
            <v>0.18099999999999999</v>
          </cell>
          <cell r="X44">
            <v>0.22900000000000001</v>
          </cell>
          <cell r="Y44">
            <v>0.23587000000000002</v>
          </cell>
          <cell r="Z44">
            <v>0.76687000000000005</v>
          </cell>
          <cell r="AA44">
            <v>0.89500000000000002</v>
          </cell>
          <cell r="AB44">
            <v>1.2669999999999999</v>
          </cell>
          <cell r="AC44">
            <v>1.56</v>
          </cell>
          <cell r="AD44">
            <v>2.448</v>
          </cell>
          <cell r="AE44">
            <v>6.17</v>
          </cell>
          <cell r="AF44">
            <v>3.0430000000000001</v>
          </cell>
          <cell r="AG44">
            <v>3.5470000000000002</v>
          </cell>
          <cell r="AH44">
            <v>3.635675</v>
          </cell>
          <cell r="AI44">
            <v>3.7265668749999996</v>
          </cell>
          <cell r="AJ44">
            <v>13.952241874999999</v>
          </cell>
          <cell r="AK44">
            <v>3.6624634921874999</v>
          </cell>
          <cell r="AL44">
            <v>3.6624634921874999</v>
          </cell>
          <cell r="AM44">
            <v>3.6624634921874999</v>
          </cell>
          <cell r="AN44">
            <v>3.6624634921874999</v>
          </cell>
          <cell r="AO44">
            <v>14.64985396875</v>
          </cell>
          <cell r="AP44">
            <v>3.845586666796875</v>
          </cell>
          <cell r="AQ44">
            <v>3.845586666796875</v>
          </cell>
          <cell r="AR44">
            <v>3.845586666796875</v>
          </cell>
          <cell r="AS44">
            <v>3.845586666796875</v>
          </cell>
          <cell r="AT44">
            <v>15.3823466671875</v>
          </cell>
          <cell r="AU44">
            <v>4.488727113281251</v>
          </cell>
          <cell r="AV44">
            <v>4.488727113281251</v>
          </cell>
          <cell r="AW44">
            <v>4.488727113281251</v>
          </cell>
          <cell r="AX44">
            <v>4.488727113281251</v>
          </cell>
          <cell r="AY44">
            <v>17.954908453125004</v>
          </cell>
        </row>
        <row r="45">
          <cell r="A45" t="str">
            <v xml:space="preserve">     Other one-time items</v>
          </cell>
          <cell r="P45">
            <v>0</v>
          </cell>
          <cell r="U45">
            <v>0</v>
          </cell>
          <cell r="V45">
            <v>0</v>
          </cell>
          <cell r="W45">
            <v>0</v>
          </cell>
          <cell r="X45">
            <v>0</v>
          </cell>
          <cell r="Y45">
            <v>0</v>
          </cell>
          <cell r="Z45">
            <v>0</v>
          </cell>
          <cell r="AA45">
            <v>0</v>
          </cell>
          <cell r="AB45">
            <v>0</v>
          </cell>
          <cell r="AC45">
            <v>0</v>
          </cell>
          <cell r="AD45">
            <v>0.18</v>
          </cell>
          <cell r="AE45">
            <v>0.18</v>
          </cell>
          <cell r="AF45">
            <v>0.14199999999999999</v>
          </cell>
          <cell r="AG45">
            <v>4.9000000000000002E-2</v>
          </cell>
          <cell r="AH45">
            <v>0</v>
          </cell>
          <cell r="AI45">
            <v>0</v>
          </cell>
          <cell r="AJ45">
            <v>0.191</v>
          </cell>
          <cell r="AK45">
            <v>0</v>
          </cell>
          <cell r="AL45">
            <v>0</v>
          </cell>
          <cell r="AM45">
            <v>0</v>
          </cell>
          <cell r="AN45">
            <v>0</v>
          </cell>
          <cell r="AO45">
            <v>0</v>
          </cell>
          <cell r="AP45">
            <v>0</v>
          </cell>
          <cell r="AQ45">
            <v>0</v>
          </cell>
          <cell r="AR45">
            <v>0</v>
          </cell>
          <cell r="AS45">
            <v>0</v>
          </cell>
          <cell r="AT45">
            <v>0</v>
          </cell>
          <cell r="AU45">
            <v>0</v>
          </cell>
          <cell r="AV45">
            <v>0</v>
          </cell>
          <cell r="AW45">
            <v>0</v>
          </cell>
          <cell r="AX45">
            <v>0</v>
          </cell>
          <cell r="AY45">
            <v>0</v>
          </cell>
        </row>
        <row r="46">
          <cell r="A46" t="str">
            <v xml:space="preserve">  General &amp; Administration</v>
          </cell>
          <cell r="F46">
            <v>1.6</v>
          </cell>
          <cell r="K46">
            <v>3.9779999999999998</v>
          </cell>
          <cell r="L46">
            <v>0</v>
          </cell>
          <cell r="M46">
            <v>0</v>
          </cell>
          <cell r="N46">
            <v>0</v>
          </cell>
          <cell r="O46">
            <v>0</v>
          </cell>
          <cell r="P46">
            <v>5.79</v>
          </cell>
          <cell r="Q46">
            <v>1.498</v>
          </cell>
          <cell r="R46">
            <v>1.8739999999999999</v>
          </cell>
          <cell r="S46">
            <v>2.3770000000000002</v>
          </cell>
          <cell r="T46">
            <v>2.5150000000000001</v>
          </cell>
          <cell r="U46">
            <v>8.2639999999999993</v>
          </cell>
          <cell r="V46">
            <v>3.101</v>
          </cell>
          <cell r="W46">
            <v>4.1829999999999998</v>
          </cell>
          <cell r="X46">
            <v>5</v>
          </cell>
          <cell r="Y46">
            <v>6</v>
          </cell>
          <cell r="Z46">
            <v>18.283999999999999</v>
          </cell>
          <cell r="AA46">
            <v>6.0350000000000001</v>
          </cell>
          <cell r="AB46">
            <v>6.42</v>
          </cell>
          <cell r="AC46">
            <v>6.915</v>
          </cell>
          <cell r="AD46">
            <v>8.9840000000000018</v>
          </cell>
          <cell r="AE46">
            <v>28.354000000000003</v>
          </cell>
          <cell r="AF46">
            <v>8.5459999999999994</v>
          </cell>
          <cell r="AG46">
            <v>9.322000000000001</v>
          </cell>
          <cell r="AH46">
            <v>9.5545806654759282</v>
          </cell>
          <cell r="AI46">
            <v>9.2330696820646292</v>
          </cell>
          <cell r="AJ46">
            <v>36.655650347540558</v>
          </cell>
          <cell r="AK46">
            <v>9.3002855740473951</v>
          </cell>
          <cell r="AL46">
            <v>10.220712184184578</v>
          </cell>
          <cell r="AM46">
            <v>10.465806478044554</v>
          </cell>
          <cell r="AN46">
            <v>11.976004167138086</v>
          </cell>
          <cell r="AO46">
            <v>41.962808403414613</v>
          </cell>
          <cell r="AP46">
            <v>12.428302326983449</v>
          </cell>
          <cell r="AQ46">
            <v>12.683034225872003</v>
          </cell>
          <cell r="AR46">
            <v>12.409421813322078</v>
          </cell>
          <cell r="AS46">
            <v>13.039561753743005</v>
          </cell>
          <cell r="AT46">
            <v>50.560320119920533</v>
          </cell>
          <cell r="AU46">
            <v>14.719966629772456</v>
          </cell>
          <cell r="AV46" t="str">
            <v>mstag:generalAndAdministrativeExpenses</v>
          </cell>
          <cell r="AW46">
            <v>6</v>
          </cell>
          <cell r="AX46" t="str">
            <v>ISO4217:USD</v>
          </cell>
          <cell r="AY46" t="b">
            <v>0</v>
          </cell>
          <cell r="BA46" t="str">
            <v>mstag:generalAndAdministrativeExpenses</v>
          </cell>
          <cell r="BB46">
            <v>6</v>
          </cell>
          <cell r="BC46" t="str">
            <v>ISO4217:USD</v>
          </cell>
          <cell r="BD46" t="b">
            <v>0</v>
          </cell>
        </row>
        <row r="47">
          <cell r="A47" t="str">
            <v xml:space="preserve">     YoY change</v>
          </cell>
          <cell r="F47" t="str">
            <v/>
          </cell>
          <cell r="K47">
            <v>1.4862499999999996</v>
          </cell>
          <cell r="L47" t="str">
            <v/>
          </cell>
          <cell r="M47" t="str">
            <v/>
          </cell>
          <cell r="N47" t="str">
            <v/>
          </cell>
          <cell r="O47" t="str">
            <v/>
          </cell>
          <cell r="P47">
            <v>0.45550527903469096</v>
          </cell>
          <cell r="Q47" t="str">
            <v/>
          </cell>
          <cell r="R47" t="str">
            <v/>
          </cell>
          <cell r="S47" t="str">
            <v/>
          </cell>
          <cell r="T47" t="str">
            <v/>
          </cell>
          <cell r="U47">
            <v>0.4272884283246976</v>
          </cell>
          <cell r="V47">
            <v>1.0700934579439254</v>
          </cell>
          <cell r="W47">
            <v>1.2321237993596585</v>
          </cell>
          <cell r="X47">
            <v>1.1034917963819941</v>
          </cell>
          <cell r="Y47">
            <v>1.3856858846918487</v>
          </cell>
          <cell r="Z47">
            <v>1.2124878993223622</v>
          </cell>
          <cell r="AA47">
            <v>0.9461464043856822</v>
          </cell>
          <cell r="AB47">
            <v>0.53478364809945012</v>
          </cell>
          <cell r="AC47">
            <v>0.38300000000000001</v>
          </cell>
          <cell r="AD47">
            <v>0.49733333333333363</v>
          </cell>
          <cell r="AE47">
            <v>0.550754758258587</v>
          </cell>
          <cell r="AF47">
            <v>0.4160729080364538</v>
          </cell>
          <cell r="AG47">
            <v>0.4520249221183803</v>
          </cell>
          <cell r="AH47">
            <v>0.38171810057497146</v>
          </cell>
          <cell r="AI47">
            <v>2.7723695688404604E-2</v>
          </cell>
          <cell r="AJ47">
            <v>0.29278586257813899</v>
          </cell>
          <cell r="AK47">
            <v>8.8261827059138209E-2</v>
          </cell>
          <cell r="AL47">
            <v>9.64076576040096E-2</v>
          </cell>
          <cell r="AM47">
            <v>9.537057087823908E-2</v>
          </cell>
          <cell r="AN47">
            <v>0.29707719962318135</v>
          </cell>
          <cell r="AO47">
            <v>0.14478417394196219</v>
          </cell>
          <cell r="AP47">
            <v>0.33633555959451789</v>
          </cell>
          <cell r="AQ47">
            <v>0.2409149183848065</v>
          </cell>
          <cell r="AR47">
            <v>0.18571099507284905</v>
          </cell>
          <cell r="AS47">
            <v>8.8807382809977575E-2</v>
          </cell>
          <cell r="AT47">
            <v>0.20488408768671262</v>
          </cell>
          <cell r="AU47">
            <v>0.23512079746699888</v>
          </cell>
          <cell r="AV47">
            <v>0.22165389102226651</v>
          </cell>
          <cell r="AW47">
            <v>0.20542904071822798</v>
          </cell>
          <cell r="AX47">
            <v>0.17954498189961376</v>
          </cell>
          <cell r="AY47">
            <v>0.2096987412750797</v>
          </cell>
        </row>
        <row r="48">
          <cell r="A48" t="str">
            <v xml:space="preserve">     % of revenues</v>
          </cell>
          <cell r="F48">
            <v>0.17636684303350972</v>
          </cell>
          <cell r="K48">
            <v>0.21910112359550563</v>
          </cell>
          <cell r="L48">
            <v>0</v>
          </cell>
          <cell r="M48">
            <v>0</v>
          </cell>
          <cell r="N48">
            <v>0</v>
          </cell>
          <cell r="O48">
            <v>0</v>
          </cell>
          <cell r="P48">
            <v>0.16542857142857142</v>
          </cell>
          <cell r="Q48">
            <v>0.12290777814243517</v>
          </cell>
          <cell r="R48">
            <v>0.12253972405675798</v>
          </cell>
          <cell r="S48">
            <v>0.14872051554776952</v>
          </cell>
          <cell r="T48">
            <v>0.11039901672446338</v>
          </cell>
          <cell r="U48">
            <v>0.12474903766321987</v>
          </cell>
          <cell r="V48">
            <v>0.15024952759339116</v>
          </cell>
          <cell r="W48">
            <v>0.16120081698716715</v>
          </cell>
          <cell r="X48">
            <v>0.16039521380682001</v>
          </cell>
          <cell r="Y48">
            <v>0.13953488372093023</v>
          </cell>
          <cell r="Z48">
            <v>0.15140649713069618</v>
          </cell>
          <cell r="AA48">
            <v>0.16227044177354735</v>
          </cell>
          <cell r="AB48">
            <v>0.14432479823752895</v>
          </cell>
          <cell r="AC48">
            <v>0.13286578922086656</v>
          </cell>
          <cell r="AD48">
            <v>0.13773859716366424</v>
          </cell>
          <cell r="AE48">
            <v>0.1425225188997909</v>
          </cell>
          <cell r="AF48">
            <v>0.14938731274144773</v>
          </cell>
          <cell r="AG48">
            <v>0.13939856145230511</v>
          </cell>
          <cell r="AH48">
            <v>0.13600000000000001</v>
          </cell>
          <cell r="AI48">
            <v>0.11</v>
          </cell>
          <cell r="AJ48">
            <v>0.13172632151742683</v>
          </cell>
          <cell r="AK48">
            <v>0.125</v>
          </cell>
          <cell r="AL48">
            <v>0.115</v>
          </cell>
          <cell r="AM48">
            <v>0.11</v>
          </cell>
          <cell r="AN48">
            <v>0.105</v>
          </cell>
          <cell r="AO48">
            <v>0.11265820988047585</v>
          </cell>
          <cell r="AP48">
            <v>0.12</v>
          </cell>
          <cell r="AQ48">
            <v>0.11</v>
          </cell>
          <cell r="AR48">
            <v>0.105</v>
          </cell>
          <cell r="AS48">
            <v>9.5000000000000001E-2</v>
          </cell>
          <cell r="AT48">
            <v>0.10659694944110824</v>
          </cell>
          <cell r="AU48">
            <v>0.105</v>
          </cell>
          <cell r="AV48">
            <v>9.5000000000000001E-2</v>
          </cell>
          <cell r="AW48">
            <v>8.4999999999999992E-2</v>
          </cell>
          <cell r="AX48">
            <v>7.4999999999999997E-2</v>
          </cell>
          <cell r="AY48">
            <v>8.839965215000431E-2</v>
          </cell>
        </row>
        <row r="49">
          <cell r="A49" t="str">
            <v xml:space="preserve">     GAAP Cost</v>
          </cell>
          <cell r="F49">
            <v>1.61</v>
          </cell>
          <cell r="K49">
            <v>4.4619999999999997</v>
          </cell>
          <cell r="P49">
            <v>6.4619999999999997</v>
          </cell>
          <cell r="Q49">
            <v>1.6639999999999999</v>
          </cell>
          <cell r="R49">
            <v>2.0499999999999998</v>
          </cell>
          <cell r="S49">
            <v>2.5470000000000002</v>
          </cell>
          <cell r="T49">
            <v>2.6880000000000002</v>
          </cell>
          <cell r="U49">
            <v>8.9489999999999998</v>
          </cell>
          <cell r="V49">
            <v>3.2919999999999998</v>
          </cell>
          <cell r="W49">
            <v>4.4459999999999997</v>
          </cell>
          <cell r="X49">
            <v>5.37</v>
          </cell>
          <cell r="Y49">
            <v>6.3884999999999996</v>
          </cell>
          <cell r="Z49">
            <v>19.496500000000001</v>
          </cell>
          <cell r="AA49">
            <v>6.8460000000000001</v>
          </cell>
          <cell r="AB49">
            <v>7.2469999999999999</v>
          </cell>
          <cell r="AC49">
            <v>7.625</v>
          </cell>
          <cell r="AD49">
            <v>10.884</v>
          </cell>
          <cell r="AE49">
            <v>32.602000000000004</v>
          </cell>
          <cell r="AF49">
            <v>10.446</v>
          </cell>
          <cell r="AG49">
            <v>11.912000000000001</v>
          </cell>
          <cell r="AH49">
            <v>12.003305665475928</v>
          </cell>
          <cell r="AI49">
            <v>11.743012807064629</v>
          </cell>
          <cell r="AJ49">
            <v>46.104318472540555</v>
          </cell>
          <cell r="AK49">
            <v>11.691573456859896</v>
          </cell>
          <cell r="AL49">
            <v>12.612000066997076</v>
          </cell>
          <cell r="AM49">
            <v>12.857094360857054</v>
          </cell>
          <cell r="AN49">
            <v>14.367292049950585</v>
          </cell>
          <cell r="AO49">
            <v>51.527959934664615</v>
          </cell>
          <cell r="AP49">
            <v>14.939154603936574</v>
          </cell>
          <cell r="AQ49">
            <v>15.193886502825128</v>
          </cell>
          <cell r="AR49">
            <v>14.920274090275203</v>
          </cell>
          <cell r="AS49">
            <v>15.55041403069613</v>
          </cell>
          <cell r="AT49">
            <v>60.603729227733041</v>
          </cell>
          <cell r="AU49">
            <v>17.571016125866205</v>
          </cell>
          <cell r="AV49">
            <v>17.496873071247585</v>
          </cell>
          <cell r="AW49">
            <v>17.655472326777812</v>
          </cell>
          <cell r="AX49">
            <v>18.258027886368922</v>
          </cell>
          <cell r="AY49">
            <v>70.981389410260519</v>
          </cell>
        </row>
        <row r="50">
          <cell r="A50" t="str">
            <v xml:space="preserve">     SBC</v>
          </cell>
          <cell r="F50">
            <v>0.01</v>
          </cell>
          <cell r="K50">
            <v>0.48399999999999999</v>
          </cell>
          <cell r="P50">
            <v>0.67200000000000004</v>
          </cell>
          <cell r="Q50">
            <v>0.16600000000000001</v>
          </cell>
          <cell r="R50">
            <v>0.17599999999999999</v>
          </cell>
          <cell r="S50">
            <v>0.17</v>
          </cell>
          <cell r="T50">
            <v>0.17299999999999999</v>
          </cell>
          <cell r="U50">
            <v>0.68500000000000005</v>
          </cell>
          <cell r="V50">
            <v>0.191</v>
          </cell>
          <cell r="W50">
            <v>0.26300000000000001</v>
          </cell>
          <cell r="X50">
            <v>0.37</v>
          </cell>
          <cell r="Y50">
            <v>0.38850000000000001</v>
          </cell>
          <cell r="Z50">
            <v>1.2125000000000001</v>
          </cell>
          <cell r="AA50">
            <v>0.81100000000000005</v>
          </cell>
          <cell r="AB50">
            <v>0.82699999999999996</v>
          </cell>
          <cell r="AC50">
            <v>0.71</v>
          </cell>
          <cell r="AD50">
            <v>1.6519999999999999</v>
          </cell>
          <cell r="AE50">
            <v>4</v>
          </cell>
          <cell r="AF50">
            <v>1.762</v>
          </cell>
          <cell r="AG50">
            <v>2.3889999999999998</v>
          </cell>
          <cell r="AH50">
            <v>2.4487249999999996</v>
          </cell>
          <cell r="AI50">
            <v>2.5099431249999995</v>
          </cell>
          <cell r="AJ50">
            <v>9.1096681249999989</v>
          </cell>
          <cell r="AK50">
            <v>2.3912878828124997</v>
          </cell>
          <cell r="AL50">
            <v>2.3912878828124997</v>
          </cell>
          <cell r="AM50">
            <v>2.3912878828124997</v>
          </cell>
          <cell r="AN50">
            <v>2.3912878828124997</v>
          </cell>
          <cell r="AO50">
            <v>9.5651515312499988</v>
          </cell>
          <cell r="AP50">
            <v>2.5108522769531247</v>
          </cell>
          <cell r="AQ50">
            <v>2.5108522769531247</v>
          </cell>
          <cell r="AR50">
            <v>2.5108522769531247</v>
          </cell>
          <cell r="AS50">
            <v>2.5108522769531247</v>
          </cell>
          <cell r="AT50">
            <v>10.043409107812499</v>
          </cell>
          <cell r="AU50">
            <v>2.8510494960937502</v>
          </cell>
          <cell r="AV50">
            <v>2.8510494960937502</v>
          </cell>
          <cell r="AW50">
            <v>2.8510494960937502</v>
          </cell>
          <cell r="AX50">
            <v>2.8510494960937502</v>
          </cell>
          <cell r="AY50">
            <v>11.404197984375001</v>
          </cell>
        </row>
        <row r="51">
          <cell r="A51" t="str">
            <v xml:space="preserve">     Amortization of intangibles</v>
          </cell>
          <cell r="P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cell r="AI51">
            <v>0</v>
          </cell>
          <cell r="AJ51">
            <v>0</v>
          </cell>
          <cell r="AK51">
            <v>0</v>
          </cell>
          <cell r="AL51">
            <v>0</v>
          </cell>
          <cell r="AM51">
            <v>0</v>
          </cell>
          <cell r="AN51">
            <v>0</v>
          </cell>
          <cell r="AO51">
            <v>0</v>
          </cell>
          <cell r="AP51">
            <v>0</v>
          </cell>
          <cell r="AQ51">
            <v>0</v>
          </cell>
          <cell r="AR51">
            <v>0</v>
          </cell>
          <cell r="AS51">
            <v>0</v>
          </cell>
          <cell r="AT51">
            <v>0</v>
          </cell>
          <cell r="AU51">
            <v>0</v>
          </cell>
          <cell r="AV51">
            <v>0</v>
          </cell>
          <cell r="AW51">
            <v>0</v>
          </cell>
          <cell r="AX51">
            <v>0</v>
          </cell>
          <cell r="AY51">
            <v>0</v>
          </cell>
        </row>
        <row r="52">
          <cell r="A52" t="str">
            <v xml:space="preserve">     Other one-time items</v>
          </cell>
          <cell r="P52">
            <v>0</v>
          </cell>
          <cell r="AD52">
            <v>0.248</v>
          </cell>
          <cell r="AE52">
            <v>0.248</v>
          </cell>
          <cell r="AF52">
            <v>0.13800000000000001</v>
          </cell>
          <cell r="AG52">
            <v>0.20100000000000001</v>
          </cell>
          <cell r="AH52">
            <v>2.7730000000000001</v>
          </cell>
          <cell r="AI52">
            <v>0</v>
          </cell>
          <cell r="AJ52">
            <v>3.1120000000000001</v>
          </cell>
          <cell r="AK52">
            <v>0</v>
          </cell>
          <cell r="AL52">
            <v>0</v>
          </cell>
          <cell r="AM52">
            <v>0</v>
          </cell>
          <cell r="AN52">
            <v>0</v>
          </cell>
          <cell r="AO52">
            <v>0</v>
          </cell>
          <cell r="AP52">
            <v>0</v>
          </cell>
          <cell r="AQ52">
            <v>0</v>
          </cell>
          <cell r="AR52">
            <v>0</v>
          </cell>
          <cell r="AS52">
            <v>0</v>
          </cell>
          <cell r="AT52">
            <v>0</v>
          </cell>
          <cell r="AU52">
            <v>0</v>
          </cell>
          <cell r="AV52">
            <v>0</v>
          </cell>
          <cell r="AW52">
            <v>0</v>
          </cell>
          <cell r="AX52">
            <v>0</v>
          </cell>
          <cell r="AY52">
            <v>0</v>
          </cell>
        </row>
        <row r="53">
          <cell r="A53" t="str">
            <v>Special Charges</v>
          </cell>
          <cell r="F53">
            <v>9.0000000000000011E-2</v>
          </cell>
          <cell r="K53">
            <v>0</v>
          </cell>
          <cell r="L53">
            <v>0</v>
          </cell>
          <cell r="M53">
            <v>0</v>
          </cell>
          <cell r="N53">
            <v>0</v>
          </cell>
          <cell r="O53">
            <v>0</v>
          </cell>
          <cell r="P53">
            <v>1.3</v>
          </cell>
          <cell r="Q53">
            <v>0.32400000000000001</v>
          </cell>
          <cell r="R53">
            <v>0.41400000000000003</v>
          </cell>
          <cell r="S53">
            <v>0.41700000000000004</v>
          </cell>
          <cell r="T53">
            <v>0.43000000000000005</v>
          </cell>
          <cell r="U53">
            <v>1.585</v>
          </cell>
          <cell r="V53">
            <v>0.51</v>
          </cell>
          <cell r="W53">
            <v>0.71600000000000008</v>
          </cell>
          <cell r="X53">
            <v>1.0409999999999999</v>
          </cell>
          <cell r="Y53">
            <v>1.0803700000000003</v>
          </cell>
          <cell r="Z53">
            <v>3.3473700000000002</v>
          </cell>
          <cell r="AA53">
            <v>16.759</v>
          </cell>
          <cell r="AB53">
            <v>3.8659999999999997</v>
          </cell>
          <cell r="AC53">
            <v>4.6849999999999996</v>
          </cell>
          <cell r="AD53">
            <v>9.1429999999999989</v>
          </cell>
          <cell r="AE53">
            <v>34.452999999999996</v>
          </cell>
          <cell r="AF53">
            <v>10.389999999999999</v>
          </cell>
          <cell r="AG53">
            <v>12.520999999999999</v>
          </cell>
          <cell r="AH53">
            <v>12.27755</v>
          </cell>
          <cell r="AI53">
            <v>12.607194999999997</v>
          </cell>
          <cell r="AJ53">
            <v>47.795744999999997</v>
          </cell>
          <cell r="AK53">
            <v>12.352326656249998</v>
          </cell>
          <cell r="AL53">
            <v>12.402393937499998</v>
          </cell>
          <cell r="AM53">
            <v>12.454964582812497</v>
          </cell>
          <cell r="AN53">
            <v>12.510163760390622</v>
          </cell>
          <cell r="AO53">
            <v>49.719848936953113</v>
          </cell>
          <cell r="AP53">
            <v>13.135671948410156</v>
          </cell>
          <cell r="AQ53">
            <v>13.196529041690038</v>
          </cell>
          <cell r="AR53">
            <v>13.260428989633915</v>
          </cell>
          <cell r="AS53">
            <v>13.327523934974986</v>
          </cell>
          <cell r="AT53">
            <v>52.920153914709097</v>
          </cell>
          <cell r="AU53">
            <v>15.465656698789473</v>
          </cell>
          <cell r="AV53">
            <v>15.560539810799259</v>
          </cell>
          <cell r="AW53">
            <v>15.660167078409534</v>
          </cell>
          <cell r="AX53">
            <v>15.764775709400324</v>
          </cell>
          <cell r="AY53">
            <v>62.451139297398591</v>
          </cell>
        </row>
        <row r="54">
          <cell r="A54" t="str">
            <v xml:space="preserve">     Amortization of acq. intangibles</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cell r="AI54">
            <v>0</v>
          </cell>
          <cell r="AJ54">
            <v>0</v>
          </cell>
          <cell r="AK54">
            <v>0</v>
          </cell>
          <cell r="AL54">
            <v>0</v>
          </cell>
          <cell r="AM54">
            <v>0</v>
          </cell>
          <cell r="AN54">
            <v>0</v>
          </cell>
          <cell r="AO54">
            <v>0</v>
          </cell>
          <cell r="AP54">
            <v>0</v>
          </cell>
          <cell r="AQ54">
            <v>0</v>
          </cell>
          <cell r="AR54">
            <v>0</v>
          </cell>
          <cell r="AS54">
            <v>0</v>
          </cell>
          <cell r="AT54">
            <v>0</v>
          </cell>
          <cell r="AU54">
            <v>0</v>
          </cell>
          <cell r="AV54">
            <v>0</v>
          </cell>
          <cell r="AW54">
            <v>0</v>
          </cell>
          <cell r="AX54">
            <v>0</v>
          </cell>
          <cell r="AY54">
            <v>0</v>
          </cell>
        </row>
        <row r="55">
          <cell r="A55" t="str">
            <v xml:space="preserve">     Stock-based compensation</v>
          </cell>
          <cell r="F55">
            <v>9.0000000000000011E-2</v>
          </cell>
          <cell r="L55">
            <v>0</v>
          </cell>
          <cell r="M55">
            <v>0</v>
          </cell>
          <cell r="N55">
            <v>0</v>
          </cell>
          <cell r="O55">
            <v>0</v>
          </cell>
          <cell r="P55">
            <v>1.3</v>
          </cell>
          <cell r="Q55">
            <v>0.32400000000000001</v>
          </cell>
          <cell r="R55">
            <v>0.41400000000000003</v>
          </cell>
          <cell r="S55">
            <v>0.41700000000000004</v>
          </cell>
          <cell r="T55">
            <v>0.43000000000000005</v>
          </cell>
          <cell r="U55">
            <v>1.585</v>
          </cell>
          <cell r="V55">
            <v>0.51</v>
          </cell>
          <cell r="W55">
            <v>0.71600000000000008</v>
          </cell>
          <cell r="X55">
            <v>1.0409999999999999</v>
          </cell>
          <cell r="Y55">
            <v>1.0803700000000003</v>
          </cell>
          <cell r="Z55">
            <v>3.3473700000000002</v>
          </cell>
          <cell r="AA55">
            <v>2.6720000000000002</v>
          </cell>
          <cell r="AB55">
            <v>3.8659999999999997</v>
          </cell>
          <cell r="AC55">
            <v>4.6849999999999996</v>
          </cell>
          <cell r="AD55">
            <v>8.2569999999999997</v>
          </cell>
          <cell r="AE55">
            <v>19.479999999999997</v>
          </cell>
          <cell r="AF55">
            <v>9.831999999999999</v>
          </cell>
          <cell r="AG55">
            <v>11.956999999999999</v>
          </cell>
          <cell r="AH55">
            <v>12.27755</v>
          </cell>
          <cell r="AI55">
            <v>12.607194999999997</v>
          </cell>
          <cell r="AJ55">
            <v>46.673744999999997</v>
          </cell>
          <cell r="AK55">
            <v>12.352326656249998</v>
          </cell>
          <cell r="AL55">
            <v>12.402393937499998</v>
          </cell>
          <cell r="AM55">
            <v>12.454964582812497</v>
          </cell>
          <cell r="AN55">
            <v>12.510163760390622</v>
          </cell>
          <cell r="AO55">
            <v>49.719848936953113</v>
          </cell>
          <cell r="AP55">
            <v>13.135671948410156</v>
          </cell>
          <cell r="AQ55">
            <v>13.196529041690038</v>
          </cell>
          <cell r="AR55">
            <v>13.260428989633915</v>
          </cell>
          <cell r="AS55">
            <v>13.327523934974986</v>
          </cell>
          <cell r="AT55">
            <v>52.920153914709097</v>
          </cell>
          <cell r="AU55">
            <v>15.465656698789473</v>
          </cell>
          <cell r="AV55">
            <v>15.560539810799259</v>
          </cell>
          <cell r="AW55">
            <v>15.660167078409534</v>
          </cell>
          <cell r="AX55">
            <v>15.764775709400324</v>
          </cell>
          <cell r="AY55">
            <v>62.451139297398591</v>
          </cell>
        </row>
        <row r="56">
          <cell r="A56" t="str">
            <v xml:space="preserve">     Other one-time items</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14.087</v>
          </cell>
          <cell r="AB56">
            <v>0</v>
          </cell>
          <cell r="AC56">
            <v>0</v>
          </cell>
          <cell r="AD56">
            <v>0.88600000000000001</v>
          </cell>
          <cell r="AE56">
            <v>14.972999999999999</v>
          </cell>
          <cell r="AF56">
            <v>0.55800000000000005</v>
          </cell>
          <cell r="AG56">
            <v>0.56400000000000006</v>
          </cell>
          <cell r="AH56">
            <v>0</v>
          </cell>
          <cell r="AI56">
            <v>0</v>
          </cell>
          <cell r="AJ56">
            <v>1.1220000000000001</v>
          </cell>
          <cell r="AK56">
            <v>0</v>
          </cell>
          <cell r="AL56">
            <v>0</v>
          </cell>
          <cell r="AM56">
            <v>0</v>
          </cell>
          <cell r="AN56">
            <v>0</v>
          </cell>
          <cell r="AO56">
            <v>0</v>
          </cell>
          <cell r="AP56">
            <v>0</v>
          </cell>
          <cell r="AQ56">
            <v>0</v>
          </cell>
          <cell r="AR56">
            <v>0</v>
          </cell>
          <cell r="AS56">
            <v>0</v>
          </cell>
          <cell r="AT56">
            <v>0</v>
          </cell>
          <cell r="AU56">
            <v>0</v>
          </cell>
          <cell r="AV56" t="str">
            <v>mstag:restructuringCostsOneTime</v>
          </cell>
          <cell r="AW56">
            <v>6</v>
          </cell>
          <cell r="AX56" t="str">
            <v>ISO4217:USD</v>
          </cell>
          <cell r="AY56" t="b">
            <v>0</v>
          </cell>
          <cell r="BA56" t="str">
            <v>mstag:restructuringCostsOneTime</v>
          </cell>
          <cell r="BB56">
            <v>6</v>
          </cell>
          <cell r="BC56" t="str">
            <v>ISO4217:USD</v>
          </cell>
          <cell r="BD56" t="b">
            <v>0</v>
          </cell>
        </row>
        <row r="57">
          <cell r="A57" t="str">
            <v>Total Operating Expenses</v>
          </cell>
          <cell r="F57">
            <v>14.464</v>
          </cell>
          <cell r="K57">
            <v>29.670999999999999</v>
          </cell>
          <cell r="L57">
            <v>0</v>
          </cell>
          <cell r="M57">
            <v>0</v>
          </cell>
          <cell r="N57">
            <v>0</v>
          </cell>
          <cell r="O57">
            <v>0</v>
          </cell>
          <cell r="P57">
            <v>37.744</v>
          </cell>
          <cell r="Q57">
            <v>11.447999999999999</v>
          </cell>
          <cell r="R57">
            <v>13.200000000000001</v>
          </cell>
          <cell r="S57">
            <v>15.343</v>
          </cell>
          <cell r="T57">
            <v>21.365000000000002</v>
          </cell>
          <cell r="U57">
            <v>61.356000000000009</v>
          </cell>
          <cell r="V57">
            <v>19.907</v>
          </cell>
          <cell r="W57">
            <v>25.561</v>
          </cell>
          <cell r="X57">
            <v>30.019999999999996</v>
          </cell>
          <cell r="Y57">
            <v>39</v>
          </cell>
          <cell r="Z57">
            <v>114.488</v>
          </cell>
          <cell r="AA57">
            <v>36.551000000000002</v>
          </cell>
          <cell r="AB57">
            <v>40.779000000000003</v>
          </cell>
          <cell r="AC57">
            <v>47.183</v>
          </cell>
          <cell r="AD57">
            <v>55.890999999999998</v>
          </cell>
          <cell r="AE57">
            <v>180.40400000000002</v>
          </cell>
          <cell r="AF57">
            <v>56.538000000000004</v>
          </cell>
          <cell r="AG57">
            <v>61.100000000000009</v>
          </cell>
          <cell r="AH57">
            <v>64.001639604768897</v>
          </cell>
          <cell r="AI57">
            <v>69.248022615484714</v>
          </cell>
          <cell r="AJ57">
            <v>250.88766222025359</v>
          </cell>
          <cell r="AK57">
            <v>67.70607897906504</v>
          </cell>
          <cell r="AL57">
            <v>76.877530776692694</v>
          </cell>
          <cell r="AM57">
            <v>82.013865309767311</v>
          </cell>
          <cell r="AN57">
            <v>91.359803217881961</v>
          </cell>
          <cell r="AO57">
            <v>317.95727828340699</v>
          </cell>
          <cell r="AP57">
            <v>90.623037800920969</v>
          </cell>
          <cell r="AQ57">
            <v>95.699258249761471</v>
          </cell>
          <cell r="AR57">
            <v>97.502599961816344</v>
          </cell>
          <cell r="AS57">
            <v>106.37537220158767</v>
          </cell>
          <cell r="AT57">
            <v>390.20026821408646</v>
          </cell>
          <cell r="AU57">
            <v>120.2130608098084</v>
          </cell>
          <cell r="AV57">
            <v>121.40616910982786</v>
          </cell>
          <cell r="AW57">
            <v>135.41692648066896</v>
          </cell>
          <cell r="AX57">
            <v>149.44769038566918</v>
          </cell>
          <cell r="AY57">
            <v>526.48384678597438</v>
          </cell>
        </row>
        <row r="58">
          <cell r="A58" t="str">
            <v xml:space="preserve">     YoY change</v>
          </cell>
          <cell r="L58" t="str">
            <v/>
          </cell>
          <cell r="M58" t="str">
            <v/>
          </cell>
          <cell r="N58" t="str">
            <v/>
          </cell>
          <cell r="O58" t="str">
            <v/>
          </cell>
          <cell r="P58">
            <v>0.27208385292035997</v>
          </cell>
          <cell r="Q58" t="str">
            <v/>
          </cell>
          <cell r="R58" t="str">
            <v/>
          </cell>
          <cell r="S58" t="str">
            <v/>
          </cell>
          <cell r="T58" t="str">
            <v/>
          </cell>
          <cell r="U58">
            <v>0.62558287409919489</v>
          </cell>
          <cell r="V58">
            <v>0.7389063591893783</v>
          </cell>
          <cell r="W58">
            <v>0.93643939393939379</v>
          </cell>
          <cell r="X58">
            <v>0.95659258293684402</v>
          </cell>
          <cell r="Y58">
            <v>0.82541539901708383</v>
          </cell>
          <cell r="Z58">
            <v>0.86596257904687368</v>
          </cell>
          <cell r="AA58">
            <v>0.83608780830863516</v>
          </cell>
          <cell r="AB58">
            <v>0.59536011893118435</v>
          </cell>
          <cell r="AC58">
            <v>0.57171885409726864</v>
          </cell>
          <cell r="AD58">
            <v>0.43310256410256409</v>
          </cell>
          <cell r="AE58">
            <v>0.5757459297044234</v>
          </cell>
          <cell r="AF58">
            <v>0.54682498426855619</v>
          </cell>
          <cell r="AG58">
            <v>0.49832021383555269</v>
          </cell>
          <cell r="AH58">
            <v>0.35645549466479243</v>
          </cell>
          <cell r="AI58">
            <v>0.23898342515762327</v>
          </cell>
          <cell r="AJ58">
            <v>0.3906989990258174</v>
          </cell>
          <cell r="AK58">
            <v>0.19753226111756761</v>
          </cell>
          <cell r="AL58">
            <v>0.25822472629611593</v>
          </cell>
          <cell r="AM58">
            <v>0.28143381663703959</v>
          </cell>
          <cell r="AN58">
            <v>0.31931280875957868</v>
          </cell>
          <cell r="AO58">
            <v>0.26732927187257682</v>
          </cell>
          <cell r="AP58">
            <v>0.33847712299130372</v>
          </cell>
          <cell r="AQ58">
            <v>0.24482741944119568</v>
          </cell>
          <cell r="AR58">
            <v>0.18885507460900541</v>
          </cell>
          <cell r="AS58">
            <v>0.16435640680940833</v>
          </cell>
          <cell r="AT58">
            <v>0.22720973811546674</v>
          </cell>
          <cell r="AU58">
            <v>0.26085248074756162</v>
          </cell>
          <cell r="AV58">
            <v>0.25023059022746574</v>
          </cell>
          <cell r="AW58">
            <v>0.24043966359202962</v>
          </cell>
          <cell r="AX58">
            <v>0.2204358746054671</v>
          </cell>
          <cell r="AY58">
            <v>0.24149474106734692</v>
          </cell>
        </row>
        <row r="59">
          <cell r="A59" t="str">
            <v>Total Expense</v>
          </cell>
          <cell r="F59">
            <v>15.921000000000001</v>
          </cell>
          <cell r="K59">
            <v>32.457000000000001</v>
          </cell>
          <cell r="L59">
            <v>0</v>
          </cell>
          <cell r="M59">
            <v>0</v>
          </cell>
          <cell r="N59">
            <v>0</v>
          </cell>
          <cell r="O59">
            <v>0</v>
          </cell>
          <cell r="P59">
            <v>41.003</v>
          </cell>
          <cell r="Q59">
            <v>12.593999999999998</v>
          </cell>
          <cell r="R59">
            <v>14.703000000000001</v>
          </cell>
          <cell r="S59">
            <v>16.989000000000001</v>
          </cell>
          <cell r="T59">
            <v>23.668000000000003</v>
          </cell>
          <cell r="U59">
            <v>67.954000000000008</v>
          </cell>
          <cell r="V59">
            <v>21.891999999999999</v>
          </cell>
          <cell r="W59">
            <v>28.506999999999998</v>
          </cell>
          <cell r="X59">
            <v>33.175999999999995</v>
          </cell>
          <cell r="Y59">
            <v>42</v>
          </cell>
          <cell r="Z59">
            <v>125.575</v>
          </cell>
          <cell r="AA59">
            <v>40.707999999999998</v>
          </cell>
          <cell r="AB59">
            <v>45.157000000000004</v>
          </cell>
          <cell r="AC59">
            <v>52.74</v>
          </cell>
          <cell r="AD59">
            <v>61.998999999999995</v>
          </cell>
          <cell r="AE59">
            <v>200.60400000000001</v>
          </cell>
          <cell r="AF59">
            <v>62.492000000000004</v>
          </cell>
          <cell r="AG59">
            <v>67.634000000000015</v>
          </cell>
          <cell r="AH59">
            <v>71.047918222560497</v>
          </cell>
          <cell r="AI59">
            <v>76.878382861004127</v>
          </cell>
          <cell r="AJ59">
            <v>278.0523010835646</v>
          </cell>
          <cell r="AK59">
            <v>75.859894696739048</v>
          </cell>
          <cell r="AL59">
            <v>85.377447820084569</v>
          </cell>
          <cell r="AM59">
            <v>91.240666220076776</v>
          </cell>
          <cell r="AN59">
            <v>101.65687290559916</v>
          </cell>
          <cell r="AO59">
            <v>354.13488164249952</v>
          </cell>
          <cell r="AP59">
            <v>101.94915601879802</v>
          </cell>
          <cell r="AQ59">
            <v>107.28680407517101</v>
          </cell>
          <cell r="AR59">
            <v>109.76597831984976</v>
          </cell>
          <cell r="AS59">
            <v>119.82208725548932</v>
          </cell>
          <cell r="AT59">
            <v>438.82402566930813</v>
          </cell>
          <cell r="AU59">
            <v>136.20018443647703</v>
          </cell>
          <cell r="AV59">
            <v>137.72953420307391</v>
          </cell>
          <cell r="AW59">
            <v>153.22396987639931</v>
          </cell>
          <cell r="AX59">
            <v>168.97186652569536</v>
          </cell>
          <cell r="AY59">
            <v>596.12555504164561</v>
          </cell>
        </row>
        <row r="60">
          <cell r="A60" t="str">
            <v xml:space="preserve">     YoY change</v>
          </cell>
          <cell r="L60" t="str">
            <v/>
          </cell>
          <cell r="M60" t="str">
            <v/>
          </cell>
          <cell r="N60" t="str">
            <v/>
          </cell>
          <cell r="O60" t="str">
            <v/>
          </cell>
          <cell r="P60">
            <v>0.26330221523862329</v>
          </cell>
          <cell r="U60">
            <v>0.65729336877789457</v>
          </cell>
          <cell r="V60">
            <v>0.73828807368588234</v>
          </cell>
          <cell r="W60">
            <v>0.93885601577909239</v>
          </cell>
          <cell r="X60">
            <v>0.95279298369533194</v>
          </cell>
          <cell r="Y60">
            <v>0.77454791279364521</v>
          </cell>
          <cell r="Z60">
            <v>0.84794125437796142</v>
          </cell>
          <cell r="AA60">
            <v>0.85949205189110178</v>
          </cell>
          <cell r="AB60">
            <v>0.58406707124565926</v>
          </cell>
          <cell r="AC60">
            <v>0.58970340004822797</v>
          </cell>
          <cell r="AD60">
            <v>0.47616666666666663</v>
          </cell>
          <cell r="AE60">
            <v>0.59748357555245879</v>
          </cell>
          <cell r="AF60">
            <v>0.53512823032327805</v>
          </cell>
          <cell r="AG60">
            <v>0.49775228646721459</v>
          </cell>
          <cell r="AH60">
            <v>0.34713534741297858</v>
          </cell>
          <cell r="AI60">
            <v>0.23999391701485728</v>
          </cell>
          <cell r="AJ60">
            <v>0.38607555723497322</v>
          </cell>
          <cell r="AK60">
            <v>0.21391369610092559</v>
          </cell>
          <cell r="AL60">
            <v>0.26234509004471929</v>
          </cell>
          <cell r="AM60">
            <v>0.28421308467141393</v>
          </cell>
          <cell r="AN60">
            <v>0.32230763866865497</v>
          </cell>
          <cell r="AO60">
            <v>0.27362686898271482</v>
          </cell>
          <cell r="AP60">
            <v>0.34391375609410724</v>
          </cell>
          <cell r="AQ60">
            <v>0.25661760587240678</v>
          </cell>
          <cell r="AR60">
            <v>0.20303788724086114</v>
          </cell>
          <cell r="AS60">
            <v>0.17869145322578217</v>
          </cell>
          <cell r="AT60">
            <v>0.23914375120015041</v>
          </cell>
          <cell r="AU60">
            <v>0.27402038274846707</v>
          </cell>
          <cell r="AV60">
            <v>0.2643274819335959</v>
          </cell>
          <cell r="AW60">
            <v>0.25372862409749786</v>
          </cell>
          <cell r="AX60">
            <v>0.23243528971416239</v>
          </cell>
          <cell r="AY60">
            <v>0.25457989902367784</v>
          </cell>
        </row>
        <row r="62">
          <cell r="A62" t="str">
            <v>Operating Income</v>
          </cell>
          <cell r="F62">
            <v>-6.8490000000000011</v>
          </cell>
          <cell r="K62">
            <v>-14.301</v>
          </cell>
          <cell r="L62">
            <v>6.1</v>
          </cell>
          <cell r="M62">
            <v>7.9</v>
          </cell>
          <cell r="N62">
            <v>9.9</v>
          </cell>
          <cell r="O62">
            <v>11.1</v>
          </cell>
          <cell r="P62">
            <v>-6.0030000000000001</v>
          </cell>
          <cell r="Q62">
            <v>-0.40599999999999881</v>
          </cell>
          <cell r="R62">
            <v>0.59000000000000163</v>
          </cell>
          <cell r="S62">
            <v>-1.0059999999999985</v>
          </cell>
          <cell r="T62">
            <v>-0.88700000000000401</v>
          </cell>
          <cell r="U62">
            <v>-1.7090000000000174</v>
          </cell>
          <cell r="V62">
            <v>-1.2530000000000001</v>
          </cell>
          <cell r="W62">
            <v>-2.5579999999999998</v>
          </cell>
          <cell r="X62">
            <v>-2.0029999999999966</v>
          </cell>
          <cell r="Y62">
            <v>1</v>
          </cell>
          <cell r="Z62">
            <v>-4.8139999999999965</v>
          </cell>
          <cell r="AA62">
            <v>-3.5169999999999959</v>
          </cell>
          <cell r="AB62">
            <v>-0.67400000000000659</v>
          </cell>
          <cell r="AC62">
            <v>-0.69499999999999318</v>
          </cell>
          <cell r="AD62">
            <v>3.2260000000000062</v>
          </cell>
          <cell r="AE62">
            <v>-1.6599999999999895</v>
          </cell>
          <cell r="AF62">
            <v>-5.2850000000000108</v>
          </cell>
          <cell r="AG62">
            <v>-0.76100000000000279</v>
          </cell>
          <cell r="AH62">
            <v>-0.79364862347279796</v>
          </cell>
          <cell r="AI62">
            <v>7.0586142486743171</v>
          </cell>
          <cell r="AJ62">
            <v>0.21896562520150553</v>
          </cell>
          <cell r="AK62">
            <v>-1.4576101043598868</v>
          </cell>
          <cell r="AL62">
            <v>3.4983103032595722</v>
          </cell>
          <cell r="AM62">
            <v>3.9030290348736969</v>
          </cell>
          <cell r="AN62">
            <v>12.400309638573091</v>
          </cell>
          <cell r="AO62">
            <v>18.344038872346474</v>
          </cell>
          <cell r="AP62">
            <v>1.6200300393973919</v>
          </cell>
          <cell r="AQ62">
            <v>8.0135070691199246</v>
          </cell>
          <cell r="AR62">
            <v>8.4189913308366897</v>
          </cell>
          <cell r="AS62">
            <v>17.436457520752825</v>
          </cell>
          <cell r="AT62">
            <v>35.488985960106831</v>
          </cell>
          <cell r="AU62">
            <v>3.9899739423082821</v>
          </cell>
          <cell r="AV62">
            <v>16.437029745913833</v>
          </cell>
          <cell r="AW62">
            <v>20.945710484589682</v>
          </cell>
          <cell r="AX62">
            <v>36.454512011306974</v>
          </cell>
          <cell r="AY62">
            <v>77.827226184118771</v>
          </cell>
        </row>
        <row r="63">
          <cell r="A63" t="str">
            <v xml:space="preserve">  Operating Margin</v>
          </cell>
          <cell r="F63">
            <v>-0.75496031746031766</v>
          </cell>
          <cell r="K63">
            <v>-0.78767349636483808</v>
          </cell>
          <cell r="L63">
            <v>1</v>
          </cell>
          <cell r="M63">
            <v>1</v>
          </cell>
          <cell r="N63">
            <v>1</v>
          </cell>
          <cell r="O63">
            <v>1</v>
          </cell>
          <cell r="P63">
            <v>-0.17151428571428573</v>
          </cell>
          <cell r="Q63">
            <v>-3.331145388907112E-2</v>
          </cell>
          <cell r="R63">
            <v>3.8579742365788372E-2</v>
          </cell>
          <cell r="S63">
            <v>-6.2941875742976813E-2</v>
          </cell>
          <cell r="T63">
            <v>-3.8935955401431195E-2</v>
          </cell>
          <cell r="U63">
            <v>-2.5798173447052875E-2</v>
          </cell>
          <cell r="V63">
            <v>-6.0710305731866865E-2</v>
          </cell>
          <cell r="W63">
            <v>-9.8577979883617869E-2</v>
          </cell>
          <cell r="X63">
            <v>-6.4254322651011983E-2</v>
          </cell>
          <cell r="Y63">
            <v>2.3255813953488372E-2</v>
          </cell>
          <cell r="Z63">
            <v>-3.9863863333360908E-2</v>
          </cell>
          <cell r="AA63">
            <v>-9.4565889596945382E-2</v>
          </cell>
          <cell r="AB63">
            <v>-1.5151855765123904E-2</v>
          </cell>
          <cell r="AC63">
            <v>-1.3353828417715307E-2</v>
          </cell>
          <cell r="AD63">
            <v>4.9459563050977477E-2</v>
          </cell>
          <cell r="AE63">
            <v>-8.3440566189479926E-3</v>
          </cell>
          <cell r="AF63">
            <v>-9.2383799185414575E-2</v>
          </cell>
          <cell r="AG63">
            <v>-1.1379779582193153E-2</v>
          </cell>
          <cell r="AH63">
            <v>-1.129680271393931E-2</v>
          </cell>
          <cell r="AI63">
            <v>8.4094195548251469E-2</v>
          </cell>
          <cell r="AJ63">
            <v>7.8687831406852062E-4</v>
          </cell>
          <cell r="AK63">
            <v>-1.9590932084217024E-2</v>
          </cell>
          <cell r="AL63">
            <v>3.936180548136111E-2</v>
          </cell>
          <cell r="AM63">
            <v>4.1022466327537511E-2</v>
          </cell>
          <cell r="AN63">
            <v>0.1087201118068183</v>
          </cell>
          <cell r="AO63">
            <v>4.9248528875113419E-2</v>
          </cell>
          <cell r="AP63">
            <v>1.5642008024347114E-2</v>
          </cell>
          <cell r="AQ63">
            <v>6.9501174711415439E-2</v>
          </cell>
          <cell r="AR63">
            <v>7.1235719361948391E-2</v>
          </cell>
          <cell r="AS63">
            <v>0.12703367611231495</v>
          </cell>
          <cell r="AT63">
            <v>7.4821868871340805E-2</v>
          </cell>
          <cell r="AU63">
            <v>2.8461155821848882E-2</v>
          </cell>
          <cell r="AV63">
            <v>0.1066186423623782</v>
          </cell>
          <cell r="AW63">
            <v>0.12026037161678779</v>
          </cell>
          <cell r="AX63">
            <v>0.17745779422743718</v>
          </cell>
          <cell r="AY63">
            <v>0.11547875215021597</v>
          </cell>
        </row>
        <row r="64">
          <cell r="A64" t="str">
            <v xml:space="preserve">     YoY change</v>
          </cell>
          <cell r="L64" t="str">
            <v/>
          </cell>
          <cell r="M64" t="str">
            <v/>
          </cell>
          <cell r="N64" t="str">
            <v/>
          </cell>
          <cell r="O64" t="str">
            <v/>
          </cell>
          <cell r="P64">
            <v>-0.58023914411579613</v>
          </cell>
          <cell r="Q64">
            <v>-1.0665573770491801</v>
          </cell>
          <cell r="R64">
            <v>-0.92531645569620236</v>
          </cell>
          <cell r="S64">
            <v>-1.1016161616161615</v>
          </cell>
          <cell r="T64">
            <v>-1.0799099099099103</v>
          </cell>
          <cell r="U64">
            <v>-0.7153090121605834</v>
          </cell>
          <cell r="V64">
            <v>2.0862068965517335</v>
          </cell>
          <cell r="W64">
            <v>-5.3355932203389704</v>
          </cell>
          <cell r="X64">
            <v>0.99105367793240529</v>
          </cell>
          <cell r="Y64">
            <v>-2.1273957158962746</v>
          </cell>
          <cell r="Z64">
            <v>1.8168519602106188</v>
          </cell>
          <cell r="AA64">
            <v>1.8068635275339151</v>
          </cell>
          <cell r="AB64">
            <v>-0.73651290070367215</v>
          </cell>
          <cell r="AC64">
            <v>-0.65302046929605873</v>
          </cell>
          <cell r="AD64">
            <v>2.2260000000000062</v>
          </cell>
          <cell r="AE64">
            <v>-0.65517241379310542</v>
          </cell>
          <cell r="AF64">
            <v>0.50270116576628299</v>
          </cell>
          <cell r="AG64">
            <v>0.12908011869435509</v>
          </cell>
          <cell r="AH64">
            <v>0.14194046542849748</v>
          </cell>
          <cell r="AI64">
            <v>1.1880391347409498</v>
          </cell>
          <cell r="AJ64">
            <v>-1.131907003133438</v>
          </cell>
          <cell r="AK64">
            <v>-0.72419865575025844</v>
          </cell>
          <cell r="AL64">
            <v>-5.5969912000782642</v>
          </cell>
          <cell r="AM64">
            <v>-5.9178300313746739</v>
          </cell>
          <cell r="AN64">
            <v>0.75676261681278323</v>
          </cell>
          <cell r="AO64" t="str">
            <v>NM</v>
          </cell>
          <cell r="AP64">
            <v>-2.111428930515566</v>
          </cell>
          <cell r="AQ64">
            <v>1.2906793207147147</v>
          </cell>
          <cell r="AR64">
            <v>1.1570404051860019</v>
          </cell>
          <cell r="AS64">
            <v>0.4061308168075104</v>
          </cell>
          <cell r="AT64">
            <v>0.9346331637797749</v>
          </cell>
          <cell r="AU64">
            <v>1.7743845115852266</v>
          </cell>
          <cell r="AV64">
            <v>0.5010717050877751</v>
          </cell>
          <cell r="AW64">
            <v>0.47028795902968668</v>
          </cell>
          <cell r="AX64">
            <v>0.39307226204222823</v>
          </cell>
          <cell r="AY64">
            <v>0.47392333134286813</v>
          </cell>
        </row>
        <row r="66">
          <cell r="A66" t="str">
            <v>Depreciation and Amortization</v>
          </cell>
          <cell r="F66">
            <v>0</v>
          </cell>
          <cell r="K66">
            <v>8.1370000000000005</v>
          </cell>
          <cell r="L66">
            <v>0</v>
          </cell>
          <cell r="M66">
            <v>0</v>
          </cell>
          <cell r="N66">
            <v>0</v>
          </cell>
          <cell r="O66">
            <v>0</v>
          </cell>
          <cell r="P66">
            <v>9.9420000000000002</v>
          </cell>
          <cell r="Q66">
            <v>2.4580000000000002</v>
          </cell>
          <cell r="R66">
            <v>2.5619999999999998</v>
          </cell>
          <cell r="S66">
            <v>2.9220000000000002</v>
          </cell>
          <cell r="T66">
            <v>0.27300000000000002</v>
          </cell>
          <cell r="U66">
            <v>0.95800000000000007</v>
          </cell>
          <cell r="V66">
            <v>0.34799999999999998</v>
          </cell>
          <cell r="W66">
            <v>0.497</v>
          </cell>
          <cell r="X66">
            <v>0.58399999999999996</v>
          </cell>
          <cell r="Y66">
            <v>0.69100000000000028</v>
          </cell>
          <cell r="Z66">
            <v>2.12</v>
          </cell>
          <cell r="AA66">
            <v>0.93100000000000005</v>
          </cell>
          <cell r="AB66">
            <v>1.218</v>
          </cell>
          <cell r="AC66">
            <v>1.208</v>
          </cell>
          <cell r="AD66">
            <v>1.3169999999999999</v>
          </cell>
          <cell r="AE66">
            <v>4.6740000000000004</v>
          </cell>
          <cell r="AF66">
            <v>1.425</v>
          </cell>
          <cell r="AG66">
            <v>1.4550000000000001</v>
          </cell>
          <cell r="AH66">
            <v>1.4330000000000001</v>
          </cell>
          <cell r="AI66">
            <v>1.5532450619527194</v>
          </cell>
          <cell r="AJ66">
            <v>5.8662450619527196</v>
          </cell>
          <cell r="AK66">
            <v>1.7871766331238403</v>
          </cell>
          <cell r="AL66">
            <v>1.9806030511977295</v>
          </cell>
          <cell r="AM66">
            <v>2.1817962040063055</v>
          </cell>
          <cell r="AN66">
            <v>2.3937121518716769</v>
          </cell>
          <cell r="AO66">
            <v>8.3432880401995533</v>
          </cell>
          <cell r="AP66">
            <v>2.622075990245389</v>
          </cell>
          <cell r="AQ66">
            <v>2.9963632375864893</v>
          </cell>
          <cell r="AR66">
            <v>3.37307940020463</v>
          </cell>
          <cell r="AS66">
            <v>3.7463748876877396</v>
          </cell>
          <cell r="AT66">
            <v>12.737893515724249</v>
          </cell>
          <cell r="AU66">
            <v>3.9921305102102695</v>
          </cell>
          <cell r="AV66">
            <v>4.4326301499393095</v>
          </cell>
          <cell r="AW66">
            <v>4.8805018535750815</v>
          </cell>
          <cell r="AX66">
            <v>5.3401499864164341</v>
          </cell>
          <cell r="AY66">
            <v>18.645412500141095</v>
          </cell>
        </row>
        <row r="67">
          <cell r="A67" t="str">
            <v>EBITDA</v>
          </cell>
          <cell r="F67">
            <v>-6.8490000000000011</v>
          </cell>
          <cell r="K67">
            <v>-6.1639999999999997</v>
          </cell>
          <cell r="L67">
            <v>6.1</v>
          </cell>
          <cell r="M67">
            <v>7.9</v>
          </cell>
          <cell r="N67">
            <v>9.9</v>
          </cell>
          <cell r="O67">
            <v>11.1</v>
          </cell>
          <cell r="P67">
            <v>3.9390000000000001</v>
          </cell>
          <cell r="Q67">
            <v>2.0520000000000014</v>
          </cell>
          <cell r="R67">
            <v>3.1520000000000015</v>
          </cell>
          <cell r="S67">
            <v>1.9160000000000017</v>
          </cell>
          <cell r="T67">
            <v>-0.61400000000000399</v>
          </cell>
          <cell r="U67">
            <v>-0.75100000000001732</v>
          </cell>
          <cell r="V67">
            <v>-0.90500000000000014</v>
          </cell>
          <cell r="W67">
            <v>-2.0609999999999999</v>
          </cell>
          <cell r="X67">
            <v>-1.4189999999999965</v>
          </cell>
          <cell r="Y67">
            <v>1.6910000000000003</v>
          </cell>
          <cell r="Z67">
            <v>-2.6939999999999964</v>
          </cell>
          <cell r="AA67">
            <v>-2.5859999999999959</v>
          </cell>
          <cell r="AB67">
            <v>0.54399999999999338</v>
          </cell>
          <cell r="AC67">
            <v>0.51300000000000678</v>
          </cell>
          <cell r="AD67">
            <v>4.5430000000000064</v>
          </cell>
          <cell r="AE67">
            <v>3.0140000000000109</v>
          </cell>
          <cell r="AF67">
            <v>-3.860000000000011</v>
          </cell>
          <cell r="AG67">
            <v>0.69399999999999729</v>
          </cell>
          <cell r="AH67">
            <v>0.63935137652720209</v>
          </cell>
          <cell r="AI67">
            <v>8.611859310627036</v>
          </cell>
          <cell r="AJ67">
            <v>6.0852106871542251</v>
          </cell>
          <cell r="AK67">
            <v>0.32956652876395354</v>
          </cell>
          <cell r="AL67">
            <v>5.4789133544573012</v>
          </cell>
          <cell r="AM67">
            <v>6.0848252388800024</v>
          </cell>
          <cell r="AN67">
            <v>14.794021790444768</v>
          </cell>
          <cell r="AO67">
            <v>26.687326912546027</v>
          </cell>
          <cell r="AP67">
            <v>4.2421060296427804</v>
          </cell>
          <cell r="AQ67">
            <v>11.009870306706414</v>
          </cell>
          <cell r="AR67">
            <v>11.792070731041321</v>
          </cell>
          <cell r="AS67">
            <v>21.182832408440564</v>
          </cell>
          <cell r="AT67">
            <v>48.226879475831083</v>
          </cell>
          <cell r="AU67">
            <v>7.9821044525185521</v>
          </cell>
          <cell r="AV67">
            <v>20.869659895853143</v>
          </cell>
          <cell r="AW67">
            <v>25.826212338164765</v>
          </cell>
          <cell r="AX67">
            <v>41.794661997723409</v>
          </cell>
          <cell r="AY67">
            <v>96.472638684259863</v>
          </cell>
        </row>
        <row r="68">
          <cell r="A68" t="str">
            <v xml:space="preserve">  EBITDA Margin</v>
          </cell>
          <cell r="F68">
            <v>-0.75496031746031766</v>
          </cell>
          <cell r="K68">
            <v>-0.33950209297202028</v>
          </cell>
          <cell r="L68">
            <v>1</v>
          </cell>
          <cell r="M68">
            <v>1</v>
          </cell>
          <cell r="N68">
            <v>1</v>
          </cell>
          <cell r="O68">
            <v>1</v>
          </cell>
          <cell r="P68">
            <v>0.11254285714285714</v>
          </cell>
          <cell r="Q68">
            <v>0.16836232359698075</v>
          </cell>
          <cell r="R68">
            <v>0.20610736938468588</v>
          </cell>
          <cell r="S68">
            <v>0.119877369705312</v>
          </cell>
          <cell r="T68">
            <v>-2.6952284798735966E-2</v>
          </cell>
          <cell r="U68">
            <v>-1.1336704656955505E-2</v>
          </cell>
          <cell r="V68">
            <v>-4.3849023693008388E-2</v>
          </cell>
          <cell r="W68">
            <v>-7.9425026012563113E-2</v>
          </cell>
          <cell r="X68">
            <v>-4.5520161678375408E-2</v>
          </cell>
          <cell r="Y68">
            <v>3.9325581395348842E-2</v>
          </cell>
          <cell r="Z68">
            <v>-2.2308526759467016E-2</v>
          </cell>
          <cell r="AA68">
            <v>-6.9532951520529046E-2</v>
          </cell>
          <cell r="AB68">
            <v>1.2229391003304484E-2</v>
          </cell>
          <cell r="AC68">
            <v>9.8568546450188647E-3</v>
          </cell>
          <cell r="AD68">
            <v>6.9651207359141529E-2</v>
          </cell>
          <cell r="AE68">
            <v>1.5149991957535842E-2</v>
          </cell>
          <cell r="AF68">
            <v>-6.7474260142989698E-2</v>
          </cell>
          <cell r="AG68">
            <v>1.0377880459976332E-2</v>
          </cell>
          <cell r="AH68">
            <v>9.1005341052681644E-3</v>
          </cell>
          <cell r="AI68">
            <v>0.10259908749623396</v>
          </cell>
          <cell r="AJ68">
            <v>2.1867908818350625E-2</v>
          </cell>
          <cell r="AK68">
            <v>4.4295216278575165E-3</v>
          </cell>
          <cell r="AL68">
            <v>6.1646881783596362E-2</v>
          </cell>
          <cell r="AM68">
            <v>6.3954056257483849E-2</v>
          </cell>
          <cell r="AN68">
            <v>0.12970705974360988</v>
          </cell>
          <cell r="AO68">
            <v>7.1647885135777328E-2</v>
          </cell>
          <cell r="AP68">
            <v>4.0959151955284705E-2</v>
          </cell>
          <cell r="AQ68">
            <v>9.5488643503557152E-2</v>
          </cell>
          <cell r="AR68">
            <v>9.9776399366980142E-2</v>
          </cell>
          <cell r="AS68">
            <v>0.1543279687466646</v>
          </cell>
          <cell r="AT68">
            <v>0.10167732761569521</v>
          </cell>
          <cell r="AU68">
            <v>5.6937694805589634E-2</v>
          </cell>
          <cell r="AV68">
            <v>0.13537085708648677</v>
          </cell>
          <cell r="AW68">
            <v>0.14828190695783922</v>
          </cell>
          <cell r="AX68">
            <v>0.20345323855375841</v>
          </cell>
          <cell r="AY68">
            <v>0.14314450711042162</v>
          </cell>
        </row>
        <row r="70">
          <cell r="A70" t="str">
            <v>Interest Income</v>
          </cell>
          <cell r="Y70">
            <v>0</v>
          </cell>
          <cell r="Z70">
            <v>0</v>
          </cell>
          <cell r="AA70">
            <v>-1.7000000000000001E-2</v>
          </cell>
          <cell r="AB70">
            <v>0.10100000000000001</v>
          </cell>
          <cell r="AC70">
            <v>3.1E-2</v>
          </cell>
          <cell r="AD70">
            <v>3.6999999999999998E-2</v>
          </cell>
          <cell r="AE70">
            <v>0.152</v>
          </cell>
          <cell r="AF70">
            <v>6.0999999999999999E-2</v>
          </cell>
          <cell r="AG70">
            <v>5.8000000000000003E-2</v>
          </cell>
          <cell r="AH70">
            <v>0.24310931858524626</v>
          </cell>
          <cell r="AI70">
            <v>0.24769337259368981</v>
          </cell>
          <cell r="AJ70">
            <v>0.60980269117893604</v>
          </cell>
          <cell r="AK70">
            <v>0.76133760709551823</v>
          </cell>
          <cell r="AL70">
            <v>0.81921874894786761</v>
          </cell>
          <cell r="AM70">
            <v>0.83704174251241892</v>
          </cell>
          <cell r="AN70">
            <v>0.8483727865161228</v>
          </cell>
          <cell r="AO70">
            <v>3.2659708850719276</v>
          </cell>
          <cell r="AP70">
            <v>0.92334291267577395</v>
          </cell>
          <cell r="AQ70">
            <v>1.0175053865157957</v>
          </cell>
          <cell r="AR70">
            <v>1.0375769734262741</v>
          </cell>
          <cell r="AS70">
            <v>1.043046794853185</v>
          </cell>
          <cell r="AT70">
            <v>4.0214720674710289</v>
          </cell>
          <cell r="AU70">
            <v>1.138672641542916</v>
          </cell>
          <cell r="AV70" t="str">
            <v>mstag:otherNonOperatingIncomeExpense</v>
          </cell>
          <cell r="AW70">
            <v>6</v>
          </cell>
          <cell r="AX70" t="str">
            <v>ISO4217:USD</v>
          </cell>
          <cell r="AY70" t="b">
            <v>0</v>
          </cell>
          <cell r="BA70" t="str">
            <v>mstag:otherNonOperatingIncomeExpense</v>
          </cell>
          <cell r="BB70">
            <v>6</v>
          </cell>
          <cell r="BC70" t="str">
            <v>ISO4217:USD</v>
          </cell>
          <cell r="BD70" t="b">
            <v>0</v>
          </cell>
        </row>
        <row r="71">
          <cell r="A71" t="str">
            <v>Interest and Finance Costs, Net</v>
          </cell>
          <cell r="K71">
            <v>0.33200000000000002</v>
          </cell>
          <cell r="L71">
            <v>-1.7250000000000001E-2</v>
          </cell>
          <cell r="M71">
            <v>-1.7250000000000001E-2</v>
          </cell>
          <cell r="N71">
            <v>-1.7250000000000001E-2</v>
          </cell>
          <cell r="O71">
            <v>-1.7250000000000001E-2</v>
          </cell>
          <cell r="P71">
            <v>-6.9000000000000006E-2</v>
          </cell>
          <cell r="Q71">
            <v>1.2E-2</v>
          </cell>
          <cell r="R71">
            <v>2.3E-2</v>
          </cell>
          <cell r="S71">
            <v>-3.0000000000000001E-3</v>
          </cell>
          <cell r="T71">
            <v>-0.41899999999999998</v>
          </cell>
          <cell r="U71">
            <v>-0.38700000000000001</v>
          </cell>
          <cell r="V71">
            <v>-0.48299999999999998</v>
          </cell>
          <cell r="W71">
            <v>-0.63600000000000001</v>
          </cell>
          <cell r="X71">
            <v>-0.46600000000000003</v>
          </cell>
          <cell r="Y71">
            <v>-0.5</v>
          </cell>
          <cell r="Z71">
            <v>-2.085</v>
          </cell>
          <cell r="AA71">
            <v>0</v>
          </cell>
          <cell r="AB71">
            <v>0</v>
          </cell>
          <cell r="AC71">
            <v>0</v>
          </cell>
          <cell r="AD71">
            <v>0</v>
          </cell>
          <cell r="AE71">
            <v>0</v>
          </cell>
          <cell r="AF71">
            <v>0</v>
          </cell>
          <cell r="AG71">
            <v>0</v>
          </cell>
          <cell r="AH71">
            <v>0</v>
          </cell>
          <cell r="AI71">
            <v>0</v>
          </cell>
          <cell r="AJ71">
            <v>0</v>
          </cell>
          <cell r="AK71">
            <v>0</v>
          </cell>
          <cell r="AL71">
            <v>0</v>
          </cell>
          <cell r="AM71">
            <v>0</v>
          </cell>
          <cell r="AN71">
            <v>0</v>
          </cell>
          <cell r="AO71">
            <v>0</v>
          </cell>
          <cell r="AP71">
            <v>0</v>
          </cell>
          <cell r="AQ71">
            <v>0</v>
          </cell>
          <cell r="AR71">
            <v>0</v>
          </cell>
          <cell r="AS71">
            <v>0</v>
          </cell>
          <cell r="AT71">
            <v>0</v>
          </cell>
          <cell r="AU71">
            <v>0</v>
          </cell>
          <cell r="AV71" t="str">
            <v>mstag:otherNonOperatingIncomeExpense</v>
          </cell>
          <cell r="AW71">
            <v>6</v>
          </cell>
          <cell r="AX71" t="str">
            <v>ISO4217:USD</v>
          </cell>
          <cell r="AY71" t="b">
            <v>0</v>
          </cell>
          <cell r="BA71" t="str">
            <v>mstag:otherNonOperatingIncomeExpense</v>
          </cell>
          <cell r="BB71">
            <v>6</v>
          </cell>
          <cell r="BC71" t="str">
            <v>ISO4217:USD</v>
          </cell>
          <cell r="BD71" t="b">
            <v>0</v>
          </cell>
        </row>
        <row r="72">
          <cell r="A72" t="str">
            <v>Other Income (Expense)</v>
          </cell>
          <cell r="Y72">
            <v>0</v>
          </cell>
          <cell r="Z72">
            <v>0</v>
          </cell>
          <cell r="AA72">
            <v>0</v>
          </cell>
          <cell r="AB72">
            <v>0</v>
          </cell>
          <cell r="AC72">
            <v>0</v>
          </cell>
          <cell r="AD72">
            <v>0</v>
          </cell>
          <cell r="AE72">
            <v>0</v>
          </cell>
          <cell r="AF72">
            <v>-9.4E-2</v>
          </cell>
          <cell r="AG72">
            <v>-8.2000000000000003E-2</v>
          </cell>
          <cell r="AH72">
            <v>0</v>
          </cell>
          <cell r="AI72">
            <v>0</v>
          </cell>
          <cell r="AJ72">
            <v>-0.17599999999999999</v>
          </cell>
          <cell r="AK72">
            <v>0</v>
          </cell>
          <cell r="AL72">
            <v>0</v>
          </cell>
          <cell r="AM72">
            <v>0</v>
          </cell>
          <cell r="AN72">
            <v>0</v>
          </cell>
          <cell r="AO72">
            <v>0</v>
          </cell>
          <cell r="AP72">
            <v>0</v>
          </cell>
          <cell r="AQ72">
            <v>0</v>
          </cell>
          <cell r="AR72">
            <v>0</v>
          </cell>
          <cell r="AS72">
            <v>0</v>
          </cell>
          <cell r="AT72">
            <v>0</v>
          </cell>
          <cell r="AU72">
            <v>0</v>
          </cell>
          <cell r="AV72" t="str">
            <v>mstag:otherNonOperatingIncomeExpense</v>
          </cell>
          <cell r="AW72">
            <v>6</v>
          </cell>
          <cell r="AX72" t="str">
            <v>ISO4217:USD</v>
          </cell>
          <cell r="AY72" t="b">
            <v>0</v>
          </cell>
          <cell r="BA72" t="str">
            <v>mstag:otherNonOperatingIncomeExpense</v>
          </cell>
          <cell r="BB72">
            <v>6</v>
          </cell>
          <cell r="BC72" t="str">
            <v>ISO4217:USD</v>
          </cell>
          <cell r="BD72" t="b">
            <v>0</v>
          </cell>
        </row>
        <row r="73">
          <cell r="A73" t="str">
            <v>Net Interest and Other Income (Expense)</v>
          </cell>
          <cell r="F73">
            <v>0.36499999999999999</v>
          </cell>
          <cell r="K73">
            <v>0.33200000000000002</v>
          </cell>
          <cell r="L73">
            <v>-1.7250000000000001E-2</v>
          </cell>
          <cell r="M73">
            <v>-1.7250000000000001E-2</v>
          </cell>
          <cell r="N73">
            <v>-1.7250000000000001E-2</v>
          </cell>
          <cell r="O73">
            <v>-1.7250000000000001E-2</v>
          </cell>
          <cell r="P73">
            <v>-6.9000000000000006E-2</v>
          </cell>
          <cell r="Q73">
            <v>1.2E-2</v>
          </cell>
          <cell r="R73">
            <v>2.3E-2</v>
          </cell>
          <cell r="S73">
            <v>-3.0000000000000001E-3</v>
          </cell>
          <cell r="T73">
            <v>-0.41899999999999998</v>
          </cell>
          <cell r="U73">
            <v>-0.38700000000000001</v>
          </cell>
          <cell r="V73">
            <v>-0.48299999999999998</v>
          </cell>
          <cell r="W73">
            <v>-0.63600000000000001</v>
          </cell>
          <cell r="X73">
            <v>-0.46600000000000003</v>
          </cell>
          <cell r="Y73">
            <v>-0.5</v>
          </cell>
          <cell r="Z73">
            <v>-2.085</v>
          </cell>
          <cell r="AA73">
            <v>-1.7000000000000001E-2</v>
          </cell>
          <cell r="AB73">
            <v>0.10100000000000001</v>
          </cell>
          <cell r="AC73">
            <v>3.1E-2</v>
          </cell>
          <cell r="AD73">
            <v>3.6999999999999998E-2</v>
          </cell>
          <cell r="AE73">
            <v>0.152</v>
          </cell>
          <cell r="AF73">
            <v>-3.3000000000000002E-2</v>
          </cell>
          <cell r="AG73">
            <v>-2.4E-2</v>
          </cell>
          <cell r="AH73">
            <v>0.24310931858524626</v>
          </cell>
          <cell r="AI73">
            <v>0.24769337259368981</v>
          </cell>
          <cell r="AJ73">
            <v>0.43380269117893611</v>
          </cell>
          <cell r="AK73">
            <v>0.76133760709551823</v>
          </cell>
          <cell r="AL73">
            <v>0.81921874894786761</v>
          </cell>
          <cell r="AM73">
            <v>0.83704174251241892</v>
          </cell>
          <cell r="AN73">
            <v>0.8483727865161228</v>
          </cell>
          <cell r="AO73">
            <v>3.2659708850719276</v>
          </cell>
          <cell r="AP73">
            <v>0.92334291267577395</v>
          </cell>
          <cell r="AQ73">
            <v>1.0175053865157957</v>
          </cell>
          <cell r="AR73">
            <v>1.0375769734262741</v>
          </cell>
          <cell r="AS73">
            <v>1.043046794853185</v>
          </cell>
          <cell r="AT73">
            <v>4.0214720674710289</v>
          </cell>
          <cell r="AU73">
            <v>1.138672641542916</v>
          </cell>
          <cell r="AV73">
            <v>1.1848718530528684</v>
          </cell>
          <cell r="AW73">
            <v>1.2383403368415635</v>
          </cell>
          <cell r="AX73">
            <v>1.3088369495219494</v>
          </cell>
          <cell r="AY73">
            <v>4.8707217809592969</v>
          </cell>
        </row>
        <row r="75">
          <cell r="A75" t="str">
            <v>Income Before Taxes</v>
          </cell>
          <cell r="F75">
            <v>-6.4840000000000009</v>
          </cell>
          <cell r="K75">
            <v>-13.968999999999999</v>
          </cell>
          <cell r="L75">
            <v>6.0827499999999999</v>
          </cell>
          <cell r="M75">
            <v>7.8827500000000006</v>
          </cell>
          <cell r="N75">
            <v>9.8827499999999997</v>
          </cell>
          <cell r="O75">
            <v>11.082749999999999</v>
          </cell>
          <cell r="P75">
            <v>-6.0720000000000001</v>
          </cell>
          <cell r="Q75">
            <v>-0.3939999999999988</v>
          </cell>
          <cell r="R75">
            <v>0.61300000000000165</v>
          </cell>
          <cell r="S75">
            <v>-1.0089999999999983</v>
          </cell>
          <cell r="T75">
            <v>-1.306000000000004</v>
          </cell>
          <cell r="U75">
            <v>-2.0960000000000174</v>
          </cell>
          <cell r="V75">
            <v>-1.7360000000000002</v>
          </cell>
          <cell r="W75">
            <v>-3.194</v>
          </cell>
          <cell r="X75">
            <v>-2.4689999999999968</v>
          </cell>
          <cell r="Y75">
            <v>0.5</v>
          </cell>
          <cell r="Z75">
            <v>-6.8989999999999965</v>
          </cell>
          <cell r="AA75">
            <v>-3.5339999999999958</v>
          </cell>
          <cell r="AB75">
            <v>-0.57300000000000662</v>
          </cell>
          <cell r="AC75">
            <v>-0.66399999999999315</v>
          </cell>
          <cell r="AD75">
            <v>3.2630000000000061</v>
          </cell>
          <cell r="AE75">
            <v>-1.5079999999999896</v>
          </cell>
          <cell r="AF75">
            <v>-5.3180000000000112</v>
          </cell>
          <cell r="AG75">
            <v>-0.78500000000000281</v>
          </cell>
          <cell r="AH75">
            <v>-0.55053930488755176</v>
          </cell>
          <cell r="AI75">
            <v>7.3063076212680071</v>
          </cell>
          <cell r="AJ75">
            <v>0.65276831638044164</v>
          </cell>
          <cell r="AK75">
            <v>-0.69627249726436857</v>
          </cell>
          <cell r="AL75">
            <v>4.3175290522074397</v>
          </cell>
          <cell r="AM75">
            <v>4.7400707773861157</v>
          </cell>
          <cell r="AN75">
            <v>13.248682425089214</v>
          </cell>
          <cell r="AO75">
            <v>21.6100097574184</v>
          </cell>
          <cell r="AP75">
            <v>2.5433729520731658</v>
          </cell>
          <cell r="AQ75">
            <v>9.0310124556357199</v>
          </cell>
          <cell r="AR75">
            <v>9.456568304262964</v>
          </cell>
          <cell r="AS75">
            <v>18.479504315606011</v>
          </cell>
          <cell r="AT75">
            <v>39.510458027577862</v>
          </cell>
          <cell r="AU75">
            <v>5.1286465838511983</v>
          </cell>
          <cell r="AV75">
            <v>17.621901598966701</v>
          </cell>
          <cell r="AW75">
            <v>22.184050821431246</v>
          </cell>
          <cell r="AX75">
            <v>37.763348960828921</v>
          </cell>
          <cell r="AY75">
            <v>82.697947965078072</v>
          </cell>
        </row>
        <row r="76">
          <cell r="A76" t="str">
            <v>% of revenues</v>
          </cell>
          <cell r="F76">
            <v>-0.71472663139329817</v>
          </cell>
          <cell r="K76">
            <v>-0.7693875302930161</v>
          </cell>
          <cell r="L76">
            <v>0.997172131147541</v>
          </cell>
          <cell r="M76">
            <v>0.99781645569620259</v>
          </cell>
          <cell r="N76">
            <v>0.99825757575757568</v>
          </cell>
          <cell r="O76">
            <v>0.99844594594594593</v>
          </cell>
          <cell r="P76">
            <v>-0.1734857142857143</v>
          </cell>
          <cell r="Q76">
            <v>-3.232687889727591E-2</v>
          </cell>
          <cell r="R76">
            <v>4.0083698424115716E-2</v>
          </cell>
          <cell r="S76">
            <v>-6.3129575173621874E-2</v>
          </cell>
          <cell r="T76">
            <v>-5.7328475483956108E-2</v>
          </cell>
          <cell r="U76">
            <v>-3.1640123782927278E-2</v>
          </cell>
          <cell r="V76">
            <v>-8.4112602354765267E-2</v>
          </cell>
          <cell r="W76">
            <v>-0.12308759489768392</v>
          </cell>
          <cell r="X76">
            <v>-7.9203156577807618E-2</v>
          </cell>
          <cell r="Y76">
            <v>1.1627906976744186E-2</v>
          </cell>
          <cell r="Z76">
            <v>-5.7129371237402776E-2</v>
          </cell>
          <cell r="AA76">
            <v>-9.5022989432927196E-2</v>
          </cell>
          <cell r="AB76">
            <v>-1.2881325450172126E-2</v>
          </cell>
          <cell r="AC76">
            <v>-1.2758190027860373E-2</v>
          </cell>
          <cell r="AD76">
            <v>5.0026830203143052E-2</v>
          </cell>
          <cell r="AE76">
            <v>-7.5800225188997379E-3</v>
          </cell>
          <cell r="AF76">
            <v>-9.2960651668502314E-2</v>
          </cell>
          <cell r="AG76">
            <v>-1.1738668820002135E-2</v>
          </cell>
          <cell r="AH76">
            <v>-7.8363821591093848E-3</v>
          </cell>
          <cell r="AI76">
            <v>8.7045139483856351E-2</v>
          </cell>
          <cell r="AJ76">
            <v>2.3457984868542597E-3</v>
          </cell>
          <cell r="AK76">
            <v>-9.3582139457003451E-3</v>
          </cell>
          <cell r="AL76">
            <v>4.8579378037095979E-2</v>
          </cell>
          <cell r="AM76">
            <v>4.9820124861499761E-2</v>
          </cell>
          <cell r="AN76">
            <v>0.11615824737699657</v>
          </cell>
          <cell r="AO76">
            <v>5.8016732134931859E-2</v>
          </cell>
          <cell r="AP76">
            <v>2.4557236074483072E-2</v>
          </cell>
          <cell r="AQ76">
            <v>7.8326002471354891E-2</v>
          </cell>
          <cell r="AR76">
            <v>8.0014982719150154E-2</v>
          </cell>
          <cell r="AS76">
            <v>0.13463281536119415</v>
          </cell>
          <cell r="AT76">
            <v>8.3300388264380437E-2</v>
          </cell>
          <cell r="AU76">
            <v>3.6583499463592205E-2</v>
          </cell>
          <cell r="AV76">
            <v>0.11430430274620132</v>
          </cell>
          <cell r="AW76">
            <v>0.12737033664787095</v>
          </cell>
          <cell r="AX76">
            <v>0.18382911303684799</v>
          </cell>
          <cell r="AY76">
            <v>0.12270584864219955</v>
          </cell>
        </row>
        <row r="78">
          <cell r="A78" t="str">
            <v>Provision (Benefit) for Income Taxes</v>
          </cell>
          <cell r="F78">
            <v>2E-3</v>
          </cell>
          <cell r="K78">
            <v>3.5999999999999997E-2</v>
          </cell>
          <cell r="P78">
            <v>7.9000000000000001E-2</v>
          </cell>
          <cell r="Q78">
            <v>0.03</v>
          </cell>
          <cell r="R78">
            <v>0.03</v>
          </cell>
          <cell r="S78">
            <v>0.02</v>
          </cell>
          <cell r="T78">
            <v>4.4999999999999998E-2</v>
          </cell>
          <cell r="U78">
            <v>0.125</v>
          </cell>
          <cell r="V78">
            <v>0</v>
          </cell>
          <cell r="W78">
            <v>0</v>
          </cell>
          <cell r="X78">
            <v>0.05</v>
          </cell>
          <cell r="Y78">
            <v>0</v>
          </cell>
          <cell r="Z78">
            <v>0.05</v>
          </cell>
          <cell r="AA78">
            <v>0.17699999999999999</v>
          </cell>
          <cell r="AB78">
            <v>0.13600000000000001</v>
          </cell>
          <cell r="AC78">
            <v>0.125</v>
          </cell>
          <cell r="AD78">
            <v>0.27500000000000002</v>
          </cell>
          <cell r="AE78">
            <v>0.71300000000000008</v>
          </cell>
          <cell r="AF78">
            <v>0.40400000000000003</v>
          </cell>
          <cell r="AG78">
            <v>0.36499999999999999</v>
          </cell>
          <cell r="AH78">
            <v>0.36499999999999999</v>
          </cell>
          <cell r="AI78">
            <v>0.36499999999999999</v>
          </cell>
          <cell r="AJ78">
            <v>1.4989999999999999</v>
          </cell>
          <cell r="AK78">
            <v>0.125</v>
          </cell>
          <cell r="AL78">
            <v>0.125</v>
          </cell>
          <cell r="AM78">
            <v>0.125</v>
          </cell>
          <cell r="AN78">
            <v>0.125</v>
          </cell>
          <cell r="AO78">
            <v>0.5</v>
          </cell>
          <cell r="AP78">
            <v>0.125</v>
          </cell>
          <cell r="AQ78">
            <v>0.125</v>
          </cell>
          <cell r="AR78">
            <v>0.125</v>
          </cell>
          <cell r="AS78">
            <v>0.125</v>
          </cell>
          <cell r="AT78">
            <v>0.5</v>
          </cell>
          <cell r="AU78">
            <v>0.5</v>
          </cell>
          <cell r="AV78">
            <v>0.5</v>
          </cell>
          <cell r="AW78">
            <v>0.5</v>
          </cell>
          <cell r="AX78">
            <v>0.5</v>
          </cell>
          <cell r="AY78">
            <v>2</v>
          </cell>
        </row>
        <row r="79">
          <cell r="A79" t="str">
            <v>% Tax Rate</v>
          </cell>
          <cell r="F79">
            <v>-3.0845157310302278E-4</v>
          </cell>
          <cell r="K79">
            <v>-2.5771350848306966E-3</v>
          </cell>
          <cell r="P79">
            <v>-1.3010540184453228E-2</v>
          </cell>
          <cell r="Q79">
            <v>-7.614213197969566E-2</v>
          </cell>
          <cell r="R79">
            <v>4.8939641109298396E-2</v>
          </cell>
          <cell r="S79">
            <v>-1.9821605550049588E-2</v>
          </cell>
          <cell r="T79">
            <v>-3.4456355283307705E-2</v>
          </cell>
          <cell r="U79">
            <v>-5.9637404580152174E-2</v>
          </cell>
          <cell r="V79">
            <v>0</v>
          </cell>
          <cell r="W79">
            <v>0</v>
          </cell>
          <cell r="X79">
            <v>-2.0251113811259647E-2</v>
          </cell>
          <cell r="Y79">
            <v>0</v>
          </cell>
          <cell r="Z79">
            <v>-7.2474271633570127E-3</v>
          </cell>
          <cell r="AA79">
            <v>-5.0084889643463554E-2</v>
          </cell>
          <cell r="AB79">
            <v>-0.23734729493891527</v>
          </cell>
          <cell r="AC79">
            <v>-0.18825301204819472</v>
          </cell>
          <cell r="AD79">
            <v>8.4278271529267396E-2</v>
          </cell>
          <cell r="AE79">
            <v>-0.47281167108753647</v>
          </cell>
          <cell r="AF79">
            <v>-7.5968409176381937E-2</v>
          </cell>
          <cell r="AG79">
            <v>-0.46496815286624038</v>
          </cell>
          <cell r="AH79">
            <v>-0.66298626957170959</v>
          </cell>
          <cell r="AI79">
            <v>0</v>
          </cell>
          <cell r="AJ79">
            <v>2.2963737092998917</v>
          </cell>
          <cell r="AK79">
            <v>-0.1795274127459017</v>
          </cell>
          <cell r="AL79">
            <v>2.8951744965350208E-2</v>
          </cell>
          <cell r="AM79">
            <v>2.6370914248021106E-2</v>
          </cell>
          <cell r="AN79">
            <v>0</v>
          </cell>
          <cell r="AO79">
            <v>2.3137425924963193E-2</v>
          </cell>
          <cell r="AP79">
            <v>4.9147334014899159E-2</v>
          </cell>
          <cell r="AQ79">
            <v>1.3841194507709365E-2</v>
          </cell>
          <cell r="AR79">
            <v>1.3218325715857279E-2</v>
          </cell>
          <cell r="AS79">
            <v>0</v>
          </cell>
          <cell r="AT79">
            <v>1.2654877340348866E-2</v>
          </cell>
          <cell r="AU79">
            <v>9.7491607546983772E-2</v>
          </cell>
          <cell r="AV79">
            <v>2.8373782318096622E-2</v>
          </cell>
          <cell r="AW79">
            <v>2.2538715044637711E-2</v>
          </cell>
          <cell r="AX79">
            <v>0</v>
          </cell>
          <cell r="AY79">
            <v>2.4184396943495692E-2</v>
          </cell>
        </row>
        <row r="81">
          <cell r="A81" t="str">
            <v>Net income</v>
          </cell>
          <cell r="F81">
            <v>-6.4860000000000007</v>
          </cell>
          <cell r="K81">
            <v>-14.004999999999999</v>
          </cell>
          <cell r="P81">
            <v>-6.1509999999999998</v>
          </cell>
          <cell r="Q81">
            <v>-0.42399999999999882</v>
          </cell>
          <cell r="R81">
            <v>0.58300000000000163</v>
          </cell>
          <cell r="S81">
            <v>-1.0289999999999984</v>
          </cell>
          <cell r="T81">
            <v>-1.351000000000004</v>
          </cell>
          <cell r="U81">
            <v>-2.2210000000000174</v>
          </cell>
          <cell r="V81">
            <v>-1.7360000000000002</v>
          </cell>
          <cell r="W81">
            <v>-3.194</v>
          </cell>
          <cell r="X81">
            <v>-2.5189999999999966</v>
          </cell>
          <cell r="Y81">
            <v>0.5</v>
          </cell>
          <cell r="Z81">
            <v>-6.9489999999999963</v>
          </cell>
          <cell r="AA81">
            <v>-3.7109999999999959</v>
          </cell>
          <cell r="AB81">
            <v>-0.70900000000000662</v>
          </cell>
          <cell r="AC81">
            <v>-0.78899999999999315</v>
          </cell>
          <cell r="AD81">
            <v>2.9880000000000062</v>
          </cell>
          <cell r="AE81">
            <v>-2.2209999999999894</v>
          </cell>
          <cell r="AF81">
            <v>-5.7220000000000111</v>
          </cell>
          <cell r="AG81">
            <v>-1.1500000000000028</v>
          </cell>
          <cell r="AH81">
            <v>-0.91553930488755175</v>
          </cell>
          <cell r="AI81">
            <v>6.9413076212680069</v>
          </cell>
          <cell r="AJ81">
            <v>-0.84623168361955825</v>
          </cell>
          <cell r="AK81">
            <v>-0.82127249726436857</v>
          </cell>
          <cell r="AL81">
            <v>4.1925290522074397</v>
          </cell>
          <cell r="AM81">
            <v>4.6150707773861157</v>
          </cell>
          <cell r="AN81">
            <v>13.123682425089214</v>
          </cell>
          <cell r="AO81">
            <v>21.1100097574184</v>
          </cell>
          <cell r="AP81">
            <v>2.4183729520731658</v>
          </cell>
          <cell r="AQ81">
            <v>8.9060124556357199</v>
          </cell>
          <cell r="AR81">
            <v>9.331568304262964</v>
          </cell>
          <cell r="AS81">
            <v>18.354504315606011</v>
          </cell>
          <cell r="AT81">
            <v>39.010458027577862</v>
          </cell>
          <cell r="AU81">
            <v>4.6286465838511983</v>
          </cell>
          <cell r="AV81" t="str">
            <v>mstag:netIncomeAdjustedForConsensus</v>
          </cell>
          <cell r="AW81">
            <v>6</v>
          </cell>
          <cell r="AX81" t="str">
            <v>ISO4217:USD</v>
          </cell>
          <cell r="AY81" t="b">
            <v>0</v>
          </cell>
          <cell r="BA81" t="str">
            <v>mstag:netIncomeAdjustedForConsensus</v>
          </cell>
          <cell r="BB81">
            <v>6</v>
          </cell>
          <cell r="BC81" t="str">
            <v>ISO4217:USD</v>
          </cell>
          <cell r="BD81" t="b">
            <v>0</v>
          </cell>
        </row>
        <row r="82">
          <cell r="A82" t="str">
            <v xml:space="preserve">  Net margin</v>
          </cell>
          <cell r="F82">
            <v>-0.71494708994709011</v>
          </cell>
          <cell r="K82">
            <v>-0.77137034589116549</v>
          </cell>
          <cell r="P82">
            <v>-0.17574285714285715</v>
          </cell>
          <cell r="Q82">
            <v>-3.4788316376763932E-2</v>
          </cell>
          <cell r="R82">
            <v>3.8122016608906142E-2</v>
          </cell>
          <cell r="S82">
            <v>-6.4380904711255599E-2</v>
          </cell>
          <cell r="T82">
            <v>-5.9303805803081693E-2</v>
          </cell>
          <cell r="U82">
            <v>-3.352705864593581E-2</v>
          </cell>
          <cell r="V82">
            <v>-8.4112602354765267E-2</v>
          </cell>
          <cell r="W82">
            <v>-0.12308759489768392</v>
          </cell>
          <cell r="X82">
            <v>-8.0807108715875819E-2</v>
          </cell>
          <cell r="Y82">
            <v>1.1627906976744186E-2</v>
          </cell>
          <cell r="Z82">
            <v>-5.7543412194334238E-2</v>
          </cell>
          <cell r="AA82">
            <v>-9.9782205372267369E-2</v>
          </cell>
          <cell r="AB82">
            <v>-1.5938673200998284E-2</v>
          </cell>
          <cell r="AC82">
            <v>-1.515995772888833E-2</v>
          </cell>
          <cell r="AD82">
            <v>4.5810655423534012E-2</v>
          </cell>
          <cell r="AE82">
            <v>-1.1163945632941879E-2</v>
          </cell>
          <cell r="AF82">
            <v>-0.10002272449175821</v>
          </cell>
          <cell r="AG82">
            <v>-1.7196775978347057E-2</v>
          </cell>
          <cell r="AH82">
            <v>-1.3031795933715616E-2</v>
          </cell>
          <cell r="AI82">
            <v>8.2696639864277818E-2</v>
          </cell>
          <cell r="AJ82">
            <v>-3.0410314856733293E-3</v>
          </cell>
          <cell r="AK82">
            <v>-1.1038269883294543E-2</v>
          </cell>
          <cell r="AL82">
            <v>4.7172920273590643E-2</v>
          </cell>
          <cell r="AM82">
            <v>4.8506322620951448E-2</v>
          </cell>
          <cell r="AN82">
            <v>0.11506230587457</v>
          </cell>
          <cell r="AO82">
            <v>5.6674374292751441E-2</v>
          </cell>
          <cell r="AP82">
            <v>2.3350313390647724E-2</v>
          </cell>
          <cell r="AQ82">
            <v>7.7241877036137552E-2</v>
          </cell>
          <cell r="AR82">
            <v>7.8957318615419742E-2</v>
          </cell>
          <cell r="AS82">
            <v>0.13372212524566238</v>
          </cell>
          <cell r="AT82">
            <v>8.2246232068491271E-2</v>
          </cell>
          <cell r="AU82">
            <v>3.3016915291192384E-2</v>
          </cell>
          <cell r="AV82">
            <v>0.11106105734205879</v>
          </cell>
          <cell r="AW82">
            <v>0.12449957292502502</v>
          </cell>
          <cell r="AX82">
            <v>0.18139515103274276</v>
          </cell>
          <cell r="AY82">
            <v>0.11973828169134809</v>
          </cell>
        </row>
        <row r="84">
          <cell r="A84" t="str">
            <v>Preferred share dividends</v>
          </cell>
        </row>
        <row r="85">
          <cell r="A85" t="str">
            <v>Distributed and undistributed earnings to preferred shares</v>
          </cell>
        </row>
        <row r="87">
          <cell r="A87" t="str">
            <v>Net income to common shareholders</v>
          </cell>
          <cell r="F87">
            <v>-6.4860000000000007</v>
          </cell>
          <cell r="K87">
            <v>-14.004999999999999</v>
          </cell>
          <cell r="P87">
            <v>-6.1509999999999998</v>
          </cell>
          <cell r="U87">
            <v>-2.2210000000000174</v>
          </cell>
          <cell r="V87">
            <v>-1.7360000000000002</v>
          </cell>
          <cell r="W87">
            <v>-3.194</v>
          </cell>
          <cell r="X87">
            <v>-2.5189999999999966</v>
          </cell>
          <cell r="Y87">
            <v>0.5</v>
          </cell>
          <cell r="Z87">
            <v>-6.9489999999999963</v>
          </cell>
          <cell r="AA87">
            <v>-3.7109999999999959</v>
          </cell>
          <cell r="AB87">
            <v>-0.70900000000000662</v>
          </cell>
          <cell r="AC87">
            <v>-0.78899999999999315</v>
          </cell>
          <cell r="AD87">
            <v>2.9880000000000062</v>
          </cell>
          <cell r="AE87">
            <v>-2.2209999999999894</v>
          </cell>
          <cell r="AF87">
            <v>-5.7220000000000111</v>
          </cell>
          <cell r="AG87">
            <v>-1.1500000000000028</v>
          </cell>
          <cell r="AH87">
            <v>-0.91553930488755175</v>
          </cell>
          <cell r="AI87">
            <v>6.9413076212680069</v>
          </cell>
          <cell r="AJ87">
            <v>-0.84623168361955825</v>
          </cell>
          <cell r="AK87">
            <v>-0.82127249726436857</v>
          </cell>
          <cell r="AL87">
            <v>4.1925290522074397</v>
          </cell>
          <cell r="AM87">
            <v>4.6150707773861157</v>
          </cell>
          <cell r="AN87">
            <v>13.123682425089214</v>
          </cell>
          <cell r="AO87">
            <v>21.1100097574184</v>
          </cell>
          <cell r="AP87">
            <v>2.4183729520731658</v>
          </cell>
          <cell r="AQ87">
            <v>8.9060124556357199</v>
          </cell>
          <cell r="AR87">
            <v>9.331568304262964</v>
          </cell>
          <cell r="AS87">
            <v>18.354504315606011</v>
          </cell>
          <cell r="AT87">
            <v>39.010458027577862</v>
          </cell>
          <cell r="AU87">
            <v>4.6286465838511983</v>
          </cell>
          <cell r="AV87">
            <v>17.121901598966701</v>
          </cell>
          <cell r="AW87">
            <v>21.684050821431246</v>
          </cell>
          <cell r="AX87">
            <v>37.263348960828921</v>
          </cell>
          <cell r="AY87">
            <v>80.697947965078072</v>
          </cell>
        </row>
        <row r="89">
          <cell r="A89" t="str">
            <v>Pro Forma EPS - Operating</v>
          </cell>
          <cell r="F89">
            <v>-0.52310670215339961</v>
          </cell>
          <cell r="G89">
            <v>0</v>
          </cell>
          <cell r="H89">
            <v>0</v>
          </cell>
          <cell r="I89">
            <v>0</v>
          </cell>
          <cell r="J89">
            <v>0</v>
          </cell>
          <cell r="K89">
            <v>-1.0847339477964526</v>
          </cell>
          <cell r="L89">
            <v>0</v>
          </cell>
          <cell r="M89">
            <v>0</v>
          </cell>
          <cell r="N89">
            <v>0</v>
          </cell>
          <cell r="O89">
            <v>0</v>
          </cell>
          <cell r="P89">
            <v>-0.42739021678710393</v>
          </cell>
          <cell r="Q89">
            <v>-5.6784700273209247E-3</v>
          </cell>
          <cell r="R89">
            <v>7.8078962875663144E-3</v>
          </cell>
          <cell r="S89">
            <v>-1.378100391064443E-2</v>
          </cell>
          <cell r="T89">
            <v>-1.8093426903091066E-2</v>
          </cell>
          <cell r="U89">
            <v>-2.9745004553490346E-2</v>
          </cell>
          <cell r="V89">
            <v>-2.2867680958967268E-2</v>
          </cell>
          <cell r="W89">
            <v>-4.2444336657741048E-2</v>
          </cell>
          <cell r="X89">
            <v>-3.2964084981646588E-2</v>
          </cell>
          <cell r="Y89">
            <v>6.4935908258548815E-3</v>
          </cell>
          <cell r="Z89">
            <v>-9.1259496621599392E-2</v>
          </cell>
          <cell r="AA89">
            <v>-3.923538056521781E-2</v>
          </cell>
          <cell r="AB89">
            <v>-7.4226847295798346E-3</v>
          </cell>
          <cell r="AC89">
            <v>-8.1617030960680365E-3</v>
          </cell>
          <cell r="AD89">
            <v>2.5844397353284664E-2</v>
          </cell>
          <cell r="AE89">
            <v>-2.7677392019539785E-2</v>
          </cell>
          <cell r="AF89">
            <v>-5.6089790717051523E-2</v>
          </cell>
          <cell r="AG89">
            <v>-1.1047070124879951E-2</v>
          </cell>
          <cell r="AH89">
            <v>-8.7926416277218193E-3</v>
          </cell>
          <cell r="AI89">
            <v>5.7329268292970144E-2</v>
          </cell>
          <cell r="AJ89">
            <v>-8.1639622217814303E-3</v>
          </cell>
          <cell r="AK89">
            <v>-7.8492542168903893E-3</v>
          </cell>
          <cell r="AL89">
            <v>3.4459147372040935E-2</v>
          </cell>
          <cell r="AM89">
            <v>3.7839852402611021E-2</v>
          </cell>
          <cell r="AN89">
            <v>0.1073412632994778</v>
          </cell>
          <cell r="AO89">
            <v>0.17946040838556865</v>
          </cell>
          <cell r="AP89">
            <v>1.9732017346396343E-2</v>
          </cell>
          <cell r="AQ89">
            <v>7.248798572432115E-2</v>
          </cell>
          <cell r="AR89">
            <v>7.5765098952287196E-2</v>
          </cell>
          <cell r="AS89">
            <v>0.14865733305809764</v>
          </cell>
          <cell r="AT89">
            <v>0.31712224099584968</v>
          </cell>
          <cell r="AU89">
            <v>3.7395911172865753E-2</v>
          </cell>
          <cell r="AV89" t="str">
            <v>mstag:adjEpsForConsensus</v>
          </cell>
          <cell r="AW89">
            <v>0</v>
          </cell>
          <cell r="AX89" t="str">
            <v>ISO4217:USD</v>
          </cell>
          <cell r="AY89" t="b">
            <v>0</v>
          </cell>
          <cell r="BA89" t="str">
            <v>mstag:adjEpsForConsensus</v>
          </cell>
          <cell r="BB89">
            <v>0</v>
          </cell>
          <cell r="BC89" t="str">
            <v>ISO4217:USD</v>
          </cell>
          <cell r="BD89" t="b">
            <v>0</v>
          </cell>
        </row>
        <row r="90">
          <cell r="A90" t="str">
            <v xml:space="preserve">  Year over year % change</v>
          </cell>
          <cell r="G90" t="str">
            <v>NM</v>
          </cell>
          <cell r="H90" t="str">
            <v>NM</v>
          </cell>
          <cell r="I90" t="str">
            <v>NM</v>
          </cell>
          <cell r="J90" t="str">
            <v>NM</v>
          </cell>
          <cell r="K90" t="str">
            <v>NM</v>
          </cell>
          <cell r="L90" t="str">
            <v>NM</v>
          </cell>
          <cell r="M90" t="str">
            <v>NM</v>
          </cell>
          <cell r="N90" t="str">
            <v>NM</v>
          </cell>
          <cell r="O90" t="str">
            <v>NM</v>
          </cell>
          <cell r="P90" t="str">
            <v>NM</v>
          </cell>
          <cell r="Q90" t="str">
            <v>NM</v>
          </cell>
          <cell r="R90" t="str">
            <v>NM</v>
          </cell>
          <cell r="S90" t="str">
            <v>NM</v>
          </cell>
          <cell r="T90" t="str">
            <v>NM</v>
          </cell>
          <cell r="U90" t="str">
            <v>NM</v>
          </cell>
          <cell r="V90" t="str">
            <v>NM</v>
          </cell>
          <cell r="W90">
            <v>-6.4360784383536878</v>
          </cell>
          <cell r="X90" t="str">
            <v>NM</v>
          </cell>
          <cell r="Y90" t="str">
            <v>NM</v>
          </cell>
          <cell r="Z90" t="str">
            <v>NM</v>
          </cell>
          <cell r="AA90" t="str">
            <v>NM</v>
          </cell>
          <cell r="AB90" t="str">
            <v>NM</v>
          </cell>
          <cell r="AC90" t="str">
            <v>NM</v>
          </cell>
          <cell r="AD90">
            <v>2.9799855036111316</v>
          </cell>
          <cell r="AE90" t="str">
            <v>NM</v>
          </cell>
          <cell r="AF90" t="str">
            <v>NM</v>
          </cell>
          <cell r="AG90" t="str">
            <v>NM</v>
          </cell>
          <cell r="AH90" t="str">
            <v>NM</v>
          </cell>
          <cell r="AI90">
            <v>1.2182474409945545</v>
          </cell>
          <cell r="AJ90" t="str">
            <v>NM</v>
          </cell>
          <cell r="AK90" t="str">
            <v>NM</v>
          </cell>
          <cell r="AL90" t="str">
            <v>NM</v>
          </cell>
          <cell r="AM90" t="str">
            <v>NM</v>
          </cell>
          <cell r="AN90">
            <v>0.87236409072816024</v>
          </cell>
          <cell r="AO90" t="str">
            <v>NM</v>
          </cell>
          <cell r="AP90" t="str">
            <v>NM</v>
          </cell>
          <cell r="AQ90">
            <v>1.1035919705644144</v>
          </cell>
          <cell r="AR90">
            <v>1.0022567251625767</v>
          </cell>
          <cell r="AS90">
            <v>0.38490388960068112</v>
          </cell>
          <cell r="AT90">
            <v>0.7670874810142867</v>
          </cell>
          <cell r="AU90">
            <v>1.050044833959102</v>
          </cell>
          <cell r="AV90">
            <v>0.44000129803383348</v>
          </cell>
          <cell r="AW90">
            <v>0.42093400634338907</v>
          </cell>
          <cell r="AX90">
            <v>0.36238176208622952</v>
          </cell>
          <cell r="AY90">
            <v>0.42176245888058994</v>
          </cell>
        </row>
        <row r="91">
          <cell r="A91" t="str">
            <v>ESOs Expense, net of tax</v>
          </cell>
          <cell r="F91">
            <v>7.2608888330977731E-3</v>
          </cell>
          <cell r="G91">
            <v>0</v>
          </cell>
          <cell r="H91">
            <v>0</v>
          </cell>
          <cell r="I91">
            <v>0</v>
          </cell>
          <cell r="J91">
            <v>0</v>
          </cell>
          <cell r="K91">
            <v>0</v>
          </cell>
          <cell r="L91">
            <v>0</v>
          </cell>
          <cell r="M91">
            <v>0</v>
          </cell>
          <cell r="N91">
            <v>0</v>
          </cell>
          <cell r="O91">
            <v>0</v>
          </cell>
          <cell r="P91">
            <v>9.1503175530835826E-2</v>
          </cell>
          <cell r="Q91">
            <v>4.6696047940405711E-3</v>
          </cell>
          <cell r="R91">
            <v>5.2731958614232396E-3</v>
          </cell>
          <cell r="S91">
            <v>5.6954198520701056E-3</v>
          </cell>
          <cell r="T91">
            <v>5.9572538808033201E-3</v>
          </cell>
          <cell r="U91">
            <v>2.2463156514278049E-2</v>
          </cell>
          <cell r="V91">
            <v>6.7180399130606595E-3</v>
          </cell>
          <cell r="W91">
            <v>9.505255247865033E-3</v>
          </cell>
          <cell r="X91">
            <v>1.3884702768229803E-2</v>
          </cell>
          <cell r="Y91">
            <v>1.4016944496561122E-2</v>
          </cell>
          <cell r="Z91">
            <v>4.4245562052640457E-2</v>
          </cell>
          <cell r="AA91">
            <v>2.9665233975739141E-2</v>
          </cell>
          <cell r="AB91">
            <v>5.0080452294162837E-2</v>
          </cell>
          <cell r="AC91">
            <v>5.7586715369095084E-2</v>
          </cell>
          <cell r="AD91">
            <v>6.5399077213015952E-2</v>
          </cell>
          <cell r="AE91">
            <v>0.35753023643278431</v>
          </cell>
          <cell r="AF91">
            <v>0.10369966572584606</v>
          </cell>
          <cell r="AG91">
            <v>0.16826728341807529</v>
          </cell>
          <cell r="AH91">
            <v>0.19608426911223958</v>
          </cell>
          <cell r="AI91">
            <v>0.10412465547014048</v>
          </cell>
          <cell r="AJ91">
            <v>-0.56113161774390974</v>
          </cell>
          <cell r="AK91">
            <v>0.13925087157099686</v>
          </cell>
          <cell r="AL91">
            <v>9.8986229227551639E-2</v>
          </cell>
          <cell r="AM91">
            <v>9.9427633811253968E-2</v>
          </cell>
          <cell r="AN91">
            <v>0.10232316956683341</v>
          </cell>
          <cell r="AO91">
            <v>0.41289867497775379</v>
          </cell>
          <cell r="AP91">
            <v>0.10190928016723863</v>
          </cell>
          <cell r="AQ91">
            <v>0.10592276485984314</v>
          </cell>
          <cell r="AR91">
            <v>0.10624125816301552</v>
          </cell>
          <cell r="AS91">
            <v>0.10794266793447481</v>
          </cell>
          <cell r="AT91">
            <v>0.42475229701371914</v>
          </cell>
          <cell r="AU91">
            <v>0.11276899561748931</v>
          </cell>
          <cell r="AV91">
            <v>0.12184780267107327</v>
          </cell>
          <cell r="AW91">
            <v>0.12305826661213323</v>
          </cell>
          <cell r="AX91">
            <v>0.12642150379220113</v>
          </cell>
          <cell r="AY91">
            <v>0.49052305608365115</v>
          </cell>
        </row>
        <row r="92">
          <cell r="A92" t="str">
            <v>EPS, net of ESOs, after tax (Modelware)</v>
          </cell>
          <cell r="F92">
            <v>-0.53036759098649733</v>
          </cell>
          <cell r="G92">
            <v>0</v>
          </cell>
          <cell r="H92">
            <v>0</v>
          </cell>
          <cell r="I92">
            <v>0</v>
          </cell>
          <cell r="J92">
            <v>0</v>
          </cell>
          <cell r="K92">
            <v>-1.0847339477964526</v>
          </cell>
          <cell r="L92">
            <v>0</v>
          </cell>
          <cell r="M92">
            <v>0</v>
          </cell>
          <cell r="N92">
            <v>0</v>
          </cell>
          <cell r="O92">
            <v>0</v>
          </cell>
          <cell r="P92">
            <v>-0.51889339231793974</v>
          </cell>
          <cell r="Q92">
            <v>-1.0348074821361495E-2</v>
          </cell>
          <cell r="R92">
            <v>2.5347004261430748E-3</v>
          </cell>
          <cell r="S92">
            <v>-1.9476423762714537E-2</v>
          </cell>
          <cell r="T92">
            <v>-2.4050680783894385E-2</v>
          </cell>
          <cell r="U92">
            <v>-5.2208161067768391E-2</v>
          </cell>
          <cell r="V92">
            <v>-2.9585720872027928E-2</v>
          </cell>
          <cell r="W92">
            <v>-5.194959190560608E-2</v>
          </cell>
          <cell r="X92">
            <v>-4.6848787749876393E-2</v>
          </cell>
          <cell r="Y92">
            <v>-7.5233536707062405E-3</v>
          </cell>
          <cell r="Z92">
            <v>-0.13550505867423984</v>
          </cell>
          <cell r="AA92">
            <v>-6.8900614540956945E-2</v>
          </cell>
          <cell r="AB92">
            <v>-5.750313702374267E-2</v>
          </cell>
          <cell r="AC92">
            <v>-6.5748418465163119E-2</v>
          </cell>
          <cell r="AD92">
            <v>-3.9554679859731288E-2</v>
          </cell>
          <cell r="AE92">
            <v>-0.38520762845232409</v>
          </cell>
          <cell r="AF92">
            <v>-0.15978945644289758</v>
          </cell>
          <cell r="AG92">
            <v>-0.17931435354295525</v>
          </cell>
          <cell r="AH92">
            <v>-0.20487691073996139</v>
          </cell>
          <cell r="AI92">
            <v>-4.6795387177170335E-2</v>
          </cell>
          <cell r="AJ92">
            <v>0.55296765552212834</v>
          </cell>
          <cell r="AK92">
            <v>-0.14710012578788725</v>
          </cell>
          <cell r="AL92">
            <v>-6.4527081855510704E-2</v>
          </cell>
          <cell r="AM92">
            <v>-6.1587781408642947E-2</v>
          </cell>
          <cell r="AN92">
            <v>5.0180937326443908E-3</v>
          </cell>
          <cell r="AO92">
            <v>-0.23343826659218514</v>
          </cell>
          <cell r="AP92">
            <v>-8.2177262820842284E-2</v>
          </cell>
          <cell r="AQ92">
            <v>-3.3434779135521994E-2</v>
          </cell>
          <cell r="AR92">
            <v>-3.0476159210728326E-2</v>
          </cell>
          <cell r="AS92">
            <v>4.0714665123622831E-2</v>
          </cell>
          <cell r="AT92">
            <v>-0.10763005601786946</v>
          </cell>
          <cell r="AU92">
            <v>-7.5373084444623553E-2</v>
          </cell>
          <cell r="AV92">
            <v>1.6141625383972832E-2</v>
          </cell>
          <cell r="AW92">
            <v>5.1264959114143915E-2</v>
          </cell>
          <cell r="AX92">
            <v>0.17240219651280914</v>
          </cell>
          <cell r="AY92">
            <v>0.15902874751917934</v>
          </cell>
        </row>
        <row r="93">
          <cell r="A93" t="str">
            <v>Weighted avg. common shares (Basic)</v>
          </cell>
          <cell r="B93">
            <v>12.398999999999999</v>
          </cell>
          <cell r="C93">
            <v>12.398999999999999</v>
          </cell>
          <cell r="D93">
            <v>12.398999999999999</v>
          </cell>
          <cell r="E93">
            <v>12.398999999999999</v>
          </cell>
          <cell r="F93">
            <v>12.398999999999999</v>
          </cell>
          <cell r="G93">
            <v>12.911</v>
          </cell>
          <cell r="H93">
            <v>12.911</v>
          </cell>
          <cell r="I93">
            <v>12.911</v>
          </cell>
          <cell r="J93">
            <v>12.911</v>
          </cell>
          <cell r="K93">
            <v>12.911</v>
          </cell>
          <cell r="L93">
            <v>14.391999999999999</v>
          </cell>
          <cell r="M93">
            <v>14.391999999999999</v>
          </cell>
          <cell r="N93">
            <v>14.391999999999999</v>
          </cell>
          <cell r="O93">
            <v>14.391999999999999</v>
          </cell>
          <cell r="P93">
            <v>14.391999999999999</v>
          </cell>
          <cell r="Q93">
            <v>74.668000000000006</v>
          </cell>
          <cell r="R93">
            <v>74.668000000000006</v>
          </cell>
          <cell r="S93">
            <v>74.668000000000006</v>
          </cell>
          <cell r="T93">
            <v>74.668000000000006</v>
          </cell>
          <cell r="U93">
            <v>74.668000000000006</v>
          </cell>
          <cell r="V93">
            <v>75.915000000000006</v>
          </cell>
          <cell r="W93">
            <v>75.251499999999993</v>
          </cell>
          <cell r="X93">
            <v>76.416499999999999</v>
          </cell>
          <cell r="Y93">
            <v>76.998999999999995</v>
          </cell>
          <cell r="Z93">
            <v>76.145499999999998</v>
          </cell>
          <cell r="AA93">
            <v>94.582999999999998</v>
          </cell>
          <cell r="AB93">
            <v>95.518000000000001</v>
          </cell>
          <cell r="AC93">
            <v>96.671000000000006</v>
          </cell>
          <cell r="AD93">
            <v>98.995999999999995</v>
          </cell>
          <cell r="AE93">
            <v>80.245999999999995</v>
          </cell>
          <cell r="AF93">
            <v>102.015</v>
          </cell>
          <cell r="AG93">
            <v>104.1</v>
          </cell>
          <cell r="AH93">
            <v>104.125625</v>
          </cell>
          <cell r="AI93">
            <v>104.377503125</v>
          </cell>
          <cell r="AJ93">
            <v>103.65453203125</v>
          </cell>
          <cell r="AK93">
            <v>104.63064064062499</v>
          </cell>
          <cell r="AL93">
            <v>104.88504384382813</v>
          </cell>
          <cell r="AM93">
            <v>105.14071906304727</v>
          </cell>
          <cell r="AN93">
            <v>105.3976726583625</v>
          </cell>
          <cell r="AO93">
            <v>105.01351905146572</v>
          </cell>
          <cell r="AP93">
            <v>105.6559110216543</v>
          </cell>
          <cell r="AQ93">
            <v>105.91544057676259</v>
          </cell>
          <cell r="AR93">
            <v>106.17626777964639</v>
          </cell>
          <cell r="AS93">
            <v>106.43839911854464</v>
          </cell>
          <cell r="AT93">
            <v>106.04650462415198</v>
          </cell>
          <cell r="AU93">
            <v>106.70184111413737</v>
          </cell>
          <cell r="AV93" t="str">
            <v>mstag:averageBasicSharesOutstanding</v>
          </cell>
          <cell r="AW93">
            <v>6</v>
          </cell>
          <cell r="AX93" t="str">
            <v>ms_eqr_gcim_Decimal:ms_eqr_gcim_decimal</v>
          </cell>
          <cell r="AY93" t="b">
            <v>0</v>
          </cell>
          <cell r="BA93" t="str">
            <v>mstag:averageBasicSharesOutstanding</v>
          </cell>
          <cell r="BB93">
            <v>6</v>
          </cell>
          <cell r="BC93" t="str">
            <v>ms_eqr_gcim_Decimal:ms_eqr_gcim_decimal</v>
          </cell>
          <cell r="BD93" t="b">
            <v>0</v>
          </cell>
        </row>
        <row r="94">
          <cell r="A94" t="str">
            <v>Diluted Shares Outstanding (Reported)</v>
          </cell>
          <cell r="B94">
            <v>12.398999999999999</v>
          </cell>
          <cell r="C94">
            <v>12.398999999999999</v>
          </cell>
          <cell r="D94">
            <v>12.398999999999999</v>
          </cell>
          <cell r="E94">
            <v>12.398999999999999</v>
          </cell>
          <cell r="F94">
            <v>12.398999999999999</v>
          </cell>
          <cell r="G94">
            <v>12.911</v>
          </cell>
          <cell r="H94">
            <v>12.911</v>
          </cell>
          <cell r="I94">
            <v>12.911</v>
          </cell>
          <cell r="J94">
            <v>12.911</v>
          </cell>
          <cell r="K94">
            <v>12.911</v>
          </cell>
          <cell r="L94">
            <v>14.391999999999999</v>
          </cell>
          <cell r="M94">
            <v>74.668000000000006</v>
          </cell>
          <cell r="N94">
            <v>74.668000000000006</v>
          </cell>
          <cell r="O94">
            <v>74.668000000000006</v>
          </cell>
          <cell r="P94">
            <v>14.391999999999999</v>
          </cell>
          <cell r="Q94">
            <v>74.668000000000006</v>
          </cell>
          <cell r="R94">
            <v>74.668000000000006</v>
          </cell>
          <cell r="S94">
            <v>74.668000000000006</v>
          </cell>
          <cell r="T94">
            <v>74.668000000000006</v>
          </cell>
          <cell r="U94">
            <v>74.668000000000006</v>
          </cell>
          <cell r="V94">
            <v>75.915000000000006</v>
          </cell>
          <cell r="W94">
            <v>75.251499999999993</v>
          </cell>
          <cell r="X94">
            <v>76.416499999999999</v>
          </cell>
          <cell r="Y94">
            <v>76.998999999999995</v>
          </cell>
          <cell r="Z94">
            <v>76.145499999999998</v>
          </cell>
          <cell r="AA94">
            <v>94.582999999999998</v>
          </cell>
          <cell r="AB94">
            <v>95.518000000000001</v>
          </cell>
          <cell r="AC94">
            <v>96.671000000000006</v>
          </cell>
          <cell r="AD94">
            <v>115.61499999999999</v>
          </cell>
          <cell r="AE94">
            <v>80.245999999999995</v>
          </cell>
          <cell r="AF94">
            <v>102.015</v>
          </cell>
          <cell r="AG94">
            <v>104.1</v>
          </cell>
          <cell r="AH94">
            <v>104.125625</v>
          </cell>
          <cell r="AI94">
            <v>121.07790362499999</v>
          </cell>
          <cell r="AJ94">
            <v>103.65453203125</v>
          </cell>
          <cell r="AK94">
            <v>104.63064064062499</v>
          </cell>
          <cell r="AL94">
            <v>121.66665085884063</v>
          </cell>
          <cell r="AM94">
            <v>121.96323411313483</v>
          </cell>
          <cell r="AN94">
            <v>122.26130028370049</v>
          </cell>
          <cell r="AO94">
            <v>117.63045647407523</v>
          </cell>
          <cell r="AP94">
            <v>122.56085678511899</v>
          </cell>
          <cell r="AQ94">
            <v>122.8619110690446</v>
          </cell>
          <cell r="AR94">
            <v>123.16447062438981</v>
          </cell>
          <cell r="AS94">
            <v>123.46854297751177</v>
          </cell>
          <cell r="AT94">
            <v>123.01394536401629</v>
          </cell>
          <cell r="AU94">
            <v>123.77413569239934</v>
          </cell>
          <cell r="AV94">
            <v>124.08125637086133</v>
          </cell>
          <cell r="AW94">
            <v>124.38991265271564</v>
          </cell>
          <cell r="AX94">
            <v>124.70011221597922</v>
          </cell>
          <cell r="AY94">
            <v>124.23635423298889</v>
          </cell>
        </row>
        <row r="95">
          <cell r="A95" t="str">
            <v>Diluted Shares Outstanding (Operating)</v>
          </cell>
          <cell r="B95">
            <v>12.398999999999999</v>
          </cell>
          <cell r="C95">
            <v>12.398999999999999</v>
          </cell>
          <cell r="D95">
            <v>12.398999999999999</v>
          </cell>
          <cell r="E95">
            <v>12.398999999999999</v>
          </cell>
          <cell r="F95">
            <v>12.398999999999999</v>
          </cell>
          <cell r="G95">
            <v>12.911</v>
          </cell>
          <cell r="H95">
            <v>12.911</v>
          </cell>
          <cell r="I95">
            <v>12.911</v>
          </cell>
          <cell r="J95">
            <v>12.911</v>
          </cell>
          <cell r="K95">
            <v>12.911</v>
          </cell>
          <cell r="L95">
            <v>14.391999999999999</v>
          </cell>
          <cell r="M95">
            <v>74.668000000000006</v>
          </cell>
          <cell r="N95">
            <v>74.668000000000006</v>
          </cell>
          <cell r="O95">
            <v>74.668000000000006</v>
          </cell>
          <cell r="P95">
            <v>14.391999999999999</v>
          </cell>
          <cell r="Q95">
            <v>74.668000000000006</v>
          </cell>
          <cell r="R95">
            <v>74.668000000000006</v>
          </cell>
          <cell r="S95">
            <v>74.668000000000006</v>
          </cell>
          <cell r="T95">
            <v>74.668000000000006</v>
          </cell>
          <cell r="U95">
            <v>74.768000000000001</v>
          </cell>
          <cell r="V95">
            <v>75.915000000000006</v>
          </cell>
          <cell r="W95">
            <v>75.326751499999986</v>
          </cell>
          <cell r="X95">
            <v>76.492916499999993</v>
          </cell>
          <cell r="Y95">
            <v>77.075998999999982</v>
          </cell>
          <cell r="Z95">
            <v>76.202666749999992</v>
          </cell>
          <cell r="AA95">
            <v>94.582999999999998</v>
          </cell>
          <cell r="AB95">
            <v>95.518000000000001</v>
          </cell>
          <cell r="AC95">
            <v>96.671000000000006</v>
          </cell>
          <cell r="AD95">
            <v>115.61499999999999</v>
          </cell>
          <cell r="AE95">
            <v>80.245999999999995</v>
          </cell>
          <cell r="AF95">
            <v>102.015</v>
          </cell>
          <cell r="AG95">
            <v>104.1</v>
          </cell>
          <cell r="AH95">
            <v>104.125625</v>
          </cell>
          <cell r="AI95">
            <v>121.07790362499999</v>
          </cell>
          <cell r="AJ95">
            <v>107.82963215625</v>
          </cell>
          <cell r="AK95">
            <v>104.63064064062499</v>
          </cell>
          <cell r="AL95">
            <v>121.66665085884063</v>
          </cell>
          <cell r="AM95">
            <v>121.96323411313483</v>
          </cell>
          <cell r="AN95">
            <v>122.26130028370049</v>
          </cell>
          <cell r="AO95">
            <v>117.63045647407523</v>
          </cell>
          <cell r="AP95">
            <v>122.56085678511899</v>
          </cell>
          <cell r="AQ95">
            <v>122.8619110690446</v>
          </cell>
          <cell r="AR95">
            <v>123.16447062438981</v>
          </cell>
          <cell r="AS95">
            <v>123.46854297751177</v>
          </cell>
          <cell r="AT95">
            <v>123.01394536401629</v>
          </cell>
          <cell r="AU95">
            <v>123.77413569239934</v>
          </cell>
          <cell r="AV95" t="str">
            <v>mstag:averageDilutedSharesOutstanding</v>
          </cell>
          <cell r="AW95">
            <v>6</v>
          </cell>
          <cell r="AX95" t="str">
            <v>ms_eqr_gcim_Decimal:ms_eqr_gcim_decimal</v>
          </cell>
          <cell r="AY95" t="b">
            <v>0</v>
          </cell>
          <cell r="BA95" t="str">
            <v>mstag:averageDilutedSharesOutstanding</v>
          </cell>
          <cell r="BB95">
            <v>6</v>
          </cell>
          <cell r="BC95" t="str">
            <v>ms_eqr_gcim_Decimal:ms_eqr_gcim_decimal</v>
          </cell>
          <cell r="BD95" t="b">
            <v>0</v>
          </cell>
        </row>
        <row r="96">
          <cell r="A96" t="str">
            <v>Dilution Ratio</v>
          </cell>
          <cell r="F96">
            <v>1</v>
          </cell>
          <cell r="G96">
            <v>1</v>
          </cell>
          <cell r="H96">
            <v>1</v>
          </cell>
          <cell r="I96">
            <v>1</v>
          </cell>
          <cell r="J96">
            <v>1</v>
          </cell>
          <cell r="K96">
            <v>1</v>
          </cell>
          <cell r="L96">
            <v>1</v>
          </cell>
          <cell r="M96">
            <v>5.1881600889382993</v>
          </cell>
          <cell r="N96">
            <v>5.1881600889382993</v>
          </cell>
          <cell r="O96">
            <v>5.1881600889382993</v>
          </cell>
          <cell r="P96">
            <v>1</v>
          </cell>
          <cell r="Q96">
            <v>1</v>
          </cell>
          <cell r="R96">
            <v>1</v>
          </cell>
          <cell r="S96">
            <v>1</v>
          </cell>
          <cell r="T96">
            <v>1</v>
          </cell>
          <cell r="U96">
            <v>1.0013392617988963</v>
          </cell>
          <cell r="V96">
            <v>1.0009999999999999</v>
          </cell>
          <cell r="W96">
            <v>1.0009999999999999</v>
          </cell>
          <cell r="X96">
            <v>1.0009999999999999</v>
          </cell>
          <cell r="Y96">
            <v>1.0009999999999999</v>
          </cell>
          <cell r="Z96">
            <v>1.0007507567748586</v>
          </cell>
          <cell r="AA96">
            <v>1</v>
          </cell>
          <cell r="AB96">
            <v>1</v>
          </cell>
          <cell r="AC96">
            <v>1</v>
          </cell>
          <cell r="AD96">
            <v>1.1678754697159481</v>
          </cell>
          <cell r="AE96">
            <v>1</v>
          </cell>
          <cell r="AF96">
            <v>1</v>
          </cell>
          <cell r="AG96">
            <v>1</v>
          </cell>
          <cell r="AH96">
            <v>1</v>
          </cell>
          <cell r="AI96">
            <v>1.1599999999999999</v>
          </cell>
          <cell r="AJ96">
            <v>1.0402789925648526</v>
          </cell>
          <cell r="AK96">
            <v>1</v>
          </cell>
          <cell r="AL96">
            <v>1.1599999999999999</v>
          </cell>
          <cell r="AM96">
            <v>1.1599999999999999</v>
          </cell>
          <cell r="AN96">
            <v>1.1599999999999999</v>
          </cell>
          <cell r="AO96">
            <v>1.1201458396649493</v>
          </cell>
          <cell r="AP96">
            <v>1.1599999999999999</v>
          </cell>
          <cell r="AQ96">
            <v>1.1599999999999999</v>
          </cell>
          <cell r="AR96">
            <v>1.1599999999999999</v>
          </cell>
          <cell r="AS96">
            <v>1.1599999999999999</v>
          </cell>
          <cell r="AT96">
            <v>1.1599999999999999</v>
          </cell>
          <cell r="AU96">
            <v>1.1599999999999999</v>
          </cell>
          <cell r="AV96">
            <v>1.1599999999999999</v>
          </cell>
          <cell r="AW96">
            <v>1.1599999999999999</v>
          </cell>
          <cell r="AX96">
            <v>1.1599999999999999</v>
          </cell>
          <cell r="AY96">
            <v>1.1599999999999999</v>
          </cell>
        </row>
        <row r="97">
          <cell r="A97" t="str">
            <v>Period end basic shares outstanding</v>
          </cell>
          <cell r="F97">
            <v>0</v>
          </cell>
          <cell r="G97">
            <v>12.911</v>
          </cell>
          <cell r="H97">
            <v>12.911</v>
          </cell>
          <cell r="I97">
            <v>12.911</v>
          </cell>
          <cell r="J97">
            <v>12.911</v>
          </cell>
          <cell r="K97">
            <v>12.911</v>
          </cell>
          <cell r="L97">
            <v>14.391999999999999</v>
          </cell>
          <cell r="M97">
            <v>74.668000000000006</v>
          </cell>
          <cell r="N97">
            <v>74.668000000000006</v>
          </cell>
          <cell r="O97">
            <v>74.668000000000006</v>
          </cell>
          <cell r="P97">
            <v>74.668000000000006</v>
          </cell>
          <cell r="Q97">
            <v>74.668000000000006</v>
          </cell>
          <cell r="R97">
            <v>74.668000000000006</v>
          </cell>
          <cell r="S97">
            <v>74.668000000000006</v>
          </cell>
          <cell r="T97">
            <v>74.668000000000006</v>
          </cell>
          <cell r="U97">
            <v>74.668000000000006</v>
          </cell>
          <cell r="V97">
            <v>74.668999999999997</v>
          </cell>
          <cell r="W97">
            <v>75.834000000000003</v>
          </cell>
          <cell r="X97">
            <v>76.998999999999995</v>
          </cell>
          <cell r="Y97">
            <v>76.998999999999995</v>
          </cell>
          <cell r="Z97">
            <v>76.125249999999994</v>
          </cell>
          <cell r="AA97">
            <v>95.619</v>
          </cell>
          <cell r="AB97">
            <v>96.731999999999999</v>
          </cell>
          <cell r="AC97">
            <v>96.9255</v>
          </cell>
          <cell r="AD97">
            <v>100.9</v>
          </cell>
          <cell r="AE97">
            <v>97.544125000000008</v>
          </cell>
          <cell r="AF97">
            <v>102.015</v>
          </cell>
          <cell r="AG97">
            <v>104</v>
          </cell>
          <cell r="AH97">
            <v>104.25125</v>
          </cell>
          <cell r="AI97">
            <v>104.50375625</v>
          </cell>
          <cell r="AJ97">
            <v>103.6925015625</v>
          </cell>
          <cell r="AK97">
            <v>104.75752503125</v>
          </cell>
          <cell r="AL97">
            <v>105.01256265640625</v>
          </cell>
          <cell r="AM97">
            <v>105.26887546968828</v>
          </cell>
          <cell r="AN97">
            <v>105.52646984703672</v>
          </cell>
          <cell r="AO97">
            <v>105.14135825109531</v>
          </cell>
          <cell r="AP97">
            <v>105.7853521962719</v>
          </cell>
          <cell r="AQ97">
            <v>106.04552895725327</v>
          </cell>
          <cell r="AR97">
            <v>106.30700660203954</v>
          </cell>
          <cell r="AS97">
            <v>106.56979163504974</v>
          </cell>
          <cell r="AT97">
            <v>106.17691984765362</v>
          </cell>
          <cell r="AU97">
            <v>106.83389059322499</v>
          </cell>
          <cell r="AV97" t="str">
            <v>mstag:periodEndBasicSharesOutstanding</v>
          </cell>
          <cell r="AW97">
            <v>6</v>
          </cell>
          <cell r="AX97" t="str">
            <v>ms_eqr_gcim_Decimal:ms_eqr_gcim_decimal</v>
          </cell>
          <cell r="AY97" t="b">
            <v>0</v>
          </cell>
          <cell r="BA97" t="str">
            <v>mstag:periodEndBasicSharesOutstanding</v>
          </cell>
          <cell r="BB97">
            <v>6</v>
          </cell>
          <cell r="BC97" t="str">
            <v>ms_eqr_gcim_Decimal:ms_eqr_gcim_decimal</v>
          </cell>
          <cell r="BD97" t="b">
            <v>0</v>
          </cell>
        </row>
        <row r="98">
          <cell r="A98" t="str">
            <v>Change in EOP shares (QoQ)</v>
          </cell>
          <cell r="Y98">
            <v>0</v>
          </cell>
          <cell r="AH98">
            <v>0.25124999999999997</v>
          </cell>
          <cell r="AI98">
            <v>0.25250624999999993</v>
          </cell>
          <cell r="AK98">
            <v>0.25376878124999991</v>
          </cell>
          <cell r="AL98">
            <v>0.25503762515624989</v>
          </cell>
          <cell r="AM98">
            <v>0.25631281328203109</v>
          </cell>
          <cell r="AN98">
            <v>0.25759437734844121</v>
          </cell>
          <cell r="AP98">
            <v>0.25888234923518338</v>
          </cell>
          <cell r="AQ98">
            <v>0.26017676098135928</v>
          </cell>
          <cell r="AR98">
            <v>0.26147764478626606</v>
          </cell>
          <cell r="AS98">
            <v>0.26278503301019734</v>
          </cell>
          <cell r="AU98">
            <v>0.26409895817524831</v>
          </cell>
          <cell r="AV98">
            <v>0.26541945296612451</v>
          </cell>
          <cell r="AW98">
            <v>0.26674655023095512</v>
          </cell>
          <cell r="AX98">
            <v>0.26808028298210984</v>
          </cell>
        </row>
        <row r="99">
          <cell r="AE99">
            <v>0.28136360800128757</v>
          </cell>
          <cell r="AJ99">
            <v>6.30317465300958E-2</v>
          </cell>
          <cell r="AO99">
            <v>1.3972627400854254E-2</v>
          </cell>
          <cell r="AT99">
            <v>9.8492316799372315E-3</v>
          </cell>
          <cell r="AY99">
            <v>9.9497017117540221E-3</v>
          </cell>
        </row>
        <row r="101">
          <cell r="A101" t="str">
            <v>RECONCILIATION TO GAAP RESULTS</v>
          </cell>
        </row>
        <row r="102">
          <cell r="A102" t="str">
            <v>Stock Based Compensation</v>
          </cell>
        </row>
        <row r="103">
          <cell r="A103" t="str">
            <v>SBC in Cost of Service COGS</v>
          </cell>
          <cell r="F103">
            <v>7.0000000000000001E-3</v>
          </cell>
          <cell r="G103">
            <v>0</v>
          </cell>
          <cell r="H103">
            <v>0</v>
          </cell>
          <cell r="I103">
            <v>0</v>
          </cell>
          <cell r="J103">
            <v>0</v>
          </cell>
          <cell r="K103">
            <v>1.0999999999999999E-2</v>
          </cell>
          <cell r="L103">
            <v>0</v>
          </cell>
          <cell r="M103">
            <v>0</v>
          </cell>
          <cell r="N103">
            <v>0</v>
          </cell>
          <cell r="O103">
            <v>0</v>
          </cell>
          <cell r="P103">
            <v>3.1E-2</v>
          </cell>
          <cell r="Q103">
            <v>0.01</v>
          </cell>
          <cell r="R103">
            <v>1.6E-2</v>
          </cell>
          <cell r="S103">
            <v>1.6E-2</v>
          </cell>
          <cell r="T103">
            <v>1.6E-2</v>
          </cell>
          <cell r="U103">
            <v>5.8000000000000003E-2</v>
          </cell>
          <cell r="V103">
            <v>1.9E-2</v>
          </cell>
          <cell r="W103">
            <v>2.7E-2</v>
          </cell>
          <cell r="X103">
            <v>3.6999999999999998E-2</v>
          </cell>
          <cell r="Y103">
            <v>3.8850000000000003E-2</v>
          </cell>
          <cell r="Z103">
            <v>0.12184999999999999</v>
          </cell>
          <cell r="AA103">
            <v>0.108</v>
          </cell>
          <cell r="AB103">
            <v>0.26700000000000002</v>
          </cell>
          <cell r="AC103">
            <v>0.32200000000000001</v>
          </cell>
          <cell r="AD103">
            <v>0.52</v>
          </cell>
          <cell r="AE103">
            <v>1.2170000000000001</v>
          </cell>
          <cell r="AF103">
            <v>0.70499999999999996</v>
          </cell>
          <cell r="AG103">
            <v>0.86499999999999999</v>
          </cell>
          <cell r="AH103">
            <v>0.90825</v>
          </cell>
          <cell r="AI103">
            <v>0.95366250000000008</v>
          </cell>
          <cell r="AJ103">
            <v>3.4319125000000001</v>
          </cell>
          <cell r="AK103">
            <v>1.0013456250000001</v>
          </cell>
          <cell r="AL103">
            <v>1.0514129062500002</v>
          </cell>
          <cell r="AM103">
            <v>1.1039835515625003</v>
          </cell>
          <cell r="AN103">
            <v>1.1591827291406254</v>
          </cell>
          <cell r="AO103">
            <v>4.3159248119531259</v>
          </cell>
          <cell r="AP103">
            <v>1.2171418655976567</v>
          </cell>
          <cell r="AQ103">
            <v>1.2779989588775396</v>
          </cell>
          <cell r="AR103">
            <v>1.3418989068214167</v>
          </cell>
          <cell r="AS103">
            <v>1.4089938521624876</v>
          </cell>
          <cell r="AT103">
            <v>5.2460335834591003</v>
          </cell>
          <cell r="AU103">
            <v>1.8976622401957208</v>
          </cell>
          <cell r="AV103">
            <v>1.992545352205507</v>
          </cell>
          <cell r="AW103">
            <v>2.0921726198157824</v>
          </cell>
          <cell r="AX103">
            <v>2.1967812508065716</v>
          </cell>
          <cell r="AY103">
            <v>8.1791614630235827</v>
          </cell>
        </row>
        <row r="104">
          <cell r="A104" t="str">
            <v>SBC in Sales &amp; Marketing</v>
          </cell>
          <cell r="F104">
            <v>4.1000000000000002E-2</v>
          </cell>
          <cell r="G104">
            <v>0</v>
          </cell>
          <cell r="H104">
            <v>0</v>
          </cell>
          <cell r="I104">
            <v>0</v>
          </cell>
          <cell r="J104">
            <v>0</v>
          </cell>
          <cell r="K104">
            <v>0.17599999999999999</v>
          </cell>
          <cell r="L104">
            <v>0</v>
          </cell>
          <cell r="M104">
            <v>0</v>
          </cell>
          <cell r="N104">
            <v>0</v>
          </cell>
          <cell r="O104">
            <v>0</v>
          </cell>
          <cell r="P104">
            <v>0.38200000000000001</v>
          </cell>
          <cell r="Q104">
            <v>8.1000000000000003E-2</v>
          </cell>
          <cell r="R104">
            <v>0.13100000000000001</v>
          </cell>
          <cell r="S104">
            <v>0.14000000000000001</v>
          </cell>
          <cell r="T104">
            <v>0.14299999999999999</v>
          </cell>
          <cell r="U104">
            <v>0.495</v>
          </cell>
          <cell r="V104">
            <v>0.17899999999999999</v>
          </cell>
          <cell r="W104">
            <v>0.245</v>
          </cell>
          <cell r="X104">
            <v>0.40500000000000003</v>
          </cell>
          <cell r="Y104">
            <v>0.41715000000000002</v>
          </cell>
          <cell r="Z104">
            <v>1.2461500000000001</v>
          </cell>
          <cell r="AA104">
            <v>0.85799999999999998</v>
          </cell>
          <cell r="AB104">
            <v>1.5049999999999999</v>
          </cell>
          <cell r="AC104">
            <v>2.093</v>
          </cell>
          <cell r="AD104">
            <v>3.637</v>
          </cell>
          <cell r="AE104">
            <v>8.093</v>
          </cell>
          <cell r="AF104">
            <v>4.3220000000000001</v>
          </cell>
          <cell r="AG104">
            <v>5.1559999999999997</v>
          </cell>
          <cell r="AH104">
            <v>5.2848999999999995</v>
          </cell>
          <cell r="AI104">
            <v>5.417022499999999</v>
          </cell>
          <cell r="AJ104">
            <v>20.179922499999996</v>
          </cell>
          <cell r="AK104">
            <v>5.297229656249999</v>
          </cell>
          <cell r="AL104">
            <v>5.297229656249999</v>
          </cell>
          <cell r="AM104">
            <v>5.297229656249999</v>
          </cell>
          <cell r="AN104">
            <v>5.297229656249999</v>
          </cell>
          <cell r="AO104">
            <v>21.188918624999996</v>
          </cell>
          <cell r="AP104">
            <v>5.562091139062499</v>
          </cell>
          <cell r="AQ104">
            <v>5.562091139062499</v>
          </cell>
          <cell r="AR104">
            <v>5.562091139062499</v>
          </cell>
          <cell r="AS104">
            <v>5.562091139062499</v>
          </cell>
          <cell r="AT104">
            <v>22.248364556249996</v>
          </cell>
          <cell r="AU104">
            <v>6.2282178492187512</v>
          </cell>
          <cell r="AV104">
            <v>6.2282178492187512</v>
          </cell>
          <cell r="AW104">
            <v>6.2282178492187512</v>
          </cell>
          <cell r="AX104">
            <v>6.2282178492187512</v>
          </cell>
          <cell r="AY104">
            <v>24.912871396875005</v>
          </cell>
        </row>
        <row r="105">
          <cell r="A105" t="str">
            <v>SBC in R&amp;D</v>
          </cell>
          <cell r="F105">
            <v>3.2000000000000001E-2</v>
          </cell>
          <cell r="G105">
            <v>0</v>
          </cell>
          <cell r="H105">
            <v>0</v>
          </cell>
          <cell r="I105">
            <v>0</v>
          </cell>
          <cell r="J105">
            <v>0</v>
          </cell>
          <cell r="K105">
            <v>9.6000000000000002E-2</v>
          </cell>
          <cell r="L105">
            <v>0</v>
          </cell>
          <cell r="M105">
            <v>0</v>
          </cell>
          <cell r="N105">
            <v>0</v>
          </cell>
          <cell r="O105">
            <v>0</v>
          </cell>
          <cell r="P105">
            <v>0.215</v>
          </cell>
          <cell r="Q105">
            <v>6.7000000000000004E-2</v>
          </cell>
          <cell r="R105">
            <v>9.0999999999999998E-2</v>
          </cell>
          <cell r="S105">
            <v>9.0999999999999998E-2</v>
          </cell>
          <cell r="T105">
            <v>9.8000000000000004E-2</v>
          </cell>
          <cell r="U105">
            <v>0.34699999999999998</v>
          </cell>
          <cell r="V105">
            <v>0.121</v>
          </cell>
          <cell r="W105">
            <v>0.18099999999999999</v>
          </cell>
          <cell r="X105">
            <v>0.22900000000000001</v>
          </cell>
          <cell r="Y105">
            <v>0.23587000000000002</v>
          </cell>
          <cell r="Z105">
            <v>0.76687000000000005</v>
          </cell>
          <cell r="AA105">
            <v>0.89500000000000002</v>
          </cell>
          <cell r="AB105">
            <v>1.2669999999999999</v>
          </cell>
          <cell r="AC105">
            <v>1.56</v>
          </cell>
          <cell r="AD105">
            <v>2.448</v>
          </cell>
          <cell r="AE105">
            <v>6.17</v>
          </cell>
          <cell r="AF105">
            <v>3.0430000000000001</v>
          </cell>
          <cell r="AG105">
            <v>3.5470000000000002</v>
          </cell>
          <cell r="AH105">
            <v>3.635675</v>
          </cell>
          <cell r="AI105">
            <v>3.7265668749999996</v>
          </cell>
          <cell r="AJ105">
            <v>13.952241874999999</v>
          </cell>
          <cell r="AK105">
            <v>3.6624634921874999</v>
          </cell>
          <cell r="AL105">
            <v>3.6624634921874999</v>
          </cell>
          <cell r="AM105">
            <v>3.6624634921874999</v>
          </cell>
          <cell r="AN105">
            <v>3.6624634921874999</v>
          </cell>
          <cell r="AO105">
            <v>14.64985396875</v>
          </cell>
          <cell r="AP105">
            <v>3.845586666796875</v>
          </cell>
          <cell r="AQ105">
            <v>3.845586666796875</v>
          </cell>
          <cell r="AR105">
            <v>3.845586666796875</v>
          </cell>
          <cell r="AS105">
            <v>3.845586666796875</v>
          </cell>
          <cell r="AT105">
            <v>15.3823466671875</v>
          </cell>
          <cell r="AU105">
            <v>4.488727113281251</v>
          </cell>
          <cell r="AV105">
            <v>4.488727113281251</v>
          </cell>
          <cell r="AW105">
            <v>4.488727113281251</v>
          </cell>
          <cell r="AX105">
            <v>4.488727113281251</v>
          </cell>
          <cell r="AY105">
            <v>17.954908453125004</v>
          </cell>
        </row>
        <row r="106">
          <cell r="A106" t="str">
            <v>SBC in G&amp;A</v>
          </cell>
          <cell r="F106">
            <v>0.01</v>
          </cell>
          <cell r="G106">
            <v>0</v>
          </cell>
          <cell r="H106">
            <v>0</v>
          </cell>
          <cell r="I106">
            <v>0</v>
          </cell>
          <cell r="J106">
            <v>0</v>
          </cell>
          <cell r="K106">
            <v>0.48399999999999999</v>
          </cell>
          <cell r="L106">
            <v>0</v>
          </cell>
          <cell r="M106">
            <v>0</v>
          </cell>
          <cell r="N106">
            <v>0</v>
          </cell>
          <cell r="O106">
            <v>0</v>
          </cell>
          <cell r="P106">
            <v>0.67200000000000004</v>
          </cell>
          <cell r="Q106">
            <v>0.16600000000000001</v>
          </cell>
          <cell r="R106">
            <v>0.17599999999999999</v>
          </cell>
          <cell r="S106">
            <v>0.17</v>
          </cell>
          <cell r="T106">
            <v>0.17299999999999999</v>
          </cell>
          <cell r="U106">
            <v>0.68500000000000005</v>
          </cell>
          <cell r="V106">
            <v>0.191</v>
          </cell>
          <cell r="W106">
            <v>0.26300000000000001</v>
          </cell>
          <cell r="X106">
            <v>0.37</v>
          </cell>
          <cell r="Y106">
            <v>0.38850000000000001</v>
          </cell>
          <cell r="Z106">
            <v>1.2125000000000001</v>
          </cell>
          <cell r="AA106">
            <v>0.81100000000000005</v>
          </cell>
          <cell r="AB106">
            <v>0.82699999999999996</v>
          </cell>
          <cell r="AC106">
            <v>0.71</v>
          </cell>
          <cell r="AD106">
            <v>1.6519999999999999</v>
          </cell>
          <cell r="AE106">
            <v>4</v>
          </cell>
          <cell r="AF106">
            <v>1.762</v>
          </cell>
          <cell r="AG106">
            <v>2.3889999999999998</v>
          </cell>
          <cell r="AH106">
            <v>2.4487249999999996</v>
          </cell>
          <cell r="AI106">
            <v>2.5099431249999995</v>
          </cell>
          <cell r="AJ106">
            <v>9.1096681249999989</v>
          </cell>
          <cell r="AK106">
            <v>2.3912878828124997</v>
          </cell>
          <cell r="AL106">
            <v>2.3912878828124997</v>
          </cell>
          <cell r="AM106">
            <v>2.3912878828124997</v>
          </cell>
          <cell r="AN106">
            <v>2.3912878828124997</v>
          </cell>
          <cell r="AO106">
            <v>9.5651515312499988</v>
          </cell>
          <cell r="AP106">
            <v>2.5108522769531247</v>
          </cell>
          <cell r="AQ106">
            <v>2.5108522769531247</v>
          </cell>
          <cell r="AR106">
            <v>2.5108522769531247</v>
          </cell>
          <cell r="AS106">
            <v>2.5108522769531247</v>
          </cell>
          <cell r="AT106">
            <v>10.043409107812499</v>
          </cell>
          <cell r="AU106">
            <v>2.8510494960937502</v>
          </cell>
          <cell r="AV106">
            <v>2.8510494960937502</v>
          </cell>
          <cell r="AW106">
            <v>2.8510494960937502</v>
          </cell>
          <cell r="AX106">
            <v>2.8510494960937502</v>
          </cell>
          <cell r="AY106">
            <v>11.404197984375001</v>
          </cell>
        </row>
        <row r="107">
          <cell r="A107" t="str">
            <v>Total Stock Comp</v>
          </cell>
          <cell r="F107">
            <v>0.09</v>
          </cell>
          <cell r="G107">
            <v>0</v>
          </cell>
          <cell r="H107">
            <v>0</v>
          </cell>
          <cell r="I107">
            <v>0</v>
          </cell>
          <cell r="J107">
            <v>0</v>
          </cell>
          <cell r="K107">
            <v>0.76700000000000002</v>
          </cell>
          <cell r="L107">
            <v>0</v>
          </cell>
          <cell r="M107">
            <v>0</v>
          </cell>
          <cell r="N107">
            <v>0</v>
          </cell>
          <cell r="O107">
            <v>0</v>
          </cell>
          <cell r="P107">
            <v>1.3</v>
          </cell>
          <cell r="Q107">
            <v>0.32400000000000001</v>
          </cell>
          <cell r="R107">
            <v>0.41400000000000003</v>
          </cell>
          <cell r="S107">
            <v>0.41700000000000004</v>
          </cell>
          <cell r="T107">
            <v>0.43</v>
          </cell>
          <cell r="U107">
            <v>1.585</v>
          </cell>
          <cell r="V107">
            <v>0.51</v>
          </cell>
          <cell r="W107">
            <v>0.71599999999999997</v>
          </cell>
          <cell r="X107">
            <v>1.0409999999999999</v>
          </cell>
          <cell r="Y107">
            <v>1.0803700000000001</v>
          </cell>
          <cell r="Z107">
            <v>3.3473700000000006</v>
          </cell>
          <cell r="AA107">
            <v>2.6720000000000002</v>
          </cell>
          <cell r="AB107">
            <v>3.8659999999999997</v>
          </cell>
          <cell r="AC107">
            <v>4.6850000000000005</v>
          </cell>
          <cell r="AD107">
            <v>8.2569999999999997</v>
          </cell>
          <cell r="AE107">
            <v>19.48</v>
          </cell>
          <cell r="AF107">
            <v>9.8320000000000007</v>
          </cell>
          <cell r="AG107">
            <v>11.956999999999999</v>
          </cell>
          <cell r="AH107">
            <v>12.277549999999998</v>
          </cell>
          <cell r="AI107">
            <v>12.607194999999997</v>
          </cell>
          <cell r="AJ107">
            <v>46.673744999999997</v>
          </cell>
          <cell r="AK107">
            <v>12.35232665625</v>
          </cell>
          <cell r="AL107">
            <v>12.402393937499998</v>
          </cell>
          <cell r="AM107">
            <v>12.454964582812497</v>
          </cell>
          <cell r="AN107">
            <v>12.510163760390625</v>
          </cell>
          <cell r="AO107">
            <v>49.719848936953127</v>
          </cell>
          <cell r="AP107">
            <v>13.135671948410156</v>
          </cell>
          <cell r="AQ107">
            <v>13.196529041690038</v>
          </cell>
          <cell r="AR107">
            <v>13.260428989633915</v>
          </cell>
          <cell r="AS107">
            <v>13.327523934974987</v>
          </cell>
          <cell r="AT107">
            <v>52.920153914709097</v>
          </cell>
          <cell r="AU107">
            <v>15.465656698789473</v>
          </cell>
          <cell r="AV107" t="str">
            <v>mstag:stockCompensation</v>
          </cell>
          <cell r="AW107">
            <v>6</v>
          </cell>
          <cell r="AX107" t="str">
            <v>ISO4217:USD</v>
          </cell>
          <cell r="AY107" t="b">
            <v>0</v>
          </cell>
          <cell r="BA107" t="str">
            <v>mstag:stockCompensation</v>
          </cell>
          <cell r="BB107">
            <v>6</v>
          </cell>
          <cell r="BC107" t="str">
            <v>ISO4217:USD</v>
          </cell>
          <cell r="BD107" t="b">
            <v>0</v>
          </cell>
        </row>
        <row r="108">
          <cell r="A108" t="str">
            <v>Growth, YoY</v>
          </cell>
          <cell r="K108">
            <v>7.5222222222222221</v>
          </cell>
          <cell r="L108" t="str">
            <v/>
          </cell>
          <cell r="M108" t="str">
            <v/>
          </cell>
          <cell r="N108" t="str">
            <v/>
          </cell>
          <cell r="O108" t="str">
            <v/>
          </cell>
          <cell r="P108">
            <v>0.69491525423728806</v>
          </cell>
          <cell r="Q108" t="str">
            <v/>
          </cell>
          <cell r="R108" t="str">
            <v/>
          </cell>
          <cell r="S108" t="str">
            <v/>
          </cell>
          <cell r="T108" t="str">
            <v/>
          </cell>
          <cell r="U108">
            <v>0.21923076923076912</v>
          </cell>
          <cell r="V108">
            <v>0.57407407407407396</v>
          </cell>
          <cell r="W108">
            <v>0.72946859903381611</v>
          </cell>
          <cell r="X108">
            <v>1.4964028776978413</v>
          </cell>
          <cell r="Y108">
            <v>1.5124883720930233</v>
          </cell>
          <cell r="Z108">
            <v>1.1119053627760258</v>
          </cell>
          <cell r="AA108">
            <v>4.2392156862745098</v>
          </cell>
          <cell r="AB108">
            <v>4.3994413407821229</v>
          </cell>
          <cell r="AC108">
            <v>3.5004803073967343</v>
          </cell>
          <cell r="AD108">
            <v>6.6427520201412475</v>
          </cell>
          <cell r="AE108">
            <v>4.8194941103015196</v>
          </cell>
          <cell r="AF108">
            <v>2.6796407185628741</v>
          </cell>
          <cell r="AG108">
            <v>2.0928608380755302</v>
          </cell>
          <cell r="AH108">
            <v>1.6206083244397003</v>
          </cell>
          <cell r="AI108">
            <v>0.5268493399539782</v>
          </cell>
          <cell r="AJ108">
            <v>1.3959828028747432</v>
          </cell>
          <cell r="AK108">
            <v>0.25633916357302677</v>
          </cell>
          <cell r="AL108">
            <v>3.7249639332608497E-2</v>
          </cell>
          <cell r="AM108">
            <v>1.4450324601610109E-2</v>
          </cell>
          <cell r="AN108">
            <v>-7.6964970883190986E-3</v>
          </cell>
          <cell r="AO108">
            <v>6.5263756678473728E-2</v>
          </cell>
          <cell r="AP108">
            <v>6.3416821296885084E-2</v>
          </cell>
          <cell r="AQ108">
            <v>6.4030791812610177E-2</v>
          </cell>
          <cell r="AR108">
            <v>6.4670148314426967E-2</v>
          </cell>
          <cell r="AS108">
            <v>6.5335689463336122E-2</v>
          </cell>
          <cell r="AT108">
            <v>6.4366747811605229E-2</v>
          </cell>
          <cell r="AU108">
            <v>6.7840797428364574E-2</v>
          </cell>
          <cell r="AV108">
            <v>6.8632412963756995E-2</v>
          </cell>
          <cell r="AW108">
            <v>6.9454525736100559E-2</v>
          </cell>
          <cell r="AX108">
            <v>7.0307896861953489E-2</v>
          </cell>
          <cell r="AY108">
            <v>6.9064683564192153E-2</v>
          </cell>
        </row>
        <row r="109">
          <cell r="A109" t="str">
            <v>Amortization Charges and Other</v>
          </cell>
          <cell r="B109">
            <v>0</v>
          </cell>
          <cell r="C109">
            <v>0</v>
          </cell>
          <cell r="D109">
            <v>0</v>
          </cell>
          <cell r="E109">
            <v>0</v>
          </cell>
          <cell r="F109">
            <v>0</v>
          </cell>
          <cell r="G109">
            <v>0</v>
          </cell>
          <cell r="H109">
            <v>0</v>
          </cell>
          <cell r="I109">
            <v>0</v>
          </cell>
          <cell r="J109">
            <v>0</v>
          </cell>
          <cell r="K109">
            <v>-0.76700000000000002</v>
          </cell>
          <cell r="L109">
            <v>0</v>
          </cell>
          <cell r="M109">
            <v>0</v>
          </cell>
          <cell r="N109">
            <v>0</v>
          </cell>
          <cell r="O109">
            <v>0</v>
          </cell>
          <cell r="P109">
            <v>0</v>
          </cell>
          <cell r="Q109">
            <v>0</v>
          </cell>
          <cell r="R109">
            <v>0</v>
          </cell>
          <cell r="S109">
            <v>0</v>
          </cell>
          <cell r="T109">
            <v>0</v>
          </cell>
          <cell r="U109">
            <v>0</v>
          </cell>
          <cell r="V109">
            <v>0</v>
          </cell>
          <cell r="W109">
            <v>0</v>
          </cell>
          <cell r="X109">
            <v>0</v>
          </cell>
          <cell r="Y109">
            <v>0</v>
          </cell>
          <cell r="Z109">
            <v>0</v>
          </cell>
          <cell r="AA109">
            <v>14.087</v>
          </cell>
          <cell r="AB109">
            <v>0</v>
          </cell>
          <cell r="AC109">
            <v>0</v>
          </cell>
          <cell r="AD109">
            <v>0</v>
          </cell>
          <cell r="AE109">
            <v>14.087</v>
          </cell>
          <cell r="AF109">
            <v>0</v>
          </cell>
          <cell r="AG109">
            <v>0.56400000000000006</v>
          </cell>
          <cell r="AH109">
            <v>0</v>
          </cell>
          <cell r="AI109">
            <v>0</v>
          </cell>
          <cell r="AJ109">
            <v>0.56400000000000006</v>
          </cell>
          <cell r="AK109">
            <v>0</v>
          </cell>
          <cell r="AL109">
            <v>0</v>
          </cell>
          <cell r="AM109">
            <v>0</v>
          </cell>
          <cell r="AN109">
            <v>0</v>
          </cell>
          <cell r="AO109">
            <v>0</v>
          </cell>
          <cell r="AP109">
            <v>0</v>
          </cell>
          <cell r="AQ109">
            <v>0</v>
          </cell>
          <cell r="AR109">
            <v>0</v>
          </cell>
          <cell r="AS109">
            <v>0</v>
          </cell>
          <cell r="AT109">
            <v>0</v>
          </cell>
          <cell r="AU109">
            <v>0</v>
          </cell>
          <cell r="AV109">
            <v>0</v>
          </cell>
          <cell r="AW109">
            <v>0</v>
          </cell>
          <cell r="AX109">
            <v>0</v>
          </cell>
          <cell r="AY109">
            <v>0</v>
          </cell>
        </row>
        <row r="110">
          <cell r="A110" t="str">
            <v>Operating income, GAAP</v>
          </cell>
          <cell r="F110">
            <v>-6.9390000000000009</v>
          </cell>
          <cell r="G110">
            <v>0</v>
          </cell>
          <cell r="H110">
            <v>0</v>
          </cell>
          <cell r="I110">
            <v>0</v>
          </cell>
          <cell r="J110">
            <v>0</v>
          </cell>
          <cell r="K110">
            <v>-15.067999999999998</v>
          </cell>
          <cell r="L110">
            <v>6.1</v>
          </cell>
          <cell r="M110">
            <v>7.9</v>
          </cell>
          <cell r="N110">
            <v>9.9</v>
          </cell>
          <cell r="O110">
            <v>11.1</v>
          </cell>
          <cell r="P110">
            <v>-7.3029999999999937</v>
          </cell>
          <cell r="Q110">
            <v>-0.72999999999999932</v>
          </cell>
          <cell r="R110">
            <v>0.17600000000000016</v>
          </cell>
          <cell r="S110">
            <v>-1.4229999999999992</v>
          </cell>
          <cell r="T110">
            <v>-1.3170000000000006</v>
          </cell>
          <cell r="U110">
            <v>-3.2940000000000023</v>
          </cell>
          <cell r="V110">
            <v>-1.762999999999999</v>
          </cell>
          <cell r="W110">
            <v>-3.2740000000000009</v>
          </cell>
          <cell r="X110">
            <v>-3.0439999999999978</v>
          </cell>
          <cell r="Y110">
            <v>-8.0370000000002939E-2</v>
          </cell>
          <cell r="Z110">
            <v>-8.1613700000000229</v>
          </cell>
          <cell r="AA110">
            <v>-20.275999999999996</v>
          </cell>
          <cell r="AB110">
            <v>-4.5399999999999974</v>
          </cell>
          <cell r="AC110">
            <v>-5.3799999999999972</v>
          </cell>
          <cell r="AD110">
            <v>-5.9239999999999959</v>
          </cell>
          <cell r="AE110">
            <v>-36.11999999999999</v>
          </cell>
          <cell r="AF110">
            <v>-15.697000000000013</v>
          </cell>
          <cell r="AG110">
            <v>-13.30399999999999</v>
          </cell>
          <cell r="AH110">
            <v>-13.071198623472803</v>
          </cell>
          <cell r="AI110">
            <v>-5.5485807513256926</v>
          </cell>
          <cell r="AJ110">
            <v>-47.620779374798502</v>
          </cell>
          <cell r="AK110">
            <v>-13.809936760609876</v>
          </cell>
          <cell r="AL110">
            <v>-8.9040836342404113</v>
          </cell>
          <cell r="AM110">
            <v>-8.5519355479387968</v>
          </cell>
          <cell r="AN110">
            <v>-0.10985412181753418</v>
          </cell>
          <cell r="AO110">
            <v>-31.375810064606533</v>
          </cell>
          <cell r="AP110">
            <v>-11.51564190901277</v>
          </cell>
          <cell r="AQ110">
            <v>-5.1830219725701152</v>
          </cell>
          <cell r="AR110">
            <v>-4.8414376587972257</v>
          </cell>
          <cell r="AS110">
            <v>4.1089335857778462</v>
          </cell>
          <cell r="AT110">
            <v>-17.431167954602287</v>
          </cell>
          <cell r="AU110">
            <v>-11.475682756481199</v>
          </cell>
          <cell r="AV110">
            <v>0.87648993511458784</v>
          </cell>
          <cell r="AW110">
            <v>5.2855434061801603</v>
          </cell>
          <cell r="AX110">
            <v>20.689736301906635</v>
          </cell>
          <cell r="AY110">
            <v>15.376086886720273</v>
          </cell>
        </row>
        <row r="111">
          <cell r="A111" t="str">
            <v xml:space="preserve">  Operating margin, GAAP</v>
          </cell>
          <cell r="F111">
            <v>-0.76488095238095255</v>
          </cell>
          <cell r="K111">
            <v>-0.82991848424763159</v>
          </cell>
          <cell r="P111">
            <v>-0.20865714285714268</v>
          </cell>
          <cell r="Q111">
            <v>-5.9894978667541787E-2</v>
          </cell>
          <cell r="R111">
            <v>1.1508533315896172E-2</v>
          </cell>
          <cell r="S111">
            <v>-8.9032096602640248E-2</v>
          </cell>
          <cell r="T111">
            <v>-5.7811334006408879E-2</v>
          </cell>
          <cell r="U111">
            <v>-4.9724507510000793E-2</v>
          </cell>
          <cell r="V111">
            <v>-8.5420805271573197E-2</v>
          </cell>
          <cell r="W111">
            <v>-0.12617056533970486</v>
          </cell>
          <cell r="X111">
            <v>-9.7648606165591956E-2</v>
          </cell>
          <cell r="Y111">
            <v>-1.8690697674419289E-3</v>
          </cell>
          <cell r="Z111">
            <v>-6.7582828893434324E-2</v>
          </cell>
          <cell r="AA111">
            <v>-0.54518566319808537</v>
          </cell>
          <cell r="AB111">
            <v>-0.10206146168199082</v>
          </cell>
          <cell r="AC111">
            <v>-0.1033720818522432</v>
          </cell>
          <cell r="AD111">
            <v>-9.0824070525105327E-2</v>
          </cell>
          <cell r="AE111">
            <v>-0.18155862956409838</v>
          </cell>
          <cell r="AF111">
            <v>-0.27438949778873239</v>
          </cell>
          <cell r="AG111">
            <v>-0.19894426749211175</v>
          </cell>
          <cell r="AH111">
            <v>-0.1860555763808345</v>
          </cell>
          <cell r="AI111">
            <v>-6.6104113113261559E-2</v>
          </cell>
          <cell r="AJ111">
            <v>-0.17113078162194009</v>
          </cell>
          <cell r="AK111">
            <v>-0.18561173001970416</v>
          </cell>
          <cell r="AL111">
            <v>-0.10018574043422601</v>
          </cell>
          <cell r="AM111">
            <v>-8.9884416671254158E-2</v>
          </cell>
          <cell r="AN111">
            <v>-9.6314953049966574E-4</v>
          </cell>
          <cell r="AO111">
            <v>-8.4235129389975696E-2</v>
          </cell>
          <cell r="AP111">
            <v>-0.11118791551130026</v>
          </cell>
          <cell r="AQ111">
            <v>-4.4952367614029216E-2</v>
          </cell>
          <cell r="AR111">
            <v>-4.0964918577267702E-2</v>
          </cell>
          <cell r="AS111">
            <v>2.9935721615555508E-2</v>
          </cell>
          <cell r="AT111">
            <v>-3.6750347401857522E-2</v>
          </cell>
          <cell r="AU111">
            <v>-8.1857976973494812E-2</v>
          </cell>
          <cell r="AV111">
            <v>5.6853439076751432E-3</v>
          </cell>
          <cell r="AW111">
            <v>3.0347092531979127E-2</v>
          </cell>
          <cell r="AX111">
            <v>0.10071606406759445</v>
          </cell>
          <cell r="AY111">
            <v>2.2814783639225768E-2</v>
          </cell>
        </row>
        <row r="113">
          <cell r="A113" t="str">
            <v xml:space="preserve">  Other non-operating income (expense)</v>
          </cell>
          <cell r="F113">
            <v>0.36499999999999999</v>
          </cell>
          <cell r="G113">
            <v>0</v>
          </cell>
          <cell r="H113">
            <v>0</v>
          </cell>
          <cell r="I113">
            <v>0</v>
          </cell>
          <cell r="J113">
            <v>0</v>
          </cell>
          <cell r="K113">
            <v>0.33200000000000002</v>
          </cell>
          <cell r="L113">
            <v>-1.7250000000000001E-2</v>
          </cell>
          <cell r="M113">
            <v>-1.7250000000000001E-2</v>
          </cell>
          <cell r="N113">
            <v>-1.7250000000000001E-2</v>
          </cell>
          <cell r="O113">
            <v>-1.7250000000000001E-2</v>
          </cell>
          <cell r="P113">
            <v>-6.9000000000000006E-2</v>
          </cell>
          <cell r="Q113">
            <v>1.2E-2</v>
          </cell>
          <cell r="R113">
            <v>2.3E-2</v>
          </cell>
          <cell r="S113">
            <v>-3.0000000000000001E-3</v>
          </cell>
          <cell r="T113">
            <v>-0.41899999999999998</v>
          </cell>
          <cell r="U113">
            <v>-0.38700000000000001</v>
          </cell>
          <cell r="V113">
            <v>-0.48299999999999998</v>
          </cell>
          <cell r="W113">
            <v>-0.63600000000000001</v>
          </cell>
          <cell r="X113">
            <v>-0.46600000000000003</v>
          </cell>
          <cell r="Y113">
            <v>-0.5</v>
          </cell>
          <cell r="Z113">
            <v>-2.085</v>
          </cell>
          <cell r="AA113">
            <v>-1.7000000000000001E-2</v>
          </cell>
          <cell r="AB113">
            <v>0.10100000000000001</v>
          </cell>
          <cell r="AC113">
            <v>3.1E-2</v>
          </cell>
          <cell r="AD113">
            <v>3.6999999999999998E-2</v>
          </cell>
          <cell r="AE113">
            <v>0.152</v>
          </cell>
          <cell r="AF113">
            <v>-3.3000000000000002E-2</v>
          </cell>
          <cell r="AG113">
            <v>-2.4E-2</v>
          </cell>
          <cell r="AH113">
            <v>0.24310931858524626</v>
          </cell>
          <cell r="AI113">
            <v>0.24769337259368981</v>
          </cell>
          <cell r="AJ113">
            <v>0.43380269117893611</v>
          </cell>
          <cell r="AK113">
            <v>0.76133760709551823</v>
          </cell>
          <cell r="AL113">
            <v>0.81921874894786761</v>
          </cell>
          <cell r="AM113">
            <v>0.83704174251241892</v>
          </cell>
          <cell r="AN113">
            <v>0.8483727865161228</v>
          </cell>
          <cell r="AO113">
            <v>3.2659708850719276</v>
          </cell>
          <cell r="AP113">
            <v>0.92334291267577395</v>
          </cell>
          <cell r="AQ113">
            <v>1.0175053865157957</v>
          </cell>
          <cell r="AR113">
            <v>1.0375769734262741</v>
          </cell>
          <cell r="AS113">
            <v>1.043046794853185</v>
          </cell>
          <cell r="AT113">
            <v>4.0214720674710289</v>
          </cell>
          <cell r="AU113">
            <v>1.138672641542916</v>
          </cell>
          <cell r="AV113">
            <v>1.1848718530528684</v>
          </cell>
          <cell r="AW113">
            <v>1.2383403368415635</v>
          </cell>
          <cell r="AX113">
            <v>1.3088369495219494</v>
          </cell>
          <cell r="AY113">
            <v>4.8707217809592969</v>
          </cell>
        </row>
        <row r="114">
          <cell r="A114" t="str">
            <v xml:space="preserve">  Income Before Taxes</v>
          </cell>
          <cell r="B114">
            <v>0</v>
          </cell>
          <cell r="C114">
            <v>0</v>
          </cell>
          <cell r="D114">
            <v>0</v>
          </cell>
          <cell r="E114">
            <v>0</v>
          </cell>
          <cell r="F114">
            <v>-6.5740000000000007</v>
          </cell>
          <cell r="G114">
            <v>0</v>
          </cell>
          <cell r="H114">
            <v>0</v>
          </cell>
          <cell r="I114">
            <v>0</v>
          </cell>
          <cell r="J114">
            <v>0</v>
          </cell>
          <cell r="K114">
            <v>-14.735999999999997</v>
          </cell>
          <cell r="L114">
            <v>6.0827499999999999</v>
          </cell>
          <cell r="M114">
            <v>7.8827500000000006</v>
          </cell>
          <cell r="N114">
            <v>9.8827499999999997</v>
          </cell>
          <cell r="O114">
            <v>11.082749999999999</v>
          </cell>
          <cell r="P114">
            <v>-7.3719999999999937</v>
          </cell>
          <cell r="Q114">
            <v>-0.71799999999999931</v>
          </cell>
          <cell r="R114">
            <v>0.19900000000000015</v>
          </cell>
          <cell r="S114">
            <v>-1.425999999999999</v>
          </cell>
          <cell r="T114">
            <v>-1.7360000000000007</v>
          </cell>
          <cell r="U114">
            <v>-3.6810000000000023</v>
          </cell>
          <cell r="V114">
            <v>-2.2459999999999991</v>
          </cell>
          <cell r="W114">
            <v>-3.910000000000001</v>
          </cell>
          <cell r="X114">
            <v>-3.509999999999998</v>
          </cell>
          <cell r="Y114">
            <v>-0.58037000000000294</v>
          </cell>
          <cell r="Z114">
            <v>-10.246370000000024</v>
          </cell>
          <cell r="AA114">
            <v>-20.292999999999996</v>
          </cell>
          <cell r="AB114">
            <v>-4.4389999999999974</v>
          </cell>
          <cell r="AC114">
            <v>-5.3489999999999975</v>
          </cell>
          <cell r="AD114">
            <v>-5.886999999999996</v>
          </cell>
          <cell r="AE114">
            <v>-35.967999999999989</v>
          </cell>
          <cell r="AF114">
            <v>-15.730000000000013</v>
          </cell>
          <cell r="AG114">
            <v>-13.327999999999989</v>
          </cell>
          <cell r="AH114">
            <v>-12.828089304887557</v>
          </cell>
          <cell r="AI114">
            <v>-5.3008873787320026</v>
          </cell>
          <cell r="AJ114">
            <v>-47.186976683619555</v>
          </cell>
          <cell r="AK114">
            <v>-13.048599153514358</v>
          </cell>
          <cell r="AL114">
            <v>-8.0848648852925429</v>
          </cell>
          <cell r="AM114">
            <v>-7.714893805426378</v>
          </cell>
          <cell r="AN114">
            <v>0.73851866469858862</v>
          </cell>
          <cell r="AO114">
            <v>-28.109839179534607</v>
          </cell>
          <cell r="AP114">
            <v>-10.592298996336996</v>
          </cell>
          <cell r="AQ114">
            <v>-4.16551658605432</v>
          </cell>
          <cell r="AR114">
            <v>-3.8038606853709513</v>
          </cell>
          <cell r="AS114">
            <v>5.1519803806310307</v>
          </cell>
          <cell r="AT114">
            <v>-13.409695887131258</v>
          </cell>
          <cell r="AU114">
            <v>-10.337010114938282</v>
          </cell>
          <cell r="AV114">
            <v>2.0613617881674564</v>
          </cell>
          <cell r="AW114">
            <v>6.5238837430217238</v>
          </cell>
          <cell r="AX114">
            <v>21.998573251428585</v>
          </cell>
          <cell r="AY114">
            <v>20.24680866767957</v>
          </cell>
        </row>
        <row r="115">
          <cell r="A115" t="str">
            <v xml:space="preserve">  Effective tax, GAAP</v>
          </cell>
          <cell r="F115">
            <v>2E-3</v>
          </cell>
          <cell r="K115">
            <v>3.5999999999999997E-2</v>
          </cell>
          <cell r="P115">
            <v>7.9000000000000001E-2</v>
          </cell>
          <cell r="Q115">
            <v>0.03</v>
          </cell>
          <cell r="R115">
            <v>0.03</v>
          </cell>
          <cell r="S115">
            <v>0.02</v>
          </cell>
          <cell r="T115">
            <v>4.4999999999999998E-2</v>
          </cell>
          <cell r="U115">
            <v>0.125</v>
          </cell>
          <cell r="V115">
            <v>0</v>
          </cell>
          <cell r="W115">
            <v>0</v>
          </cell>
          <cell r="X115">
            <v>0.05</v>
          </cell>
          <cell r="Y115">
            <v>0</v>
          </cell>
          <cell r="Z115">
            <v>0.05</v>
          </cell>
          <cell r="AA115">
            <v>0.17699999999999999</v>
          </cell>
          <cell r="AB115">
            <v>0.13600000000000001</v>
          </cell>
          <cell r="AC115">
            <v>0.125</v>
          </cell>
          <cell r="AD115">
            <v>0.27500000000000002</v>
          </cell>
          <cell r="AE115">
            <v>0.71300000000000008</v>
          </cell>
          <cell r="AF115">
            <v>0.40400000000000003</v>
          </cell>
          <cell r="AG115">
            <v>0.36499999999999999</v>
          </cell>
          <cell r="AH115">
            <v>0.36499999999999999</v>
          </cell>
          <cell r="AI115">
            <v>0.36499999999999999</v>
          </cell>
          <cell r="AJ115">
            <v>1.4989999999999999</v>
          </cell>
          <cell r="AK115">
            <v>0.125</v>
          </cell>
          <cell r="AL115">
            <v>0.125</v>
          </cell>
          <cell r="AM115">
            <v>0.125</v>
          </cell>
          <cell r="AN115">
            <v>0.125</v>
          </cell>
          <cell r="AO115">
            <v>0.5</v>
          </cell>
          <cell r="AP115">
            <v>0.125</v>
          </cell>
          <cell r="AQ115">
            <v>0.125</v>
          </cell>
          <cell r="AR115">
            <v>0.125</v>
          </cell>
          <cell r="AS115">
            <v>0.125</v>
          </cell>
          <cell r="AT115">
            <v>0.5</v>
          </cell>
          <cell r="AU115">
            <v>0.5</v>
          </cell>
          <cell r="AV115" t="str">
            <v>mstag:taxExpenseIncome</v>
          </cell>
          <cell r="AW115">
            <v>6</v>
          </cell>
          <cell r="AX115" t="str">
            <v>ISO4217:USD</v>
          </cell>
          <cell r="AY115" t="b">
            <v>0</v>
          </cell>
          <cell r="BA115" t="str">
            <v>mstag:taxExpenseIncome</v>
          </cell>
          <cell r="BB115">
            <v>6</v>
          </cell>
          <cell r="BC115" t="str">
            <v>ISO4217:USD</v>
          </cell>
          <cell r="BD115" t="b">
            <v>0</v>
          </cell>
        </row>
        <row r="116">
          <cell r="A116" t="str">
            <v xml:space="preserve">  % GAAP Tax Rate</v>
          </cell>
          <cell r="F116">
            <v>-2.8822596915982127E-4</v>
          </cell>
          <cell r="K116">
            <v>-2.44299674267101E-3</v>
          </cell>
          <cell r="P116">
            <v>-1.0716223548562137E-2</v>
          </cell>
          <cell r="Q116">
            <v>-4.1095890410958943E-2</v>
          </cell>
          <cell r="R116">
            <v>0.1704545454545453</v>
          </cell>
          <cell r="S116">
            <v>-1.4054813773717506E-2</v>
          </cell>
          <cell r="T116">
            <v>-3.4168564920273328E-2</v>
          </cell>
          <cell r="U116">
            <v>-3.3958163542515601E-2</v>
          </cell>
          <cell r="V116">
            <v>0</v>
          </cell>
          <cell r="W116">
            <v>0</v>
          </cell>
          <cell r="X116">
            <v>-1.642575558475691E-2</v>
          </cell>
          <cell r="Y116">
            <v>0</v>
          </cell>
          <cell r="Z116">
            <v>-4.8797769356367067E-3</v>
          </cell>
          <cell r="AA116">
            <v>-8.7295324521601911E-3</v>
          </cell>
          <cell r="AB116">
            <v>-2.9955947136563896E-2</v>
          </cell>
          <cell r="AC116">
            <v>-2.3234200743494436E-2</v>
          </cell>
          <cell r="AD116">
            <v>-4.6421336934503753E-2</v>
          </cell>
          <cell r="AE116">
            <v>-1.9823176156583636E-2</v>
          </cell>
          <cell r="AF116">
            <v>-2.573740205134737E-2</v>
          </cell>
          <cell r="AG116">
            <v>-2.7435357787131711E-2</v>
          </cell>
          <cell r="AH116">
            <v>-2.7923988496704938E-2</v>
          </cell>
          <cell r="AI116">
            <v>-6.5782587720795538E-2</v>
          </cell>
          <cell r="AJ116">
            <v>-3.1767239720623196E-2</v>
          </cell>
          <cell r="AK116">
            <v>-9.0514534691091327E-3</v>
          </cell>
          <cell r="AL116">
            <v>-1.4038502459626042E-2</v>
          </cell>
          <cell r="AM116">
            <v>-1.461657414269542E-2</v>
          </cell>
          <cell r="AN116">
            <v>-1.1378726435738375</v>
          </cell>
          <cell r="AO116">
            <v>-1.7787366082265794E-2</v>
          </cell>
          <cell r="AP116">
            <v>-1.0854800886276968E-2</v>
          </cell>
          <cell r="AQ116">
            <v>-2.4117204337842313E-2</v>
          </cell>
          <cell r="AR116">
            <v>-2.5818777150391763E-2</v>
          </cell>
          <cell r="AS116">
            <v>3.0421518720248855E-2</v>
          </cell>
          <cell r="AT116">
            <v>-3.7286453340066403E-2</v>
          </cell>
          <cell r="AU116">
            <v>-4.3570392333964758E-2</v>
          </cell>
          <cell r="AV116">
            <v>0.57045720660173072</v>
          </cell>
          <cell r="AW116">
            <v>9.459765280053728E-2</v>
          </cell>
          <cell r="AX116">
            <v>2.4166571903283425E-2</v>
          </cell>
          <cell r="AY116">
            <v>9.878099965416498E-2</v>
          </cell>
        </row>
        <row r="117">
          <cell r="A117" t="str">
            <v>Net income, GAAP</v>
          </cell>
          <cell r="F117">
            <v>-6.5760000000000005</v>
          </cell>
          <cell r="G117">
            <v>0</v>
          </cell>
          <cell r="H117">
            <v>0</v>
          </cell>
          <cell r="I117">
            <v>0</v>
          </cell>
          <cell r="J117">
            <v>0</v>
          </cell>
          <cell r="K117">
            <v>-14.771999999999997</v>
          </cell>
          <cell r="L117">
            <v>6.0827499999999999</v>
          </cell>
          <cell r="M117">
            <v>7.8827500000000006</v>
          </cell>
          <cell r="N117">
            <v>9.8827499999999997</v>
          </cell>
          <cell r="O117">
            <v>11.082749999999999</v>
          </cell>
          <cell r="P117">
            <v>-7.4509999999999934</v>
          </cell>
          <cell r="Q117">
            <v>-0.74799999999999933</v>
          </cell>
          <cell r="R117">
            <v>0.16900000000000015</v>
          </cell>
          <cell r="S117">
            <v>-1.4459999999999991</v>
          </cell>
          <cell r="T117">
            <v>-1.7810000000000006</v>
          </cell>
          <cell r="U117">
            <v>-3.8060000000000023</v>
          </cell>
          <cell r="V117">
            <v>-2.2459999999999991</v>
          </cell>
          <cell r="W117">
            <v>-3.910000000000001</v>
          </cell>
          <cell r="X117">
            <v>-3.5599999999999978</v>
          </cell>
          <cell r="Y117">
            <v>-0.58037000000000294</v>
          </cell>
          <cell r="Z117">
            <v>-10.296370000000024</v>
          </cell>
          <cell r="AA117">
            <v>-20.469999999999995</v>
          </cell>
          <cell r="AB117">
            <v>-4.5749999999999975</v>
          </cell>
          <cell r="AC117">
            <v>-5.4739999999999975</v>
          </cell>
          <cell r="AD117">
            <v>-6.1619999999999964</v>
          </cell>
          <cell r="AE117">
            <v>-36.68099999999999</v>
          </cell>
          <cell r="AF117">
            <v>-16.134000000000015</v>
          </cell>
          <cell r="AG117">
            <v>-13.692999999999989</v>
          </cell>
          <cell r="AH117">
            <v>-13.193089304887557</v>
          </cell>
          <cell r="AI117">
            <v>-5.6658873787320028</v>
          </cell>
          <cell r="AJ117">
            <v>-48.685976683619565</v>
          </cell>
          <cell r="AK117">
            <v>-13.173599153514358</v>
          </cell>
          <cell r="AL117">
            <v>-8.2098648852925429</v>
          </cell>
          <cell r="AM117">
            <v>-7.839893805426378</v>
          </cell>
          <cell r="AN117">
            <v>0.61351866469858862</v>
          </cell>
          <cell r="AO117">
            <v>-28.609839179534607</v>
          </cell>
          <cell r="AP117">
            <v>-10.717298996336996</v>
          </cell>
          <cell r="AQ117">
            <v>-4.29051658605432</v>
          </cell>
          <cell r="AR117">
            <v>-3.9288606853709513</v>
          </cell>
          <cell r="AS117">
            <v>5.0269803806310307</v>
          </cell>
          <cell r="AT117">
            <v>-13.909695887131258</v>
          </cell>
          <cell r="AU117">
            <v>-10.837010114938282</v>
          </cell>
          <cell r="AV117" t="str">
            <v>mstag:netIncomeAsReported</v>
          </cell>
          <cell r="AW117">
            <v>6</v>
          </cell>
          <cell r="AX117" t="str">
            <v>ISO4217:USD</v>
          </cell>
          <cell r="AY117" t="b">
            <v>0</v>
          </cell>
          <cell r="BA117" t="str">
            <v>mstag:netIncomeAsReported</v>
          </cell>
          <cell r="BB117">
            <v>6</v>
          </cell>
          <cell r="BC117" t="str">
            <v>ISO4217:USD</v>
          </cell>
          <cell r="BD117" t="b">
            <v>0</v>
          </cell>
        </row>
        <row r="118">
          <cell r="A118" t="str">
            <v xml:space="preserve">  Net margin, GAAP</v>
          </cell>
          <cell r="F118">
            <v>-0.72486772486772499</v>
          </cell>
          <cell r="K118">
            <v>-0.81361533377395889</v>
          </cell>
          <cell r="P118">
            <v>-0.21288571428571409</v>
          </cell>
          <cell r="Q118">
            <v>-6.1371841155234599E-2</v>
          </cell>
          <cell r="R118">
            <v>1.1050807559013937E-2</v>
          </cell>
          <cell r="S118">
            <v>-9.0471125570919034E-2</v>
          </cell>
          <cell r="T118">
            <v>-7.8179184408059377E-2</v>
          </cell>
          <cell r="U118">
            <v>-5.7453392708883735E-2</v>
          </cell>
          <cell r="V118">
            <v>-0.10882310189447159</v>
          </cell>
          <cell r="W118">
            <v>-0.1506801803537709</v>
          </cell>
          <cell r="X118">
            <v>-0.11420139223045578</v>
          </cell>
          <cell r="Y118">
            <v>-1.3496976744186115E-2</v>
          </cell>
          <cell r="Z118">
            <v>-8.5262377754407676E-2</v>
          </cell>
          <cell r="AA118">
            <v>-0.55040197897340737</v>
          </cell>
          <cell r="AB118">
            <v>-0.1028482791178652</v>
          </cell>
          <cell r="AC118">
            <v>-0.10517821116341622</v>
          </cell>
          <cell r="AD118">
            <v>-9.4472978152548806E-2</v>
          </cell>
          <cell r="AE118">
            <v>-0.18437851857809226</v>
          </cell>
          <cell r="AF118">
            <v>-0.28202842309507609</v>
          </cell>
          <cell r="AG118">
            <v>-0.20476126388826563</v>
          </cell>
          <cell r="AH118">
            <v>-0.18779056960061083</v>
          </cell>
          <cell r="AI118">
            <v>-6.7501668797235195E-2</v>
          </cell>
          <cell r="AJ118">
            <v>-0.17495869142168194</v>
          </cell>
          <cell r="AK118">
            <v>-0.1770590678187817</v>
          </cell>
          <cell r="AL118">
            <v>-9.2374625641996472E-2</v>
          </cell>
          <cell r="AM118">
            <v>-8.2400560377840229E-2</v>
          </cell>
          <cell r="AN118">
            <v>5.379044537252041E-3</v>
          </cell>
          <cell r="AO118">
            <v>-7.6809283972337675E-2</v>
          </cell>
          <cell r="AP118">
            <v>-0.10347961014499966</v>
          </cell>
          <cell r="AQ118">
            <v>-3.7211665289307104E-2</v>
          </cell>
          <cell r="AR118">
            <v>-3.3243319323796358E-2</v>
          </cell>
          <cell r="AS118">
            <v>3.6624170748902923E-2</v>
          </cell>
          <cell r="AT118">
            <v>-2.9325984204707056E-2</v>
          </cell>
          <cell r="AU118">
            <v>-7.730221750415131E-2</v>
          </cell>
          <cell r="AV118">
            <v>1.0127758887355731E-2</v>
          </cell>
          <cell r="AW118">
            <v>3.4586293840216345E-2</v>
          </cell>
          <cell r="AX118">
            <v>0.10465342087290005</v>
          </cell>
          <cell r="AY118">
            <v>2.7074313180357888E-2</v>
          </cell>
        </row>
        <row r="119">
          <cell r="A119" t="str">
            <v>EPS, GAAP</v>
          </cell>
          <cell r="F119">
            <v>-0.53036535204451984</v>
          </cell>
          <cell r="G119">
            <v>0</v>
          </cell>
          <cell r="H119">
            <v>0</v>
          </cell>
          <cell r="I119">
            <v>0</v>
          </cell>
          <cell r="J119">
            <v>0</v>
          </cell>
          <cell r="K119">
            <v>-1.1441406552552085</v>
          </cell>
          <cell r="L119">
            <v>0.42264799888827126</v>
          </cell>
          <cell r="M119">
            <v>0.10557065945250978</v>
          </cell>
          <cell r="N119">
            <v>0.13235589543043871</v>
          </cell>
          <cell r="O119">
            <v>0.14842703701719609</v>
          </cell>
          <cell r="P119">
            <v>-0.51771817676486898</v>
          </cell>
          <cell r="Q119">
            <v>-1.0017678255745423E-2</v>
          </cell>
          <cell r="R119">
            <v>2.2633524401349994E-3</v>
          </cell>
          <cell r="S119">
            <v>-1.9365725612042629E-2</v>
          </cell>
          <cell r="T119">
            <v>-2.3852252638345749E-2</v>
          </cell>
          <cell r="U119">
            <v>-5.0972304065998848E-2</v>
          </cell>
          <cell r="V119">
            <v>-2.9585720872027911E-2</v>
          </cell>
          <cell r="W119">
            <v>-5.1959097160853958E-2</v>
          </cell>
          <cell r="X119">
            <v>-4.6586797353974571E-2</v>
          </cell>
          <cell r="Y119">
            <v>-7.5373706152028338E-3</v>
          </cell>
          <cell r="Z119">
            <v>-0.13521967811623831</v>
          </cell>
          <cell r="AA119">
            <v>-0.21642367021557782</v>
          </cell>
          <cell r="AB119">
            <v>-4.7896731506103532E-2</v>
          </cell>
          <cell r="AC119">
            <v>-5.6625047842682887E-2</v>
          </cell>
          <cell r="AD119">
            <v>-6.2244939189462167E-2</v>
          </cell>
          <cell r="AE119">
            <v>-0.45710689629389617</v>
          </cell>
          <cell r="AF119">
            <v>-0.15815321276282915</v>
          </cell>
          <cell r="AG119">
            <v>-0.13153698366954841</v>
          </cell>
          <cell r="AH119">
            <v>-0.12670357853686406</v>
          </cell>
          <cell r="AI119">
            <v>-4.6795387177170439E-2</v>
          </cell>
          <cell r="AJ119">
            <v>-0.46969462627009506</v>
          </cell>
          <cell r="AK119">
            <v>-0.12590574876399485</v>
          </cell>
          <cell r="AL119">
            <v>-6.7478350290234787E-2</v>
          </cell>
          <cell r="AM119">
            <v>-6.4280796277950303E-2</v>
          </cell>
          <cell r="AN119">
            <v>5.0180937326443683E-3</v>
          </cell>
          <cell r="AO119">
            <v>-0.24321795593677711</v>
          </cell>
          <cell r="AP119">
            <v>-8.7444713405742627E-2</v>
          </cell>
          <cell r="AQ119">
            <v>-3.4921454083871303E-2</v>
          </cell>
          <cell r="AR119">
            <v>-3.1899302334945721E-2</v>
          </cell>
          <cell r="AS119">
            <v>4.0714665123622873E-2</v>
          </cell>
          <cell r="AT119">
            <v>-0.11307413843178861</v>
          </cell>
          <cell r="AU119">
            <v>-8.7554722594631346E-2</v>
          </cell>
          <cell r="AV119">
            <v>1.2583381518162315E-2</v>
          </cell>
          <cell r="AW119">
            <v>4.8427429640856917E-2</v>
          </cell>
          <cell r="AX119">
            <v>0.17240219651280903</v>
          </cell>
          <cell r="AY119">
            <v>0.14687173316000635</v>
          </cell>
        </row>
        <row r="121">
          <cell r="A121" t="str">
            <v>Statutory tax rate</v>
          </cell>
          <cell r="F121">
            <v>0.35</v>
          </cell>
          <cell r="G121">
            <v>0.35</v>
          </cell>
          <cell r="H121">
            <v>0.35</v>
          </cell>
          <cell r="I121">
            <v>0.35</v>
          </cell>
          <cell r="J121">
            <v>0.35</v>
          </cell>
          <cell r="K121">
            <v>0.35</v>
          </cell>
          <cell r="L121">
            <v>0.35</v>
          </cell>
          <cell r="M121">
            <v>0.35</v>
          </cell>
          <cell r="N121">
            <v>0.35</v>
          </cell>
          <cell r="O121">
            <v>0.35</v>
          </cell>
          <cell r="P121">
            <v>0.35</v>
          </cell>
          <cell r="Q121">
            <v>0.35</v>
          </cell>
          <cell r="R121">
            <v>0.35</v>
          </cell>
          <cell r="S121">
            <v>0.35</v>
          </cell>
          <cell r="T121">
            <v>0.35</v>
          </cell>
          <cell r="U121">
            <v>0.35</v>
          </cell>
          <cell r="V121">
            <v>0.35</v>
          </cell>
          <cell r="W121">
            <v>0.35</v>
          </cell>
          <cell r="X121">
            <v>0.35</v>
          </cell>
          <cell r="Y121">
            <v>0.35</v>
          </cell>
          <cell r="Z121">
            <v>0.35</v>
          </cell>
          <cell r="AA121">
            <v>0.35</v>
          </cell>
          <cell r="AB121">
            <v>0.35</v>
          </cell>
          <cell r="AC121">
            <v>0.35</v>
          </cell>
          <cell r="AD121">
            <v>0.35</v>
          </cell>
          <cell r="AE121">
            <v>0.35</v>
          </cell>
          <cell r="AF121">
            <v>0.35</v>
          </cell>
          <cell r="AG121">
            <v>0.35</v>
          </cell>
          <cell r="AH121">
            <v>0.35</v>
          </cell>
          <cell r="AI121">
            <v>0.35</v>
          </cell>
          <cell r="AJ121">
            <v>0.35</v>
          </cell>
          <cell r="AK121">
            <v>0.35</v>
          </cell>
          <cell r="AL121">
            <v>0.35</v>
          </cell>
          <cell r="AM121">
            <v>0.35</v>
          </cell>
          <cell r="AN121">
            <v>0.35</v>
          </cell>
          <cell r="AO121">
            <v>0.35</v>
          </cell>
          <cell r="AP121">
            <v>0.35</v>
          </cell>
          <cell r="AQ121">
            <v>0.35</v>
          </cell>
          <cell r="AR121">
            <v>0.35</v>
          </cell>
          <cell r="AS121">
            <v>0.35</v>
          </cell>
          <cell r="AT121">
            <v>0.35</v>
          </cell>
          <cell r="AU121">
            <v>0.35</v>
          </cell>
          <cell r="AV121" t="str">
            <v>mstag:statutoryTaxRate</v>
          </cell>
          <cell r="AW121">
            <v>0</v>
          </cell>
          <cell r="AX121" t="str">
            <v>ms_eqr_gcim_Decimal:ms_eqr_gcim_decimal</v>
          </cell>
          <cell r="AY121" t="b">
            <v>0</v>
          </cell>
          <cell r="BA121" t="str">
            <v>mstag:statutoryTaxRate</v>
          </cell>
          <cell r="BB121">
            <v>0</v>
          </cell>
          <cell r="BC121" t="str">
            <v>ms_eqr_gcim_Decimal:ms_eqr_gcim_decimal</v>
          </cell>
          <cell r="BD121" t="b">
            <v>0</v>
          </cell>
        </row>
        <row r="123">
          <cell r="A123" t="str">
            <v>Net Income For Consensus</v>
          </cell>
          <cell r="F123">
            <v>-6.4860000000000007</v>
          </cell>
          <cell r="G123">
            <v>0</v>
          </cell>
          <cell r="H123">
            <v>0</v>
          </cell>
          <cell r="I123">
            <v>0</v>
          </cell>
          <cell r="J123">
            <v>0</v>
          </cell>
          <cell r="K123">
            <v>-14.004999999999999</v>
          </cell>
          <cell r="L123">
            <v>0</v>
          </cell>
          <cell r="M123">
            <v>0</v>
          </cell>
          <cell r="N123">
            <v>0</v>
          </cell>
          <cell r="O123">
            <v>0</v>
          </cell>
          <cell r="P123">
            <v>-6.1509999999999998</v>
          </cell>
          <cell r="Q123">
            <v>-0.42399999999999882</v>
          </cell>
          <cell r="R123">
            <v>0.58300000000000163</v>
          </cell>
          <cell r="S123">
            <v>-1.0289999999999984</v>
          </cell>
          <cell r="T123">
            <v>-1.351000000000004</v>
          </cell>
          <cell r="U123">
            <v>-2.2210000000000174</v>
          </cell>
          <cell r="V123">
            <v>-1.7360000000000002</v>
          </cell>
          <cell r="W123">
            <v>-3.194</v>
          </cell>
          <cell r="X123">
            <v>-2.5189999999999966</v>
          </cell>
          <cell r="Y123">
            <v>0.5</v>
          </cell>
          <cell r="Z123">
            <v>-6.9489999999999963</v>
          </cell>
          <cell r="AA123">
            <v>-3.7109999999999959</v>
          </cell>
          <cell r="AB123">
            <v>-0.70900000000000662</v>
          </cell>
          <cell r="AC123">
            <v>-0.78899999999999315</v>
          </cell>
          <cell r="AD123">
            <v>2.9880000000000062</v>
          </cell>
          <cell r="AE123">
            <v>-2.2209999999999894</v>
          </cell>
          <cell r="AF123">
            <v>-5.7220000000000111</v>
          </cell>
          <cell r="AG123">
            <v>-1.1500000000000028</v>
          </cell>
          <cell r="AH123">
            <v>-0.91553930488755175</v>
          </cell>
          <cell r="AI123">
            <v>6.9413076212680069</v>
          </cell>
          <cell r="AJ123">
            <v>-0.84623168361955825</v>
          </cell>
          <cell r="AK123">
            <v>-0.82127249726436857</v>
          </cell>
          <cell r="AL123">
            <v>4.1925290522074397</v>
          </cell>
          <cell r="AM123">
            <v>4.6150707773861157</v>
          </cell>
          <cell r="AN123">
            <v>13.123682425089214</v>
          </cell>
          <cell r="AO123">
            <v>21.1100097574184</v>
          </cell>
          <cell r="AP123">
            <v>2.4183729520731658</v>
          </cell>
          <cell r="AQ123">
            <v>8.9060124556357199</v>
          </cell>
          <cell r="AR123">
            <v>9.331568304262964</v>
          </cell>
          <cell r="AS123">
            <v>18.354504315606011</v>
          </cell>
          <cell r="AT123">
            <v>39.010458027577862</v>
          </cell>
          <cell r="AU123">
            <v>4.6286465838511983</v>
          </cell>
          <cell r="AV123">
            <v>17.121901598966701</v>
          </cell>
          <cell r="AW123">
            <v>21.684050821431246</v>
          </cell>
          <cell r="AX123">
            <v>37.263348960828921</v>
          </cell>
          <cell r="AY123">
            <v>80.697947965078072</v>
          </cell>
        </row>
        <row r="124">
          <cell r="A124" t="str">
            <v>Amortization of goodwill-like intangibles</v>
          </cell>
          <cell r="F124">
            <v>0</v>
          </cell>
          <cell r="G124">
            <v>0</v>
          </cell>
          <cell r="H124">
            <v>0</v>
          </cell>
          <cell r="I124">
            <v>0</v>
          </cell>
          <cell r="J124">
            <v>0</v>
          </cell>
          <cell r="K124">
            <v>0</v>
          </cell>
          <cell r="L124">
            <v>0</v>
          </cell>
          <cell r="M124">
            <v>0</v>
          </cell>
          <cell r="N124">
            <v>0</v>
          </cell>
          <cell r="O124">
            <v>0</v>
          </cell>
          <cell r="P124">
            <v>0</v>
          </cell>
          <cell r="Q124">
            <v>0</v>
          </cell>
          <cell r="R124">
            <v>0</v>
          </cell>
          <cell r="S124">
            <v>0</v>
          </cell>
          <cell r="T124">
            <v>0</v>
          </cell>
          <cell r="U124">
            <v>0</v>
          </cell>
          <cell r="V124">
            <v>0</v>
          </cell>
          <cell r="W124">
            <v>0</v>
          </cell>
          <cell r="X124">
            <v>0</v>
          </cell>
          <cell r="Y124">
            <v>0</v>
          </cell>
          <cell r="Z124">
            <v>0</v>
          </cell>
          <cell r="AA124">
            <v>0</v>
          </cell>
          <cell r="AB124">
            <v>0</v>
          </cell>
          <cell r="AC124">
            <v>0</v>
          </cell>
          <cell r="AD124">
            <v>0</v>
          </cell>
          <cell r="AE124">
            <v>0</v>
          </cell>
          <cell r="AF124">
            <v>0</v>
          </cell>
          <cell r="AG124">
            <v>0</v>
          </cell>
          <cell r="AH124">
            <v>0</v>
          </cell>
          <cell r="AI124">
            <v>0</v>
          </cell>
          <cell r="AJ124">
            <v>0</v>
          </cell>
          <cell r="AK124">
            <v>0</v>
          </cell>
          <cell r="AL124">
            <v>0</v>
          </cell>
          <cell r="AM124">
            <v>0</v>
          </cell>
          <cell r="AN124">
            <v>0</v>
          </cell>
          <cell r="AO124">
            <v>0</v>
          </cell>
          <cell r="AP124">
            <v>0</v>
          </cell>
          <cell r="AQ124">
            <v>0</v>
          </cell>
          <cell r="AR124">
            <v>0</v>
          </cell>
          <cell r="AS124">
            <v>0</v>
          </cell>
          <cell r="AT124">
            <v>0</v>
          </cell>
          <cell r="AU124">
            <v>0</v>
          </cell>
          <cell r="AV124" t="str">
            <v>mstag:amortizationOfIntangiblesAssumedToHaveIndefiniteLifeIncomeStatement</v>
          </cell>
          <cell r="AW124">
            <v>6</v>
          </cell>
          <cell r="AX124" t="str">
            <v>ISO4217:USD</v>
          </cell>
          <cell r="AY124" t="b">
            <v>0</v>
          </cell>
          <cell r="BA124" t="str">
            <v>mstag:amortizationOfIntangiblesAssumedToHaveIndefiniteLifeIncomeStatement</v>
          </cell>
          <cell r="BB124">
            <v>6</v>
          </cell>
          <cell r="BC124" t="str">
            <v>ISO4217:USD</v>
          </cell>
          <cell r="BD124" t="b">
            <v>0</v>
          </cell>
        </row>
        <row r="125">
          <cell r="A125" t="str">
            <v>One-Time Items (after Tax)</v>
          </cell>
          <cell r="F125">
            <v>2.7760641579430145E-5</v>
          </cell>
          <cell r="G125">
            <v>0</v>
          </cell>
          <cell r="H125">
            <v>0</v>
          </cell>
          <cell r="I125">
            <v>0</v>
          </cell>
          <cell r="J125">
            <v>0</v>
          </cell>
          <cell r="K125">
            <v>-0.76699999999999768</v>
          </cell>
          <cell r="L125">
            <v>6.0827499999999999</v>
          </cell>
          <cell r="M125">
            <v>7.8827500000000006</v>
          </cell>
          <cell r="N125">
            <v>9.8827499999999997</v>
          </cell>
          <cell r="O125">
            <v>11.082749999999999</v>
          </cell>
          <cell r="P125">
            <v>1.6913702239795603E-2</v>
          </cell>
          <cell r="Q125">
            <v>2.467005076142087E-2</v>
          </cell>
          <cell r="R125">
            <v>-2.0261011419250963E-2</v>
          </cell>
          <cell r="S125">
            <v>8.2656095143699981E-3</v>
          </cell>
          <cell r="T125">
            <v>1.4816232771825755E-2</v>
          </cell>
          <cell r="U125">
            <v>9.4525286259556252E-2</v>
          </cell>
          <cell r="V125">
            <v>1.1102230246251565E-15</v>
          </cell>
          <cell r="W125">
            <v>-9.9920072216264089E-16</v>
          </cell>
          <cell r="X125">
            <v>2.1081409477519797E-2</v>
          </cell>
          <cell r="Y125">
            <v>-2.6645352591003757E-15</v>
          </cell>
          <cell r="Z125">
            <v>2.4259820263778042E-2</v>
          </cell>
          <cell r="AA125">
            <v>-13.953173174872665</v>
          </cell>
          <cell r="AB125">
            <v>0.91758464223385516</v>
          </cell>
          <cell r="AC125">
            <v>0.88196536144578719</v>
          </cell>
          <cell r="AD125">
            <v>-1.5888856880171636</v>
          </cell>
          <cell r="AE125">
            <v>-5.7696286472147946</v>
          </cell>
          <cell r="AF125">
            <v>0.16692139902218273</v>
          </cell>
          <cell r="AG125">
            <v>4.9736242038216485</v>
          </cell>
          <cell r="AH125">
            <v>8.1398470739801354</v>
          </cell>
          <cell r="AI125">
            <v>-1.2434497875801753E-14</v>
          </cell>
          <cell r="AJ125">
            <v>-108.34636093256728</v>
          </cell>
          <cell r="AK125">
            <v>2.2175812459888053</v>
          </cell>
          <cell r="AL125">
            <v>-0.35907094623829217</v>
          </cell>
          <cell r="AM125">
            <v>-0.32844880297548507</v>
          </cell>
          <cell r="AN125">
            <v>-3.5527136788005009E-15</v>
          </cell>
          <cell r="AO125">
            <v>-1.1503893217790022</v>
          </cell>
          <cell r="AP125">
            <v>-0.64558325675866257</v>
          </cell>
          <cell r="AQ125">
            <v>-0.18265572529266905</v>
          </cell>
          <cell r="AR125">
            <v>-0.17528066951697596</v>
          </cell>
          <cell r="AS125">
            <v>5.3290705182007514E-15</v>
          </cell>
          <cell r="AT125">
            <v>-0.66969805662304793</v>
          </cell>
          <cell r="AU125">
            <v>-1.5077717333347724</v>
          </cell>
          <cell r="AV125">
            <v>-0.44151136934368118</v>
          </cell>
          <cell r="AW125">
            <v>-0.35296004333167552</v>
          </cell>
          <cell r="AX125">
            <v>-1.2434497875801753E-14</v>
          </cell>
          <cell r="AY125">
            <v>-1.5103431423417391</v>
          </cell>
        </row>
        <row r="126">
          <cell r="A126" t="str">
            <v>Stock-based comp (after Tax)</v>
          </cell>
          <cell r="F126">
            <v>-9.0027760641579288E-2</v>
          </cell>
          <cell r="G126">
            <v>0</v>
          </cell>
          <cell r="H126">
            <v>0</v>
          </cell>
          <cell r="I126">
            <v>0</v>
          </cell>
          <cell r="J126">
            <v>0</v>
          </cell>
          <cell r="K126">
            <v>0</v>
          </cell>
          <cell r="L126">
            <v>0</v>
          </cell>
          <cell r="M126">
            <v>0</v>
          </cell>
          <cell r="N126">
            <v>0</v>
          </cell>
          <cell r="O126">
            <v>0</v>
          </cell>
          <cell r="P126">
            <v>-1.3169137022397892</v>
          </cell>
          <cell r="Q126">
            <v>-0.34867005076142138</v>
          </cell>
          <cell r="R126">
            <v>-0.39373898858075052</v>
          </cell>
          <cell r="S126">
            <v>-0.4252656095143707</v>
          </cell>
          <cell r="T126">
            <v>-0.44481623277182236</v>
          </cell>
          <cell r="U126">
            <v>-1.6795252862595411</v>
          </cell>
          <cell r="V126">
            <v>-0.51</v>
          </cell>
          <cell r="W126">
            <v>-0.71600000000000008</v>
          </cell>
          <cell r="X126">
            <v>-1.0620814094775211</v>
          </cell>
          <cell r="Y126">
            <v>-1.0803700000000003</v>
          </cell>
          <cell r="Z126">
            <v>-3.3716298202638062</v>
          </cell>
          <cell r="AA126">
            <v>-2.8058268251273351</v>
          </cell>
          <cell r="AB126">
            <v>-4.7835846422338459</v>
          </cell>
          <cell r="AC126">
            <v>-5.5669653614457912</v>
          </cell>
          <cell r="AD126">
            <v>-7.5611143119828386</v>
          </cell>
          <cell r="AE126">
            <v>-28.690371352785206</v>
          </cell>
          <cell r="AF126">
            <v>-10.578921399022185</v>
          </cell>
          <cell r="AG126">
            <v>-17.516624203821635</v>
          </cell>
          <cell r="AH126">
            <v>-20.41739707398014</v>
          </cell>
          <cell r="AI126">
            <v>-12.607194999999997</v>
          </cell>
          <cell r="AJ126">
            <v>60.506615932567271</v>
          </cell>
          <cell r="AK126">
            <v>-14.569907902238795</v>
          </cell>
          <cell r="AL126">
            <v>-12.043322991261691</v>
          </cell>
          <cell r="AM126">
            <v>-12.126515779837009</v>
          </cell>
          <cell r="AN126">
            <v>-12.510163760390622</v>
          </cell>
          <cell r="AO126">
            <v>-48.569459615174004</v>
          </cell>
          <cell r="AP126">
            <v>-12.490088691651501</v>
          </cell>
          <cell r="AQ126">
            <v>-13.013873316397371</v>
          </cell>
          <cell r="AR126">
            <v>-13.085148320116939</v>
          </cell>
          <cell r="AS126">
            <v>-13.327523934974986</v>
          </cell>
          <cell r="AT126">
            <v>-52.25045585808607</v>
          </cell>
          <cell r="AU126">
            <v>-13.957884965454708</v>
          </cell>
          <cell r="AV126">
            <v>-15.119028441455564</v>
          </cell>
          <cell r="AW126">
            <v>-15.307207035077846</v>
          </cell>
          <cell r="AX126">
            <v>-15.764775709400324</v>
          </cell>
          <cell r="AY126">
            <v>-60.940796155056759</v>
          </cell>
        </row>
        <row r="127">
          <cell r="A127" t="str">
            <v>Reported Net Income</v>
          </cell>
          <cell r="F127">
            <v>-6.5760000000000005</v>
          </cell>
          <cell r="G127">
            <v>0</v>
          </cell>
          <cell r="H127">
            <v>0</v>
          </cell>
          <cell r="I127">
            <v>0</v>
          </cell>
          <cell r="J127">
            <v>0</v>
          </cell>
          <cell r="K127">
            <v>-14.771999999999997</v>
          </cell>
          <cell r="L127">
            <v>6.0827499999999999</v>
          </cell>
          <cell r="M127">
            <v>7.8827500000000006</v>
          </cell>
          <cell r="N127">
            <v>9.8827499999999997</v>
          </cell>
          <cell r="O127">
            <v>11.082749999999999</v>
          </cell>
          <cell r="P127">
            <v>-7.4509999999999934</v>
          </cell>
          <cell r="Q127">
            <v>-0.74799999999999933</v>
          </cell>
          <cell r="R127">
            <v>0.16900000000000015</v>
          </cell>
          <cell r="S127">
            <v>-1.4459999999999991</v>
          </cell>
          <cell r="T127">
            <v>-1.7810000000000006</v>
          </cell>
          <cell r="U127">
            <v>-3.8060000000000023</v>
          </cell>
          <cell r="V127">
            <v>-2.2459999999999991</v>
          </cell>
          <cell r="W127">
            <v>-3.910000000000001</v>
          </cell>
          <cell r="X127">
            <v>-3.5599999999999978</v>
          </cell>
          <cell r="Y127">
            <v>-0.58037000000000294</v>
          </cell>
          <cell r="Z127">
            <v>-10.296370000000024</v>
          </cell>
          <cell r="AA127">
            <v>-20.469999999999995</v>
          </cell>
          <cell r="AB127">
            <v>-4.5749999999999975</v>
          </cell>
          <cell r="AC127">
            <v>-5.4739999999999975</v>
          </cell>
          <cell r="AD127">
            <v>-6.1619999999999964</v>
          </cell>
          <cell r="AE127">
            <v>-36.68099999999999</v>
          </cell>
          <cell r="AF127">
            <v>-16.134000000000015</v>
          </cell>
          <cell r="AG127">
            <v>-13.692999999999989</v>
          </cell>
          <cell r="AH127">
            <v>-13.193089304887557</v>
          </cell>
          <cell r="AI127">
            <v>-5.6658873787320028</v>
          </cell>
          <cell r="AJ127">
            <v>-48.685976683619565</v>
          </cell>
          <cell r="AK127">
            <v>-13.173599153514358</v>
          </cell>
          <cell r="AL127">
            <v>-8.2098648852925429</v>
          </cell>
          <cell r="AM127">
            <v>-7.839893805426378</v>
          </cell>
          <cell r="AN127">
            <v>0.61351866469858862</v>
          </cell>
          <cell r="AO127">
            <v>-28.609839179534607</v>
          </cell>
          <cell r="AP127">
            <v>-10.717298996336996</v>
          </cell>
          <cell r="AQ127">
            <v>-4.29051658605432</v>
          </cell>
          <cell r="AR127">
            <v>-3.9288606853709513</v>
          </cell>
          <cell r="AS127">
            <v>5.0269803806310307</v>
          </cell>
          <cell r="AT127">
            <v>-13.909695887131258</v>
          </cell>
          <cell r="AU127">
            <v>-10.837010114938282</v>
          </cell>
          <cell r="AV127">
            <v>1.5613617881674564</v>
          </cell>
          <cell r="AW127">
            <v>6.0238837430217238</v>
          </cell>
          <cell r="AX127">
            <v>21.498573251428585</v>
          </cell>
          <cell r="AY127">
            <v>18.24680866767957</v>
          </cell>
        </row>
        <row r="128">
          <cell r="A128" t="str">
            <v>Check</v>
          </cell>
          <cell r="F128">
            <v>0</v>
          </cell>
          <cell r="G128">
            <v>0</v>
          </cell>
          <cell r="H128">
            <v>0</v>
          </cell>
          <cell r="I128">
            <v>0</v>
          </cell>
          <cell r="J128">
            <v>0</v>
          </cell>
          <cell r="K128">
            <v>0</v>
          </cell>
          <cell r="L128">
            <v>0</v>
          </cell>
          <cell r="M128">
            <v>0</v>
          </cell>
          <cell r="N128">
            <v>0</v>
          </cell>
          <cell r="O128">
            <v>0</v>
          </cell>
          <cell r="P128">
            <v>0</v>
          </cell>
          <cell r="Q128">
            <v>0</v>
          </cell>
          <cell r="R128">
            <v>0</v>
          </cell>
          <cell r="S128">
            <v>0</v>
          </cell>
          <cell r="T128">
            <v>0</v>
          </cell>
          <cell r="U128">
            <v>0</v>
          </cell>
          <cell r="V128">
            <v>0</v>
          </cell>
          <cell r="W128">
            <v>0</v>
          </cell>
          <cell r="X128">
            <v>0</v>
          </cell>
          <cell r="Y128">
            <v>0</v>
          </cell>
          <cell r="Z128">
            <v>0</v>
          </cell>
          <cell r="AA128">
            <v>0</v>
          </cell>
          <cell r="AB128">
            <v>0</v>
          </cell>
          <cell r="AC128">
            <v>0</v>
          </cell>
          <cell r="AD128">
            <v>0</v>
          </cell>
          <cell r="AE128">
            <v>0</v>
          </cell>
          <cell r="AF128">
            <v>0</v>
          </cell>
          <cell r="AG128">
            <v>0</v>
          </cell>
          <cell r="AH128">
            <v>0</v>
          </cell>
          <cell r="AI128">
            <v>0</v>
          </cell>
          <cell r="AJ128">
            <v>0</v>
          </cell>
          <cell r="AK128">
            <v>0</v>
          </cell>
          <cell r="AL128">
            <v>0</v>
          </cell>
          <cell r="AM128">
            <v>0</v>
          </cell>
          <cell r="AN128">
            <v>0</v>
          </cell>
          <cell r="AO128">
            <v>0</v>
          </cell>
          <cell r="AP128">
            <v>0</v>
          </cell>
          <cell r="AQ128">
            <v>0</v>
          </cell>
          <cell r="AR128">
            <v>0</v>
          </cell>
          <cell r="AS128">
            <v>0</v>
          </cell>
          <cell r="AT128">
            <v>0</v>
          </cell>
          <cell r="AU128">
            <v>0</v>
          </cell>
          <cell r="AV128">
            <v>1.7763568394002505E-15</v>
          </cell>
          <cell r="AW128">
            <v>0</v>
          </cell>
          <cell r="AX128">
            <v>0</v>
          </cell>
          <cell r="AY128">
            <v>0</v>
          </cell>
        </row>
        <row r="130">
          <cell r="A130" t="str">
            <v>(a) Reported EPS</v>
          </cell>
          <cell r="F130">
            <v>-0.53036535204451984</v>
          </cell>
          <cell r="G130">
            <v>0</v>
          </cell>
          <cell r="H130">
            <v>0</v>
          </cell>
          <cell r="I130">
            <v>0</v>
          </cell>
          <cell r="J130">
            <v>0</v>
          </cell>
          <cell r="K130">
            <v>-1.1441406552552085</v>
          </cell>
          <cell r="L130">
            <v>0.42264799888827126</v>
          </cell>
          <cell r="M130">
            <v>0.10557065945250978</v>
          </cell>
          <cell r="N130">
            <v>0.13235589543043871</v>
          </cell>
          <cell r="O130">
            <v>0.14842703701719609</v>
          </cell>
          <cell r="P130">
            <v>-0.51771817676486898</v>
          </cell>
          <cell r="Q130">
            <v>-1.0017678255745423E-2</v>
          </cell>
          <cell r="R130">
            <v>2.2633524401349994E-3</v>
          </cell>
          <cell r="S130">
            <v>-1.9365725612042629E-2</v>
          </cell>
          <cell r="T130">
            <v>-2.3852252638345749E-2</v>
          </cell>
          <cell r="U130">
            <v>-5.0904130109137628E-2</v>
          </cell>
          <cell r="V130">
            <v>-2.9585720872027911E-2</v>
          </cell>
          <cell r="W130">
            <v>-5.1907189970883075E-2</v>
          </cell>
          <cell r="X130">
            <v>-4.6540257096877695E-2</v>
          </cell>
          <cell r="Y130">
            <v>-7.5298407744284063E-3</v>
          </cell>
          <cell r="Z130">
            <v>-0.13511823718426527</v>
          </cell>
          <cell r="AA130">
            <v>-0.21642367021557782</v>
          </cell>
          <cell r="AB130">
            <v>-4.7896731506103532E-2</v>
          </cell>
          <cell r="AC130">
            <v>-5.6625047842682887E-2</v>
          </cell>
          <cell r="AD130">
            <v>-5.3297582493621043E-2</v>
          </cell>
          <cell r="AE130">
            <v>-0.45710689629389617</v>
          </cell>
          <cell r="AF130">
            <v>-0.15815321276282915</v>
          </cell>
          <cell r="AG130">
            <v>-0.13153698366954841</v>
          </cell>
          <cell r="AH130">
            <v>-0.12670357853686406</v>
          </cell>
          <cell r="AI130">
            <v>-4.6795387177170439E-2</v>
          </cell>
          <cell r="AJ130">
            <v>-0.45150832577330308</v>
          </cell>
          <cell r="AK130">
            <v>-0.12590574876399485</v>
          </cell>
          <cell r="AL130">
            <v>-6.7478350290234787E-2</v>
          </cell>
          <cell r="AM130">
            <v>-6.4280796277950303E-2</v>
          </cell>
          <cell r="AN130">
            <v>5.0180937326443683E-3</v>
          </cell>
          <cell r="AO130">
            <v>-0.24321795593677711</v>
          </cell>
          <cell r="AP130">
            <v>-8.7444713405742627E-2</v>
          </cell>
          <cell r="AQ130">
            <v>-3.4921454083871303E-2</v>
          </cell>
          <cell r="AR130">
            <v>-3.1899302334945721E-2</v>
          </cell>
          <cell r="AS130">
            <v>4.0714665123622873E-2</v>
          </cell>
          <cell r="AT130">
            <v>-0.11307413843178861</v>
          </cell>
          <cell r="AU130">
            <v>-8.7554722594631346E-2</v>
          </cell>
          <cell r="AV130">
            <v>1.2583381518162315E-2</v>
          </cell>
          <cell r="AW130">
            <v>4.8427429640856917E-2</v>
          </cell>
          <cell r="AX130">
            <v>0.17240219651280903</v>
          </cell>
          <cell r="AY130">
            <v>0.14687173316000635</v>
          </cell>
        </row>
        <row r="131">
          <cell r="A131" t="str">
            <v>(b) EPS for Consensus</v>
          </cell>
          <cell r="F131">
            <v>-0.52310670215339961</v>
          </cell>
          <cell r="G131">
            <v>0</v>
          </cell>
          <cell r="H131">
            <v>0</v>
          </cell>
          <cell r="I131">
            <v>0</v>
          </cell>
          <cell r="J131">
            <v>0</v>
          </cell>
          <cell r="K131">
            <v>-1.0847339477964526</v>
          </cell>
          <cell r="L131">
            <v>0</v>
          </cell>
          <cell r="M131">
            <v>0</v>
          </cell>
          <cell r="N131">
            <v>0</v>
          </cell>
          <cell r="O131">
            <v>0</v>
          </cell>
          <cell r="P131">
            <v>-0.42739021678710393</v>
          </cell>
          <cell r="Q131">
            <v>-5.6784700273209247E-3</v>
          </cell>
          <cell r="R131">
            <v>7.8078962875663144E-3</v>
          </cell>
          <cell r="S131">
            <v>-1.378100391064443E-2</v>
          </cell>
          <cell r="T131">
            <v>-1.8093426903091066E-2</v>
          </cell>
          <cell r="U131">
            <v>-2.970522148512756E-2</v>
          </cell>
          <cell r="V131">
            <v>-2.2867680958967268E-2</v>
          </cell>
          <cell r="W131">
            <v>-4.240193472301803E-2</v>
          </cell>
          <cell r="X131">
            <v>-3.2931153827818777E-2</v>
          </cell>
          <cell r="Y131">
            <v>6.4871037221327504E-3</v>
          </cell>
          <cell r="Z131">
            <v>-9.1191034334766205E-2</v>
          </cell>
          <cell r="AA131">
            <v>-3.923538056521781E-2</v>
          </cell>
          <cell r="AB131">
            <v>-7.4226847295798346E-3</v>
          </cell>
          <cell r="AC131">
            <v>-8.1617030960680365E-3</v>
          </cell>
          <cell r="AD131">
            <v>2.5844397353284664E-2</v>
          </cell>
          <cell r="AE131">
            <v>-2.7677392019539785E-2</v>
          </cell>
          <cell r="AF131">
            <v>-5.6089790717051523E-2</v>
          </cell>
          <cell r="AG131">
            <v>-1.1047070124879951E-2</v>
          </cell>
          <cell r="AH131">
            <v>-8.7926416277218193E-3</v>
          </cell>
          <cell r="AI131">
            <v>5.7329268292970144E-2</v>
          </cell>
          <cell r="AJ131">
            <v>-7.8478583919615926E-3</v>
          </cell>
          <cell r="AK131">
            <v>-7.8492542168903893E-3</v>
          </cell>
          <cell r="AL131">
            <v>3.4459147372040935E-2</v>
          </cell>
          <cell r="AM131">
            <v>3.7839852402611021E-2</v>
          </cell>
          <cell r="AN131">
            <v>0.1073412632994778</v>
          </cell>
          <cell r="AO131">
            <v>0.17946040838556865</v>
          </cell>
          <cell r="AP131">
            <v>1.9732017346396343E-2</v>
          </cell>
          <cell r="AQ131">
            <v>7.248798572432115E-2</v>
          </cell>
          <cell r="AR131">
            <v>7.5765098952287196E-2</v>
          </cell>
          <cell r="AS131">
            <v>0.14865733305809764</v>
          </cell>
          <cell r="AT131">
            <v>0.31712224099584968</v>
          </cell>
          <cell r="AU131">
            <v>3.7395911172865753E-2</v>
          </cell>
          <cell r="AV131">
            <v>0.1379894280550461</v>
          </cell>
          <cell r="AW131">
            <v>0.17432322572627715</v>
          </cell>
          <cell r="AX131">
            <v>0.29882370030501026</v>
          </cell>
          <cell r="AY131">
            <v>0.64955180360283049</v>
          </cell>
        </row>
        <row r="132">
          <cell r="A132" t="str">
            <v>(a) Check</v>
          </cell>
          <cell r="F132">
            <v>0</v>
          </cell>
          <cell r="G132">
            <v>0</v>
          </cell>
          <cell r="H132">
            <v>0</v>
          </cell>
          <cell r="I132">
            <v>0</v>
          </cell>
          <cell r="J132">
            <v>0</v>
          </cell>
          <cell r="K132">
            <v>0</v>
          </cell>
          <cell r="L132">
            <v>0</v>
          </cell>
          <cell r="M132">
            <v>0</v>
          </cell>
          <cell r="N132">
            <v>0</v>
          </cell>
          <cell r="O132">
            <v>0</v>
          </cell>
          <cell r="P132">
            <v>0</v>
          </cell>
          <cell r="Q132">
            <v>0</v>
          </cell>
          <cell r="R132">
            <v>0</v>
          </cell>
          <cell r="S132">
            <v>0</v>
          </cell>
          <cell r="T132">
            <v>0</v>
          </cell>
          <cell r="U132">
            <v>6.8173956861219964E-5</v>
          </cell>
          <cell r="V132">
            <v>0</v>
          </cell>
          <cell r="W132">
            <v>5.1907189970883116E-5</v>
          </cell>
          <cell r="X132">
            <v>4.6540257096876203E-5</v>
          </cell>
          <cell r="Y132">
            <v>7.5298407744275528E-6</v>
          </cell>
          <cell r="Z132">
            <v>1.0144093197303472E-4</v>
          </cell>
          <cell r="AA132">
            <v>0</v>
          </cell>
          <cell r="AB132">
            <v>0</v>
          </cell>
          <cell r="AC132">
            <v>0</v>
          </cell>
          <cell r="AD132">
            <v>8.9473566958411244E-3</v>
          </cell>
          <cell r="AE132">
            <v>0</v>
          </cell>
          <cell r="AF132">
            <v>0</v>
          </cell>
          <cell r="AG132">
            <v>0</v>
          </cell>
          <cell r="AH132">
            <v>0</v>
          </cell>
          <cell r="AI132">
            <v>0</v>
          </cell>
          <cell r="AJ132">
            <v>1.8186300496791985E-2</v>
          </cell>
          <cell r="AK132">
            <v>0</v>
          </cell>
          <cell r="AL132">
            <v>0</v>
          </cell>
          <cell r="AM132">
            <v>0</v>
          </cell>
          <cell r="AN132">
            <v>0</v>
          </cell>
          <cell r="AO132">
            <v>0</v>
          </cell>
          <cell r="AP132">
            <v>0</v>
          </cell>
          <cell r="AQ132">
            <v>0</v>
          </cell>
          <cell r="AR132">
            <v>0</v>
          </cell>
          <cell r="AS132">
            <v>0</v>
          </cell>
          <cell r="AT132">
            <v>0</v>
          </cell>
          <cell r="AU132">
            <v>0</v>
          </cell>
          <cell r="AV132">
            <v>0</v>
          </cell>
          <cell r="AW132">
            <v>0</v>
          </cell>
          <cell r="AX132">
            <v>0</v>
          </cell>
          <cell r="AY132">
            <v>0</v>
          </cell>
        </row>
        <row r="133">
          <cell r="A133" t="str">
            <v>(b) Check</v>
          </cell>
          <cell r="F133">
            <v>0</v>
          </cell>
          <cell r="G133">
            <v>0</v>
          </cell>
          <cell r="H133">
            <v>0</v>
          </cell>
          <cell r="I133">
            <v>0</v>
          </cell>
          <cell r="J133">
            <v>0</v>
          </cell>
          <cell r="K133">
            <v>0</v>
          </cell>
          <cell r="L133">
            <v>0</v>
          </cell>
          <cell r="M133">
            <v>0</v>
          </cell>
          <cell r="N133">
            <v>0</v>
          </cell>
          <cell r="O133">
            <v>0</v>
          </cell>
          <cell r="P133">
            <v>0</v>
          </cell>
          <cell r="Q133">
            <v>0</v>
          </cell>
          <cell r="R133">
            <v>0</v>
          </cell>
          <cell r="S133">
            <v>0</v>
          </cell>
          <cell r="T133">
            <v>0</v>
          </cell>
          <cell r="U133">
            <v>3.9783068362785751E-5</v>
          </cell>
          <cell r="V133">
            <v>0</v>
          </cell>
          <cell r="W133">
            <v>4.2401934723018675E-5</v>
          </cell>
          <cell r="X133">
            <v>3.2931153827811532E-5</v>
          </cell>
          <cell r="Y133">
            <v>-6.4871037221310435E-6</v>
          </cell>
          <cell r="Z133">
            <v>6.8462286833187447E-5</v>
          </cell>
          <cell r="AA133">
            <v>0</v>
          </cell>
          <cell r="AB133">
            <v>0</v>
          </cell>
          <cell r="AC133">
            <v>0</v>
          </cell>
          <cell r="AD133">
            <v>0</v>
          </cell>
          <cell r="AE133">
            <v>0</v>
          </cell>
          <cell r="AF133">
            <v>0</v>
          </cell>
          <cell r="AG133">
            <v>0</v>
          </cell>
          <cell r="AH133">
            <v>0</v>
          </cell>
          <cell r="AI133">
            <v>0</v>
          </cell>
          <cell r="AJ133">
            <v>3.1610382981983771E-4</v>
          </cell>
          <cell r="AK133">
            <v>0</v>
          </cell>
          <cell r="AL133">
            <v>0</v>
          </cell>
          <cell r="AM133">
            <v>0</v>
          </cell>
          <cell r="AN133">
            <v>0</v>
          </cell>
          <cell r="AO133">
            <v>0</v>
          </cell>
          <cell r="AP133">
            <v>0</v>
          </cell>
          <cell r="AQ133">
            <v>0</v>
          </cell>
          <cell r="AR133">
            <v>0</v>
          </cell>
          <cell r="AS133">
            <v>0</v>
          </cell>
          <cell r="AT133">
            <v>0</v>
          </cell>
          <cell r="AU133">
            <v>0</v>
          </cell>
          <cell r="AV133">
            <v>0</v>
          </cell>
          <cell r="AW133">
            <v>0</v>
          </cell>
          <cell r="AX133">
            <v>0</v>
          </cell>
          <cell r="AY133">
            <v>0</v>
          </cell>
        </row>
        <row r="135">
          <cell r="A135" t="str">
            <v>Stock-based comp (after Tax)</v>
          </cell>
          <cell r="F135">
            <v>9.0027760641579288E-2</v>
          </cell>
          <cell r="G135">
            <v>0</v>
          </cell>
          <cell r="H135">
            <v>0</v>
          </cell>
          <cell r="I135">
            <v>0</v>
          </cell>
          <cell r="J135">
            <v>0</v>
          </cell>
          <cell r="K135">
            <v>0</v>
          </cell>
          <cell r="L135">
            <v>0</v>
          </cell>
          <cell r="M135">
            <v>0</v>
          </cell>
          <cell r="N135">
            <v>0</v>
          </cell>
          <cell r="O135">
            <v>0</v>
          </cell>
          <cell r="P135">
            <v>1.3169137022397892</v>
          </cell>
          <cell r="Q135">
            <v>0.34867005076142138</v>
          </cell>
          <cell r="R135">
            <v>0.39373898858075052</v>
          </cell>
          <cell r="S135">
            <v>0.4252656095143707</v>
          </cell>
          <cell r="T135">
            <v>0.44481623277182236</v>
          </cell>
          <cell r="U135">
            <v>1.6795252862595411</v>
          </cell>
          <cell r="V135">
            <v>0.51</v>
          </cell>
          <cell r="W135">
            <v>0.71600000000000008</v>
          </cell>
          <cell r="X135">
            <v>1.0620814094775211</v>
          </cell>
          <cell r="Y135">
            <v>1.0803700000000003</v>
          </cell>
          <cell r="Z135">
            <v>3.3716298202638062</v>
          </cell>
          <cell r="AA135">
            <v>2.8058268251273351</v>
          </cell>
          <cell r="AB135">
            <v>4.7835846422338459</v>
          </cell>
          <cell r="AC135">
            <v>5.5669653614457912</v>
          </cell>
          <cell r="AD135">
            <v>7.5611143119828386</v>
          </cell>
          <cell r="AE135">
            <v>28.690371352785206</v>
          </cell>
          <cell r="AF135">
            <v>10.578921399022185</v>
          </cell>
          <cell r="AG135">
            <v>17.516624203821635</v>
          </cell>
          <cell r="AH135">
            <v>20.41739707398014</v>
          </cell>
          <cell r="AI135">
            <v>12.607194999999997</v>
          </cell>
          <cell r="AJ135">
            <v>-60.506615932567271</v>
          </cell>
          <cell r="AK135">
            <v>14.569907902238795</v>
          </cell>
          <cell r="AL135">
            <v>12.043322991261691</v>
          </cell>
          <cell r="AM135">
            <v>12.126515779837009</v>
          </cell>
          <cell r="AN135">
            <v>12.510163760390622</v>
          </cell>
          <cell r="AO135">
            <v>48.569459615174004</v>
          </cell>
          <cell r="AP135">
            <v>12.490088691651501</v>
          </cell>
          <cell r="AQ135">
            <v>13.013873316397371</v>
          </cell>
          <cell r="AR135">
            <v>13.085148320116939</v>
          </cell>
          <cell r="AS135">
            <v>13.327523934974986</v>
          </cell>
          <cell r="AT135">
            <v>52.25045585808607</v>
          </cell>
          <cell r="AU135">
            <v>13.957884965454708</v>
          </cell>
          <cell r="AV135">
            <v>15.119028441455564</v>
          </cell>
          <cell r="AW135">
            <v>15.307207035077846</v>
          </cell>
          <cell r="AX135">
            <v>15.764775709400324</v>
          </cell>
          <cell r="AY135">
            <v>60.940796155056759</v>
          </cell>
        </row>
        <row r="136">
          <cell r="I136">
            <v>86.899999999999991</v>
          </cell>
          <cell r="J136">
            <v>90.3</v>
          </cell>
        </row>
        <row r="137">
          <cell r="A137" t="str">
            <v>Assumptions</v>
          </cell>
        </row>
        <row r="138">
          <cell r="A138" t="str">
            <v xml:space="preserve">    Foreign Exchange Net Gain as a % of cash</v>
          </cell>
          <cell r="Q138">
            <v>1.0165184243964421E-3</v>
          </cell>
          <cell r="R138">
            <v>2.3155139434209203E-3</v>
          </cell>
          <cell r="S138">
            <v>0</v>
          </cell>
          <cell r="T138">
            <v>0</v>
          </cell>
          <cell r="V138">
            <v>0</v>
          </cell>
          <cell r="W138">
            <v>0</v>
          </cell>
          <cell r="X138">
            <v>0</v>
          </cell>
          <cell r="Y138">
            <v>0</v>
          </cell>
          <cell r="AA138">
            <v>0</v>
          </cell>
          <cell r="AB138">
            <v>0</v>
          </cell>
          <cell r="AC138">
            <v>0</v>
          </cell>
          <cell r="AD138">
            <v>0</v>
          </cell>
          <cell r="AF138">
            <v>0</v>
          </cell>
          <cell r="AG138">
            <v>0</v>
          </cell>
          <cell r="AH138">
            <v>0</v>
          </cell>
          <cell r="AI138">
            <v>0</v>
          </cell>
          <cell r="AK138">
            <v>0</v>
          </cell>
          <cell r="AL138">
            <v>0</v>
          </cell>
          <cell r="AM138">
            <v>0</v>
          </cell>
          <cell r="AN138">
            <v>0</v>
          </cell>
          <cell r="AP138">
            <v>0</v>
          </cell>
          <cell r="AQ138">
            <v>0</v>
          </cell>
          <cell r="AR138">
            <v>0</v>
          </cell>
          <cell r="AS138">
            <v>0</v>
          </cell>
          <cell r="AU138">
            <v>0</v>
          </cell>
          <cell r="AV138">
            <v>0</v>
          </cell>
          <cell r="AW138">
            <v>0</v>
          </cell>
          <cell r="AX138">
            <v>0</v>
          </cell>
        </row>
        <row r="141">
          <cell r="A141" t="str">
            <v>LTM Revenues</v>
          </cell>
          <cell r="G141">
            <v>0</v>
          </cell>
          <cell r="H141">
            <v>0</v>
          </cell>
          <cell r="I141">
            <v>0</v>
          </cell>
          <cell r="J141">
            <v>0</v>
          </cell>
          <cell r="L141">
            <v>6.1</v>
          </cell>
          <cell r="M141">
            <v>14</v>
          </cell>
          <cell r="N141">
            <v>23.9</v>
          </cell>
          <cell r="O141">
            <v>35</v>
          </cell>
          <cell r="Q141">
            <v>41.088000000000001</v>
          </cell>
          <cell r="R141">
            <v>48.481000000000002</v>
          </cell>
          <cell r="S141">
            <v>54.564</v>
          </cell>
          <cell r="T141">
            <v>66.245000000000005</v>
          </cell>
          <cell r="V141">
            <v>74.695999999999998</v>
          </cell>
          <cell r="W141">
            <v>85.352000000000004</v>
          </cell>
          <cell r="X141">
            <v>100.542</v>
          </cell>
          <cell r="Y141">
            <v>120.761</v>
          </cell>
          <cell r="AA141">
            <v>137.31299999999999</v>
          </cell>
          <cell r="AB141">
            <v>155.84700000000001</v>
          </cell>
          <cell r="AC141">
            <v>176.71899999999999</v>
          </cell>
          <cell r="AD141">
            <v>198.94400000000002</v>
          </cell>
          <cell r="AF141">
            <v>218.96000000000004</v>
          </cell>
          <cell r="AG141">
            <v>241.35000000000002</v>
          </cell>
          <cell r="AH141">
            <v>259.55926959908771</v>
          </cell>
          <cell r="AI141">
            <v>278.27126670876612</v>
          </cell>
          <cell r="AK141">
            <v>295.46655130114533</v>
          </cell>
          <cell r="AL141">
            <v>317.46930942448944</v>
          </cell>
          <cell r="AM141">
            <v>342.35873508035223</v>
          </cell>
          <cell r="AN141">
            <v>372.47892051484604</v>
          </cell>
          <cell r="AP141">
            <v>401.64582198066228</v>
          </cell>
          <cell r="AQ141">
            <v>428.07037500160908</v>
          </cell>
          <cell r="AR141">
            <v>451.11164939734505</v>
          </cell>
          <cell r="AS141">
            <v>474.31301162941497</v>
          </cell>
          <cell r="AU141">
            <v>559.80846050004448</v>
          </cell>
          <cell r="AV141">
            <v>594.089812419802</v>
          </cell>
          <cell r="AW141">
            <v>631.79887879924058</v>
          </cell>
          <cell r="AX141">
            <v>673.95278122576428</v>
          </cell>
        </row>
        <row r="142">
          <cell r="A142" t="str">
            <v>LTM Operating Expenses</v>
          </cell>
          <cell r="G142">
            <v>0</v>
          </cell>
          <cell r="H142">
            <v>0</v>
          </cell>
          <cell r="I142">
            <v>0</v>
          </cell>
          <cell r="J142">
            <v>0</v>
          </cell>
          <cell r="L142">
            <v>0</v>
          </cell>
          <cell r="M142">
            <v>0</v>
          </cell>
          <cell r="N142">
            <v>0</v>
          </cell>
          <cell r="O142">
            <v>0</v>
          </cell>
          <cell r="Q142">
            <v>11.447999999999999</v>
          </cell>
          <cell r="R142">
            <v>24.648</v>
          </cell>
          <cell r="S142">
            <v>39.991</v>
          </cell>
          <cell r="T142">
            <v>61.356000000000002</v>
          </cell>
          <cell r="V142">
            <v>69.814999999999998</v>
          </cell>
          <cell r="W142">
            <v>82.176000000000016</v>
          </cell>
          <cell r="X142">
            <v>96.853000000000009</v>
          </cell>
          <cell r="Y142">
            <v>114.488</v>
          </cell>
          <cell r="AA142">
            <v>131.13200000000001</v>
          </cell>
          <cell r="AB142">
            <v>146.35000000000002</v>
          </cell>
          <cell r="AC142">
            <v>163.51300000000001</v>
          </cell>
          <cell r="AD142">
            <v>180.404</v>
          </cell>
          <cell r="AF142">
            <v>200.39099999999999</v>
          </cell>
          <cell r="AG142">
            <v>220.71199999999999</v>
          </cell>
          <cell r="AH142">
            <v>237.53063960476888</v>
          </cell>
          <cell r="AI142">
            <v>250.88766222025362</v>
          </cell>
          <cell r="AK142">
            <v>262.05574119931867</v>
          </cell>
          <cell r="AL142">
            <v>277.83327197601136</v>
          </cell>
          <cell r="AM142">
            <v>295.84549768100976</v>
          </cell>
          <cell r="AN142">
            <v>317.95727828340699</v>
          </cell>
          <cell r="AP142">
            <v>340.87423710526292</v>
          </cell>
          <cell r="AQ142">
            <v>359.69596457833171</v>
          </cell>
          <cell r="AR142">
            <v>375.18469923038077</v>
          </cell>
          <cell r="AS142">
            <v>390.20026821408646</v>
          </cell>
          <cell r="AU142">
            <v>448.94293082158407</v>
          </cell>
          <cell r="AV142">
            <v>473.24207818773556</v>
          </cell>
          <cell r="AW142">
            <v>499.49051348316419</v>
          </cell>
          <cell r="AX142">
            <v>526.48384678597438</v>
          </cell>
        </row>
        <row r="143">
          <cell r="A143" t="str">
            <v>LTM Operating Income</v>
          </cell>
          <cell r="G143">
            <v>0</v>
          </cell>
          <cell r="H143">
            <v>0</v>
          </cell>
          <cell r="I143">
            <v>0</v>
          </cell>
          <cell r="J143">
            <v>0</v>
          </cell>
          <cell r="L143">
            <v>6.1</v>
          </cell>
          <cell r="M143">
            <v>14</v>
          </cell>
          <cell r="N143">
            <v>23.9</v>
          </cell>
          <cell r="O143">
            <v>35</v>
          </cell>
          <cell r="Q143">
            <v>28.494</v>
          </cell>
          <cell r="R143">
            <v>21.184000000000005</v>
          </cell>
          <cell r="S143">
            <v>10.278000000000004</v>
          </cell>
          <cell r="T143">
            <v>-1.7089999999999996</v>
          </cell>
          <cell r="V143">
            <v>-2.5560000000000009</v>
          </cell>
          <cell r="W143">
            <v>-5.7040000000000024</v>
          </cell>
          <cell r="X143">
            <v>-6.7010000000000005</v>
          </cell>
          <cell r="Y143">
            <v>-4.8139999999999965</v>
          </cell>
          <cell r="AA143">
            <v>-7.0779999999999923</v>
          </cell>
          <cell r="AB143">
            <v>-5.1939999999999991</v>
          </cell>
          <cell r="AC143">
            <v>-3.8859999999999957</v>
          </cell>
          <cell r="AD143">
            <v>-1.6599999999999895</v>
          </cell>
          <cell r="AF143">
            <v>-3.4280000000000044</v>
          </cell>
          <cell r="AG143">
            <v>-3.5150000000000006</v>
          </cell>
          <cell r="AH143">
            <v>-3.6136486234728054</v>
          </cell>
          <cell r="AI143">
            <v>0.21896562520150553</v>
          </cell>
          <cell r="AK143">
            <v>4.0463555208416295</v>
          </cell>
          <cell r="AL143">
            <v>8.3056658241012045</v>
          </cell>
          <cell r="AM143">
            <v>13.002343482447699</v>
          </cell>
          <cell r="AN143">
            <v>18.344038872346474</v>
          </cell>
          <cell r="AP143">
            <v>21.421679016103752</v>
          </cell>
          <cell r="AQ143">
            <v>25.936875781964105</v>
          </cell>
          <cell r="AR143">
            <v>30.452838077927098</v>
          </cell>
          <cell r="AS143">
            <v>35.488985960106831</v>
          </cell>
          <cell r="AU143">
            <v>55.354590764668373</v>
          </cell>
          <cell r="AV143">
            <v>60.841424267323674</v>
          </cell>
          <cell r="AW143">
            <v>67.541142763777401</v>
          </cell>
          <cell r="AX143">
            <v>77.827226184118771</v>
          </cell>
        </row>
        <row r="144">
          <cell r="A144" t="str">
            <v>LTM Operating Margin</v>
          </cell>
          <cell r="L144">
            <v>1</v>
          </cell>
        </row>
        <row r="146">
          <cell r="A146" t="str">
            <v>Total Expenses</v>
          </cell>
          <cell r="F146">
            <v>15.921000000000001</v>
          </cell>
          <cell r="G146">
            <v>0</v>
          </cell>
          <cell r="H146">
            <v>0</v>
          </cell>
          <cell r="I146">
            <v>0</v>
          </cell>
          <cell r="J146">
            <v>0</v>
          </cell>
          <cell r="K146">
            <v>32.457000000000001</v>
          </cell>
          <cell r="L146">
            <v>0</v>
          </cell>
          <cell r="M146">
            <v>0</v>
          </cell>
          <cell r="N146">
            <v>0</v>
          </cell>
          <cell r="O146">
            <v>0</v>
          </cell>
          <cell r="P146">
            <v>41.003</v>
          </cell>
          <cell r="Q146">
            <v>12.593999999999998</v>
          </cell>
          <cell r="R146">
            <v>14.703000000000001</v>
          </cell>
          <cell r="S146">
            <v>16.989000000000001</v>
          </cell>
          <cell r="T146">
            <v>23.668000000000003</v>
          </cell>
          <cell r="U146">
            <v>67.954000000000008</v>
          </cell>
          <cell r="V146">
            <v>21.891999999999999</v>
          </cell>
          <cell r="W146">
            <v>28.506999999999998</v>
          </cell>
          <cell r="X146">
            <v>33.175999999999995</v>
          </cell>
          <cell r="Y146">
            <v>42</v>
          </cell>
          <cell r="Z146">
            <v>125.575</v>
          </cell>
          <cell r="AA146">
            <v>40.707999999999998</v>
          </cell>
          <cell r="AB146">
            <v>45.157000000000004</v>
          </cell>
          <cell r="AC146">
            <v>52.74</v>
          </cell>
          <cell r="AD146">
            <v>61.998999999999995</v>
          </cell>
          <cell r="AE146">
            <v>200.60400000000001</v>
          </cell>
          <cell r="AF146">
            <v>62.492000000000004</v>
          </cell>
          <cell r="AG146">
            <v>67.634000000000015</v>
          </cell>
          <cell r="AH146">
            <v>71.047918222560497</v>
          </cell>
          <cell r="AI146">
            <v>76.878382861004127</v>
          </cell>
          <cell r="AJ146">
            <v>278.0523010835646</v>
          </cell>
          <cell r="AK146">
            <v>75.859894696739048</v>
          </cell>
          <cell r="AL146">
            <v>85.377447820084569</v>
          </cell>
          <cell r="AM146">
            <v>91.240666220076776</v>
          </cell>
          <cell r="AN146">
            <v>101.65687290559916</v>
          </cell>
          <cell r="AO146">
            <v>354.13488164249952</v>
          </cell>
          <cell r="AP146">
            <v>101.94915601879802</v>
          </cell>
          <cell r="AQ146">
            <v>107.28680407517101</v>
          </cell>
          <cell r="AR146">
            <v>109.76597831984976</v>
          </cell>
          <cell r="AS146">
            <v>119.82208725548932</v>
          </cell>
          <cell r="AT146">
            <v>438.82402566930813</v>
          </cell>
          <cell r="AU146">
            <v>136.20018443647703</v>
          </cell>
          <cell r="AV146">
            <v>137.72953420307391</v>
          </cell>
          <cell r="AW146">
            <v>153.22396987639931</v>
          </cell>
          <cell r="AX146">
            <v>168.97186652569536</v>
          </cell>
          <cell r="AY146">
            <v>596.12555504164561</v>
          </cell>
        </row>
        <row r="148">
          <cell r="A148" t="str">
            <v>Guidance</v>
          </cell>
        </row>
        <row r="150">
          <cell r="A150" t="str">
            <v>Quarterly</v>
          </cell>
        </row>
        <row r="151">
          <cell r="A151" t="str">
            <v>Revenue</v>
          </cell>
        </row>
        <row r="152">
          <cell r="A152" t="str">
            <v xml:space="preserve">    High</v>
          </cell>
          <cell r="AB152">
            <v>40</v>
          </cell>
          <cell r="AC152">
            <v>47</v>
          </cell>
          <cell r="AD152">
            <v>60</v>
          </cell>
          <cell r="AE152">
            <v>194</v>
          </cell>
          <cell r="AF152">
            <v>54</v>
          </cell>
          <cell r="AG152">
            <v>63</v>
          </cell>
          <cell r="AH152">
            <v>71</v>
          </cell>
          <cell r="AI152">
            <v>90</v>
          </cell>
          <cell r="AJ152">
            <v>281</v>
          </cell>
        </row>
        <row r="153">
          <cell r="A153" t="str">
            <v xml:space="preserve">    Low</v>
          </cell>
          <cell r="AB153">
            <v>38</v>
          </cell>
          <cell r="AC153">
            <v>45</v>
          </cell>
          <cell r="AD153">
            <v>58</v>
          </cell>
          <cell r="AE153">
            <v>192</v>
          </cell>
          <cell r="AF153">
            <v>52</v>
          </cell>
          <cell r="AG153">
            <v>61</v>
          </cell>
          <cell r="AH153">
            <v>69</v>
          </cell>
          <cell r="AI153">
            <v>88</v>
          </cell>
          <cell r="AJ153">
            <v>275</v>
          </cell>
        </row>
        <row r="154">
          <cell r="A154" t="str">
            <v>Actual / MS Estimate</v>
          </cell>
          <cell r="Q154">
            <v>12.188000000000001</v>
          </cell>
          <cell r="R154">
            <v>15.293000000000001</v>
          </cell>
          <cell r="S154">
            <v>15.983000000000001</v>
          </cell>
          <cell r="T154">
            <v>22.780999999999999</v>
          </cell>
          <cell r="V154">
            <v>20.638999999999999</v>
          </cell>
          <cell r="W154">
            <v>25.948999999999998</v>
          </cell>
          <cell r="X154">
            <v>31.172999999999998</v>
          </cell>
          <cell r="Y154">
            <v>43</v>
          </cell>
          <cell r="Z154">
            <v>120.761</v>
          </cell>
          <cell r="AA154">
            <v>37.191000000000003</v>
          </cell>
          <cell r="AB154">
            <v>44.482999999999997</v>
          </cell>
          <cell r="AC154">
            <v>52.045000000000002</v>
          </cell>
          <cell r="AD154">
            <v>65.225000000000009</v>
          </cell>
          <cell r="AE154">
            <v>198.94400000000002</v>
          </cell>
          <cell r="AF154">
            <v>57.206999999999994</v>
          </cell>
          <cell r="AG154">
            <v>66.873000000000005</v>
          </cell>
          <cell r="AH154">
            <v>70.254269599087706</v>
          </cell>
          <cell r="AI154">
            <v>83.936997109678444</v>
          </cell>
          <cell r="AJ154">
            <v>278.27126670876612</v>
          </cell>
          <cell r="AK154">
            <v>74.402284592379161</v>
          </cell>
          <cell r="AL154">
            <v>88.875758123344156</v>
          </cell>
          <cell r="AM154">
            <v>95.143695254950487</v>
          </cell>
          <cell r="AN154">
            <v>114.05718254417225</v>
          </cell>
          <cell r="AO154">
            <v>372.4789205148461</v>
          </cell>
          <cell r="AP154">
            <v>103.56918605819541</v>
          </cell>
          <cell r="AQ154">
            <v>115.30031114429093</v>
          </cell>
          <cell r="AR154">
            <v>118.18496965068647</v>
          </cell>
          <cell r="AS154">
            <v>137.25854477624216</v>
          </cell>
          <cell r="AT154">
            <v>474.31301162941497</v>
          </cell>
          <cell r="AU154">
            <v>140.1901583787853</v>
          </cell>
          <cell r="AV154">
            <v>154.16656394898774</v>
          </cell>
          <cell r="AW154">
            <v>174.16968036098899</v>
          </cell>
          <cell r="AX154">
            <v>205.42637853700231</v>
          </cell>
          <cell r="AY154">
            <v>673.9527812257644</v>
          </cell>
        </row>
        <row r="155">
          <cell r="AB155">
            <v>0.11207499999999992</v>
          </cell>
          <cell r="AC155">
            <v>0.10734042553191503</v>
          </cell>
          <cell r="AD155">
            <v>8.7083333333333401E-2</v>
          </cell>
          <cell r="AF155">
            <v>5.9388888888888713E-2</v>
          </cell>
          <cell r="AG155">
            <v>6.1476190476190462E-2</v>
          </cell>
          <cell r="AH155">
            <v>0.10750704225352115</v>
          </cell>
        </row>
        <row r="156">
          <cell r="A156" t="str">
            <v>Operating Income</v>
          </cell>
        </row>
        <row r="157">
          <cell r="A157" t="str">
            <v xml:space="preserve">    High</v>
          </cell>
          <cell r="AB157">
            <v>-3.2</v>
          </cell>
          <cell r="AC157">
            <v>-1.8800000000000001</v>
          </cell>
          <cell r="AD157">
            <v>2.4</v>
          </cell>
          <cell r="AE157">
            <v>-1.94</v>
          </cell>
          <cell r="AF157">
            <v>-5.4</v>
          </cell>
          <cell r="AG157">
            <v>-2.52</v>
          </cell>
          <cell r="AH157">
            <v>0</v>
          </cell>
          <cell r="AI157">
            <v>7.2</v>
          </cell>
          <cell r="AJ157">
            <v>0</v>
          </cell>
        </row>
        <row r="158">
          <cell r="A158" t="str">
            <v xml:space="preserve">    Low</v>
          </cell>
          <cell r="AB158">
            <v>-3.42</v>
          </cell>
          <cell r="AC158">
            <v>-2.25</v>
          </cell>
          <cell r="AD158">
            <v>1.74</v>
          </cell>
          <cell r="AE158">
            <v>-3.84</v>
          </cell>
          <cell r="AF158">
            <v>-6.24</v>
          </cell>
          <cell r="AG158">
            <v>-3.6599999999999997</v>
          </cell>
          <cell r="AH158">
            <v>-1.3800000000000001</v>
          </cell>
          <cell r="AI158">
            <v>5.2799999999999994</v>
          </cell>
          <cell r="AJ158">
            <v>0</v>
          </cell>
        </row>
        <row r="159">
          <cell r="A159" t="str">
            <v>Actual / MS Estimate</v>
          </cell>
          <cell r="Q159">
            <v>-0.40599999999999881</v>
          </cell>
          <cell r="R159">
            <v>0.59000000000000163</v>
          </cell>
          <cell r="S159">
            <v>-1.0059999999999985</v>
          </cell>
          <cell r="T159">
            <v>-0.88700000000000401</v>
          </cell>
          <cell r="V159">
            <v>-1.2530000000000001</v>
          </cell>
          <cell r="W159">
            <v>-2.5579999999999998</v>
          </cell>
          <cell r="X159">
            <v>-2.0029999999999966</v>
          </cell>
          <cell r="Y159">
            <v>1</v>
          </cell>
          <cell r="Z159">
            <v>-4.8139999999999965</v>
          </cell>
          <cell r="AA159">
            <v>-3.5169999999999959</v>
          </cell>
          <cell r="AB159">
            <v>-0.67400000000000659</v>
          </cell>
          <cell r="AC159">
            <v>-0.69499999999999318</v>
          </cell>
          <cell r="AD159">
            <v>3.2260000000000062</v>
          </cell>
          <cell r="AE159">
            <v>-1.6599999999999895</v>
          </cell>
          <cell r="AF159">
            <v>-5.2850000000000108</v>
          </cell>
          <cell r="AG159">
            <v>-0.76100000000000279</v>
          </cell>
          <cell r="AH159">
            <v>-0.79364862347279796</v>
          </cell>
          <cell r="AI159">
            <v>7.0586142486743171</v>
          </cell>
          <cell r="AJ159">
            <v>0.21896562520150553</v>
          </cell>
          <cell r="AK159">
            <v>-1.4576101043598868</v>
          </cell>
          <cell r="AL159">
            <v>3.4983103032595722</v>
          </cell>
          <cell r="AM159">
            <v>3.9030290348736969</v>
          </cell>
          <cell r="AN159">
            <v>12.400309638573091</v>
          </cell>
          <cell r="AO159">
            <v>18.344038872346474</v>
          </cell>
          <cell r="AP159">
            <v>1.6200300393973919</v>
          </cell>
          <cell r="AQ159">
            <v>8.0135070691199246</v>
          </cell>
          <cell r="AR159">
            <v>8.4189913308366897</v>
          </cell>
          <cell r="AS159">
            <v>17.436457520752825</v>
          </cell>
          <cell r="AT159">
            <v>35.488985960106831</v>
          </cell>
          <cell r="AU159">
            <v>3.9899739423082821</v>
          </cell>
          <cell r="AV159">
            <v>16.437029745913833</v>
          </cell>
          <cell r="AW159">
            <v>20.945710484589682</v>
          </cell>
          <cell r="AX159">
            <v>36.454512011306974</v>
          </cell>
          <cell r="AY159">
            <v>77.827226184118771</v>
          </cell>
        </row>
        <row r="161">
          <cell r="A161" t="str">
            <v>EPS</v>
          </cell>
        </row>
        <row r="162">
          <cell r="A162" t="str">
            <v xml:space="preserve">    High</v>
          </cell>
        </row>
        <row r="163">
          <cell r="A163" t="str">
            <v xml:space="preserve">    Low</v>
          </cell>
        </row>
        <row r="164">
          <cell r="A164" t="str">
            <v>Actual / MS Estimate</v>
          </cell>
          <cell r="Q164">
            <v>-5.6784700273209247E-3</v>
          </cell>
          <cell r="R164">
            <v>7.8078962875663144E-3</v>
          </cell>
          <cell r="S164">
            <v>-1.378100391064443E-2</v>
          </cell>
          <cell r="T164">
            <v>-1.8093426903091066E-2</v>
          </cell>
          <cell r="V164">
            <v>-2.2867680958967268E-2</v>
          </cell>
          <cell r="W164">
            <v>-4.2444336657741048E-2</v>
          </cell>
          <cell r="X164">
            <v>-3.2964084981646588E-2</v>
          </cell>
          <cell r="Y164">
            <v>6.4935908258548815E-3</v>
          </cell>
          <cell r="Z164">
            <v>-9.1259496621599392E-2</v>
          </cell>
          <cell r="AA164">
            <v>-3.923538056521781E-2</v>
          </cell>
          <cell r="AB164">
            <v>-7.4226847295798346E-3</v>
          </cell>
          <cell r="AC164">
            <v>-8.1617030960680365E-3</v>
          </cell>
          <cell r="AD164">
            <v>2.5844397353284664E-2</v>
          </cell>
          <cell r="AE164">
            <v>-2.7677392019539785E-2</v>
          </cell>
          <cell r="AF164">
            <v>-5.6089790717051523E-2</v>
          </cell>
          <cell r="AG164">
            <v>-1.1047070124879951E-2</v>
          </cell>
          <cell r="AH164">
            <v>-8.7926416277218193E-3</v>
          </cell>
          <cell r="AI164">
            <v>5.7329268292970144E-2</v>
          </cell>
          <cell r="AJ164">
            <v>-8.1639622217814303E-3</v>
          </cell>
          <cell r="AK164">
            <v>-7.8492542168903893E-3</v>
          </cell>
          <cell r="AL164">
            <v>3.4459147372040935E-2</v>
          </cell>
          <cell r="AM164">
            <v>3.7839852402611021E-2</v>
          </cell>
          <cell r="AN164">
            <v>0.1073412632994778</v>
          </cell>
          <cell r="AO164">
            <v>0.17946040838556865</v>
          </cell>
          <cell r="AP164">
            <v>1.9732017346396343E-2</v>
          </cell>
          <cell r="AQ164">
            <v>7.248798572432115E-2</v>
          </cell>
          <cell r="AR164">
            <v>7.5765098952287196E-2</v>
          </cell>
          <cell r="AS164">
            <v>0.14865733305809764</v>
          </cell>
          <cell r="AT164">
            <v>0.31712224099584968</v>
          </cell>
          <cell r="AU164">
            <v>3.7395911172865753E-2</v>
          </cell>
          <cell r="AV164">
            <v>0.1379894280550461</v>
          </cell>
          <cell r="AW164">
            <v>0.17432322572627715</v>
          </cell>
          <cell r="AX164">
            <v>0.29882370030501026</v>
          </cell>
          <cell r="AY164">
            <v>0.64955180360283049</v>
          </cell>
        </row>
        <row r="166">
          <cell r="A166" t="str">
            <v>Tax Rate</v>
          </cell>
        </row>
        <row r="167">
          <cell r="A167" t="str">
            <v>Share Count</v>
          </cell>
        </row>
        <row r="170">
          <cell r="A170" t="str">
            <v xml:space="preserve">     Stock-based compensation</v>
          </cell>
          <cell r="B170">
            <v>0</v>
          </cell>
          <cell r="C170">
            <v>0</v>
          </cell>
          <cell r="D170">
            <v>0</v>
          </cell>
          <cell r="E170">
            <v>0</v>
          </cell>
          <cell r="F170">
            <v>9.0000000000000011E-2</v>
          </cell>
          <cell r="G170">
            <v>0</v>
          </cell>
          <cell r="H170">
            <v>0</v>
          </cell>
          <cell r="I170">
            <v>0</v>
          </cell>
          <cell r="J170">
            <v>0</v>
          </cell>
          <cell r="K170">
            <v>0</v>
          </cell>
          <cell r="L170">
            <v>0</v>
          </cell>
          <cell r="M170">
            <v>0</v>
          </cell>
          <cell r="N170">
            <v>0</v>
          </cell>
          <cell r="O170">
            <v>0</v>
          </cell>
          <cell r="P170">
            <v>1.3</v>
          </cell>
          <cell r="Q170">
            <v>0.32400000000000001</v>
          </cell>
          <cell r="R170">
            <v>0.41400000000000003</v>
          </cell>
          <cell r="S170">
            <v>0.41700000000000004</v>
          </cell>
          <cell r="T170">
            <v>0.43000000000000005</v>
          </cell>
          <cell r="U170">
            <v>1.585</v>
          </cell>
          <cell r="V170">
            <v>0.51</v>
          </cell>
          <cell r="W170">
            <v>0.71600000000000008</v>
          </cell>
          <cell r="X170">
            <v>1.0409999999999999</v>
          </cell>
          <cell r="Y170">
            <v>1.0803700000000003</v>
          </cell>
          <cell r="Z170">
            <v>3.3473700000000002</v>
          </cell>
          <cell r="AA170">
            <v>2.6720000000000002</v>
          </cell>
          <cell r="AB170">
            <v>3.8659999999999997</v>
          </cell>
          <cell r="AC170">
            <v>4.6849999999999996</v>
          </cell>
          <cell r="AD170">
            <v>8.2569999999999997</v>
          </cell>
          <cell r="AE170">
            <v>19.479999999999997</v>
          </cell>
          <cell r="AF170">
            <v>9.831999999999999</v>
          </cell>
          <cell r="AG170">
            <v>11.956999999999999</v>
          </cell>
          <cell r="AH170">
            <v>12.27755</v>
          </cell>
          <cell r="AI170">
            <v>12.607194999999997</v>
          </cell>
          <cell r="AJ170">
            <v>46.673744999999997</v>
          </cell>
          <cell r="AK170">
            <v>12.352326656249998</v>
          </cell>
          <cell r="AL170">
            <v>12.402393937499998</v>
          </cell>
          <cell r="AM170">
            <v>12.454964582812497</v>
          </cell>
          <cell r="AN170">
            <v>12.510163760390622</v>
          </cell>
          <cell r="AO170">
            <v>49.719848936953113</v>
          </cell>
          <cell r="AP170">
            <v>13.135671948410156</v>
          </cell>
          <cell r="AQ170">
            <v>13.196529041690038</v>
          </cell>
          <cell r="AR170">
            <v>13.260428989633915</v>
          </cell>
          <cell r="AS170">
            <v>13.327523934974986</v>
          </cell>
          <cell r="AT170">
            <v>52.920153914709097</v>
          </cell>
          <cell r="AU170">
            <v>15.465656698789473</v>
          </cell>
          <cell r="AV170" t="str">
            <v>mstag:stockCompensationExcludedFromConsensusGrossOfTax</v>
          </cell>
          <cell r="AW170">
            <v>6</v>
          </cell>
          <cell r="AX170" t="str">
            <v>ISO4217:USD</v>
          </cell>
          <cell r="AY170" t="b">
            <v>0</v>
          </cell>
          <cell r="BA170" t="str">
            <v>mstag:stockCompensationExcludedFromConsensusGrossOfTax</v>
          </cell>
          <cell r="BB170">
            <v>6</v>
          </cell>
          <cell r="BC170" t="str">
            <v>ISO4217:USD</v>
          </cell>
          <cell r="BD170" t="b">
            <v>0</v>
          </cell>
        </row>
      </sheetData>
      <sheetData sheetId="4" refreshError="1"/>
      <sheetData sheetId="5" refreshError="1">
        <row r="1">
          <cell r="A1" t="str">
            <v>Splunk Inc.</v>
          </cell>
        </row>
        <row r="2">
          <cell r="A2" t="str">
            <v>Revenue Breakdown and Metrics</v>
          </cell>
        </row>
        <row r="3">
          <cell r="A3" t="str">
            <v>($ in millions, except EPS)</v>
          </cell>
        </row>
        <row r="4">
          <cell r="B4" t="str">
            <v>2008</v>
          </cell>
          <cell r="G4" t="str">
            <v>2009</v>
          </cell>
          <cell r="L4" t="str">
            <v>2010</v>
          </cell>
          <cell r="Q4" t="str">
            <v>2011</v>
          </cell>
          <cell r="V4" t="str">
            <v>2012</v>
          </cell>
          <cell r="AA4">
            <v>2013</v>
          </cell>
          <cell r="AF4" t="str">
            <v xml:space="preserve">  2014E</v>
          </cell>
          <cell r="AK4" t="str">
            <v xml:space="preserve">  2015E</v>
          </cell>
          <cell r="AP4" t="str">
            <v xml:space="preserve">  2016E</v>
          </cell>
          <cell r="AU4" t="str">
            <v xml:space="preserve">  2017E</v>
          </cell>
        </row>
        <row r="5">
          <cell r="B5" t="str">
            <v>4/07</v>
          </cell>
          <cell r="C5" t="str">
            <v>7/07</v>
          </cell>
          <cell r="D5" t="str">
            <v>10/07</v>
          </cell>
          <cell r="E5" t="str">
            <v>1/08</v>
          </cell>
          <cell r="F5" t="str">
            <v>FY08</v>
          </cell>
          <cell r="G5" t="str">
            <v>4/08</v>
          </cell>
          <cell r="H5" t="str">
            <v>7/08</v>
          </cell>
          <cell r="I5" t="str">
            <v>10/08</v>
          </cell>
          <cell r="J5" t="str">
            <v>1/09</v>
          </cell>
          <cell r="K5" t="str">
            <v>FY09</v>
          </cell>
          <cell r="L5" t="str">
            <v>4/09</v>
          </cell>
          <cell r="M5" t="str">
            <v>7/09</v>
          </cell>
          <cell r="N5" t="str">
            <v>10/09</v>
          </cell>
          <cell r="O5" t="str">
            <v>1/10</v>
          </cell>
          <cell r="P5" t="str">
            <v>FY10</v>
          </cell>
          <cell r="Q5" t="str">
            <v>4/10</v>
          </cell>
          <cell r="R5" t="str">
            <v>7/10</v>
          </cell>
          <cell r="S5" t="str">
            <v>10/10</v>
          </cell>
          <cell r="T5" t="str">
            <v>1/11</v>
          </cell>
          <cell r="U5" t="str">
            <v>FY11</v>
          </cell>
          <cell r="V5" t="str">
            <v>4/11</v>
          </cell>
          <cell r="W5" t="str">
            <v>7/11</v>
          </cell>
          <cell r="X5" t="str">
            <v>10/11</v>
          </cell>
          <cell r="Y5" t="str">
            <v>1/12</v>
          </cell>
          <cell r="Z5" t="str">
            <v>FY12</v>
          </cell>
          <cell r="AA5" t="str">
            <v>4/12</v>
          </cell>
          <cell r="AB5" t="str">
            <v>7/12</v>
          </cell>
          <cell r="AC5" t="str">
            <v>10/12</v>
          </cell>
          <cell r="AD5" t="str">
            <v>1/13</v>
          </cell>
          <cell r="AE5" t="str">
            <v>FY13</v>
          </cell>
          <cell r="AF5" t="str">
            <v>4/13</v>
          </cell>
          <cell r="AG5" t="str">
            <v>7/13</v>
          </cell>
          <cell r="AH5" t="str">
            <v>10/13E</v>
          </cell>
          <cell r="AI5" t="str">
            <v>1/14E</v>
          </cell>
          <cell r="AJ5" t="str">
            <v>FY14E</v>
          </cell>
          <cell r="AK5" t="str">
            <v>4/14E</v>
          </cell>
          <cell r="AL5" t="str">
            <v>7/14E</v>
          </cell>
          <cell r="AM5" t="str">
            <v>10/14E</v>
          </cell>
          <cell r="AN5" t="str">
            <v>1/15E</v>
          </cell>
          <cell r="AO5" t="str">
            <v>FY15E</v>
          </cell>
          <cell r="AP5" t="str">
            <v>4/15E</v>
          </cell>
          <cell r="AQ5" t="str">
            <v>7/15E</v>
          </cell>
          <cell r="AR5" t="str">
            <v>10/15E</v>
          </cell>
          <cell r="AS5" t="str">
            <v>1/16E</v>
          </cell>
          <cell r="AT5" t="str">
            <v>FY16E</v>
          </cell>
          <cell r="AU5" t="str">
            <v>4/16E</v>
          </cell>
          <cell r="AV5" t="str">
            <v>7/16E</v>
          </cell>
          <cell r="AW5" t="str">
            <v>10/16E</v>
          </cell>
          <cell r="AX5" t="str">
            <v>1/17E</v>
          </cell>
          <cell r="AY5" t="str">
            <v>FY17E</v>
          </cell>
        </row>
        <row r="7">
          <cell r="A7" t="str">
            <v>License Forecasting Worksheet</v>
          </cell>
        </row>
        <row r="9">
          <cell r="A9" t="str">
            <v>Sales Productivity</v>
          </cell>
        </row>
        <row r="10">
          <cell r="A10" t="str">
            <v>Quota Carrying Sales (QCS)</v>
          </cell>
          <cell r="L10">
            <v>25</v>
          </cell>
          <cell r="M10">
            <v>26.666666666666664</v>
          </cell>
          <cell r="N10">
            <v>28.333333333333332</v>
          </cell>
          <cell r="O10">
            <v>34.444444444444443</v>
          </cell>
          <cell r="Q10">
            <v>45</v>
          </cell>
          <cell r="R10">
            <v>48</v>
          </cell>
          <cell r="S10">
            <v>51</v>
          </cell>
          <cell r="T10">
            <v>62</v>
          </cell>
          <cell r="V10">
            <v>74</v>
          </cell>
          <cell r="W10">
            <v>83</v>
          </cell>
          <cell r="X10">
            <v>90</v>
          </cell>
          <cell r="Y10">
            <v>94</v>
          </cell>
          <cell r="AA10">
            <v>101</v>
          </cell>
          <cell r="AB10">
            <v>117</v>
          </cell>
          <cell r="AC10">
            <v>144</v>
          </cell>
          <cell r="AD10">
            <v>163</v>
          </cell>
          <cell r="AF10">
            <v>174</v>
          </cell>
          <cell r="AG10">
            <v>189</v>
          </cell>
          <cell r="AH10">
            <v>203.04</v>
          </cell>
          <cell r="AI10">
            <v>215.16</v>
          </cell>
          <cell r="AK10">
            <v>231.42000000000002</v>
          </cell>
          <cell r="AL10">
            <v>245.70000000000002</v>
          </cell>
          <cell r="AM10">
            <v>263.952</v>
          </cell>
          <cell r="AN10">
            <v>277.5564</v>
          </cell>
          <cell r="AP10">
            <v>289.27500000000003</v>
          </cell>
          <cell r="AQ10">
            <v>307.125</v>
          </cell>
          <cell r="AR10">
            <v>329.94</v>
          </cell>
          <cell r="AS10">
            <v>346.94549999999998</v>
          </cell>
          <cell r="AU10">
            <v>352.91550000000001</v>
          </cell>
          <cell r="AV10">
            <v>374.6925</v>
          </cell>
          <cell r="AW10">
            <v>404.43</v>
          </cell>
          <cell r="AX10">
            <v>432.89336250000008</v>
          </cell>
        </row>
        <row r="11">
          <cell r="A11" t="str">
            <v xml:space="preserve">    YoY Growth</v>
          </cell>
          <cell r="V11">
            <v>0.64444444444444438</v>
          </cell>
          <cell r="W11">
            <v>0.72916666666666674</v>
          </cell>
          <cell r="X11">
            <v>0.76470588235294112</v>
          </cell>
          <cell r="Y11">
            <v>0.5161290322580645</v>
          </cell>
          <cell r="AA11">
            <v>0.36486486486486491</v>
          </cell>
          <cell r="AB11">
            <v>0.40963855421686746</v>
          </cell>
          <cell r="AC11">
            <v>0.60000000000000009</v>
          </cell>
          <cell r="AD11">
            <v>0.73404255319148937</v>
          </cell>
          <cell r="AF11">
            <v>0.72277227722772275</v>
          </cell>
          <cell r="AG11">
            <v>0.61538461538461542</v>
          </cell>
          <cell r="AH11">
            <v>0.41</v>
          </cell>
          <cell r="AI11">
            <v>0.32</v>
          </cell>
          <cell r="AK11">
            <v>0.33</v>
          </cell>
          <cell r="AL11">
            <v>0.3</v>
          </cell>
          <cell r="AM11">
            <v>0.3</v>
          </cell>
          <cell r="AN11">
            <v>0.28999999999999998</v>
          </cell>
          <cell r="AP11">
            <v>0.25</v>
          </cell>
          <cell r="AQ11">
            <v>0.25</v>
          </cell>
          <cell r="AR11">
            <v>0.25</v>
          </cell>
          <cell r="AS11">
            <v>0.25</v>
          </cell>
          <cell r="AU11">
            <v>0.22</v>
          </cell>
          <cell r="AV11">
            <v>0.22</v>
          </cell>
          <cell r="AW11">
            <v>0.22</v>
          </cell>
          <cell r="AX11">
            <v>0.22</v>
          </cell>
        </row>
        <row r="12">
          <cell r="A12" t="str">
            <v xml:space="preserve">    QoQ Change</v>
          </cell>
          <cell r="R12">
            <v>3</v>
          </cell>
          <cell r="S12">
            <v>3</v>
          </cell>
          <cell r="T12">
            <v>11</v>
          </cell>
          <cell r="V12">
            <v>12</v>
          </cell>
          <cell r="W12">
            <v>9</v>
          </cell>
          <cell r="X12">
            <v>7</v>
          </cell>
          <cell r="Y12">
            <v>4</v>
          </cell>
          <cell r="AA12">
            <v>7</v>
          </cell>
          <cell r="AB12">
            <v>16</v>
          </cell>
          <cell r="AC12">
            <v>27</v>
          </cell>
          <cell r="AD12">
            <v>19</v>
          </cell>
          <cell r="AF12">
            <v>11</v>
          </cell>
          <cell r="AG12">
            <v>15</v>
          </cell>
          <cell r="AH12">
            <v>14.039999999999992</v>
          </cell>
          <cell r="AI12">
            <v>12.120000000000005</v>
          </cell>
          <cell r="AK12">
            <v>16.260000000000019</v>
          </cell>
          <cell r="AL12">
            <v>14.280000000000001</v>
          </cell>
          <cell r="AM12">
            <v>18.251999999999981</v>
          </cell>
          <cell r="AN12">
            <v>13.604399999999998</v>
          </cell>
          <cell r="AP12">
            <v>11.718600000000038</v>
          </cell>
          <cell r="AQ12">
            <v>17.849999999999966</v>
          </cell>
          <cell r="AR12">
            <v>22.814999999999998</v>
          </cell>
          <cell r="AS12">
            <v>17.005499999999984</v>
          </cell>
          <cell r="AU12">
            <v>-1.9151250000000459</v>
          </cell>
          <cell r="AV12">
            <v>21.776999999999987</v>
          </cell>
          <cell r="AW12">
            <v>29.737500000000011</v>
          </cell>
          <cell r="AX12">
            <v>28.463362500000073</v>
          </cell>
        </row>
        <row r="13">
          <cell r="A13" t="str">
            <v xml:space="preserve">    QoQ Growth</v>
          </cell>
          <cell r="R13">
            <v>6.6666666666666652E-2</v>
          </cell>
          <cell r="S13">
            <v>6.25E-2</v>
          </cell>
          <cell r="T13">
            <v>0.21568627450980382</v>
          </cell>
          <cell r="V13">
            <v>0.19354838709677424</v>
          </cell>
          <cell r="W13">
            <v>0.12162162162162171</v>
          </cell>
          <cell r="X13">
            <v>8.43373493975903E-2</v>
          </cell>
          <cell r="Y13">
            <v>4.4444444444444509E-2</v>
          </cell>
          <cell r="AA13">
            <v>7.4468085106383031E-2</v>
          </cell>
          <cell r="AB13">
            <v>0.15841584158415833</v>
          </cell>
          <cell r="AC13">
            <v>0.23076923076923084</v>
          </cell>
          <cell r="AD13">
            <v>0.13194444444444442</v>
          </cell>
          <cell r="AF13">
            <v>6.7484662576687171E-2</v>
          </cell>
          <cell r="AG13">
            <v>8.6206896551724199E-2</v>
          </cell>
          <cell r="AH13">
            <v>7.4285714285714288E-2</v>
          </cell>
          <cell r="AI13">
            <v>5.9692671394799168E-2</v>
          </cell>
          <cell r="AK13">
            <v>7.5571667596207481E-2</v>
          </cell>
          <cell r="AL13">
            <v>6.1705989110707904E-2</v>
          </cell>
          <cell r="AM13">
            <v>7.4285714285714288E-2</v>
          </cell>
          <cell r="AN13">
            <v>5.1541189307146684E-2</v>
          </cell>
          <cell r="AP13">
            <v>4.2220608135860038E-2</v>
          </cell>
          <cell r="AQ13">
            <v>6.1705989110707682E-2</v>
          </cell>
          <cell r="AR13">
            <v>7.4285714285714288E-2</v>
          </cell>
          <cell r="AS13">
            <v>5.1541189307146684E-2</v>
          </cell>
          <cell r="AU13">
            <v>-5.397293426969707E-3</v>
          </cell>
          <cell r="AV13">
            <v>6.1705989110707682E-2</v>
          </cell>
          <cell r="AW13">
            <v>7.9365079365079305E-2</v>
          </cell>
          <cell r="AX13">
            <v>7.0378959276018227E-2</v>
          </cell>
        </row>
        <row r="14">
          <cell r="A14" t="str">
            <v xml:space="preserve">    S&amp;M / QCS</v>
          </cell>
          <cell r="Q14">
            <v>0.16773333333333332</v>
          </cell>
          <cell r="R14">
            <v>0.17739583333333334</v>
          </cell>
          <cell r="S14">
            <v>0.18131372549019609</v>
          </cell>
          <cell r="T14">
            <v>0.22748387096774192</v>
          </cell>
          <cell r="U14">
            <v>0.7539267631246046</v>
          </cell>
          <cell r="V14">
            <v>0.17012162162162162</v>
          </cell>
          <cell r="W14">
            <v>0.19451807228915663</v>
          </cell>
          <cell r="X14">
            <v>0.20859999999999998</v>
          </cell>
          <cell r="Y14">
            <v>0.27659574468085107</v>
          </cell>
          <cell r="Z14">
            <v>0.84983543859162936</v>
          </cell>
          <cell r="AA14">
            <v>0.23077227722772278</v>
          </cell>
          <cell r="AB14">
            <v>0.22423076923076923</v>
          </cell>
          <cell r="AC14">
            <v>0.21356944444444445</v>
          </cell>
          <cell r="AD14">
            <v>0.22239263803680981</v>
          </cell>
          <cell r="AE14">
            <v>0.89096512893974622</v>
          </cell>
          <cell r="AF14">
            <v>0.21099425287356322</v>
          </cell>
          <cell r="AG14">
            <v>0.20721693121693122</v>
          </cell>
          <cell r="AH14">
            <v>0.20068694034412365</v>
          </cell>
          <cell r="AI14">
            <v>0.20871116124594705</v>
          </cell>
          <cell r="AJ14">
            <v>0.82760928568056513</v>
          </cell>
          <cell r="AK14">
            <v>0.19290195642307273</v>
          </cell>
          <cell r="AL14">
            <v>0.20437445396699</v>
          </cell>
          <cell r="AM14">
            <v>0.20365895245744309</v>
          </cell>
          <cell r="AN14">
            <v>0.21491814445857521</v>
          </cell>
          <cell r="AO14">
            <v>0.81585350730608108</v>
          </cell>
          <cell r="AP14">
            <v>0.20586736490696517</v>
          </cell>
          <cell r="AQ14">
            <v>0.20272582179215989</v>
          </cell>
          <cell r="AR14">
            <v>0.19342875556577166</v>
          </cell>
          <cell r="AS14">
            <v>0.20176615011834281</v>
          </cell>
          <cell r="AT14">
            <v>0.80378809238323945</v>
          </cell>
          <cell r="AU14">
            <v>0.22543049222819814</v>
          </cell>
          <cell r="AV14">
            <v>0.21292445630377221</v>
          </cell>
          <cell r="AW14">
            <v>0.22286380730116909</v>
          </cell>
          <cell r="AX14">
            <v>0.23133955891224503</v>
          </cell>
          <cell r="AY14">
            <v>0.89255831474538438</v>
          </cell>
        </row>
        <row r="15">
          <cell r="A15" t="str">
            <v>License Billings per QCS</v>
          </cell>
          <cell r="L15">
            <v>0.21367884856070088</v>
          </cell>
          <cell r="M15">
            <v>0.2574818574168799</v>
          </cell>
          <cell r="N15">
            <v>0.2625199240986717</v>
          </cell>
          <cell r="O15">
            <v>0.26145591154575976</v>
          </cell>
          <cell r="P15">
            <v>0.99513654162201215</v>
          </cell>
          <cell r="Q15">
            <v>0.21634340450177428</v>
          </cell>
          <cell r="R15">
            <v>0.28862041793504317</v>
          </cell>
          <cell r="S15">
            <v>0.24517324989379755</v>
          </cell>
          <cell r="T15">
            <v>0.34778627064771761</v>
          </cell>
          <cell r="U15">
            <v>1.0979233429783326</v>
          </cell>
          <cell r="V15">
            <v>0.21500253805987082</v>
          </cell>
          <cell r="W15">
            <v>0.25764097350705956</v>
          </cell>
          <cell r="X15">
            <v>0.27506802608653125</v>
          </cell>
          <cell r="Y15">
            <v>0.45477351782433817</v>
          </cell>
          <cell r="Z15">
            <v>1.2024850554777999</v>
          </cell>
          <cell r="AA15">
            <v>0.27788298244023746</v>
          </cell>
          <cell r="AB15">
            <v>0.30663910360355612</v>
          </cell>
          <cell r="AC15">
            <v>0.25225872866128135</v>
          </cell>
          <cell r="AD15">
            <v>0.3771171221153562</v>
          </cell>
          <cell r="AE15">
            <v>1.2138979368204312</v>
          </cell>
          <cell r="AF15">
            <v>0.23421967106575686</v>
          </cell>
          <cell r="AG15">
            <v>0.26619659437399101</v>
          </cell>
          <cell r="AH15">
            <v>0.25790505367753508</v>
          </cell>
          <cell r="AI15">
            <v>0.37555801449097487</v>
          </cell>
          <cell r="AJ15">
            <v>1.133879333608258</v>
          </cell>
          <cell r="AK15">
            <v>0.23733846505276068</v>
          </cell>
          <cell r="AL15">
            <v>0.26766019464765278</v>
          </cell>
          <cell r="AM15">
            <v>0.24775830837659996</v>
          </cell>
          <cell r="AN15">
            <v>0.3686955895869094</v>
          </cell>
          <cell r="AO15">
            <v>1.1214525576639227</v>
          </cell>
          <cell r="AP15">
            <v>0.21510316210173472</v>
          </cell>
          <cell r="AQ15">
            <v>0.2492402687519914</v>
          </cell>
          <cell r="AR15">
            <v>0.22774730136037605</v>
          </cell>
          <cell r="AS15">
            <v>0.3315414966976552</v>
          </cell>
          <cell r="AT15">
            <v>1.0236322289117572</v>
          </cell>
          <cell r="AU15">
            <v>0.21950550475662367</v>
          </cell>
          <cell r="AV15">
            <v>0.25933155904088318</v>
          </cell>
          <cell r="AW15">
            <v>0.30094449710857485</v>
          </cell>
          <cell r="AX15">
            <v>0.38407406614953526</v>
          </cell>
          <cell r="AY15">
            <v>1.1638556270556168</v>
          </cell>
        </row>
        <row r="16">
          <cell r="A16" t="str">
            <v xml:space="preserve">   YoY Growth</v>
          </cell>
          <cell r="U16">
            <v>0.10328914380812937</v>
          </cell>
          <cell r="V16">
            <v>-6.197861427721274E-3</v>
          </cell>
          <cell r="W16">
            <v>-0.10733628843596177</v>
          </cell>
          <cell r="X16">
            <v>0.12193327047580982</v>
          </cell>
          <cell r="Y16">
            <v>0.30762354988127449</v>
          </cell>
          <cell r="Z16">
            <v>9.5235895263710457E-2</v>
          </cell>
          <cell r="AA16">
            <v>0.29246373065073583</v>
          </cell>
          <cell r="AB16">
            <v>0.19017988260766283</v>
          </cell>
          <cell r="AC16">
            <v>-8.2922387417265764E-2</v>
          </cell>
          <cell r="AD16">
            <v>-0.17075839437725948</v>
          </cell>
          <cell r="AE16">
            <v>9.4910795694640449E-3</v>
          </cell>
          <cell r="AF16">
            <v>-0.15712841063907534</v>
          </cell>
          <cell r="AG16">
            <v>-0.13188960166623731</v>
          </cell>
          <cell r="AH16">
            <v>2.2383070929669513E-2</v>
          </cell>
          <cell r="AI16">
            <v>-4.1342795989635084E-3</v>
          </cell>
          <cell r="AJ16">
            <v>-6.5918724124176653E-2</v>
          </cell>
          <cell r="AK16">
            <v>1.3315679134944247E-2</v>
          </cell>
          <cell r="AL16">
            <v>5.4981930820854341E-3</v>
          </cell>
          <cell r="AM16">
            <v>-3.9342948717948856E-2</v>
          </cell>
          <cell r="AN16">
            <v>-1.8272609395293293E-2</v>
          </cell>
          <cell r="AO16">
            <v>-1.0959522390085796E-2</v>
          </cell>
          <cell r="AP16">
            <v>-9.368604851338791E-2</v>
          </cell>
          <cell r="AQ16">
            <v>-6.8818323620773447E-2</v>
          </cell>
          <cell r="AR16">
            <v>-8.0768258176055152E-2</v>
          </cell>
          <cell r="AS16">
            <v>-0.10077173131059702</v>
          </cell>
          <cell r="AT16">
            <v>-8.7226452945930455E-2</v>
          </cell>
          <cell r="AU16">
            <v>2.1674398045749443E-2</v>
          </cell>
          <cell r="AV16">
            <v>2.0626903223506243E-2</v>
          </cell>
          <cell r="AW16">
            <v>1.5919868528138759E-2</v>
          </cell>
          <cell r="AX16">
            <v>-1.8275150525726147E-4</v>
          </cell>
          <cell r="AY16">
            <v>1.2654121188180323E-2</v>
          </cell>
        </row>
        <row r="18">
          <cell r="A18" t="str">
            <v>Attrition Rate</v>
          </cell>
          <cell r="M18">
            <v>0.02</v>
          </cell>
          <cell r="N18">
            <v>0.02</v>
          </cell>
          <cell r="O18">
            <v>0.02</v>
          </cell>
          <cell r="P18">
            <v>0.12</v>
          </cell>
          <cell r="Q18">
            <v>0.02</v>
          </cell>
          <cell r="R18">
            <v>0.02</v>
          </cell>
          <cell r="S18">
            <v>0.01</v>
          </cell>
          <cell r="T18">
            <v>0.01</v>
          </cell>
          <cell r="U18">
            <v>6.6666666666666666E-2</v>
          </cell>
          <cell r="V18">
            <v>0.05</v>
          </cell>
          <cell r="W18">
            <v>0.02</v>
          </cell>
          <cell r="X18">
            <v>0.01</v>
          </cell>
          <cell r="Y18">
            <v>0</v>
          </cell>
          <cell r="Z18">
            <v>6.7567567567567571E-2</v>
          </cell>
          <cell r="AA18">
            <v>0.05</v>
          </cell>
          <cell r="AB18">
            <v>0.02</v>
          </cell>
          <cell r="AC18">
            <v>0.01</v>
          </cell>
          <cell r="AD18">
            <v>0</v>
          </cell>
          <cell r="AE18">
            <v>7.9207920792079209E-2</v>
          </cell>
          <cell r="AF18">
            <v>0.05</v>
          </cell>
          <cell r="AG18">
            <v>0.02</v>
          </cell>
          <cell r="AH18">
            <v>0.01</v>
          </cell>
          <cell r="AI18">
            <v>0</v>
          </cell>
          <cell r="AJ18">
            <v>7.4712643678160925E-2</v>
          </cell>
          <cell r="AK18">
            <v>0.05</v>
          </cell>
          <cell r="AL18">
            <v>0.02</v>
          </cell>
          <cell r="AM18">
            <v>0.01</v>
          </cell>
          <cell r="AN18">
            <v>0</v>
          </cell>
          <cell r="AO18">
            <v>7.7780658542908998E-2</v>
          </cell>
          <cell r="AP18">
            <v>0.05</v>
          </cell>
          <cell r="AQ18">
            <v>0.02</v>
          </cell>
          <cell r="AR18">
            <v>0.01</v>
          </cell>
          <cell r="AS18">
            <v>0</v>
          </cell>
          <cell r="AT18">
            <v>7.9509117621640299E-2</v>
          </cell>
          <cell r="AU18">
            <v>0.05</v>
          </cell>
          <cell r="AV18">
            <v>0.02</v>
          </cell>
          <cell r="AW18">
            <v>0.01</v>
          </cell>
          <cell r="AX18">
            <v>0</v>
          </cell>
          <cell r="AY18">
            <v>8.2172644726570529E-2</v>
          </cell>
        </row>
        <row r="19">
          <cell r="A19" t="str">
            <v>Lost Quota Carrying Reps</v>
          </cell>
          <cell r="M19">
            <v>1</v>
          </cell>
          <cell r="N19">
            <v>1</v>
          </cell>
          <cell r="O19">
            <v>1</v>
          </cell>
          <cell r="P19">
            <v>3</v>
          </cell>
          <cell r="Q19">
            <v>1</v>
          </cell>
          <cell r="R19">
            <v>1</v>
          </cell>
          <cell r="S19">
            <v>0</v>
          </cell>
          <cell r="T19">
            <v>1</v>
          </cell>
          <cell r="U19">
            <v>3</v>
          </cell>
          <cell r="V19">
            <v>3</v>
          </cell>
          <cell r="W19">
            <v>1</v>
          </cell>
          <cell r="X19">
            <v>1</v>
          </cell>
          <cell r="Y19">
            <v>0</v>
          </cell>
          <cell r="Z19">
            <v>5</v>
          </cell>
          <cell r="AA19">
            <v>5</v>
          </cell>
          <cell r="AB19">
            <v>2</v>
          </cell>
          <cell r="AC19">
            <v>1</v>
          </cell>
          <cell r="AD19">
            <v>0</v>
          </cell>
          <cell r="AE19">
            <v>8</v>
          </cell>
          <cell r="AF19">
            <v>8</v>
          </cell>
          <cell r="AG19">
            <v>3</v>
          </cell>
          <cell r="AH19">
            <v>2</v>
          </cell>
          <cell r="AI19">
            <v>0</v>
          </cell>
          <cell r="AJ19">
            <v>13</v>
          </cell>
          <cell r="AK19">
            <v>11</v>
          </cell>
          <cell r="AL19">
            <v>5</v>
          </cell>
          <cell r="AM19">
            <v>2</v>
          </cell>
          <cell r="AN19">
            <v>0</v>
          </cell>
          <cell r="AO19">
            <v>18</v>
          </cell>
          <cell r="AP19">
            <v>14</v>
          </cell>
          <cell r="AQ19">
            <v>6</v>
          </cell>
          <cell r="AR19">
            <v>3</v>
          </cell>
          <cell r="AS19">
            <v>0</v>
          </cell>
          <cell r="AT19">
            <v>23</v>
          </cell>
          <cell r="AU19">
            <v>18</v>
          </cell>
          <cell r="AV19">
            <v>7</v>
          </cell>
          <cell r="AW19">
            <v>4</v>
          </cell>
          <cell r="AX19">
            <v>0</v>
          </cell>
          <cell r="AY19">
            <v>29</v>
          </cell>
        </row>
        <row r="21">
          <cell r="A21" t="str">
            <v>Productivity Ramp</v>
          </cell>
        </row>
        <row r="22">
          <cell r="A22" t="str">
            <v>1Q = 0%</v>
          </cell>
          <cell r="B22">
            <v>0</v>
          </cell>
          <cell r="Q22">
            <v>11.555555555555557</v>
          </cell>
          <cell r="R22">
            <v>4</v>
          </cell>
          <cell r="S22">
            <v>3</v>
          </cell>
          <cell r="T22">
            <v>12</v>
          </cell>
          <cell r="V22">
            <v>15</v>
          </cell>
          <cell r="W22">
            <v>10</v>
          </cell>
          <cell r="X22">
            <v>8</v>
          </cell>
          <cell r="Y22">
            <v>4</v>
          </cell>
          <cell r="AA22">
            <v>12</v>
          </cell>
          <cell r="AB22">
            <v>18</v>
          </cell>
          <cell r="AC22">
            <v>28</v>
          </cell>
          <cell r="AD22">
            <v>19</v>
          </cell>
          <cell r="AF22">
            <v>19</v>
          </cell>
          <cell r="AG22">
            <v>18</v>
          </cell>
          <cell r="AH22">
            <v>16.039999999999992</v>
          </cell>
          <cell r="AI22">
            <v>12.120000000000005</v>
          </cell>
          <cell r="AK22">
            <v>27.260000000000019</v>
          </cell>
          <cell r="AL22">
            <v>19.28</v>
          </cell>
          <cell r="AM22">
            <v>20.251999999999981</v>
          </cell>
          <cell r="AN22">
            <v>13.604399999999998</v>
          </cell>
          <cell r="AP22">
            <v>25.718600000000038</v>
          </cell>
          <cell r="AQ22">
            <v>23.849999999999966</v>
          </cell>
          <cell r="AR22">
            <v>25.814999999999998</v>
          </cell>
          <cell r="AS22">
            <v>17.005499999999984</v>
          </cell>
          <cell r="AU22">
            <v>16.084874999999954</v>
          </cell>
          <cell r="AV22">
            <v>28.776999999999987</v>
          </cell>
          <cell r="AW22">
            <v>33.737500000000011</v>
          </cell>
          <cell r="AX22">
            <v>28.463362500000073</v>
          </cell>
        </row>
        <row r="23">
          <cell r="A23" t="str">
            <v>2Q = 25%</v>
          </cell>
          <cell r="B23">
            <v>0.15</v>
          </cell>
          <cell r="Q23">
            <v>7.1111111111111107</v>
          </cell>
          <cell r="R23">
            <v>11.555555555555557</v>
          </cell>
          <cell r="S23">
            <v>4</v>
          </cell>
          <cell r="T23">
            <v>3</v>
          </cell>
          <cell r="V23">
            <v>12</v>
          </cell>
          <cell r="W23">
            <v>15</v>
          </cell>
          <cell r="X23">
            <v>10</v>
          </cell>
          <cell r="Y23">
            <v>8</v>
          </cell>
          <cell r="AA23">
            <v>4</v>
          </cell>
          <cell r="AB23">
            <v>12</v>
          </cell>
          <cell r="AC23">
            <v>18</v>
          </cell>
          <cell r="AD23">
            <v>28</v>
          </cell>
          <cell r="AF23">
            <v>19</v>
          </cell>
          <cell r="AG23">
            <v>19</v>
          </cell>
          <cell r="AH23">
            <v>18</v>
          </cell>
          <cell r="AI23">
            <v>16.039999999999992</v>
          </cell>
          <cell r="AK23">
            <v>12.120000000000005</v>
          </cell>
          <cell r="AL23">
            <v>27.260000000000019</v>
          </cell>
          <cell r="AM23">
            <v>19.28</v>
          </cell>
          <cell r="AN23">
            <v>20.251999999999981</v>
          </cell>
          <cell r="AP23">
            <v>13.604399999999998</v>
          </cell>
          <cell r="AQ23">
            <v>25.718600000000038</v>
          </cell>
          <cell r="AR23">
            <v>23.849999999999966</v>
          </cell>
          <cell r="AS23">
            <v>25.814999999999998</v>
          </cell>
          <cell r="AU23">
            <v>23.330625000000055</v>
          </cell>
          <cell r="AV23">
            <v>16.084874999999954</v>
          </cell>
          <cell r="AW23">
            <v>28.776999999999987</v>
          </cell>
          <cell r="AX23">
            <v>33.737500000000011</v>
          </cell>
        </row>
        <row r="24">
          <cell r="A24" t="str">
            <v>3Q = 50%</v>
          </cell>
          <cell r="B24">
            <v>0.3</v>
          </cell>
          <cell r="Q24">
            <v>2.6666666666666679</v>
          </cell>
          <cell r="R24">
            <v>7.1111111111111107</v>
          </cell>
          <cell r="S24">
            <v>11.555555555555557</v>
          </cell>
          <cell r="T24">
            <v>4</v>
          </cell>
          <cell r="V24">
            <v>3</v>
          </cell>
          <cell r="W24">
            <v>12</v>
          </cell>
          <cell r="X24">
            <v>15</v>
          </cell>
          <cell r="Y24">
            <v>10</v>
          </cell>
          <cell r="AA24">
            <v>8</v>
          </cell>
          <cell r="AB24">
            <v>4</v>
          </cell>
          <cell r="AC24">
            <v>12</v>
          </cell>
          <cell r="AD24">
            <v>18</v>
          </cell>
          <cell r="AF24">
            <v>28</v>
          </cell>
          <cell r="AG24">
            <v>19</v>
          </cell>
          <cell r="AH24">
            <v>19</v>
          </cell>
          <cell r="AI24">
            <v>18</v>
          </cell>
          <cell r="AK24">
            <v>16.039999999999992</v>
          </cell>
          <cell r="AL24">
            <v>12.120000000000005</v>
          </cell>
          <cell r="AM24">
            <v>27.260000000000019</v>
          </cell>
          <cell r="AN24">
            <v>19.28</v>
          </cell>
          <cell r="AP24">
            <v>20.251999999999981</v>
          </cell>
          <cell r="AQ24">
            <v>13.604399999999998</v>
          </cell>
          <cell r="AR24">
            <v>25.718600000000038</v>
          </cell>
          <cell r="AS24">
            <v>23.849999999999966</v>
          </cell>
          <cell r="AU24">
            <v>27.375</v>
          </cell>
          <cell r="AV24">
            <v>23.330625000000055</v>
          </cell>
          <cell r="AW24">
            <v>16.084874999999954</v>
          </cell>
          <cell r="AX24">
            <v>28.776999999999987</v>
          </cell>
        </row>
        <row r="25">
          <cell r="A25" t="str">
            <v>4Q = 100%</v>
          </cell>
          <cell r="B25">
            <v>1</v>
          </cell>
          <cell r="Q25">
            <v>23.666666666666664</v>
          </cell>
          <cell r="R25">
            <v>25.333333333333332</v>
          </cell>
          <cell r="S25">
            <v>32.444444444444443</v>
          </cell>
          <cell r="T25">
            <v>43</v>
          </cell>
          <cell r="V25">
            <v>44</v>
          </cell>
          <cell r="W25">
            <v>46</v>
          </cell>
          <cell r="X25">
            <v>57</v>
          </cell>
          <cell r="Y25">
            <v>72</v>
          </cell>
          <cell r="AA25">
            <v>77</v>
          </cell>
          <cell r="AB25">
            <v>83</v>
          </cell>
          <cell r="AC25">
            <v>86</v>
          </cell>
          <cell r="AD25">
            <v>98</v>
          </cell>
          <cell r="AF25">
            <v>108</v>
          </cell>
          <cell r="AG25">
            <v>133</v>
          </cell>
          <cell r="AH25">
            <v>150</v>
          </cell>
          <cell r="AI25">
            <v>169</v>
          </cell>
          <cell r="AK25">
            <v>176</v>
          </cell>
          <cell r="AL25">
            <v>187.04</v>
          </cell>
          <cell r="AM25">
            <v>197.16</v>
          </cell>
          <cell r="AN25">
            <v>224.42000000000002</v>
          </cell>
          <cell r="AP25">
            <v>229.70000000000002</v>
          </cell>
          <cell r="AQ25">
            <v>243.952</v>
          </cell>
          <cell r="AR25">
            <v>254.5564</v>
          </cell>
          <cell r="AS25">
            <v>280.27500000000003</v>
          </cell>
          <cell r="AU25">
            <v>286.125</v>
          </cell>
          <cell r="AV25">
            <v>306.5</v>
          </cell>
          <cell r="AW25">
            <v>325.83062500000005</v>
          </cell>
          <cell r="AX25">
            <v>341.91550000000001</v>
          </cell>
        </row>
        <row r="26">
          <cell r="A26" t="str">
            <v>Productive Rep Equivalent (PRE)</v>
          </cell>
          <cell r="Q26">
            <v>25.533333333333331</v>
          </cell>
          <cell r="R26">
            <v>29.2</v>
          </cell>
          <cell r="S26">
            <v>36.511111111111113</v>
          </cell>
          <cell r="T26">
            <v>44.650000000000006</v>
          </cell>
          <cell r="U26">
            <v>33.973611111111111</v>
          </cell>
          <cell r="V26">
            <v>46.699999999999996</v>
          </cell>
          <cell r="W26">
            <v>51.85</v>
          </cell>
          <cell r="X26">
            <v>63</v>
          </cell>
          <cell r="Y26">
            <v>76.2</v>
          </cell>
          <cell r="Z26">
            <v>59.4375</v>
          </cell>
          <cell r="AA26">
            <v>80</v>
          </cell>
          <cell r="AB26">
            <v>86</v>
          </cell>
          <cell r="AC26">
            <v>92.3</v>
          </cell>
          <cell r="AD26">
            <v>107.60000000000001</v>
          </cell>
          <cell r="AE26">
            <v>91.475000000000009</v>
          </cell>
          <cell r="AF26">
            <v>119.25</v>
          </cell>
          <cell r="AG26">
            <v>141.54999999999998</v>
          </cell>
          <cell r="AH26">
            <v>158.39999999999998</v>
          </cell>
          <cell r="AI26">
            <v>176.80600000000001</v>
          </cell>
          <cell r="AJ26">
            <v>149.00149999999999</v>
          </cell>
          <cell r="AK26">
            <v>182.63000000000002</v>
          </cell>
          <cell r="AL26">
            <v>194.76499999999999</v>
          </cell>
          <cell r="AM26">
            <v>208.23</v>
          </cell>
          <cell r="AN26">
            <v>233.24180000000001</v>
          </cell>
          <cell r="AO26">
            <v>204.7167</v>
          </cell>
          <cell r="AP26">
            <v>237.81626</v>
          </cell>
          <cell r="AQ26">
            <v>251.89111</v>
          </cell>
          <cell r="AR26">
            <v>265.84947999999997</v>
          </cell>
          <cell r="AS26">
            <v>291.30225000000002</v>
          </cell>
          <cell r="AT26">
            <v>261.71477499999997</v>
          </cell>
          <cell r="AU26">
            <v>297.83709375000001</v>
          </cell>
          <cell r="AV26">
            <v>315.91191874999998</v>
          </cell>
          <cell r="AW26">
            <v>334.97263750000002</v>
          </cell>
          <cell r="AX26">
            <v>355.60922500000004</v>
          </cell>
          <cell r="AY26">
            <v>326.08271875000003</v>
          </cell>
        </row>
        <row r="27">
          <cell r="A27" t="str">
            <v xml:space="preserve">    YoY Growth</v>
          </cell>
          <cell r="V27">
            <v>0.82898172323759778</v>
          </cell>
          <cell r="W27">
            <v>0.77568493150684947</v>
          </cell>
          <cell r="X27">
            <v>0.72550213024954346</v>
          </cell>
          <cell r="Y27">
            <v>0.7066069428891375</v>
          </cell>
          <cell r="AA27">
            <v>0.71306209850107072</v>
          </cell>
          <cell r="AB27">
            <v>0.65863066538090642</v>
          </cell>
          <cell r="AC27">
            <v>0.46507936507936498</v>
          </cell>
          <cell r="AD27">
            <v>0.4120734908136483</v>
          </cell>
          <cell r="AF27">
            <v>0.49062500000000009</v>
          </cell>
          <cell r="AG27">
            <v>0.64593023255813931</v>
          </cell>
          <cell r="AH27">
            <v>0.71614301191765972</v>
          </cell>
          <cell r="AI27">
            <v>0.64317843866171009</v>
          </cell>
          <cell r="AK27">
            <v>0.53148846960167728</v>
          </cell>
          <cell r="AL27">
            <v>0.37594489579653834</v>
          </cell>
          <cell r="AM27">
            <v>0.31458333333333344</v>
          </cell>
          <cell r="AN27">
            <v>0.31919618112507497</v>
          </cell>
          <cell r="AO27">
            <v>0.38347731275685648</v>
          </cell>
          <cell r="AP27">
            <v>0.30217521765317845</v>
          </cell>
          <cell r="AQ27">
            <v>0.29330788386003648</v>
          </cell>
          <cell r="AR27">
            <v>0.27671075253325639</v>
          </cell>
          <cell r="AS27">
            <v>0.24892815095750409</v>
          </cell>
          <cell r="AU27">
            <v>0.24644276561581435</v>
          </cell>
          <cell r="AV27">
            <v>0.24516482193267786</v>
          </cell>
          <cell r="AW27">
            <v>0.23942223960432929</v>
          </cell>
          <cell r="AX27">
            <v>0.21977704316358615</v>
          </cell>
        </row>
        <row r="28">
          <cell r="A28" t="str">
            <v>License Billings per PRE</v>
          </cell>
          <cell r="Q28">
            <v>0.38128406798615572</v>
          </cell>
          <cell r="R28">
            <v>0.47444452263294773</v>
          </cell>
          <cell r="S28">
            <v>0.34246659069157964</v>
          </cell>
          <cell r="T28">
            <v>0.4829283041468867</v>
          </cell>
          <cell r="U28">
            <v>1.6970765221171227</v>
          </cell>
          <cell r="V28">
            <v>0.34068924660450622</v>
          </cell>
          <cell r="W28">
            <v>0.41242431631795451</v>
          </cell>
          <cell r="X28">
            <v>0.39295432298075894</v>
          </cell>
          <cell r="Y28">
            <v>0.56100670177805489</v>
          </cell>
          <cell r="Z28">
            <v>1.7631835396978672</v>
          </cell>
          <cell r="AA28">
            <v>0.35082726533079978</v>
          </cell>
          <cell r="AB28">
            <v>0.41717180373972168</v>
          </cell>
          <cell r="AC28">
            <v>0.39355641307935552</v>
          </cell>
          <cell r="AD28">
            <v>0.57128337272121799</v>
          </cell>
          <cell r="AE28">
            <v>1.7681148311572297</v>
          </cell>
          <cell r="AF28">
            <v>0.3417544885990918</v>
          </cell>
          <cell r="AG28">
            <v>0.35543028143189193</v>
          </cell>
          <cell r="AH28">
            <v>0.33058738698665863</v>
          </cell>
          <cell r="AI28">
            <v>0.45702669817697439</v>
          </cell>
          <cell r="AJ28">
            <v>1.5049209813236168</v>
          </cell>
          <cell r="AK28">
            <v>0.30074394996720077</v>
          </cell>
          <cell r="AL28">
            <v>0.33765876736029732</v>
          </cell>
          <cell r="AM28">
            <v>0.31405801763732566</v>
          </cell>
          <cell r="AN28">
            <v>0.43874563024989538</v>
          </cell>
          <cell r="AO28">
            <v>1.408869422776347</v>
          </cell>
          <cell r="AP28">
            <v>0.26164723647146465</v>
          </cell>
          <cell r="AQ28">
            <v>0.30389289062426761</v>
          </cell>
          <cell r="AR28">
            <v>0.28265221587359313</v>
          </cell>
          <cell r="AS28">
            <v>0.39487106722490584</v>
          </cell>
          <cell r="AT28">
            <v>1.2568708041446781</v>
          </cell>
          <cell r="AU28">
            <v>0.26009821002672279</v>
          </cell>
          <cell r="AV28">
            <v>0.30758443863215634</v>
          </cell>
          <cell r="AW28">
            <v>0.3633460448411131</v>
          </cell>
          <cell r="AX28">
            <v>0.46754443432821452</v>
          </cell>
          <cell r="AY28">
            <v>1.4186908887210172</v>
          </cell>
        </row>
        <row r="29">
          <cell r="V29">
            <v>-0.10646870611735992</v>
          </cell>
          <cell r="W29">
            <v>-0.13072172478841093</v>
          </cell>
          <cell r="X29">
            <v>0.14742381785979175</v>
          </cell>
          <cell r="Y29">
            <v>0.15</v>
          </cell>
          <cell r="Z29">
            <v>3.8953468932724E-2</v>
          </cell>
          <cell r="AA29">
            <v>2.9757378101406218E-2</v>
          </cell>
          <cell r="AB29">
            <v>1.1511172435592076E-2</v>
          </cell>
          <cell r="AC29">
            <v>1.5322139581757099E-3</v>
          </cell>
          <cell r="AD29">
            <v>1.8318267697323698E-2</v>
          </cell>
          <cell r="AE29">
            <v>2.7968111931260253E-3</v>
          </cell>
          <cell r="AF29">
            <v>-2.5861093558829151E-2</v>
          </cell>
          <cell r="AG29">
            <v>-0.14800022857333617</v>
          </cell>
          <cell r="AH29">
            <v>-0.16</v>
          </cell>
          <cell r="AI29">
            <v>-0.2</v>
          </cell>
          <cell r="AJ29">
            <v>-0.14885563154365522</v>
          </cell>
          <cell r="AK29">
            <v>-0.12</v>
          </cell>
          <cell r="AL29">
            <v>-0.05</v>
          </cell>
          <cell r="AM29">
            <v>-0.05</v>
          </cell>
          <cell r="AN29">
            <v>-0.04</v>
          </cell>
          <cell r="AO29">
            <v>-6.3824984659852424E-2</v>
          </cell>
          <cell r="AP29">
            <v>-0.13</v>
          </cell>
          <cell r="AQ29">
            <v>-0.1</v>
          </cell>
          <cell r="AR29">
            <v>-0.1</v>
          </cell>
          <cell r="AS29">
            <v>-0.1</v>
          </cell>
          <cell r="AT29">
            <v>-0.10788694549998623</v>
          </cell>
          <cell r="AU29">
            <v>0</v>
          </cell>
          <cell r="AV29">
            <v>0</v>
          </cell>
          <cell r="AW29">
            <v>0</v>
          </cell>
          <cell r="AX29">
            <v>0</v>
          </cell>
          <cell r="AY29">
            <v>-1.8813536496007366E-3</v>
          </cell>
        </row>
        <row r="30">
          <cell r="AD30">
            <v>0.48241989290028675</v>
          </cell>
        </row>
        <row r="31">
          <cell r="A31" t="str">
            <v>Perpetual License Billings</v>
          </cell>
          <cell r="K31">
            <v>14.2006</v>
          </cell>
          <cell r="L31">
            <v>5.021452941176471</v>
          </cell>
          <cell r="M31">
            <v>6.3168882352941189</v>
          </cell>
          <cell r="N31">
            <v>6.9173999999999998</v>
          </cell>
          <cell r="O31">
            <v>7.0244488235294122</v>
          </cell>
          <cell r="P31">
            <v>25.280190000000001</v>
          </cell>
          <cell r="Q31">
            <v>8.9566169463734546</v>
          </cell>
          <cell r="R31">
            <v>11.49863745053212</v>
          </cell>
          <cell r="S31">
            <v>11.003375455233634</v>
          </cell>
          <cell r="T31">
            <v>17.46582651192838</v>
          </cell>
          <cell r="U31">
            <v>48.924456364067588</v>
          </cell>
          <cell r="V31">
            <v>13.523659643965875</v>
          </cell>
          <cell r="W31">
            <v>17.748886664901331</v>
          </cell>
          <cell r="X31">
            <v>23.023193783442665</v>
          </cell>
          <cell r="Y31">
            <v>38.901326714693887</v>
          </cell>
          <cell r="Z31">
            <v>93.19706680700375</v>
          </cell>
          <cell r="AA31">
            <v>24.978901291552944</v>
          </cell>
          <cell r="AB31">
            <v>29.777723350941329</v>
          </cell>
          <cell r="AC31">
            <v>33.7824889423188</v>
          </cell>
          <cell r="AD31">
            <v>53.478979087178658</v>
          </cell>
          <cell r="AE31">
            <v>142.01809267199172</v>
          </cell>
          <cell r="AF31">
            <v>34.233547122971025</v>
          </cell>
          <cell r="AG31">
            <v>41.255148196081123</v>
          </cell>
          <cell r="AH31">
            <v>41.630208468455947</v>
          </cell>
          <cell r="AI31">
            <v>62.623923358355562</v>
          </cell>
          <cell r="AJ31">
            <v>179.74282714586366</v>
          </cell>
          <cell r="AK31">
            <v>41.742899362707512</v>
          </cell>
          <cell r="AL31">
            <v>49.980723466945506</v>
          </cell>
          <cell r="AM31">
            <v>49.047225759465235</v>
          </cell>
          <cell r="AN31">
            <v>76.750365406215039</v>
          </cell>
          <cell r="AO31">
            <v>217.52121399533331</v>
          </cell>
          <cell r="AP31">
            <v>46.667975412734492</v>
          </cell>
          <cell r="AQ31">
            <v>57.410938155341519</v>
          </cell>
          <cell r="AR31">
            <v>56.357208458131858</v>
          </cell>
          <cell r="AS31">
            <v>86.270122756887247</v>
          </cell>
          <cell r="AT31">
            <v>246.70624478309512</v>
          </cell>
          <cell r="AU31">
            <v>58.10017122295217</v>
          </cell>
          <cell r="AV31">
            <v>72.877192639444587</v>
          </cell>
          <cell r="AW31">
            <v>91.283237224215696</v>
          </cell>
          <cell r="AX31">
            <v>124.69733545838983</v>
          </cell>
          <cell r="AY31">
            <v>346.95793654500233</v>
          </cell>
        </row>
        <row r="32">
          <cell r="A32" t="str">
            <v xml:space="preserve">   YoY Growth</v>
          </cell>
          <cell r="B32" t="str">
            <v/>
          </cell>
          <cell r="C32" t="str">
            <v/>
          </cell>
          <cell r="D32" t="str">
            <v/>
          </cell>
          <cell r="E32" t="str">
            <v/>
          </cell>
          <cell r="F32" t="str">
            <v/>
          </cell>
          <cell r="K32" t="str">
            <v/>
          </cell>
          <cell r="L32" t="str">
            <v/>
          </cell>
          <cell r="M32" t="str">
            <v/>
          </cell>
          <cell r="N32" t="str">
            <v/>
          </cell>
          <cell r="O32" t="str">
            <v/>
          </cell>
          <cell r="P32">
            <v>0.78021984986549886</v>
          </cell>
          <cell r="Q32">
            <v>0.78367039406626771</v>
          </cell>
          <cell r="R32">
            <v>0.82030091751286704</v>
          </cell>
          <cell r="S32">
            <v>0.59068081291144559</v>
          </cell>
          <cell r="T32">
            <v>1.4864337331954154</v>
          </cell>
          <cell r="U32">
            <v>0.93528831721864369</v>
          </cell>
          <cell r="V32">
            <v>0.50990711391778576</v>
          </cell>
          <cell r="W32">
            <v>0.54356433457948272</v>
          </cell>
          <cell r="X32">
            <v>1.0923755512215969</v>
          </cell>
          <cell r="Y32">
            <v>1.2272823268985307</v>
          </cell>
          <cell r="Z32">
            <v>0.90491778004613743</v>
          </cell>
          <cell r="AA32">
            <v>0.84705190378687822</v>
          </cell>
          <cell r="AB32">
            <v>0.67772344897706671</v>
          </cell>
          <cell r="AC32">
            <v>0.46732418013237487</v>
          </cell>
          <cell r="AD32">
            <v>0.37473406702549483</v>
          </cell>
          <cell r="AE32">
            <v>0.52384723615914353</v>
          </cell>
          <cell r="AF32">
            <v>0.37049851486252927</v>
          </cell>
          <cell r="AG32">
            <v>0.38543661346685765</v>
          </cell>
          <cell r="AH32">
            <v>0.23230140146087441</v>
          </cell>
          <cell r="AI32">
            <v>0.17100072640259811</v>
          </cell>
          <cell r="AJ32">
            <v>0.26563329899804988</v>
          </cell>
          <cell r="AK32">
            <v>0.21935653389238308</v>
          </cell>
          <cell r="AL32">
            <v>0.21150270093304946</v>
          </cell>
          <cell r="AM32">
            <v>0.17816430817610041</v>
          </cell>
          <cell r="AN32">
            <v>0.22557580698071455</v>
          </cell>
          <cell r="AO32">
            <v>0.21018021942434451</v>
          </cell>
          <cell r="AP32">
            <v>0.11798595989302485</v>
          </cell>
          <cell r="AQ32">
            <v>0.14866160737569056</v>
          </cell>
          <cell r="AR32">
            <v>0.14903967727993117</v>
          </cell>
          <cell r="AS32">
            <v>0.12403533586175364</v>
          </cell>
          <cell r="AT32">
            <v>0.13417096315207178</v>
          </cell>
          <cell r="AU32">
            <v>0.24644276561581435</v>
          </cell>
          <cell r="AV32">
            <v>0.24516482193267763</v>
          </cell>
          <cell r="AW32">
            <v>0.23942223960432929</v>
          </cell>
          <cell r="AX32">
            <v>0.21977704316358615</v>
          </cell>
          <cell r="AY32">
            <v>0.2346362100749313</v>
          </cell>
        </row>
        <row r="33">
          <cell r="A33" t="str">
            <v xml:space="preserve">   QoQ Growth</v>
          </cell>
          <cell r="L33" t="str">
            <v/>
          </cell>
          <cell r="M33">
            <v>0.25798017213204072</v>
          </cell>
          <cell r="N33">
            <v>9.5064490986347172E-2</v>
          </cell>
          <cell r="O33">
            <v>1.5475297587158821E-2</v>
          </cell>
          <cell r="Q33">
            <v>0.27506330694188619</v>
          </cell>
          <cell r="R33">
            <v>0.2838148063469359</v>
          </cell>
          <cell r="S33">
            <v>-4.3071363666272289E-2</v>
          </cell>
          <cell r="T33">
            <v>0.58731532728177083</v>
          </cell>
          <cell r="V33">
            <v>-0.22570743304189933</v>
          </cell>
          <cell r="W33">
            <v>0.31243222117178249</v>
          </cell>
          <cell r="X33">
            <v>0.29716270198351924</v>
          </cell>
          <cell r="Y33">
            <v>0.68965813694667011</v>
          </cell>
          <cell r="AA33">
            <v>-0.35789076103366257</v>
          </cell>
          <cell r="AB33">
            <v>0.19211501752525817</v>
          </cell>
          <cell r="AC33">
            <v>0.13448864253925152</v>
          </cell>
          <cell r="AD33">
            <v>0.5830384545819054</v>
          </cell>
          <cell r="AF33">
            <v>-0.35986909796529076</v>
          </cell>
          <cell r="AG33">
            <v>0.20510877963909668</v>
          </cell>
          <cell r="AH33">
            <v>9.0912356099706049E-3</v>
          </cell>
          <cell r="AI33">
            <v>0.50429040983080786</v>
          </cell>
          <cell r="AK33">
            <v>-0.76776319797822801</v>
          </cell>
          <cell r="AL33">
            <v>0.19734671596859754</v>
          </cell>
          <cell r="AM33">
            <v>-1.8677154765429416E-2</v>
          </cell>
          <cell r="AN33">
            <v>0.56482582282247829</v>
          </cell>
          <cell r="AP33">
            <v>-0.78545552153025544</v>
          </cell>
          <cell r="AQ33">
            <v>0.23019988863017082</v>
          </cell>
          <cell r="AR33">
            <v>-1.8354162657270967E-2</v>
          </cell>
          <cell r="AS33">
            <v>0.53077352688570256</v>
          </cell>
          <cell r="AU33">
            <v>-0.79325281929642166</v>
          </cell>
          <cell r="AV33">
            <v>0.25433696847101261</v>
          </cell>
          <cell r="AW33">
            <v>0.25256248104717582</v>
          </cell>
          <cell r="AX33">
            <v>0.36604856762584248</v>
          </cell>
        </row>
        <row r="34">
          <cell r="A34" t="str">
            <v xml:space="preserve">   % of License Billings</v>
          </cell>
          <cell r="L34">
            <v>0.94</v>
          </cell>
          <cell r="M34">
            <v>0.92</v>
          </cell>
          <cell r="N34">
            <v>0.92999999999999994</v>
          </cell>
          <cell r="O34">
            <v>0.78</v>
          </cell>
          <cell r="P34">
            <v>0</v>
          </cell>
          <cell r="Q34">
            <v>0.92</v>
          </cell>
          <cell r="R34">
            <v>0.83</v>
          </cell>
          <cell r="S34">
            <v>0.88</v>
          </cell>
          <cell r="T34">
            <v>0.81</v>
          </cell>
          <cell r="U34">
            <v>0</v>
          </cell>
          <cell r="V34">
            <v>0.85000000000000009</v>
          </cell>
          <cell r="W34">
            <v>0.83</v>
          </cell>
          <cell r="X34">
            <v>0.92999999999999994</v>
          </cell>
          <cell r="Y34">
            <v>0.91</v>
          </cell>
          <cell r="AA34">
            <v>0.89</v>
          </cell>
          <cell r="AB34">
            <v>0.83</v>
          </cell>
          <cell r="AC34">
            <v>0.93</v>
          </cell>
          <cell r="AD34">
            <v>0.87</v>
          </cell>
          <cell r="AF34">
            <v>0.84</v>
          </cell>
          <cell r="AG34">
            <v>0.82</v>
          </cell>
          <cell r="AH34">
            <v>0.79500000000000004</v>
          </cell>
          <cell r="AI34">
            <v>0.77500000000000002</v>
          </cell>
          <cell r="AK34">
            <v>0.76</v>
          </cell>
          <cell r="AL34">
            <v>0.76</v>
          </cell>
          <cell r="AM34">
            <v>0.75</v>
          </cell>
          <cell r="AN34">
            <v>0.75</v>
          </cell>
          <cell r="AP34">
            <v>0.75</v>
          </cell>
          <cell r="AQ34">
            <v>0.75</v>
          </cell>
          <cell r="AR34">
            <v>0.75</v>
          </cell>
          <cell r="AS34">
            <v>0.75</v>
          </cell>
          <cell r="AU34">
            <v>0.75</v>
          </cell>
          <cell r="AV34">
            <v>0.75</v>
          </cell>
          <cell r="AW34">
            <v>0.75</v>
          </cell>
          <cell r="AX34">
            <v>0.75</v>
          </cell>
        </row>
        <row r="35">
          <cell r="A35" t="str">
            <v xml:space="preserve">   % of Total Billings</v>
          </cell>
          <cell r="L35">
            <v>0.70313700779618726</v>
          </cell>
          <cell r="M35">
            <v>0.70976272306675492</v>
          </cell>
          <cell r="N35">
            <v>0.63462385321100923</v>
          </cell>
          <cell r="O35">
            <v>0.51209804064514197</v>
          </cell>
          <cell r="P35">
            <v>0.62176887981602857</v>
          </cell>
          <cell r="Q35">
            <v>0.72166762922999383</v>
          </cell>
          <cell r="R35">
            <v>0.63238395482220322</v>
          </cell>
          <cell r="S35">
            <v>0.62282082160149621</v>
          </cell>
          <cell r="T35">
            <v>0.60278952586465506</v>
          </cell>
          <cell r="U35">
            <v>0.63344109436101814</v>
          </cell>
          <cell r="V35">
            <v>0.58266521516440661</v>
          </cell>
          <cell r="W35">
            <v>0.56609851257938104</v>
          </cell>
          <cell r="X35">
            <v>0.61460741546830389</v>
          </cell>
          <cell r="Y35">
            <v>0.65828457085529879</v>
          </cell>
          <cell r="AA35">
            <v>0.57201844122819789</v>
          </cell>
          <cell r="AB35">
            <v>0.56174844556474046</v>
          </cell>
          <cell r="AC35">
            <v>0.5790324279231237</v>
          </cell>
          <cell r="AD35">
            <v>0.50465673709957115</v>
          </cell>
          <cell r="AF35">
            <v>0.5721611699921616</v>
          </cell>
          <cell r="AG35">
            <v>0.53459393031166014</v>
          </cell>
          <cell r="AH35">
            <v>0.50322573084786271</v>
          </cell>
          <cell r="AI35">
            <v>0.4533935642699396</v>
          </cell>
          <cell r="AK35">
            <v>0.48926187491885115</v>
          </cell>
          <cell r="AL35">
            <v>0.47174222560025758</v>
          </cell>
          <cell r="AM35">
            <v>0.45524261238609487</v>
          </cell>
          <cell r="AN35">
            <v>0.43415685047182756</v>
          </cell>
          <cell r="AP35">
            <v>0.4465627445820487</v>
          </cell>
          <cell r="AQ35">
            <v>0.43852214012049867</v>
          </cell>
          <cell r="AR35">
            <v>0.43364382972985949</v>
          </cell>
          <cell r="AS35">
            <v>0.41677468091737424</v>
          </cell>
          <cell r="AU35">
            <v>0.44140320484756634</v>
          </cell>
          <cell r="AV35">
            <v>0.43555619267954898</v>
          </cell>
          <cell r="AW35">
            <v>0.44129043342599988</v>
          </cell>
          <cell r="AX35">
            <v>0.44309130263171143</v>
          </cell>
        </row>
        <row r="36">
          <cell r="A36" t="str">
            <v>Term License Billings</v>
          </cell>
          <cell r="L36">
            <v>0.32051827284105133</v>
          </cell>
          <cell r="M36">
            <v>0.54929462915601035</v>
          </cell>
          <cell r="N36">
            <v>0.52066451612903231</v>
          </cell>
          <cell r="O36">
            <v>1.9812547963800904</v>
          </cell>
          <cell r="P36">
            <v>3.3717322145061841</v>
          </cell>
          <cell r="Q36">
            <v>0.77883625620638741</v>
          </cell>
          <cell r="R36">
            <v>2.3551426103499526</v>
          </cell>
          <cell r="S36">
            <v>1.5004602893500409</v>
          </cell>
          <cell r="T36">
            <v>4.0969222682301139</v>
          </cell>
          <cell r="U36">
            <v>8.7313614241364945</v>
          </cell>
          <cell r="V36">
            <v>2.3865281724645664</v>
          </cell>
          <cell r="W36">
            <v>3.6353141361846104</v>
          </cell>
          <cell r="X36">
            <v>1.7329285643451469</v>
          </cell>
          <cell r="Y36">
            <v>3.8473839607939007</v>
          </cell>
          <cell r="Z36">
            <v>11.602154833788225</v>
          </cell>
          <cell r="AA36">
            <v>3.087279934911038</v>
          </cell>
          <cell r="AB36">
            <v>6.0990517706747314</v>
          </cell>
          <cell r="AC36">
            <v>2.5427679849057165</v>
          </cell>
          <cell r="AD36">
            <v>7.9911118176243976</v>
          </cell>
          <cell r="AE36">
            <v>19.720211508115881</v>
          </cell>
          <cell r="AF36">
            <v>6.5206756424706711</v>
          </cell>
          <cell r="AG36">
            <v>9.0560081406031738</v>
          </cell>
          <cell r="AH36">
            <v>10.734833630230778</v>
          </cell>
          <cell r="AI36">
            <v>18.181139039522584</v>
          </cell>
          <cell r="AJ36">
            <v>44.492656452827205</v>
          </cell>
          <cell r="AK36">
            <v>13.181968219802371</v>
          </cell>
          <cell r="AL36">
            <v>15.78338635798279</v>
          </cell>
          <cell r="AM36">
            <v>16.349075253155078</v>
          </cell>
          <cell r="AN36">
            <v>25.583455135405014</v>
          </cell>
          <cell r="AO36">
            <v>70.897884966345259</v>
          </cell>
          <cell r="AP36">
            <v>15.55599180424483</v>
          </cell>
          <cell r="AQ36">
            <v>19.13697938511384</v>
          </cell>
          <cell r="AR36">
            <v>18.785736152710619</v>
          </cell>
          <cell r="AS36">
            <v>28.756707585629083</v>
          </cell>
          <cell r="AT36">
            <v>82.235414927698372</v>
          </cell>
          <cell r="AU36">
            <v>19.366723740984057</v>
          </cell>
          <cell r="AV36">
            <v>24.292397546481531</v>
          </cell>
          <cell r="AW36">
            <v>30.427745741405232</v>
          </cell>
          <cell r="AX36">
            <v>41.565778486129943</v>
          </cell>
          <cell r="AY36">
            <v>115.65264551500076</v>
          </cell>
        </row>
        <row r="37">
          <cell r="A37" t="str">
            <v xml:space="preserve">   YoY Growth</v>
          </cell>
          <cell r="B37" t="str">
            <v/>
          </cell>
          <cell r="C37" t="str">
            <v/>
          </cell>
          <cell r="D37" t="str">
            <v/>
          </cell>
          <cell r="E37" t="str">
            <v/>
          </cell>
          <cell r="F37" t="str">
            <v/>
          </cell>
          <cell r="K37" t="str">
            <v/>
          </cell>
          <cell r="L37" t="str">
            <v/>
          </cell>
          <cell r="M37" t="str">
            <v/>
          </cell>
          <cell r="N37" t="str">
            <v/>
          </cell>
          <cell r="O37" t="str">
            <v/>
          </cell>
          <cell r="P37" t="str">
            <v/>
          </cell>
          <cell r="Q37">
            <v>1.4299277832207125</v>
          </cell>
          <cell r="R37">
            <v>3.2875762575152478</v>
          </cell>
          <cell r="S37">
            <v>1.8818178363785276</v>
          </cell>
          <cell r="T37">
            <v>1.0678421956204298</v>
          </cell>
          <cell r="U37">
            <v>1.5895773651809026</v>
          </cell>
          <cell r="V37">
            <v>2.0642232605978594</v>
          </cell>
          <cell r="W37">
            <v>0.54356433457948272</v>
          </cell>
          <cell r="X37">
            <v>0.15493130784274523</v>
          </cell>
          <cell r="Y37">
            <v>-6.0908723939254727E-2</v>
          </cell>
          <cell r="Z37">
            <v>0.32879104073230403</v>
          </cell>
          <cell r="AA37">
            <v>0.29362811239006059</v>
          </cell>
          <cell r="AB37">
            <v>0.67772344897706693</v>
          </cell>
          <cell r="AC37">
            <v>0.46732418013237509</v>
          </cell>
          <cell r="AD37">
            <v>1.0770247781496303</v>
          </cell>
          <cell r="AE37">
            <v>0.69970249411651975</v>
          </cell>
          <cell r="AF37">
            <v>1.112110265329266</v>
          </cell>
          <cell r="AG37">
            <v>0.48482231027222733</v>
          </cell>
          <cell r="AH37">
            <v>3.2217118093174415</v>
          </cell>
          <cell r="AI37">
            <v>1.275170145839291</v>
          </cell>
          <cell r="AJ37">
            <v>1.2561957022882937</v>
          </cell>
          <cell r="AK37">
            <v>1.0215647798742142</v>
          </cell>
          <cell r="AL37">
            <v>0.74286353467561494</v>
          </cell>
          <cell r="AM37">
            <v>0.52299288617886153</v>
          </cell>
          <cell r="AN37">
            <v>0.40714259320007962</v>
          </cell>
          <cell r="AO37">
            <v>0.59347385880440462</v>
          </cell>
          <cell r="AP37">
            <v>0.18009629099819291</v>
          </cell>
          <cell r="AQ37">
            <v>0.21247614111878455</v>
          </cell>
          <cell r="AR37">
            <v>0.14903967727993117</v>
          </cell>
          <cell r="AS37">
            <v>0.12403533586175364</v>
          </cell>
          <cell r="AT37">
            <v>0.15991351458135816</v>
          </cell>
          <cell r="AU37">
            <v>0.24644276561581413</v>
          </cell>
          <cell r="AV37">
            <v>0.24516482193267763</v>
          </cell>
          <cell r="AW37">
            <v>0.23942223960432929</v>
          </cell>
          <cell r="AX37">
            <v>0.21977704316358615</v>
          </cell>
          <cell r="AY37">
            <v>0.23463621007493107</v>
          </cell>
        </row>
        <row r="38">
          <cell r="A38" t="str">
            <v xml:space="preserve">   QoQ Growth</v>
          </cell>
          <cell r="L38" t="str">
            <v/>
          </cell>
          <cell r="M38">
            <v>0.71377008957118582</v>
          </cell>
          <cell r="N38">
            <v>-5.2121596511817581E-2</v>
          </cell>
          <cell r="O38">
            <v>2.8052425986507812</v>
          </cell>
          <cell r="Q38">
            <v>-0.60689747849222475</v>
          </cell>
          <cell r="R38">
            <v>2.0239252366364573</v>
          </cell>
          <cell r="S38">
            <v>-0.36290045335000487</v>
          </cell>
          <cell r="T38">
            <v>1.7304436493982727</v>
          </cell>
          <cell r="V38">
            <v>-0.41748268182409143</v>
          </cell>
          <cell r="W38">
            <v>0.52326470650058288</v>
          </cell>
          <cell r="X38">
            <v>-0.52330706524198312</v>
          </cell>
          <cell r="Y38">
            <v>1.2201630465060638</v>
          </cell>
          <cell r="AA38">
            <v>-0.19756385991847214</v>
          </cell>
          <cell r="AB38">
            <v>0.97554219224065264</v>
          </cell>
          <cell r="AC38">
            <v>-0.58308798145774499</v>
          </cell>
          <cell r="AD38">
            <v>2.1426822521995459</v>
          </cell>
          <cell r="AF38">
            <v>-0.1840089600436674</v>
          </cell>
          <cell r="AG38">
            <v>0.3888143862913982</v>
          </cell>
          <cell r="AH38">
            <v>0.18538250668089473</v>
          </cell>
          <cell r="AI38">
            <v>0.69365820335789641</v>
          </cell>
          <cell r="AK38">
            <v>-0.70372710306074016</v>
          </cell>
          <cell r="AL38">
            <v>0.19734671596859754</v>
          </cell>
          <cell r="AM38">
            <v>3.584078108093558E-2</v>
          </cell>
          <cell r="AN38">
            <v>0.56482582282247829</v>
          </cell>
          <cell r="AP38">
            <v>-0.78058595384574381</v>
          </cell>
          <cell r="AQ38">
            <v>0.23019988863017082</v>
          </cell>
          <cell r="AR38">
            <v>-1.8354162657270967E-2</v>
          </cell>
          <cell r="AS38">
            <v>0.53077352688570256</v>
          </cell>
          <cell r="AU38">
            <v>-0.79325281929642166</v>
          </cell>
          <cell r="AV38">
            <v>0.25433696847101261</v>
          </cell>
          <cell r="AW38">
            <v>0.25256248104717582</v>
          </cell>
          <cell r="AX38">
            <v>0.36604856762584248</v>
          </cell>
        </row>
        <row r="39">
          <cell r="A39" t="str">
            <v xml:space="preserve">   % of License Billings</v>
          </cell>
          <cell r="L39">
            <v>0.06</v>
          </cell>
          <cell r="M39">
            <v>0.08</v>
          </cell>
          <cell r="N39">
            <v>7.0000000000000007E-2</v>
          </cell>
          <cell r="O39">
            <v>0.22</v>
          </cell>
          <cell r="P39">
            <v>0.11767909284631205</v>
          </cell>
          <cell r="Q39">
            <v>0.08</v>
          </cell>
          <cell r="R39">
            <v>0.17</v>
          </cell>
          <cell r="S39">
            <v>0.12</v>
          </cell>
          <cell r="T39">
            <v>0.19</v>
          </cell>
          <cell r="U39">
            <v>0.15143938216626704</v>
          </cell>
          <cell r="V39">
            <v>0.15000000000000002</v>
          </cell>
          <cell r="W39">
            <v>0.17</v>
          </cell>
          <cell r="X39">
            <v>7.0000000000000007E-2</v>
          </cell>
          <cell r="Y39">
            <v>0.09</v>
          </cell>
          <cell r="Z39">
            <v>0.1107084065333574</v>
          </cell>
          <cell r="AA39">
            <v>0.11</v>
          </cell>
          <cell r="AB39">
            <v>0.17</v>
          </cell>
          <cell r="AC39">
            <v>7.0000000000000007E-2</v>
          </cell>
          <cell r="AD39">
            <v>0.13</v>
          </cell>
          <cell r="AE39">
            <v>0.1219266617644016</v>
          </cell>
          <cell r="AF39">
            <v>0.16</v>
          </cell>
          <cell r="AG39">
            <v>0.18</v>
          </cell>
          <cell r="AH39">
            <v>0.20499999999999999</v>
          </cell>
          <cell r="AI39">
            <v>0.22500000000000001</v>
          </cell>
          <cell r="AJ39">
            <v>0.19841933907505332</v>
          </cell>
          <cell r="AK39">
            <v>0.24</v>
          </cell>
          <cell r="AL39">
            <v>0.24</v>
          </cell>
          <cell r="AM39">
            <v>0.25</v>
          </cell>
          <cell r="AN39">
            <v>0.25</v>
          </cell>
          <cell r="AO39">
            <v>0.2458154998111455</v>
          </cell>
          <cell r="AP39">
            <v>0.25</v>
          </cell>
          <cell r="AQ39">
            <v>0.25</v>
          </cell>
          <cell r="AR39">
            <v>0.25</v>
          </cell>
          <cell r="AS39">
            <v>0.25</v>
          </cell>
          <cell r="AT39">
            <v>0.25</v>
          </cell>
          <cell r="AU39">
            <v>0.25</v>
          </cell>
          <cell r="AV39">
            <v>0.25</v>
          </cell>
          <cell r="AW39">
            <v>0.25</v>
          </cell>
          <cell r="AX39">
            <v>0.25</v>
          </cell>
          <cell r="AY39">
            <v>0.25</v>
          </cell>
        </row>
        <row r="40">
          <cell r="A40" t="str">
            <v xml:space="preserve">   % of Total Billings</v>
          </cell>
          <cell r="L40">
            <v>4.4881085604011953E-2</v>
          </cell>
          <cell r="M40">
            <v>6.171849765797869E-2</v>
          </cell>
          <cell r="N40">
            <v>4.7767386800828655E-2</v>
          </cell>
          <cell r="O40">
            <v>0.14443790889991182</v>
          </cell>
          <cell r="Q40">
            <v>6.2753706889564692E-2</v>
          </cell>
          <cell r="R40">
            <v>0.1295244244816561</v>
          </cell>
          <cell r="S40">
            <v>8.4930112036567654E-2</v>
          </cell>
          <cell r="T40">
            <v>0.14139507396825243</v>
          </cell>
          <cell r="V40">
            <v>0.10282327326430706</v>
          </cell>
          <cell r="W40">
            <v>0.11594788811866841</v>
          </cell>
          <cell r="X40">
            <v>4.6260773207291696E-2</v>
          </cell>
          <cell r="Y40">
            <v>6.5105067447227355E-2</v>
          </cell>
          <cell r="AA40">
            <v>7.0698908466406474E-2</v>
          </cell>
          <cell r="AB40">
            <v>0.1150569105373565</v>
          </cell>
          <cell r="AC40">
            <v>4.3583085972708241E-2</v>
          </cell>
          <cell r="AD40">
            <v>7.5408477957407197E-2</v>
          </cell>
          <cell r="AF40">
            <v>0.10898307999850697</v>
          </cell>
          <cell r="AG40">
            <v>0.11734988714158395</v>
          </cell>
          <cell r="AH40">
            <v>0.2290259518831799</v>
          </cell>
        </row>
        <row r="41">
          <cell r="A41" t="str">
            <v>Total License Billings</v>
          </cell>
          <cell r="K41">
            <v>14.2006</v>
          </cell>
          <cell r="L41">
            <v>5.341971214017522</v>
          </cell>
          <cell r="M41">
            <v>6.8661828644501295</v>
          </cell>
          <cell r="N41">
            <v>7.4380645161290317</v>
          </cell>
          <cell r="O41">
            <v>9.005703619909502</v>
          </cell>
          <cell r="P41">
            <v>28.651922214506186</v>
          </cell>
          <cell r="Q41">
            <v>9.7354532025798424</v>
          </cell>
          <cell r="R41">
            <v>13.853780060882073</v>
          </cell>
          <cell r="S41">
            <v>12.503835744583675</v>
          </cell>
          <cell r="T41">
            <v>21.562748780158493</v>
          </cell>
          <cell r="U41">
            <v>57.655817788204082</v>
          </cell>
          <cell r="V41">
            <v>15.91018781643044</v>
          </cell>
          <cell r="W41">
            <v>21.384200801085942</v>
          </cell>
          <cell r="X41">
            <v>24.756122347787812</v>
          </cell>
          <cell r="Y41">
            <v>42.748710675487786</v>
          </cell>
          <cell r="Z41">
            <v>104.79922164079198</v>
          </cell>
          <cell r="AA41">
            <v>28.066181226463982</v>
          </cell>
          <cell r="AB41">
            <v>35.876775121616063</v>
          </cell>
          <cell r="AC41">
            <v>36.325256927224515</v>
          </cell>
          <cell r="AD41">
            <v>61.470090904803058</v>
          </cell>
          <cell r="AE41">
            <v>161.7383041801076</v>
          </cell>
          <cell r="AF41">
            <v>40.754222765441696</v>
          </cell>
          <cell r="AG41">
            <v>50.311156336684299</v>
          </cell>
          <cell r="AH41">
            <v>52.365042098686722</v>
          </cell>
          <cell r="AI41">
            <v>80.805062397878146</v>
          </cell>
          <cell r="AJ41">
            <v>224.23548359869088</v>
          </cell>
          <cell r="AK41">
            <v>54.924867582509883</v>
          </cell>
          <cell r="AL41">
            <v>65.764109824928298</v>
          </cell>
          <cell r="AM41">
            <v>65.396301012620313</v>
          </cell>
          <cell r="AN41">
            <v>102.33382054162006</v>
          </cell>
          <cell r="AO41">
            <v>288.41909896167857</v>
          </cell>
          <cell r="AP41">
            <v>62.223967216979318</v>
          </cell>
          <cell r="AQ41">
            <v>76.547917540455359</v>
          </cell>
          <cell r="AR41">
            <v>75.142944610842477</v>
          </cell>
          <cell r="AS41">
            <v>115.02683034251633</v>
          </cell>
          <cell r="AT41">
            <v>328.94165971079349</v>
          </cell>
          <cell r="AU41">
            <v>77.466894963936227</v>
          </cell>
          <cell r="AV41">
            <v>97.169590185926126</v>
          </cell>
          <cell r="AW41">
            <v>121.71098296562093</v>
          </cell>
          <cell r="AX41">
            <v>166.26311394451977</v>
          </cell>
          <cell r="AY41">
            <v>462.61058206000303</v>
          </cell>
        </row>
        <row r="42">
          <cell r="A42" t="str">
            <v xml:space="preserve">   YoY Growth</v>
          </cell>
          <cell r="B42" t="str">
            <v/>
          </cell>
          <cell r="C42" t="str">
            <v/>
          </cell>
          <cell r="D42" t="str">
            <v/>
          </cell>
          <cell r="E42" t="str">
            <v/>
          </cell>
          <cell r="F42" t="str">
            <v/>
          </cell>
          <cell r="K42" t="str">
            <v/>
          </cell>
          <cell r="L42" t="str">
            <v/>
          </cell>
          <cell r="M42" t="str">
            <v/>
          </cell>
          <cell r="N42" t="str">
            <v/>
          </cell>
          <cell r="O42" t="str">
            <v/>
          </cell>
          <cell r="P42">
            <v>1.0176557479617894</v>
          </cell>
          <cell r="Q42">
            <v>0.82244583741553456</v>
          </cell>
          <cell r="R42">
            <v>1.0176829447130573</v>
          </cell>
          <cell r="S42">
            <v>0.68106040455414152</v>
          </cell>
          <cell r="T42">
            <v>1.3943435949289187</v>
          </cell>
          <cell r="U42">
            <v>1.0122844588421196</v>
          </cell>
          <cell r="V42">
            <v>0.63425240565219165</v>
          </cell>
          <cell r="W42">
            <v>0.54356433457948272</v>
          </cell>
          <cell r="X42">
            <v>0.97988224201613483</v>
          </cell>
          <cell r="Y42">
            <v>0.98252602723935123</v>
          </cell>
          <cell r="Z42">
            <v>0.81766950259498472</v>
          </cell>
          <cell r="AA42">
            <v>0.76403833507735563</v>
          </cell>
          <cell r="AB42">
            <v>0.67772344897706693</v>
          </cell>
          <cell r="AC42">
            <v>0.46732418013237487</v>
          </cell>
          <cell r="AD42">
            <v>0.43794023102666713</v>
          </cell>
          <cell r="AE42">
            <v>0.5433158915481171</v>
          </cell>
          <cell r="AF42">
            <v>0.45207580741387043</v>
          </cell>
          <cell r="AG42">
            <v>0.4023321819237704</v>
          </cell>
          <cell r="AH42">
            <v>0.44156013001083405</v>
          </cell>
          <cell r="AI42">
            <v>0.31454275092936812</v>
          </cell>
          <cell r="AJ42">
            <v>0.38640926610055226</v>
          </cell>
          <cell r="AK42">
            <v>0.34770985324947601</v>
          </cell>
          <cell r="AL42">
            <v>0.30714765100671126</v>
          </cell>
          <cell r="AM42">
            <v>0.24885416666666638</v>
          </cell>
          <cell r="AN42">
            <v>0.2664283338800717</v>
          </cell>
          <cell r="AO42">
            <v>0.28623309002180775</v>
          </cell>
          <cell r="AP42">
            <v>0.13289243935826511</v>
          </cell>
          <cell r="AQ42">
            <v>0.16397709547403294</v>
          </cell>
          <cell r="AR42">
            <v>0.14903967727993117</v>
          </cell>
          <cell r="AS42">
            <v>0.12403533586175364</v>
          </cell>
          <cell r="AT42">
            <v>0.14049888129807608</v>
          </cell>
          <cell r="AU42">
            <v>0.24644276561581413</v>
          </cell>
          <cell r="AV42">
            <v>0.24516482193267763</v>
          </cell>
          <cell r="AW42">
            <v>0.23942223960432929</v>
          </cell>
          <cell r="AX42">
            <v>0.21977704316358615</v>
          </cell>
          <cell r="AY42">
            <v>0.23463621007493107</v>
          </cell>
        </row>
        <row r="43">
          <cell r="A43" t="str">
            <v xml:space="preserve">   QoQ Growth</v>
          </cell>
          <cell r="L43" t="str">
            <v/>
          </cell>
          <cell r="M43">
            <v>0.28532756717838947</v>
          </cell>
          <cell r="N43">
            <v>8.3289603986494098E-2</v>
          </cell>
          <cell r="O43">
            <v>0.21075900866161246</v>
          </cell>
          <cell r="Q43">
            <v>8.1031934146381879E-2</v>
          </cell>
          <cell r="R43">
            <v>0.42302364077009758</v>
          </cell>
          <cell r="S43">
            <v>-9.7442308912506825E-2</v>
          </cell>
          <cell r="T43">
            <v>0.72449072593575092</v>
          </cell>
          <cell r="V43">
            <v>-0.26214473031051588</v>
          </cell>
          <cell r="W43">
            <v>0.34405709397110273</v>
          </cell>
          <cell r="X43">
            <v>0.15768284155518386</v>
          </cell>
          <cell r="Y43">
            <v>0.72679348061582738</v>
          </cell>
          <cell r="AA43">
            <v>-0.34346133993329542</v>
          </cell>
          <cell r="AB43">
            <v>0.2782920067439516</v>
          </cell>
          <cell r="AC43">
            <v>1.250061645976186E-2</v>
          </cell>
          <cell r="AD43">
            <v>0.69221352041514028</v>
          </cell>
          <cell r="AF43">
            <v>-0.33700728003547975</v>
          </cell>
          <cell r="AG43">
            <v>0.23450167670346511</v>
          </cell>
          <cell r="AH43">
            <v>4.0823664402736659E-2</v>
          </cell>
          <cell r="AI43">
            <v>0.54311080750386109</v>
          </cell>
          <cell r="AK43">
            <v>-0.32027937417999996</v>
          </cell>
          <cell r="AL43">
            <v>0.19734671596859776</v>
          </cell>
          <cell r="AM43">
            <v>-5.5928501623018212E-3</v>
          </cell>
          <cell r="AN43">
            <v>0.56482582282247829</v>
          </cell>
          <cell r="AP43">
            <v>-0.39195109800799155</v>
          </cell>
          <cell r="AQ43">
            <v>0.23019988863017082</v>
          </cell>
          <cell r="AR43">
            <v>-1.8354162657270967E-2</v>
          </cell>
          <cell r="AS43">
            <v>0.53077352688570256</v>
          </cell>
          <cell r="AU43">
            <v>-0.43166985243819433</v>
          </cell>
          <cell r="AV43">
            <v>0.25433696847101261</v>
          </cell>
          <cell r="AW43">
            <v>0.25256248104717582</v>
          </cell>
          <cell r="AX43">
            <v>0.36604856762584248</v>
          </cell>
        </row>
        <row r="45">
          <cell r="A45" t="str">
            <v>Perpetual license accruing to BS (% of billings)</v>
          </cell>
          <cell r="Q45">
            <v>0.05</v>
          </cell>
          <cell r="R45">
            <v>0.05</v>
          </cell>
          <cell r="S45">
            <v>0.05</v>
          </cell>
          <cell r="T45">
            <v>0.05</v>
          </cell>
          <cell r="V45">
            <v>0.05</v>
          </cell>
          <cell r="W45">
            <v>0.05</v>
          </cell>
          <cell r="X45">
            <v>0.1</v>
          </cell>
          <cell r="Y45">
            <v>0.15</v>
          </cell>
          <cell r="AA45">
            <v>0.08</v>
          </cell>
          <cell r="AB45">
            <v>0.05</v>
          </cell>
          <cell r="AC45">
            <v>0.05</v>
          </cell>
          <cell r="AD45">
            <v>0.1</v>
          </cell>
          <cell r="AF45">
            <v>0.05</v>
          </cell>
          <cell r="AG45">
            <v>0.05</v>
          </cell>
          <cell r="AH45">
            <v>0.05</v>
          </cell>
          <cell r="AI45">
            <v>0.2</v>
          </cell>
          <cell r="AK45">
            <v>0.2</v>
          </cell>
          <cell r="AL45">
            <v>0.1</v>
          </cell>
          <cell r="AM45">
            <v>0.05</v>
          </cell>
          <cell r="AN45">
            <v>0.2</v>
          </cell>
          <cell r="AP45">
            <v>0.05</v>
          </cell>
          <cell r="AQ45">
            <v>0.05</v>
          </cell>
          <cell r="AR45">
            <v>0.05</v>
          </cell>
          <cell r="AS45">
            <v>0.2</v>
          </cell>
          <cell r="AU45">
            <v>0.05</v>
          </cell>
          <cell r="AV45">
            <v>0.05</v>
          </cell>
          <cell r="AW45">
            <v>0.1</v>
          </cell>
          <cell r="AX45">
            <v>0.2</v>
          </cell>
        </row>
        <row r="46">
          <cell r="A46" t="str">
            <v>Perpetual license on BS</v>
          </cell>
        </row>
        <row r="48">
          <cell r="A48" t="str">
            <v>Term License Billings Water Fall (assume 12-month avg contract)</v>
          </cell>
          <cell r="Q48">
            <v>0.84293305362654602</v>
          </cell>
          <cell r="R48">
            <v>0.95751254946788011</v>
          </cell>
          <cell r="S48">
            <v>1.4089745447663655</v>
          </cell>
          <cell r="T48">
            <v>1.653923488071618</v>
          </cell>
          <cell r="V48">
            <v>2.1828403560341236</v>
          </cell>
          <cell r="W48">
            <v>2.5847633350986685</v>
          </cell>
          <cell r="X48">
            <v>2.9048062165573327</v>
          </cell>
          <cell r="Y48">
            <v>2.9629232853061094</v>
          </cell>
          <cell r="AA48">
            <v>2.9005387084470562</v>
          </cell>
          <cell r="AB48">
            <v>3.0757266490586739</v>
          </cell>
          <cell r="AC48">
            <v>3.6916610576812046</v>
          </cell>
          <cell r="AD48">
            <v>3.8941209128213465</v>
          </cell>
          <cell r="AF48">
            <v>4.9300528770289702</v>
          </cell>
          <cell r="AG48">
            <v>5.7884018039188794</v>
          </cell>
          <cell r="AH48">
            <v>6.5276408964009907</v>
          </cell>
          <cell r="AI48">
            <v>8.5756573077322535</v>
          </cell>
          <cell r="AK48">
            <v>11.123164113206801</v>
          </cell>
          <cell r="AL48">
            <v>12.788487257539726</v>
          </cell>
          <cell r="AM48">
            <v>14.47033181188463</v>
          </cell>
          <cell r="AN48">
            <v>15.873892217615706</v>
          </cell>
          <cell r="AP48">
            <v>17.724471241586315</v>
          </cell>
          <cell r="AQ48">
            <v>18.317977137696928</v>
          </cell>
          <cell r="AR48">
            <v>19.156375394479689</v>
          </cell>
          <cell r="AS48">
            <v>19.765540619368576</v>
          </cell>
          <cell r="AU48">
            <v>13.94404109350852</v>
          </cell>
          <cell r="AV48">
            <v>17.490526233466703</v>
          </cell>
          <cell r="AW48">
            <v>21.907976933811767</v>
          </cell>
          <cell r="AX48">
            <v>29.927360510013557</v>
          </cell>
        </row>
        <row r="49">
          <cell r="A49" t="str">
            <v>Term License Billings Water Fall (assume 12-month avg contract)</v>
          </cell>
          <cell r="Q49">
            <v>0.84293305362654602</v>
          </cell>
          <cell r="R49">
            <v>0.95751254946788011</v>
          </cell>
          <cell r="S49">
            <v>1.4089745447663655</v>
          </cell>
          <cell r="T49">
            <v>1.653923488071618</v>
          </cell>
          <cell r="V49">
            <v>2.1828403560341236</v>
          </cell>
          <cell r="W49">
            <v>2.5847633350986685</v>
          </cell>
          <cell r="X49">
            <v>2.9048062165573327</v>
          </cell>
          <cell r="Y49">
            <v>2.9629232853061094</v>
          </cell>
          <cell r="AA49">
            <v>2.9005387084470562</v>
          </cell>
          <cell r="AB49">
            <v>3.0757266490586739</v>
          </cell>
          <cell r="AC49">
            <v>3.6916610576812046</v>
          </cell>
          <cell r="AD49">
            <v>3.8941209128213465</v>
          </cell>
          <cell r="AF49">
            <v>4.9300528770289702</v>
          </cell>
          <cell r="AG49">
            <v>5.7090684705855459</v>
          </cell>
          <cell r="AH49">
            <v>6.3612343923359491</v>
          </cell>
          <cell r="AI49">
            <v>8.6032430712511356</v>
          </cell>
          <cell r="AK49">
            <v>10.524348742578709</v>
          </cell>
          <cell r="AL49">
            <v>11.121361917735923</v>
          </cell>
          <cell r="AM49">
            <v>11.659687743657859</v>
          </cell>
          <cell r="AN49">
            <v>12.24263468781027</v>
          </cell>
          <cell r="AP49">
            <v>13.234980401312633</v>
          </cell>
          <cell r="AQ49">
            <v>13.883898872799605</v>
          </cell>
          <cell r="AR49">
            <v>14.680333142302239</v>
          </cell>
          <cell r="AS49">
            <v>15.638675321998271</v>
          </cell>
          <cell r="AU49">
            <v>16.861222781921086</v>
          </cell>
          <cell r="AV49">
            <v>17.550465831369692</v>
          </cell>
          <cell r="AW49">
            <v>18.411408429892717</v>
          </cell>
          <cell r="AX49">
            <v>19.469412864355597</v>
          </cell>
        </row>
        <row r="50">
          <cell r="A50" t="str">
            <v>Estimated License Revenues</v>
          </cell>
          <cell r="K50">
            <v>14.948</v>
          </cell>
          <cell r="P50">
            <v>27.183</v>
          </cell>
          <cell r="Q50">
            <v>9.1790000000000003</v>
          </cell>
          <cell r="R50">
            <v>11.547000000000001</v>
          </cell>
          <cell r="S50">
            <v>11.529</v>
          </cell>
          <cell r="T50">
            <v>17.670999999999999</v>
          </cell>
          <cell r="U50">
            <v>49.925999999999995</v>
          </cell>
          <cell r="V50">
            <v>14.545999999999999</v>
          </cell>
          <cell r="W50">
            <v>18.765999999999998</v>
          </cell>
          <cell r="X50">
            <v>22.181999999999999</v>
          </cell>
          <cell r="Y50">
            <v>33</v>
          </cell>
          <cell r="Z50">
            <v>88.494</v>
          </cell>
          <cell r="AA50">
            <v>24.385999999999999</v>
          </cell>
          <cell r="AB50">
            <v>30.202999999999999</v>
          </cell>
          <cell r="AC50">
            <v>34.557000000000002</v>
          </cell>
          <cell r="AD50">
            <v>46.776000000000003</v>
          </cell>
          <cell r="AE50">
            <v>135.922</v>
          </cell>
          <cell r="AF50">
            <v>36.171999999999997</v>
          </cell>
          <cell r="AG50">
            <v>43.185000000000002</v>
          </cell>
          <cell r="AH50">
            <v>46.076338941434138</v>
          </cell>
          <cell r="AI50">
            <v>58.674795994416712</v>
          </cell>
          <cell r="AJ50">
            <v>184.10813493585084</v>
          </cell>
          <cell r="AK50">
            <v>44.51748360337281</v>
          </cell>
          <cell r="AL50">
            <v>57.771138377790685</v>
          </cell>
          <cell r="AM50">
            <v>61.065196283376608</v>
          </cell>
          <cell r="AN50">
            <v>77.274184542587747</v>
          </cell>
          <cell r="AO50">
            <v>240.62800280712787</v>
          </cell>
          <cell r="AP50">
            <v>62.05904788368408</v>
          </cell>
          <cell r="AQ50">
            <v>72.858368385271376</v>
          </cell>
          <cell r="AR50">
            <v>72.695723429704941</v>
          </cell>
          <cell r="AS50">
            <v>88.781638824878385</v>
          </cell>
          <cell r="AT50">
            <v>296.39477852353878</v>
          </cell>
        </row>
        <row r="51">
          <cell r="A51" t="str">
            <v xml:space="preserve">    YoY Growth</v>
          </cell>
          <cell r="P51">
            <v>0.81850414771206847</v>
          </cell>
          <cell r="U51">
            <v>0.83666262001986524</v>
          </cell>
          <cell r="V51">
            <v>0.58470421614554957</v>
          </cell>
          <cell r="W51">
            <v>0.62518403048410809</v>
          </cell>
          <cell r="X51">
            <v>0.92401769450949778</v>
          </cell>
          <cell r="Y51">
            <v>0.86746647048837078</v>
          </cell>
          <cell r="Z51">
            <v>0.77250330489123931</v>
          </cell>
          <cell r="AA51">
            <v>0.67647463220129245</v>
          </cell>
          <cell r="AB51">
            <v>0.60945326654588095</v>
          </cell>
          <cell r="AC51">
            <v>0.5578847714363</v>
          </cell>
          <cell r="AD51">
            <v>0.41745454545454552</v>
          </cell>
          <cell r="AE51">
            <v>0.53594593983772909</v>
          </cell>
          <cell r="AF51">
            <v>0.48331009595669649</v>
          </cell>
          <cell r="AG51">
            <v>0.42982485183591046</v>
          </cell>
          <cell r="AH51">
            <v>0.33334314151790179</v>
          </cell>
          <cell r="AI51">
            <v>0.2543782280318263</v>
          </cell>
          <cell r="AJ51">
            <v>0.35451313941709839</v>
          </cell>
          <cell r="AK51">
            <v>0.23071667597514134</v>
          </cell>
          <cell r="AL51">
            <v>0.33775936963738995</v>
          </cell>
          <cell r="AM51">
            <v>0.32530486766742106</v>
          </cell>
          <cell r="AN51">
            <v>0.31699110721988522</v>
          </cell>
          <cell r="AO51">
            <v>0.30699277840694195</v>
          </cell>
          <cell r="AP51">
            <v>0.39403764230245608</v>
          </cell>
          <cell r="AQ51">
            <v>0.26115514478559709</v>
          </cell>
          <cell r="AR51">
            <v>0.19046081654034475</v>
          </cell>
          <cell r="AS51">
            <v>0.14891718819690158</v>
          </cell>
          <cell r="AT51">
            <v>0.23175513683297289</v>
          </cell>
          <cell r="AU51">
            <v>5.4226826474755363</v>
          </cell>
          <cell r="AV51">
            <v>6.8018713130148285</v>
          </cell>
          <cell r="AW51">
            <v>8.519768807593465</v>
          </cell>
          <cell r="AX51">
            <v>11.638417976116386</v>
          </cell>
        </row>
        <row r="52">
          <cell r="A52" t="str">
            <v>EAA License Billings Water Fall (assume 36-month avg contract)</v>
          </cell>
          <cell r="AF52">
            <v>1.6659999999999999</v>
          </cell>
          <cell r="AG52">
            <v>1.6659999999999999</v>
          </cell>
          <cell r="AH52">
            <v>1.6659999999999999</v>
          </cell>
          <cell r="AI52">
            <v>2.4650415541309885</v>
          </cell>
          <cell r="AK52">
            <v>3.3361575176182017</v>
          </cell>
          <cell r="AL52">
            <v>3.6145712189041301</v>
          </cell>
          <cell r="AM52">
            <v>3.9665345996647576</v>
          </cell>
          <cell r="AN52">
            <v>4.4151191247337351</v>
          </cell>
          <cell r="AP52">
            <v>5.0517344993714621</v>
          </cell>
          <cell r="AQ52">
            <v>5.4142638970136279</v>
          </cell>
          <cell r="AR52">
            <v>5.8694646274950504</v>
          </cell>
          <cell r="AS52">
            <v>6.4422737251948039</v>
          </cell>
          <cell r="AU52">
            <v>4.771491355416102</v>
          </cell>
          <cell r="AV52">
            <v>5.2233635004302386</v>
          </cell>
          <cell r="AW52">
            <v>5.7901634369437645</v>
          </cell>
          <cell r="AX52">
            <v>6.5001157716805276</v>
          </cell>
        </row>
        <row r="53">
          <cell r="A53" t="str">
            <v>Services Forecasting Worksheet</v>
          </cell>
        </row>
        <row r="55">
          <cell r="A55" t="str">
            <v>Total Maintenance Billings</v>
          </cell>
          <cell r="K55">
            <v>14.948</v>
          </cell>
          <cell r="P55">
            <v>27.183</v>
          </cell>
          <cell r="Q55">
            <v>1.9308867974201589</v>
          </cell>
          <cell r="R55">
            <v>3.2382399391179266</v>
          </cell>
          <cell r="S55">
            <v>4.1031442554163267</v>
          </cell>
          <cell r="T55">
            <v>5.9635012198415041</v>
          </cell>
          <cell r="U55">
            <v>15.235772211795917</v>
          </cell>
          <cell r="V55">
            <v>5.6751121835695573</v>
          </cell>
          <cell r="W55">
            <v>7.774089198914055</v>
          </cell>
          <cell r="X55">
            <v>10.081677652212189</v>
          </cell>
          <cell r="Y55">
            <v>12.209639324512221</v>
          </cell>
          <cell r="Z55">
            <v>35.740518359208025</v>
          </cell>
          <cell r="AA55">
            <v>12.545058773536017</v>
          </cell>
          <cell r="AB55">
            <v>13.951684878383936</v>
          </cell>
          <cell r="AC55">
            <v>16.766873072775475</v>
          </cell>
          <cell r="AD55">
            <v>39.202359095196947</v>
          </cell>
          <cell r="AE55">
            <v>82.465975819892378</v>
          </cell>
          <cell r="AF55">
            <v>14.889537234558324</v>
          </cell>
          <cell r="AG55">
            <v>22.229583663315694</v>
          </cell>
          <cell r="AH55">
            <v>25.227856723779766</v>
          </cell>
          <cell r="AI55">
            <v>50.659088483348938</v>
          </cell>
          <cell r="AJ55">
            <v>113.00606610500273</v>
          </cell>
          <cell r="AK55">
            <v>24.832243144641218</v>
          </cell>
          <cell r="AL55">
            <v>34.048630608502414</v>
          </cell>
          <cell r="AM55">
            <v>35.784331253925856</v>
          </cell>
          <cell r="AN55">
            <v>66.059943743338067</v>
          </cell>
          <cell r="AO55">
            <v>160.72514875040756</v>
          </cell>
          <cell r="AP55">
            <v>35.538779567912201</v>
          </cell>
          <cell r="AQ55">
            <v>47.315296280083338</v>
          </cell>
          <cell r="AR55">
            <v>47.234487050701766</v>
          </cell>
          <cell r="AS55">
            <v>82.459315437507527</v>
          </cell>
          <cell r="AT55">
            <v>212.54787833620486</v>
          </cell>
          <cell r="AU55">
            <v>76.827876799141748</v>
          </cell>
          <cell r="AV55">
            <v>92.007162339272284</v>
          </cell>
          <cell r="AW55">
            <v>106.35648536863062</v>
          </cell>
          <cell r="AX55">
            <v>125.72739700274801</v>
          </cell>
          <cell r="AY55">
            <v>400.91892150979265</v>
          </cell>
        </row>
        <row r="56">
          <cell r="A56" t="str">
            <v xml:space="preserve">   YoY Growth</v>
          </cell>
          <cell r="B56" t="str">
            <v/>
          </cell>
          <cell r="C56" t="str">
            <v/>
          </cell>
          <cell r="D56" t="str">
            <v/>
          </cell>
          <cell r="E56" t="str">
            <v/>
          </cell>
          <cell r="F56" t="str">
            <v/>
          </cell>
          <cell r="K56" t="str">
            <v/>
          </cell>
          <cell r="L56" t="str">
            <v/>
          </cell>
          <cell r="M56" t="str">
            <v/>
          </cell>
          <cell r="N56" t="str">
            <v/>
          </cell>
          <cell r="O56" t="str">
            <v/>
          </cell>
          <cell r="P56" t="str">
            <v/>
          </cell>
          <cell r="Q56" t="str">
            <v/>
          </cell>
          <cell r="R56" t="str">
            <v/>
          </cell>
          <cell r="S56" t="str">
            <v/>
          </cell>
          <cell r="T56" t="str">
            <v/>
          </cell>
          <cell r="U56" t="str">
            <v/>
          </cell>
          <cell r="V56">
            <v>1.9391221645681278</v>
          </cell>
          <cell r="W56">
            <v>1.4007143834535194</v>
          </cell>
          <cell r="X56">
            <v>1.4570614691169927</v>
          </cell>
          <cell r="Y56">
            <v>1.0473944540983466</v>
          </cell>
          <cell r="Z56">
            <v>1.3458291356926968</v>
          </cell>
          <cell r="AA56">
            <v>1.2105393457870588</v>
          </cell>
          <cell r="AB56">
            <v>0.79463915597119938</v>
          </cell>
          <cell r="AC56">
            <v>0.6631034686073678</v>
          </cell>
          <cell r="AD56">
            <v>2.2107712646755924</v>
          </cell>
          <cell r="AE56">
            <v>1.3073525400799402</v>
          </cell>
          <cell r="AF56">
            <v>0.18688461356339103</v>
          </cell>
          <cell r="AG56">
            <v>0.5933261005455428</v>
          </cell>
          <cell r="AH56">
            <v>0.50462501948216376</v>
          </cell>
          <cell r="AI56">
            <v>0.29224591714827852</v>
          </cell>
          <cell r="AJ56">
            <v>0.37033564426389165</v>
          </cell>
          <cell r="AK56">
            <v>0.66776460231457491</v>
          </cell>
          <cell r="AL56">
            <v>0.53168098531197727</v>
          </cell>
          <cell r="AM56">
            <v>0.41844515948100991</v>
          </cell>
          <cell r="AN56">
            <v>0.30400971910600427</v>
          </cell>
          <cell r="AO56">
            <v>0.42227009832432638</v>
          </cell>
          <cell r="AP56">
            <v>0.43115462267779248</v>
          </cell>
          <cell r="AQ56">
            <v>0.3896387441869118</v>
          </cell>
          <cell r="AR56">
            <v>0.31997679977657056</v>
          </cell>
          <cell r="AS56">
            <v>0.24824985861153248</v>
          </cell>
          <cell r="AT56">
            <v>0.32243074583351961</v>
          </cell>
          <cell r="AU56">
            <v>0.22789313391353683</v>
          </cell>
          <cell r="AV56">
            <v>0.22840159528722781</v>
          </cell>
          <cell r="AW56">
            <v>0.22481626623960449</v>
          </cell>
          <cell r="AX56">
            <v>0.21049278525102255</v>
          </cell>
          <cell r="AY56">
            <v>0.22168784995313628</v>
          </cell>
        </row>
        <row r="57">
          <cell r="A57" t="str">
            <v xml:space="preserve">   QoQ Growth</v>
          </cell>
          <cell r="L57" t="str">
            <v/>
          </cell>
          <cell r="M57" t="str">
            <v/>
          </cell>
          <cell r="N57" t="str">
            <v/>
          </cell>
          <cell r="O57" t="str">
            <v/>
          </cell>
          <cell r="Q57" t="str">
            <v/>
          </cell>
          <cell r="R57">
            <v>0.6770739452175607</v>
          </cell>
          <cell r="S57">
            <v>0.2670908680516102</v>
          </cell>
          <cell r="T57">
            <v>0.45339789405878839</v>
          </cell>
          <cell r="V57">
            <v>-4.8359013546007357E-2</v>
          </cell>
          <cell r="W57">
            <v>0.36985647991618631</v>
          </cell>
          <cell r="X57">
            <v>0.29683071473124789</v>
          </cell>
          <cell r="Y57">
            <v>0.21107217922535937</v>
          </cell>
          <cell r="AA57">
            <v>2.7471691841904233E-2</v>
          </cell>
          <cell r="AB57">
            <v>0.11212590791644739</v>
          </cell>
          <cell r="AC57">
            <v>0.20178123423309646</v>
          </cell>
          <cell r="AD57">
            <v>1.3380840855084766</v>
          </cell>
          <cell r="AF57">
            <v>-0.62018772394790433</v>
          </cell>
          <cell r="AG57">
            <v>0.49296672644205941</v>
          </cell>
          <cell r="AH57">
            <v>0.13487760751056999</v>
          </cell>
          <cell r="AI57">
            <v>1.0080615265107995</v>
          </cell>
          <cell r="AK57">
            <v>-0.50981662149718132</v>
          </cell>
          <cell r="AL57">
            <v>0.3711459899203704</v>
          </cell>
          <cell r="AM57">
            <v>5.0977105816115031E-2</v>
          </cell>
          <cell r="AN57">
            <v>0.84605779760354505</v>
          </cell>
          <cell r="AP57">
            <v>-0.46202225502960448</v>
          </cell>
          <cell r="AQ57">
            <v>0.33137088148080629</v>
          </cell>
          <cell r="AR57">
            <v>-1.7078880559728837E-3</v>
          </cell>
          <cell r="AS57">
            <v>0.74574385340514504</v>
          </cell>
        </row>
        <row r="58">
          <cell r="A58" t="str">
            <v xml:space="preserve">   Renewal Rate</v>
          </cell>
          <cell r="Y58">
            <v>0.85</v>
          </cell>
          <cell r="AA58">
            <v>0.88</v>
          </cell>
          <cell r="AB58">
            <v>0.91</v>
          </cell>
          <cell r="AC58">
            <v>0.91</v>
          </cell>
          <cell r="AD58">
            <v>0.92</v>
          </cell>
          <cell r="AF58">
            <v>0.93</v>
          </cell>
          <cell r="AG58">
            <v>0.94</v>
          </cell>
          <cell r="AH58">
            <v>0.88</v>
          </cell>
          <cell r="AI58">
            <v>0.88</v>
          </cell>
          <cell r="AK58">
            <v>0.93</v>
          </cell>
          <cell r="AL58">
            <v>0.94</v>
          </cell>
          <cell r="AM58">
            <v>0.9</v>
          </cell>
          <cell r="AN58">
            <v>0.9</v>
          </cell>
          <cell r="AP58">
            <v>0.93</v>
          </cell>
          <cell r="AQ58">
            <v>0.94</v>
          </cell>
          <cell r="AR58">
            <v>0.9</v>
          </cell>
          <cell r="AS58">
            <v>0.9</v>
          </cell>
        </row>
        <row r="59">
          <cell r="A59" t="str">
            <v xml:space="preserve">   Annual Maintenance, % of License Rev.</v>
          </cell>
          <cell r="Y59">
            <v>0.25</v>
          </cell>
          <cell r="AH59">
            <v>0.2</v>
          </cell>
          <cell r="AI59">
            <v>0.2</v>
          </cell>
          <cell r="AK59">
            <v>0.2</v>
          </cell>
          <cell r="AL59">
            <v>0.2</v>
          </cell>
          <cell r="AM59">
            <v>0.2</v>
          </cell>
          <cell r="AN59">
            <v>0.2</v>
          </cell>
          <cell r="AP59">
            <v>0.2</v>
          </cell>
          <cell r="AQ59">
            <v>0.2</v>
          </cell>
          <cell r="AR59">
            <v>0.2</v>
          </cell>
          <cell r="AS59">
            <v>0.2</v>
          </cell>
        </row>
        <row r="60">
          <cell r="A60" t="str">
            <v>Total Maintenance Billings</v>
          </cell>
          <cell r="Q60">
            <v>1.9308867974201589</v>
          </cell>
          <cell r="R60">
            <v>3.2382399391179266</v>
          </cell>
          <cell r="S60">
            <v>4.1031442554163267</v>
          </cell>
          <cell r="T60">
            <v>5.9635012198415041</v>
          </cell>
          <cell r="U60">
            <v>15.235772211795917</v>
          </cell>
          <cell r="V60">
            <v>5.6751121835695573</v>
          </cell>
          <cell r="W60">
            <v>7.774089198914055</v>
          </cell>
          <cell r="X60">
            <v>10.081677652212189</v>
          </cell>
          <cell r="Y60">
            <v>12.209639324512221</v>
          </cell>
          <cell r="Z60">
            <v>35.740518359208025</v>
          </cell>
          <cell r="AA60">
            <v>12.545058773536017</v>
          </cell>
          <cell r="AB60">
            <v>13.951684878383936</v>
          </cell>
          <cell r="AC60">
            <v>16.766873072775475</v>
          </cell>
          <cell r="AD60">
            <v>19.202359095196947</v>
          </cell>
          <cell r="AE60">
            <v>62.465975819892371</v>
          </cell>
          <cell r="AF60">
            <v>16.872870567891653</v>
          </cell>
          <cell r="AG60">
            <v>24.164543012909185</v>
          </cell>
          <cell r="AH60">
            <v>19.901226107964106</v>
          </cell>
          <cell r="AI60">
            <v>34.699383744493588</v>
          </cell>
          <cell r="AJ60">
            <v>95.638023433258525</v>
          </cell>
          <cell r="AK60">
            <v>24.731577966398255</v>
          </cell>
          <cell r="AL60">
            <v>33.815887335356152</v>
          </cell>
          <cell r="AM60">
            <v>33.291759582918921</v>
          </cell>
          <cell r="AN60">
            <v>53.057131322204384</v>
          </cell>
          <cell r="AO60">
            <v>144.89635620687773</v>
          </cell>
          <cell r="AP60">
            <v>34.688496720551861</v>
          </cell>
          <cell r="AQ60">
            <v>46.041805090014563</v>
          </cell>
          <cell r="AR60">
            <v>49.602538286805064</v>
          </cell>
          <cell r="AS60">
            <v>75.012648408467726</v>
          </cell>
          <cell r="AT60">
            <v>205.34548850583923</v>
          </cell>
          <cell r="AU60">
            <v>46.713026041283925</v>
          </cell>
          <cell r="AV60">
            <v>60.871542618198333</v>
          </cell>
          <cell r="AW60">
            <v>68.984481051248736</v>
          </cell>
          <cell r="AX60">
            <v>100.7640063565249</v>
          </cell>
          <cell r="AY60">
            <v>277.33305606725594</v>
          </cell>
        </row>
        <row r="61">
          <cell r="A61" t="str">
            <v>Total Pro Services Billings</v>
          </cell>
          <cell r="B61" t="str">
            <v/>
          </cell>
          <cell r="C61" t="str">
            <v/>
          </cell>
          <cell r="D61" t="str">
            <v/>
          </cell>
          <cell r="E61" t="str">
            <v/>
          </cell>
          <cell r="F61" t="str">
            <v/>
          </cell>
          <cell r="K61" t="str">
            <v/>
          </cell>
          <cell r="L61" t="str">
            <v/>
          </cell>
          <cell r="M61" t="str">
            <v/>
          </cell>
          <cell r="N61" t="str">
            <v/>
          </cell>
          <cell r="O61" t="str">
            <v/>
          </cell>
          <cell r="P61" t="str">
            <v/>
          </cell>
          <cell r="Q61">
            <v>0.7446600000000001</v>
          </cell>
          <cell r="R61">
            <v>1.0909799999999998</v>
          </cell>
          <cell r="S61">
            <v>1.06002</v>
          </cell>
          <cell r="T61">
            <v>1.44875</v>
          </cell>
          <cell r="U61">
            <v>4.3444099999999999</v>
          </cell>
          <cell r="V61">
            <v>1.6247</v>
          </cell>
          <cell r="W61">
            <v>2.1947100000000002</v>
          </cell>
          <cell r="X61">
            <v>2.6222000000000003</v>
          </cell>
          <cell r="Y61">
            <v>4.1366500000000004</v>
          </cell>
          <cell r="Z61">
            <v>10.57826</v>
          </cell>
          <cell r="AA61">
            <v>3.0567600000000001</v>
          </cell>
          <cell r="AB61">
            <v>3.1805399999999997</v>
          </cell>
          <cell r="AC61">
            <v>5.250869999999999</v>
          </cell>
          <cell r="AD61">
            <v>5.2985500000000005</v>
          </cell>
          <cell r="AE61">
            <v>16.786719999999999</v>
          </cell>
          <cell r="AF61">
            <v>4.1882400000000022</v>
          </cell>
          <cell r="AG61">
            <v>4.6302599999999989</v>
          </cell>
          <cell r="AH61">
            <v>5.1338099217685516</v>
          </cell>
          <cell r="AI61">
            <v>6.6585052248282439</v>
          </cell>
          <cell r="AJ61">
            <v>20.610815146596796</v>
          </cell>
          <cell r="AK61">
            <v>5.5610011114853748</v>
          </cell>
          <cell r="AL61">
            <v>6.1364851279416506</v>
          </cell>
          <cell r="AM61">
            <v>6.5580205418774318</v>
          </cell>
          <cell r="AN61">
            <v>8.3865060777120188</v>
          </cell>
          <cell r="AO61">
            <v>26.642012859016475</v>
          </cell>
          <cell r="AP61">
            <v>6.7421094283432668</v>
          </cell>
          <cell r="AQ61">
            <v>7.0559186537439942</v>
          </cell>
          <cell r="AR61">
            <v>7.5845431075648921</v>
          </cell>
          <cell r="AS61">
            <v>9.5084887476679398</v>
          </cell>
          <cell r="AT61">
            <v>30.891059937320094</v>
          </cell>
          <cell r="AU61">
            <v>0.3466431369915175</v>
          </cell>
          <cell r="AV61">
            <v>0.32209287840019996</v>
          </cell>
          <cell r="AW61">
            <v>0.39074497866169744</v>
          </cell>
          <cell r="AX61">
            <v>0.34329354441444115</v>
          </cell>
          <cell r="AY61">
            <v>0.35056805038777195</v>
          </cell>
        </row>
        <row r="62">
          <cell r="A62" t="str">
            <v xml:space="preserve">   YoY Growth</v>
          </cell>
          <cell r="B62" t="str">
            <v/>
          </cell>
          <cell r="C62" t="str">
            <v/>
          </cell>
          <cell r="D62" t="str">
            <v/>
          </cell>
          <cell r="E62" t="str">
            <v/>
          </cell>
          <cell r="F62" t="str">
            <v/>
          </cell>
          <cell r="K62" t="str">
            <v/>
          </cell>
          <cell r="L62" t="str">
            <v/>
          </cell>
          <cell r="M62" t="str">
            <v/>
          </cell>
          <cell r="N62" t="str">
            <v/>
          </cell>
          <cell r="O62" t="str">
            <v/>
          </cell>
          <cell r="P62" t="str">
            <v/>
          </cell>
          <cell r="Q62" t="str">
            <v/>
          </cell>
          <cell r="R62" t="str">
            <v/>
          </cell>
          <cell r="S62" t="str">
            <v/>
          </cell>
          <cell r="T62" t="str">
            <v/>
          </cell>
          <cell r="U62" t="str">
            <v/>
          </cell>
          <cell r="V62">
            <v>1.1818010904305316</v>
          </cell>
          <cell r="W62">
            <v>1.0116867403618768</v>
          </cell>
          <cell r="X62">
            <v>1.4737269108130038</v>
          </cell>
          <cell r="Y62">
            <v>1.8553235547886113</v>
          </cell>
          <cell r="Z62">
            <v>1.4349129110742314</v>
          </cell>
          <cell r="AA62">
            <v>0.88143041792330901</v>
          </cell>
          <cell r="AB62">
            <v>0.44918463031562239</v>
          </cell>
          <cell r="AC62">
            <v>1.0024673937914721</v>
          </cell>
          <cell r="AD62">
            <v>0.28087945559812888</v>
          </cell>
          <cell r="AE62">
            <v>0.58690748762083733</v>
          </cell>
          <cell r="AF62">
            <v>0.37015663643858265</v>
          </cell>
          <cell r="AG62">
            <v>0.45580939085815597</v>
          </cell>
          <cell r="AH62">
            <v>-2.2293463413005421E-2</v>
          </cell>
          <cell r="AI62">
            <v>0.25666554525827689</v>
          </cell>
          <cell r="AJ62">
            <v>0.22780478536586046</v>
          </cell>
          <cell r="AK62">
            <v>0.32776562744383608</v>
          </cell>
          <cell r="AL62">
            <v>0.32530033474181841</v>
          </cell>
          <cell r="AM62">
            <v>0.2774178712908506</v>
          </cell>
          <cell r="AN62">
            <v>0.25951783388866367</v>
          </cell>
          <cell r="AO62">
            <v>0.29262295884573652</v>
          </cell>
          <cell r="AP62">
            <v>0.21239131105701414</v>
          </cell>
          <cell r="AQ62">
            <v>0.14983064517109779</v>
          </cell>
          <cell r="AR62">
            <v>0.15652933063146324</v>
          </cell>
          <cell r="AS62">
            <v>0.13378427912163593</v>
          </cell>
          <cell r="AT62">
            <v>0.15948671374000978</v>
          </cell>
          <cell r="AU62">
            <v>-0.37726467425977761</v>
          </cell>
          <cell r="AV62">
            <v>0.303095683940523</v>
          </cell>
          <cell r="AW62">
            <v>0.13327965883724691</v>
          </cell>
          <cell r="AX62">
            <v>0.46067644230978666</v>
          </cell>
        </row>
        <row r="63">
          <cell r="A63" t="str">
            <v xml:space="preserve">   QoQ Growth</v>
          </cell>
          <cell r="L63" t="str">
            <v/>
          </cell>
          <cell r="M63" t="str">
            <v/>
          </cell>
          <cell r="N63" t="str">
            <v/>
          </cell>
          <cell r="O63" t="str">
            <v/>
          </cell>
          <cell r="Q63" t="str">
            <v/>
          </cell>
          <cell r="R63">
            <v>0.46507130771090122</v>
          </cell>
          <cell r="S63">
            <v>-2.8378155419897633E-2</v>
          </cell>
          <cell r="T63">
            <v>0.36671949585856867</v>
          </cell>
          <cell r="V63">
            <v>0.12144952545297683</v>
          </cell>
          <cell r="W63">
            <v>0.35084015510555799</v>
          </cell>
          <cell r="X63">
            <v>0.19478199853283584</v>
          </cell>
          <cell r="Y63">
            <v>0.57754938601174577</v>
          </cell>
          <cell r="AA63">
            <v>-0.26105423470682798</v>
          </cell>
          <cell r="AB63">
            <v>4.0493856239940174E-2</v>
          </cell>
          <cell r="AC63">
            <v>0.65093663340187491</v>
          </cell>
          <cell r="AD63">
            <v>9.0804000099033999E-3</v>
          </cell>
          <cell r="AF63">
            <v>-0.20954978248766143</v>
          </cell>
          <cell r="AG63">
            <v>0.10553836456363452</v>
          </cell>
          <cell r="AH63">
            <v>0.10875197543303239</v>
          </cell>
          <cell r="AI63">
            <v>0.29699099232221826</v>
          </cell>
          <cell r="AK63">
            <v>-0.16482740138890251</v>
          </cell>
          <cell r="AL63">
            <v>0.10348568628546095</v>
          </cell>
          <cell r="AM63">
            <v>6.8693300015733261E-2</v>
          </cell>
          <cell r="AN63">
            <v>0.27881668319860542</v>
          </cell>
          <cell r="AP63">
            <v>-0.19607648693404056</v>
          </cell>
          <cell r="AQ63">
            <v>4.6544665098655846E-2</v>
          </cell>
          <cell r="AR63">
            <v>7.4919295383373052E-2</v>
          </cell>
          <cell r="AS63">
            <v>0.25366664976616549</v>
          </cell>
          <cell r="AU63">
            <v>0.9</v>
          </cell>
          <cell r="AV63">
            <v>0.9</v>
          </cell>
          <cell r="AW63">
            <v>0.9</v>
          </cell>
          <cell r="AX63">
            <v>0.9</v>
          </cell>
        </row>
        <row r="64">
          <cell r="A64" t="str">
            <v xml:space="preserve">   % of Total Billings</v>
          </cell>
          <cell r="Q64">
            <v>0.06</v>
          </cell>
          <cell r="R64">
            <v>0.06</v>
          </cell>
          <cell r="S64">
            <v>0.06</v>
          </cell>
          <cell r="T64">
            <v>0.05</v>
          </cell>
          <cell r="U64">
            <v>5.6248511057020049E-2</v>
          </cell>
          <cell r="V64">
            <v>7.0000000000000007E-2</v>
          </cell>
          <cell r="W64">
            <v>7.0000000000000007E-2</v>
          </cell>
          <cell r="X64">
            <v>7.0000000000000007E-2</v>
          </cell>
          <cell r="Y64">
            <v>7.0000000000000007E-2</v>
          </cell>
          <cell r="Z64">
            <v>7.0000000000000007E-2</v>
          </cell>
          <cell r="AA64">
            <v>7.0000000000000007E-2</v>
          </cell>
          <cell r="AB64">
            <v>0.06</v>
          </cell>
          <cell r="AC64">
            <v>0.09</v>
          </cell>
          <cell r="AD64">
            <v>0.05</v>
          </cell>
          <cell r="AE64">
            <v>6.4319152767719961E-2</v>
          </cell>
          <cell r="AF64">
            <v>7.0000000000000007E-2</v>
          </cell>
          <cell r="AG64">
            <v>0.06</v>
          </cell>
          <cell r="AH64">
            <v>6.2057466079554521E-2</v>
          </cell>
          <cell r="AI64">
            <v>4.8207190713995644E-2</v>
          </cell>
          <cell r="AJ64">
            <v>5.759586122958682E-2</v>
          </cell>
          <cell r="AK64">
            <v>6.5179608311104989E-2</v>
          </cell>
          <cell r="AL64">
            <v>5.7919112626142015E-2</v>
          </cell>
          <cell r="AM64">
            <v>6.0869709903822837E-2</v>
          </cell>
          <cell r="AN64">
            <v>4.7440283129485228E-2</v>
          </cell>
          <cell r="AO64">
            <v>5.59957591609248E-2</v>
          </cell>
          <cell r="AP64">
            <v>6.4514795509468648E-2</v>
          </cell>
          <cell r="AQ64">
            <v>5.3895244494765002E-2</v>
          </cell>
          <cell r="AR64">
            <v>5.8359709607672679E-2</v>
          </cell>
          <cell r="AS64">
            <v>4.593591891579147E-2</v>
          </cell>
          <cell r="AT64">
            <v>5.3969439296344596E-2</v>
          </cell>
          <cell r="AU64">
            <v>0.2</v>
          </cell>
          <cell r="AV64">
            <v>0.2</v>
          </cell>
          <cell r="AW64">
            <v>0.2</v>
          </cell>
          <cell r="AX64">
            <v>0.2</v>
          </cell>
        </row>
        <row r="65">
          <cell r="A65" t="str">
            <v xml:space="preserve">   % of Last 2Q's License Billings</v>
          </cell>
          <cell r="Q65">
            <v>3.973393996182828E-2</v>
          </cell>
          <cell r="R65">
            <v>4.6249065741778568E-2</v>
          </cell>
          <cell r="S65">
            <v>4.0216839331127394E-2</v>
          </cell>
          <cell r="T65">
            <v>4.2527010565082901E-2</v>
          </cell>
          <cell r="V65">
            <v>4.3356623407728667E-2</v>
          </cell>
          <cell r="W65">
            <v>5.8848263273826439E-2</v>
          </cell>
          <cell r="X65">
            <v>5.6830984723261653E-2</v>
          </cell>
          <cell r="Y65">
            <v>6.127931608354157E-2</v>
          </cell>
          <cell r="AA65">
            <v>4.3165496944234563E-2</v>
          </cell>
          <cell r="AB65">
            <v>4.974027135508724E-2</v>
          </cell>
          <cell r="AC65">
            <v>7.2724684486000113E-2</v>
          </cell>
          <cell r="AD65">
            <v>5.4179980106014276E-2</v>
          </cell>
          <cell r="AF65">
            <v>4.0971074782760873E-2</v>
          </cell>
          <cell r="AG65">
            <v>5.0845448024845495E-2</v>
          </cell>
          <cell r="AH65">
            <v>0.05</v>
          </cell>
          <cell r="AI65">
            <v>0.05</v>
          </cell>
          <cell r="AK65">
            <v>4.0971074782760873E-2</v>
          </cell>
          <cell r="AL65">
            <v>5.0845448024845495E-2</v>
          </cell>
          <cell r="AM65">
            <v>0.05</v>
          </cell>
          <cell r="AN65">
            <v>0.05</v>
          </cell>
          <cell r="AP65">
            <v>4.0971074782760873E-2</v>
          </cell>
          <cell r="AQ65">
            <v>5.0845448024845495E-2</v>
          </cell>
          <cell r="AR65">
            <v>0.05</v>
          </cell>
          <cell r="AS65">
            <v>0.05</v>
          </cell>
        </row>
        <row r="66">
          <cell r="A66" t="str">
            <v>Total Pro Services Billings</v>
          </cell>
          <cell r="Q66">
            <v>0.7446600000000001</v>
          </cell>
          <cell r="R66">
            <v>1.0909799999999998</v>
          </cell>
          <cell r="S66">
            <v>1.06002</v>
          </cell>
          <cell r="T66">
            <v>1.44875</v>
          </cell>
          <cell r="U66">
            <v>4.3444099999999999</v>
          </cell>
          <cell r="V66">
            <v>1.6247</v>
          </cell>
          <cell r="W66">
            <v>2.1947100000000002</v>
          </cell>
          <cell r="X66">
            <v>2.6222000000000003</v>
          </cell>
          <cell r="Y66">
            <v>4.1366500000000004</v>
          </cell>
          <cell r="Z66">
            <v>10.57826</v>
          </cell>
          <cell r="AA66">
            <v>3.0567600000000001</v>
          </cell>
          <cell r="AB66">
            <v>3.1805399999999997</v>
          </cell>
          <cell r="AC66">
            <v>5.250869999999999</v>
          </cell>
          <cell r="AD66">
            <v>5.2985500000000005</v>
          </cell>
          <cell r="AE66">
            <v>16.786719999999999</v>
          </cell>
          <cell r="AF66">
            <v>4.1882400000000022</v>
          </cell>
          <cell r="AG66">
            <v>4.6302599999999989</v>
          </cell>
          <cell r="AH66">
            <v>8.2928700000000006</v>
          </cell>
          <cell r="AI66">
            <v>7.551760334305877</v>
          </cell>
          <cell r="AJ66">
            <v>24.663130334305876</v>
          </cell>
          <cell r="AK66">
            <v>4.6959274144257046</v>
          </cell>
          <cell r="AL66">
            <v>5.7418719118576576</v>
          </cell>
          <cell r="AM66">
            <v>10.13248440576209</v>
          </cell>
          <cell r="AN66">
            <v>9.3020855094778465</v>
          </cell>
          <cell r="AO66">
            <v>29.872369241523302</v>
          </cell>
          <cell r="AP66">
            <v>5.9663407111013536</v>
          </cell>
          <cell r="AQ66">
            <v>7.4484015803826917</v>
          </cell>
          <cell r="AR66">
            <v>13.011455625783656</v>
          </cell>
          <cell r="AS66">
            <v>11.725296220165456</v>
          </cell>
          <cell r="AT66">
            <v>38.151494137433154</v>
          </cell>
          <cell r="AU66">
            <v>7.4461537148680508</v>
          </cell>
          <cell r="AV66">
            <v>9.2787075845585338</v>
          </cell>
          <cell r="AW66">
            <v>16.159773055753188</v>
          </cell>
          <cell r="AX66">
            <v>14.398704845507035</v>
          </cell>
          <cell r="AY66">
            <v>47.283339200686804</v>
          </cell>
        </row>
        <row r="67">
          <cell r="A67" t="str">
            <v>Maintenance Waterfall</v>
          </cell>
          <cell r="B67" t="str">
            <v/>
          </cell>
          <cell r="C67" t="str">
            <v/>
          </cell>
          <cell r="D67" t="str">
            <v/>
          </cell>
          <cell r="E67" t="str">
            <v/>
          </cell>
          <cell r="F67" t="str">
            <v/>
          </cell>
          <cell r="K67" t="str">
            <v/>
          </cell>
          <cell r="L67" t="str">
            <v/>
          </cell>
          <cell r="M67" t="str">
            <v/>
          </cell>
          <cell r="N67" t="str">
            <v/>
          </cell>
          <cell r="O67" t="str">
            <v/>
          </cell>
          <cell r="P67" t="str">
            <v/>
          </cell>
          <cell r="Q67" t="str">
            <v/>
          </cell>
          <cell r="R67" t="str">
            <v/>
          </cell>
          <cell r="S67" t="str">
            <v/>
          </cell>
          <cell r="T67" t="str">
            <v/>
          </cell>
          <cell r="U67" t="str">
            <v/>
          </cell>
          <cell r="V67">
            <v>1.1818010904305316</v>
          </cell>
          <cell r="W67">
            <v>1.0116867403618768</v>
          </cell>
          <cell r="X67">
            <v>1.4737269108130038</v>
          </cell>
          <cell r="Y67">
            <v>1.8553235547886113</v>
          </cell>
          <cell r="Z67">
            <v>1.4349129110742314</v>
          </cell>
          <cell r="AA67">
            <v>0.88143041792330901</v>
          </cell>
          <cell r="AB67">
            <v>0.44918463031562239</v>
          </cell>
          <cell r="AC67">
            <v>1.0024673937914721</v>
          </cell>
          <cell r="AD67">
            <v>0.28087945559812888</v>
          </cell>
          <cell r="AE67">
            <v>0.58690748762083733</v>
          </cell>
          <cell r="AF67">
            <v>0.37015663643858265</v>
          </cell>
          <cell r="AG67">
            <v>0.45580939085815597</v>
          </cell>
          <cell r="AH67">
            <v>0.5793325677459169</v>
          </cell>
          <cell r="AI67">
            <v>0.42525036742238465</v>
          </cell>
          <cell r="AJ67">
            <v>0.46920484372801097</v>
          </cell>
          <cell r="AK67">
            <v>0.12121736443606435</v>
          </cell>
          <cell r="AL67">
            <v>0.24007548428331438</v>
          </cell>
          <cell r="AM67">
            <v>0.22183085056947593</v>
          </cell>
          <cell r="AN67">
            <v>0.2317771086061422</v>
          </cell>
          <cell r="AO67">
            <v>0.21121564199705367</v>
          </cell>
          <cell r="AP67">
            <v>0.27053512215137498</v>
          </cell>
          <cell r="AQ67">
            <v>0.29720789573881734</v>
          </cell>
          <cell r="AR67">
            <v>0.2841328054138792</v>
          </cell>
          <cell r="AS67">
            <v>0.26050187436125083</v>
          </cell>
          <cell r="AT67">
            <v>0.27714992503512814</v>
          </cell>
          <cell r="AU67">
            <v>0.24802690215348622</v>
          </cell>
          <cell r="AV67">
            <v>0.24573138067587963</v>
          </cell>
          <cell r="AW67">
            <v>0.24196504376733907</v>
          </cell>
          <cell r="AX67">
            <v>0.22800350414548887</v>
          </cell>
          <cell r="AY67">
            <v>0.23935746868413577</v>
          </cell>
        </row>
        <row r="68">
          <cell r="A68" t="str">
            <v>Intraquarter Seasaonality</v>
          </cell>
          <cell r="B68">
            <v>0.5</v>
          </cell>
          <cell r="C68">
            <v>0.5</v>
          </cell>
          <cell r="D68">
            <v>0.5</v>
          </cell>
          <cell r="E68">
            <v>0.5</v>
          </cell>
          <cell r="G68">
            <v>0.5</v>
          </cell>
          <cell r="H68">
            <v>0.5</v>
          </cell>
          <cell r="I68">
            <v>0.5</v>
          </cell>
          <cell r="J68">
            <v>0.5</v>
          </cell>
          <cell r="L68">
            <v>0.5</v>
          </cell>
          <cell r="M68">
            <v>0.5</v>
          </cell>
          <cell r="N68">
            <v>0.5</v>
          </cell>
          <cell r="O68">
            <v>0.5</v>
          </cell>
          <cell r="Q68">
            <v>0.1</v>
          </cell>
          <cell r="R68">
            <v>0.1</v>
          </cell>
          <cell r="S68">
            <v>0.1</v>
          </cell>
          <cell r="T68">
            <v>0.1</v>
          </cell>
          <cell r="V68">
            <v>0.1</v>
          </cell>
          <cell r="W68">
            <v>0.1</v>
          </cell>
          <cell r="X68">
            <v>0.1</v>
          </cell>
          <cell r="Y68">
            <v>0.1</v>
          </cell>
          <cell r="AA68">
            <v>0.1</v>
          </cell>
          <cell r="AB68">
            <v>0.1</v>
          </cell>
          <cell r="AC68">
            <v>0.1</v>
          </cell>
          <cell r="AD68">
            <v>0.1</v>
          </cell>
          <cell r="AF68">
            <v>0.1</v>
          </cell>
          <cell r="AG68">
            <v>0.1</v>
          </cell>
          <cell r="AH68">
            <v>0.1</v>
          </cell>
          <cell r="AI68">
            <v>0.1</v>
          </cell>
          <cell r="AK68">
            <v>0.1</v>
          </cell>
          <cell r="AL68">
            <v>0.1</v>
          </cell>
          <cell r="AM68">
            <v>0.1</v>
          </cell>
          <cell r="AN68">
            <v>0.1</v>
          </cell>
          <cell r="AP68">
            <v>0.1</v>
          </cell>
          <cell r="AQ68">
            <v>0.1</v>
          </cell>
          <cell r="AR68">
            <v>0.1</v>
          </cell>
          <cell r="AS68">
            <v>0.1</v>
          </cell>
          <cell r="AU68">
            <v>-0.36494962898575045</v>
          </cell>
          <cell r="AV68">
            <v>0.2461074455166492</v>
          </cell>
          <cell r="AW68">
            <v>0.74159740551000941</v>
          </cell>
          <cell r="AX68">
            <v>-0.10897852365687644</v>
          </cell>
        </row>
        <row r="69">
          <cell r="A69" t="str">
            <v xml:space="preserve">   % of Total Billings</v>
          </cell>
          <cell r="Q69">
            <v>0.06</v>
          </cell>
          <cell r="R69">
            <v>0.06</v>
          </cell>
          <cell r="S69">
            <v>0.06</v>
          </cell>
          <cell r="T69">
            <v>0.05</v>
          </cell>
          <cell r="U69">
            <v>5.6248511057020049E-2</v>
          </cell>
          <cell r="V69">
            <v>7.0000000000000007E-2</v>
          </cell>
          <cell r="W69">
            <v>7.0000000000000007E-2</v>
          </cell>
          <cell r="X69">
            <v>7.0000000000000007E-2</v>
          </cell>
          <cell r="Y69">
            <v>7.0000000000000007E-2</v>
          </cell>
          <cell r="Z69">
            <v>7.0000000000000007E-2</v>
          </cell>
          <cell r="AA69">
            <v>7.0000000000000007E-2</v>
          </cell>
          <cell r="AB69">
            <v>0.06</v>
          </cell>
          <cell r="AC69">
            <v>0.09</v>
          </cell>
          <cell r="AD69">
            <v>0.05</v>
          </cell>
          <cell r="AE69">
            <v>6.4319152767719961E-2</v>
          </cell>
          <cell r="AF69">
            <v>7.0000000000000007E-2</v>
          </cell>
          <cell r="AG69">
            <v>0.06</v>
          </cell>
          <cell r="AH69">
            <v>0.09</v>
          </cell>
          <cell r="AI69">
            <v>5.8388042418435086E-2</v>
          </cell>
          <cell r="AJ69">
            <v>6.8798519288539042E-2</v>
          </cell>
          <cell r="AK69">
            <v>6.0861598344139817E-2</v>
          </cell>
          <cell r="AL69">
            <v>5.7478063859636275E-2</v>
          </cell>
          <cell r="AM69">
            <v>8.4207536511851921E-2</v>
          </cell>
          <cell r="AN69">
            <v>5.4240309965195577E-2</v>
          </cell>
          <cell r="AO69">
            <v>6.3710133513442249E-2</v>
          </cell>
          <cell r="AP69">
            <v>5.8035386727724562E-2</v>
          </cell>
          <cell r="AQ69">
            <v>5.6629891387975355E-2</v>
          </cell>
          <cell r="AR69">
            <v>8.091008531441192E-2</v>
          </cell>
          <cell r="AS69">
            <v>5.2569408673474059E-2</v>
          </cell>
          <cell r="AT69">
            <v>6.1714753381647385E-2</v>
          </cell>
          <cell r="AU69">
            <v>5.6570506495029975E-2</v>
          </cell>
          <cell r="AV69">
            <v>5.5454915346585025E-2</v>
          </cell>
          <cell r="AW69">
            <v>7.8121169589145112E-2</v>
          </cell>
          <cell r="AX69">
            <v>5.1163409889653698E-2</v>
          </cell>
          <cell r="AY69">
            <v>6.0063159117309237E-2</v>
          </cell>
        </row>
        <row r="70">
          <cell r="A70" t="str">
            <v>4/08</v>
          </cell>
          <cell r="Q70">
            <v>3.973393996182828E-2</v>
          </cell>
          <cell r="R70">
            <v>4.6249065741778568E-2</v>
          </cell>
          <cell r="S70">
            <v>4.0216839331127394E-2</v>
          </cell>
          <cell r="T70">
            <v>4.2527010565082901E-2</v>
          </cell>
          <cell r="V70">
            <v>4.3356623407728667E-2</v>
          </cell>
          <cell r="W70">
            <v>5.8848263273826439E-2</v>
          </cell>
          <cell r="X70">
            <v>5.6830984723261653E-2</v>
          </cell>
          <cell r="Y70">
            <v>6.127931608354157E-2</v>
          </cell>
          <cell r="AA70">
            <v>4.3165496944234563E-2</v>
          </cell>
          <cell r="AB70">
            <v>4.974027135508724E-2</v>
          </cell>
          <cell r="AC70">
            <v>7.2724684486000113E-2</v>
          </cell>
          <cell r="AD70">
            <v>4.4980978430112235E-2</v>
          </cell>
          <cell r="AF70">
            <v>3.4832051337777566E-2</v>
          </cell>
          <cell r="AG70">
            <v>5.3131552530939423E-2</v>
          </cell>
          <cell r="AH70">
            <v>7.3829179186974223E-2</v>
          </cell>
          <cell r="AI70">
            <v>0.05</v>
          </cell>
          <cell r="AK70">
            <v>3.4832051337777566E-2</v>
          </cell>
          <cell r="AL70">
            <v>5.3131552530939423E-2</v>
          </cell>
          <cell r="AM70">
            <v>7.3829179186974223E-2</v>
          </cell>
          <cell r="AN70">
            <v>0.05</v>
          </cell>
          <cell r="AP70">
            <v>3.4832051337777566E-2</v>
          </cell>
          <cell r="AQ70">
            <v>5.3131552530939423E-2</v>
          </cell>
          <cell r="AR70">
            <v>7.3829179186974223E-2</v>
          </cell>
          <cell r="AS70">
            <v>0.05</v>
          </cell>
          <cell r="AU70">
            <v>3.4832051337777566E-2</v>
          </cell>
          <cell r="AV70">
            <v>5.3131552530939423E-2</v>
          </cell>
          <cell r="AW70">
            <v>7.3829179186974223E-2</v>
          </cell>
          <cell r="AX70">
            <v>0.05</v>
          </cell>
        </row>
        <row r="71">
          <cell r="A71" t="str">
            <v>7/08</v>
          </cell>
        </row>
        <row r="72">
          <cell r="A72" t="str">
            <v>10/08</v>
          </cell>
        </row>
        <row r="73">
          <cell r="A73" t="str">
            <v>1/09</v>
          </cell>
          <cell r="B73">
            <v>0.5</v>
          </cell>
          <cell r="C73">
            <v>0.5</v>
          </cell>
          <cell r="D73">
            <v>0.5</v>
          </cell>
          <cell r="E73">
            <v>0.5</v>
          </cell>
          <cell r="G73">
            <v>0.5</v>
          </cell>
          <cell r="H73">
            <v>0.5</v>
          </cell>
          <cell r="I73">
            <v>0.5</v>
          </cell>
          <cell r="J73">
            <v>0.5</v>
          </cell>
          <cell r="L73">
            <v>0.5</v>
          </cell>
          <cell r="M73">
            <v>0.5</v>
          </cell>
          <cell r="N73">
            <v>0.5</v>
          </cell>
          <cell r="O73">
            <v>0.5</v>
          </cell>
          <cell r="Q73">
            <v>0.1</v>
          </cell>
          <cell r="R73">
            <v>0.1</v>
          </cell>
          <cell r="S73">
            <v>0.1</v>
          </cell>
          <cell r="T73">
            <v>0.1</v>
          </cell>
          <cell r="V73">
            <v>0.1</v>
          </cell>
          <cell r="W73">
            <v>0.1</v>
          </cell>
          <cell r="X73">
            <v>0.1</v>
          </cell>
          <cell r="Y73">
            <v>0.1</v>
          </cell>
          <cell r="AA73">
            <v>0.1</v>
          </cell>
          <cell r="AB73">
            <v>0.1</v>
          </cell>
          <cell r="AC73">
            <v>0.1</v>
          </cell>
          <cell r="AD73">
            <v>0.1</v>
          </cell>
          <cell r="AF73">
            <v>0.1</v>
          </cell>
          <cell r="AG73">
            <v>0.1</v>
          </cell>
          <cell r="AH73">
            <v>0.1</v>
          </cell>
          <cell r="AI73">
            <v>0.1</v>
          </cell>
          <cell r="AK73">
            <v>0.1</v>
          </cell>
          <cell r="AL73">
            <v>0.1</v>
          </cell>
          <cell r="AM73">
            <v>0.1</v>
          </cell>
          <cell r="AN73">
            <v>0.1</v>
          </cell>
          <cell r="AP73">
            <v>0.1</v>
          </cell>
          <cell r="AQ73">
            <v>0.1</v>
          </cell>
          <cell r="AR73">
            <v>0.1</v>
          </cell>
          <cell r="AS73">
            <v>0.1</v>
          </cell>
          <cell r="AU73">
            <v>0.1</v>
          </cell>
          <cell r="AV73">
            <v>0.1</v>
          </cell>
          <cell r="AW73">
            <v>0.1</v>
          </cell>
          <cell r="AX73">
            <v>0.1</v>
          </cell>
        </row>
        <row r="74">
          <cell r="A74" t="str">
            <v>4/09</v>
          </cell>
        </row>
        <row r="75">
          <cell r="A75" t="str">
            <v>7/09</v>
          </cell>
        </row>
        <row r="76">
          <cell r="A76" t="str">
            <v>10/09</v>
          </cell>
        </row>
        <row r="77">
          <cell r="A77" t="str">
            <v>1/10</v>
          </cell>
        </row>
        <row r="78">
          <cell r="A78" t="str">
            <v>4/10</v>
          </cell>
          <cell r="Q78">
            <v>4.8272169935503977E-2</v>
          </cell>
          <cell r="R78">
            <v>0.48272169935503972</v>
          </cell>
          <cell r="S78">
            <v>0.48272169935503972</v>
          </cell>
          <cell r="T78">
            <v>0.48272169935503972</v>
          </cell>
          <cell r="V78">
            <v>0.43444952941953574</v>
          </cell>
        </row>
        <row r="79">
          <cell r="A79" t="str">
            <v>7/10</v>
          </cell>
          <cell r="R79">
            <v>8.0955998477948168E-2</v>
          </cell>
          <cell r="S79">
            <v>0.80955998477948166</v>
          </cell>
          <cell r="T79">
            <v>0.80955998477948166</v>
          </cell>
          <cell r="V79">
            <v>0.80955998477948166</v>
          </cell>
          <cell r="W79">
            <v>0.72860398630153356</v>
          </cell>
        </row>
        <row r="80">
          <cell r="A80" t="str">
            <v>10/10</v>
          </cell>
          <cell r="S80">
            <v>0.10257860638540817</v>
          </cell>
          <cell r="T80">
            <v>1.0257860638540817</v>
          </cell>
          <cell r="V80">
            <v>1.0257860638540817</v>
          </cell>
          <cell r="W80">
            <v>1.0257860638540817</v>
          </cell>
          <cell r="X80">
            <v>0.9232074574686735</v>
          </cell>
        </row>
        <row r="81">
          <cell r="A81" t="str">
            <v>1/11</v>
          </cell>
          <cell r="T81">
            <v>0.1490875304960376</v>
          </cell>
          <cell r="V81">
            <v>1.490875304960376</v>
          </cell>
          <cell r="W81">
            <v>1.490875304960376</v>
          </cell>
          <cell r="X81">
            <v>1.490875304960376</v>
          </cell>
          <cell r="Y81">
            <v>1.3417877744643385</v>
          </cell>
        </row>
        <row r="82">
          <cell r="A82" t="str">
            <v>4/11</v>
          </cell>
          <cell r="V82">
            <v>0.14187780458923893</v>
          </cell>
          <cell r="W82">
            <v>1.4187780458923893</v>
          </cell>
          <cell r="X82">
            <v>1.4187780458923893</v>
          </cell>
          <cell r="Y82">
            <v>1.4187780458923893</v>
          </cell>
          <cell r="AA82">
            <v>1.2769002413031505</v>
          </cell>
        </row>
        <row r="83">
          <cell r="A83" t="str">
            <v>7/11</v>
          </cell>
          <cell r="Q83">
            <v>4.8272169935503977E-2</v>
          </cell>
          <cell r="R83">
            <v>0.48272169935503972</v>
          </cell>
          <cell r="S83">
            <v>0.48272169935503972</v>
          </cell>
          <cell r="T83">
            <v>0.48272169935503972</v>
          </cell>
          <cell r="V83">
            <v>0.43444952941953574</v>
          </cell>
          <cell r="W83">
            <v>0.1943522299728514</v>
          </cell>
          <cell r="X83">
            <v>1.9435222997285138</v>
          </cell>
          <cell r="Y83">
            <v>1.9435222997285138</v>
          </cell>
          <cell r="AA83">
            <v>1.9435222997285138</v>
          </cell>
          <cell r="AB83">
            <v>1.7491700697556625</v>
          </cell>
        </row>
        <row r="84">
          <cell r="A84" t="str">
            <v>10/11</v>
          </cell>
          <cell r="R84">
            <v>8.0955998477948168E-2</v>
          </cell>
          <cell r="S84">
            <v>0.80955998477948166</v>
          </cell>
          <cell r="T84">
            <v>0.80955998477948166</v>
          </cell>
          <cell r="V84">
            <v>0.80955998477948166</v>
          </cell>
          <cell r="W84">
            <v>0.72860398630153356</v>
          </cell>
          <cell r="X84">
            <v>0.25204194130530472</v>
          </cell>
          <cell r="Y84">
            <v>2.5204194130530473</v>
          </cell>
          <cell r="AA84">
            <v>2.5204194130530473</v>
          </cell>
          <cell r="AB84">
            <v>2.5204194130530473</v>
          </cell>
          <cell r="AC84">
            <v>2.2683774717477427</v>
          </cell>
        </row>
        <row r="85">
          <cell r="A85" t="str">
            <v>1/12E</v>
          </cell>
          <cell r="S85">
            <v>0.10257860638540817</v>
          </cell>
          <cell r="T85">
            <v>1.0257860638540817</v>
          </cell>
          <cell r="V85">
            <v>1.0257860638540817</v>
          </cell>
          <cell r="W85">
            <v>1.0257860638540817</v>
          </cell>
          <cell r="X85">
            <v>0.9232074574686735</v>
          </cell>
          <cell r="Y85">
            <v>0.30524098311280556</v>
          </cell>
          <cell r="AA85">
            <v>3.0524098311280552</v>
          </cell>
          <cell r="AB85">
            <v>3.0524098311280552</v>
          </cell>
          <cell r="AC85">
            <v>3.0524098311280552</v>
          </cell>
          <cell r="AD85">
            <v>2.7471688480152499</v>
          </cell>
        </row>
        <row r="86">
          <cell r="A86" t="str">
            <v>4/12E</v>
          </cell>
          <cell r="T86">
            <v>0.1490875304960376</v>
          </cell>
          <cell r="V86">
            <v>1.490875304960376</v>
          </cell>
          <cell r="W86">
            <v>1.490875304960376</v>
          </cell>
          <cell r="X86">
            <v>1.490875304960376</v>
          </cell>
          <cell r="Y86">
            <v>1.3417877744643385</v>
          </cell>
          <cell r="AA86">
            <v>0.31362646933840044</v>
          </cell>
          <cell r="AB86">
            <v>3.1362646933840042</v>
          </cell>
          <cell r="AC86">
            <v>3.1362646933840042</v>
          </cell>
          <cell r="AD86">
            <v>3.1362646933840042</v>
          </cell>
          <cell r="AF86">
            <v>2.8226382240456038</v>
          </cell>
        </row>
        <row r="87">
          <cell r="A87" t="str">
            <v>7/12E</v>
          </cell>
          <cell r="V87">
            <v>0.14187780458923893</v>
          </cell>
          <cell r="W87">
            <v>1.4187780458923893</v>
          </cell>
          <cell r="X87">
            <v>1.4187780458923893</v>
          </cell>
          <cell r="Y87">
            <v>1.4187780458923893</v>
          </cell>
          <cell r="AA87">
            <v>1.2769002413031505</v>
          </cell>
          <cell r="AB87">
            <v>0.34879212195959841</v>
          </cell>
          <cell r="AC87">
            <v>3.4879212195959841</v>
          </cell>
          <cell r="AD87">
            <v>3.4879212195959841</v>
          </cell>
          <cell r="AF87">
            <v>3.4879212195959841</v>
          </cell>
          <cell r="AG87">
            <v>3.1391290976363857</v>
          </cell>
        </row>
        <row r="88">
          <cell r="A88" t="str">
            <v>10/12E</v>
          </cell>
          <cell r="W88">
            <v>0.1943522299728514</v>
          </cell>
          <cell r="X88">
            <v>1.9435222997285138</v>
          </cell>
          <cell r="Y88">
            <v>1.9435222997285138</v>
          </cell>
          <cell r="AA88">
            <v>1.9435222997285138</v>
          </cell>
          <cell r="AB88">
            <v>1.7491700697556625</v>
          </cell>
          <cell r="AC88">
            <v>0.41917182681938692</v>
          </cell>
          <cell r="AD88">
            <v>4.1917182681938687</v>
          </cell>
          <cell r="AF88">
            <v>4.1917182681938687</v>
          </cell>
          <cell r="AG88">
            <v>4.1917182681938687</v>
          </cell>
          <cell r="AH88">
            <v>3.772546441374482</v>
          </cell>
        </row>
        <row r="89">
          <cell r="A89" t="str">
            <v>1/13E</v>
          </cell>
          <cell r="X89">
            <v>0.25204194130530472</v>
          </cell>
          <cell r="Y89">
            <v>2.5204194130530473</v>
          </cell>
          <cell r="AA89">
            <v>2.5204194130530473</v>
          </cell>
          <cell r="AB89">
            <v>2.5204194130530473</v>
          </cell>
          <cell r="AC89">
            <v>2.2683774717477427</v>
          </cell>
          <cell r="AD89">
            <v>0.98005897737992376</v>
          </cell>
          <cell r="AF89">
            <v>9.8005897737992367</v>
          </cell>
          <cell r="AG89">
            <v>9.8005897737992367</v>
          </cell>
          <cell r="AH89">
            <v>9.8005897737992367</v>
          </cell>
          <cell r="AI89">
            <v>8.8205307964193125</v>
          </cell>
        </row>
        <row r="90">
          <cell r="A90" t="str">
            <v>4/13E</v>
          </cell>
          <cell r="Y90">
            <v>0.30524098311280556</v>
          </cell>
          <cell r="AA90">
            <v>3.0524098311280552</v>
          </cell>
          <cell r="AB90">
            <v>3.0524098311280552</v>
          </cell>
          <cell r="AC90">
            <v>3.0524098311280552</v>
          </cell>
          <cell r="AD90">
            <v>2.7471688480152499</v>
          </cell>
          <cell r="AF90">
            <v>0.37223843086395814</v>
          </cell>
          <cell r="AG90">
            <v>3.7223843086395809</v>
          </cell>
          <cell r="AH90">
            <v>3.7223843086395809</v>
          </cell>
          <cell r="AI90">
            <v>3.7223843086395809</v>
          </cell>
          <cell r="AK90">
            <v>3.3501458777756228</v>
          </cell>
        </row>
        <row r="91">
          <cell r="A91" t="str">
            <v>7/13E</v>
          </cell>
          <cell r="AA91">
            <v>0.31362646933840044</v>
          </cell>
          <cell r="AB91">
            <v>3.1362646933840042</v>
          </cell>
          <cell r="AC91">
            <v>3.1362646933840042</v>
          </cell>
          <cell r="AD91">
            <v>3.1362646933840042</v>
          </cell>
          <cell r="AF91">
            <v>2.8226382240456038</v>
          </cell>
          <cell r="AG91">
            <v>0.55573959158289232</v>
          </cell>
          <cell r="AH91">
            <v>5.5573959158289234</v>
          </cell>
          <cell r="AI91">
            <v>5.5573959158289234</v>
          </cell>
          <cell r="AK91">
            <v>5.5573959158289234</v>
          </cell>
          <cell r="AL91">
            <v>5.0016563242460315</v>
          </cell>
        </row>
        <row r="92">
          <cell r="A92" t="str">
            <v>10/13E</v>
          </cell>
          <cell r="AB92">
            <v>0.34879212195959841</v>
          </cell>
          <cell r="AC92">
            <v>3.4879212195959841</v>
          </cell>
          <cell r="AD92">
            <v>3.4879212195959841</v>
          </cell>
          <cell r="AF92">
            <v>3.4879212195959841</v>
          </cell>
          <cell r="AG92">
            <v>3.1391290976363857</v>
          </cell>
          <cell r="AH92">
            <v>0.63069641809449417</v>
          </cell>
          <cell r="AI92">
            <v>6.3069641809449415</v>
          </cell>
          <cell r="AK92">
            <v>6.3069641809449415</v>
          </cell>
          <cell r="AL92">
            <v>6.3069641809449415</v>
          </cell>
          <cell r="AM92">
            <v>5.6762677628504479</v>
          </cell>
        </row>
        <row r="93">
          <cell r="A93" t="str">
            <v>1/14E</v>
          </cell>
          <cell r="AC93">
            <v>0.41917182681938692</v>
          </cell>
          <cell r="AD93">
            <v>4.1917182681938687</v>
          </cell>
          <cell r="AF93">
            <v>4.1917182681938687</v>
          </cell>
          <cell r="AG93">
            <v>4.1917182681938687</v>
          </cell>
          <cell r="AH93">
            <v>3.772546441374482</v>
          </cell>
          <cell r="AI93">
            <v>1.2664772120837235</v>
          </cell>
          <cell r="AK93">
            <v>12.664772120837235</v>
          </cell>
          <cell r="AL93">
            <v>12.664772120837235</v>
          </cell>
          <cell r="AM93">
            <v>12.664772120837235</v>
          </cell>
          <cell r="AN93">
            <v>11.398294908753511</v>
          </cell>
        </row>
        <row r="94">
          <cell r="A94" t="str">
            <v>4/14E</v>
          </cell>
          <cell r="AD94">
            <v>0.4800589773799237</v>
          </cell>
          <cell r="AF94">
            <v>4.8005897737992367</v>
          </cell>
          <cell r="AG94">
            <v>4.8005897737992367</v>
          </cell>
          <cell r="AH94">
            <v>4.8005897737992367</v>
          </cell>
          <cell r="AI94">
            <v>4.3205307964193134</v>
          </cell>
          <cell r="AK94">
            <v>0.62080607861603054</v>
          </cell>
          <cell r="AL94">
            <v>6.2080607861603045</v>
          </cell>
          <cell r="AM94">
            <v>6.2080607861603045</v>
          </cell>
          <cell r="AN94">
            <v>6.2080607861603045</v>
          </cell>
          <cell r="AP94">
            <v>5.5872547075442744</v>
          </cell>
        </row>
        <row r="95">
          <cell r="A95" t="str">
            <v>7/14E</v>
          </cell>
          <cell r="AF95">
            <v>0.42182176419729134</v>
          </cell>
          <cell r="AG95">
            <v>4.2182176419729132</v>
          </cell>
          <cell r="AH95">
            <v>4.2182176419729132</v>
          </cell>
          <cell r="AI95">
            <v>4.2182176419729132</v>
          </cell>
          <cell r="AK95">
            <v>3.7963958777756219</v>
          </cell>
          <cell r="AL95">
            <v>0.85121576521256037</v>
          </cell>
          <cell r="AM95">
            <v>8.5121576521256035</v>
          </cell>
          <cell r="AN95">
            <v>8.5121576521256035</v>
          </cell>
          <cell r="AP95">
            <v>8.5121576521256035</v>
          </cell>
          <cell r="AQ95">
            <v>7.6609418869130437</v>
          </cell>
        </row>
        <row r="96">
          <cell r="A96" t="str">
            <v>10/14E</v>
          </cell>
          <cell r="AG96">
            <v>0.60411357532272969</v>
          </cell>
          <cell r="AH96">
            <v>6.0411357532272962</v>
          </cell>
          <cell r="AI96">
            <v>6.0411357532272962</v>
          </cell>
          <cell r="AK96">
            <v>6.0411357532272962</v>
          </cell>
          <cell r="AL96">
            <v>5.4370221779045664</v>
          </cell>
          <cell r="AM96">
            <v>0.89460828134814641</v>
          </cell>
          <cell r="AN96">
            <v>8.9460828134814641</v>
          </cell>
          <cell r="AP96">
            <v>8.9460828134814641</v>
          </cell>
          <cell r="AQ96">
            <v>8.9460828134814641</v>
          </cell>
          <cell r="AR96">
            <v>8.0514745321333177</v>
          </cell>
        </row>
        <row r="97">
          <cell r="A97" t="str">
            <v>1/15E</v>
          </cell>
          <cell r="AH97">
            <v>0.49753065269910268</v>
          </cell>
          <cell r="AI97">
            <v>4.9753065269910266</v>
          </cell>
          <cell r="AK97">
            <v>4.9753065269910266</v>
          </cell>
          <cell r="AL97">
            <v>4.9753065269910266</v>
          </cell>
          <cell r="AM97">
            <v>4.4777758742919245</v>
          </cell>
          <cell r="AN97">
            <v>1.6514985935834519</v>
          </cell>
          <cell r="AP97">
            <v>16.514985935834517</v>
          </cell>
          <cell r="AQ97">
            <v>16.514985935834517</v>
          </cell>
          <cell r="AR97">
            <v>16.514985935834517</v>
          </cell>
          <cell r="AS97">
            <v>14.863487342251066</v>
          </cell>
        </row>
        <row r="98">
          <cell r="A98" t="str">
            <v>4/15E</v>
          </cell>
          <cell r="AI98">
            <v>0.86748459361233976</v>
          </cell>
          <cell r="AK98">
            <v>8.6748459361233969</v>
          </cell>
          <cell r="AL98">
            <v>8.6748459361233969</v>
          </cell>
          <cell r="AM98">
            <v>8.6748459361233969</v>
          </cell>
          <cell r="AN98">
            <v>7.8073613425110571</v>
          </cell>
          <cell r="AP98">
            <v>0.88846948919780511</v>
          </cell>
          <cell r="AQ98">
            <v>8.8846948919780502</v>
          </cell>
          <cell r="AR98">
            <v>8.8846948919780502</v>
          </cell>
          <cell r="AS98">
            <v>8.8846948919780502</v>
          </cell>
        </row>
        <row r="99">
          <cell r="A99" t="str">
            <v>7/15E</v>
          </cell>
          <cell r="AK99">
            <v>0.61828944915995643</v>
          </cell>
          <cell r="AL99">
            <v>6.1828944915995638</v>
          </cell>
          <cell r="AM99">
            <v>6.1828944915995638</v>
          </cell>
          <cell r="AN99">
            <v>6.1828944915995638</v>
          </cell>
          <cell r="AP99">
            <v>5.5646050424396076</v>
          </cell>
          <cell r="AQ99">
            <v>1.1828824070020836</v>
          </cell>
          <cell r="AR99">
            <v>11.828824070020834</v>
          </cell>
          <cell r="AS99">
            <v>11.828824070020834</v>
          </cell>
        </row>
        <row r="100">
          <cell r="A100" t="str">
            <v>10/15E</v>
          </cell>
          <cell r="AL100">
            <v>0.84539718338390379</v>
          </cell>
          <cell r="AM100">
            <v>8.4539718338390379</v>
          </cell>
          <cell r="AN100">
            <v>8.4539718338390379</v>
          </cell>
          <cell r="AP100">
            <v>8.4539718338390379</v>
          </cell>
          <cell r="AQ100">
            <v>7.6085746504551341</v>
          </cell>
          <cell r="AR100">
            <v>1.1808621762675442</v>
          </cell>
          <cell r="AS100">
            <v>11.808621762675442</v>
          </cell>
        </row>
        <row r="101">
          <cell r="A101" t="str">
            <v>1/16E</v>
          </cell>
          <cell r="AM101">
            <v>0.83229398957297307</v>
          </cell>
          <cell r="AN101">
            <v>8.3229398957297303</v>
          </cell>
          <cell r="AP101">
            <v>8.3229398957297303</v>
          </cell>
          <cell r="AQ101">
            <v>8.3229398957297303</v>
          </cell>
          <cell r="AR101">
            <v>7.4906459061567574</v>
          </cell>
          <cell r="AS101">
            <v>2.0614828859376884</v>
          </cell>
        </row>
        <row r="102">
          <cell r="A102" t="str">
            <v>Total Implied Maintenance Revenue</v>
          </cell>
          <cell r="V102">
            <v>3.9025486876027138</v>
          </cell>
          <cell r="W102">
            <v>4.8583956309812324</v>
          </cell>
          <cell r="X102">
            <v>6.0284250493552571</v>
          </cell>
          <cell r="Y102">
            <v>7.5297485162510949</v>
          </cell>
          <cell r="AA102">
            <v>9.1068782545511677</v>
          </cell>
          <cell r="AB102">
            <v>10.807056129280369</v>
          </cell>
          <cell r="AC102">
            <v>12.364145042675174</v>
          </cell>
          <cell r="AD102">
            <v>14.543132006569031</v>
          </cell>
          <cell r="AF102">
            <v>20.675105916498651</v>
          </cell>
          <cell r="AG102">
            <v>21.409561039851962</v>
          </cell>
          <cell r="AH102">
            <v>23.483612857736716</v>
          </cell>
          <cell r="AI102">
            <v>25.673752413916482</v>
          </cell>
          <cell r="AK102">
            <v>28.500084174002755</v>
          </cell>
          <cell r="AL102">
            <v>31.032669177401072</v>
          </cell>
          <cell r="AM102">
            <v>33.955866603321738</v>
          </cell>
          <cell r="AN102">
            <v>36.716094754104333</v>
          </cell>
          <cell r="AP102">
            <v>40.448950598183657</v>
          </cell>
          <cell r="AQ102">
            <v>43.189587935209154</v>
          </cell>
          <cell r="AR102">
            <v>46.460841606234268</v>
          </cell>
          <cell r="AS102">
            <v>49.447110952863078</v>
          </cell>
        </row>
        <row r="103">
          <cell r="A103" t="str">
            <v>Plus Professional Services Revenue</v>
          </cell>
          <cell r="V103">
            <v>1.44875</v>
          </cell>
          <cell r="W103">
            <v>1.6247</v>
          </cell>
          <cell r="X103">
            <v>2.1947100000000002</v>
          </cell>
          <cell r="Y103">
            <v>2.6222000000000003</v>
          </cell>
          <cell r="AA103">
            <v>4.1366500000000004</v>
          </cell>
          <cell r="AB103">
            <v>2.6689799999999999</v>
          </cell>
          <cell r="AC103">
            <v>4.68405</v>
          </cell>
          <cell r="AD103">
            <v>3.2612500000000004</v>
          </cell>
          <cell r="AF103">
            <v>5.2985500000000005</v>
          </cell>
          <cell r="AG103">
            <v>4.1882400000000022</v>
          </cell>
          <cell r="AH103">
            <v>4.6302599999999989</v>
          </cell>
          <cell r="AI103">
            <v>5.1338099217685516</v>
          </cell>
          <cell r="AK103">
            <v>6.6585052248282439</v>
          </cell>
          <cell r="AL103">
            <v>5.5610011114853748</v>
          </cell>
          <cell r="AM103">
            <v>6.1364851279416506</v>
          </cell>
          <cell r="AN103">
            <v>6.5580205418774318</v>
          </cell>
          <cell r="AP103">
            <v>8.3865060777120188</v>
          </cell>
          <cell r="AQ103">
            <v>6.7421094283432668</v>
          </cell>
          <cell r="AR103">
            <v>7.0559186537439942</v>
          </cell>
          <cell r="AS103">
            <v>7.5845431075648921</v>
          </cell>
          <cell r="AU103">
            <v>7.8049117621241688</v>
          </cell>
        </row>
        <row r="104">
          <cell r="A104" t="str">
            <v>Total Implied Maintenance and Services Rev.</v>
          </cell>
          <cell r="V104">
            <v>5.3512986876027142</v>
          </cell>
          <cell r="W104">
            <v>6.4830956309812322</v>
          </cell>
          <cell r="X104">
            <v>8.2231350493552569</v>
          </cell>
          <cell r="Y104">
            <v>10.151948516251096</v>
          </cell>
          <cell r="AA104">
            <v>13.243528254551169</v>
          </cell>
          <cell r="AB104">
            <v>13.476036129280368</v>
          </cell>
          <cell r="AC104">
            <v>17.048195042675175</v>
          </cell>
          <cell r="AD104">
            <v>17.804382006569032</v>
          </cell>
          <cell r="AF104">
            <v>25.97365591649865</v>
          </cell>
          <cell r="AG104">
            <v>25.597801039851966</v>
          </cell>
          <cell r="AH104">
            <v>28.113872857736716</v>
          </cell>
          <cell r="AI104">
            <v>30.807562335685034</v>
          </cell>
          <cell r="AK104">
            <v>35.158589398830998</v>
          </cell>
          <cell r="AL104">
            <v>36.593670288886443</v>
          </cell>
          <cell r="AM104">
            <v>40.092351731263392</v>
          </cell>
          <cell r="AN104">
            <v>43.274115295981765</v>
          </cell>
          <cell r="AP104">
            <v>48.835456675895678</v>
          </cell>
          <cell r="AQ104">
            <v>49.931697363552423</v>
          </cell>
          <cell r="AR104">
            <v>53.516760259978263</v>
          </cell>
          <cell r="AS104">
            <v>57.031654060427968</v>
          </cell>
          <cell r="AU104">
            <v>11.510451272503641</v>
          </cell>
          <cell r="AV104">
            <v>10.359406145253278</v>
          </cell>
        </row>
        <row r="105">
          <cell r="A105" t="str">
            <v>10/15E</v>
          </cell>
          <cell r="AR105">
            <v>1.2400634571701268</v>
          </cell>
          <cell r="AS105">
            <v>12.400634571701266</v>
          </cell>
          <cell r="AU105">
            <v>12.400634571701266</v>
          </cell>
          <cell r="AV105">
            <v>12.400634571701266</v>
          </cell>
          <cell r="AW105">
            <v>11.160571114531139</v>
          </cell>
        </row>
        <row r="106">
          <cell r="A106" t="str">
            <v>Estimates Maintenance/PS Rev.</v>
          </cell>
          <cell r="F106">
            <v>1.33</v>
          </cell>
          <cell r="K106">
            <v>3.2080000000000002</v>
          </cell>
          <cell r="P106">
            <v>7.8170000000000002</v>
          </cell>
          <cell r="Q106">
            <v>3.0089999999999999</v>
          </cell>
          <cell r="R106">
            <v>3.746</v>
          </cell>
          <cell r="S106">
            <v>4.4539999999999997</v>
          </cell>
          <cell r="T106">
            <v>5.1100000000000003</v>
          </cell>
          <cell r="U106">
            <v>16.318999999999999</v>
          </cell>
          <cell r="V106">
            <v>6.093</v>
          </cell>
          <cell r="W106">
            <v>7.1829999999999998</v>
          </cell>
          <cell r="X106">
            <v>8.9909999999999997</v>
          </cell>
          <cell r="Y106">
            <v>10</v>
          </cell>
          <cell r="Z106">
            <v>32.266999999999996</v>
          </cell>
          <cell r="AA106">
            <v>12.805</v>
          </cell>
          <cell r="AB106">
            <v>14.28</v>
          </cell>
          <cell r="AC106">
            <v>17.488</v>
          </cell>
          <cell r="AD106">
            <v>18.449000000000002</v>
          </cell>
          <cell r="AE106">
            <v>63.022000000000006</v>
          </cell>
          <cell r="AF106">
            <v>21.035</v>
          </cell>
          <cell r="AG106">
            <v>23.687999999999999</v>
          </cell>
          <cell r="AH106">
            <v>24.177930657653576</v>
          </cell>
          <cell r="AI106">
            <v>25.262201115261728</v>
          </cell>
          <cell r="AJ106">
            <v>94.163131772915307</v>
          </cell>
          <cell r="AK106">
            <v>29.884800989006347</v>
          </cell>
          <cell r="AL106">
            <v>31.104619745553475</v>
          </cell>
          <cell r="AM106">
            <v>34.078498971573879</v>
          </cell>
          <cell r="AN106">
            <v>36.782998001584502</v>
          </cell>
          <cell r="AO106">
            <v>131.8509177077182</v>
          </cell>
          <cell r="AP106">
            <v>41.510138174511326</v>
          </cell>
          <cell r="AQ106">
            <v>42.441942759019561</v>
          </cell>
          <cell r="AR106">
            <v>45.489246220981521</v>
          </cell>
          <cell r="AS106">
            <v>48.476905951363769</v>
          </cell>
          <cell r="AT106">
            <v>177.91823310587617</v>
          </cell>
          <cell r="AU106">
            <v>18.753162102116931</v>
          </cell>
          <cell r="AV106">
            <v>18.753162102116931</v>
          </cell>
          <cell r="AW106">
            <v>18.753162102116931</v>
          </cell>
          <cell r="AX106">
            <v>16.877845891905238</v>
          </cell>
        </row>
        <row r="107">
          <cell r="A107" t="str">
            <v xml:space="preserve">    YoY Growth</v>
          </cell>
          <cell r="P107">
            <v>1.4367206982543639</v>
          </cell>
          <cell r="U107">
            <v>1.0876295253933734</v>
          </cell>
          <cell r="V107">
            <v>1.0249252243270188</v>
          </cell>
          <cell r="W107">
            <v>0.91751201281366779</v>
          </cell>
          <cell r="X107">
            <v>1.0186349348899864</v>
          </cell>
          <cell r="Y107">
            <v>0.95694716242661437</v>
          </cell>
          <cell r="Z107">
            <v>0.977265763833568</v>
          </cell>
          <cell r="AA107">
            <v>1.1015919908091254</v>
          </cell>
          <cell r="AB107">
            <v>0.9880272866490325</v>
          </cell>
          <cell r="AC107">
            <v>0.94505616727838948</v>
          </cell>
          <cell r="AD107">
            <v>0.84490000000000021</v>
          </cell>
          <cell r="AE107">
            <v>0.95314097994855462</v>
          </cell>
          <cell r="AF107">
            <v>0.64271768840296772</v>
          </cell>
          <cell r="AG107">
            <v>0.65882352941176481</v>
          </cell>
          <cell r="AH107">
            <v>0.38254406779812311</v>
          </cell>
          <cell r="AI107">
            <v>0.36929920945643269</v>
          </cell>
          <cell r="AJ107">
            <v>0.49413112520890001</v>
          </cell>
          <cell r="AK107">
            <v>0.42071789821755878</v>
          </cell>
          <cell r="AL107">
            <v>0.31309607166301401</v>
          </cell>
          <cell r="AM107">
            <v>0.40948782813992635</v>
          </cell>
          <cell r="AN107">
            <v>0.45604881513522111</v>
          </cell>
          <cell r="AO107">
            <v>0.40023929987472284</v>
          </cell>
          <cell r="AP107">
            <v>0.38900500591526654</v>
          </cell>
          <cell r="AQ107">
            <v>0.36449000522138841</v>
          </cell>
          <cell r="AR107">
            <v>0.33483714347060189</v>
          </cell>
          <cell r="AS107">
            <v>0.31791611845438839</v>
          </cell>
          <cell r="AT107">
            <v>0.34938941798098178</v>
          </cell>
          <cell r="AU107">
            <v>1.1678256510320981</v>
          </cell>
          <cell r="AV107">
            <v>11.678256510320981</v>
          </cell>
          <cell r="AW107">
            <v>11.678256510320981</v>
          </cell>
          <cell r="AX107">
            <v>11.678256510320981</v>
          </cell>
        </row>
        <row r="108">
          <cell r="A108" t="str">
            <v>% variance from actuals</v>
          </cell>
          <cell r="V108">
            <v>-0.12173006932500996</v>
          </cell>
          <cell r="W108">
            <v>-9.7439004457575917E-2</v>
          </cell>
          <cell r="X108">
            <v>-8.54037315809969E-2</v>
          </cell>
          <cell r="Y108">
            <v>1.5194851625109695E-2</v>
          </cell>
          <cell r="AA108">
            <v>3.4246642292164786E-2</v>
          </cell>
          <cell r="AB108">
            <v>-5.6299990946752865E-2</v>
          </cell>
          <cell r="AC108">
            <v>-2.5148956846113069E-2</v>
          </cell>
          <cell r="AD108">
            <v>-3.4940538426525558E-2</v>
          </cell>
          <cell r="AF108">
            <v>0.23478278661747809</v>
          </cell>
          <cell r="AG108">
            <v>8.0623144201788621E-2</v>
          </cell>
          <cell r="AH108">
            <v>0.14000000000000001</v>
          </cell>
          <cell r="AI108">
            <v>0.18</v>
          </cell>
          <cell r="AK108">
            <v>0.15</v>
          </cell>
          <cell r="AL108">
            <v>0.15</v>
          </cell>
          <cell r="AM108">
            <v>0.15</v>
          </cell>
          <cell r="AN108">
            <v>0.15</v>
          </cell>
          <cell r="AP108">
            <v>0.15</v>
          </cell>
          <cell r="AQ108">
            <v>0.15</v>
          </cell>
          <cell r="AR108">
            <v>0.15</v>
          </cell>
          <cell r="AS108">
            <v>0.15</v>
          </cell>
          <cell r="AV108">
            <v>1.5217885654549583</v>
          </cell>
          <cell r="AW108">
            <v>15.217885654549583</v>
          </cell>
          <cell r="AX108">
            <v>15.217885654549583</v>
          </cell>
        </row>
        <row r="109">
          <cell r="A109" t="str">
            <v xml:space="preserve">    Maintenance</v>
          </cell>
          <cell r="Q109">
            <v>2.5</v>
          </cell>
          <cell r="R109">
            <v>3</v>
          </cell>
          <cell r="S109">
            <v>3.6</v>
          </cell>
          <cell r="T109">
            <v>4.3</v>
          </cell>
          <cell r="V109">
            <v>4.9000000000000004</v>
          </cell>
          <cell r="W109">
            <v>5.6</v>
          </cell>
          <cell r="X109">
            <v>6.9</v>
          </cell>
          <cell r="Y109">
            <v>8.1</v>
          </cell>
          <cell r="AB109">
            <v>11.61102</v>
          </cell>
          <cell r="AC109">
            <v>12.80395</v>
          </cell>
          <cell r="AD109">
            <v>15.187750000000001</v>
          </cell>
          <cell r="AF109">
            <v>17.60258</v>
          </cell>
          <cell r="AG109">
            <v>19.675619999999999</v>
          </cell>
          <cell r="AW109">
            <v>1.7246120262812186</v>
          </cell>
          <cell r="AX109">
            <v>17.246120262812184</v>
          </cell>
        </row>
        <row r="110">
          <cell r="A110" t="str">
            <v xml:space="preserve">    PS and Education</v>
          </cell>
          <cell r="Q110">
            <v>0.5</v>
          </cell>
          <cell r="R110">
            <v>0.8</v>
          </cell>
          <cell r="S110">
            <v>0.9</v>
          </cell>
          <cell r="T110">
            <v>0.8</v>
          </cell>
          <cell r="V110">
            <v>1.2</v>
          </cell>
          <cell r="W110">
            <v>1.6</v>
          </cell>
          <cell r="X110">
            <v>2.1</v>
          </cell>
          <cell r="Y110">
            <v>2.2999999999999998</v>
          </cell>
          <cell r="AB110">
            <v>2.6689799999999999</v>
          </cell>
          <cell r="AC110">
            <v>4.68405</v>
          </cell>
          <cell r="AD110">
            <v>3.2612500000000004</v>
          </cell>
          <cell r="AF110">
            <v>3.4324199999999996</v>
          </cell>
          <cell r="AG110">
            <v>4.0123800000000003</v>
          </cell>
          <cell r="AX110">
            <v>2.5191001589131226</v>
          </cell>
        </row>
        <row r="111">
          <cell r="A111" t="str">
            <v>Total Implied Maintenance Revenue</v>
          </cell>
          <cell r="V111">
            <v>3.9025486876027138</v>
          </cell>
          <cell r="W111">
            <v>4.8583956309812324</v>
          </cell>
          <cell r="X111">
            <v>6.0284250493552571</v>
          </cell>
          <cell r="Y111">
            <v>7.5297485162510949</v>
          </cell>
          <cell r="AA111">
            <v>9.1068782545511677</v>
          </cell>
          <cell r="AB111">
            <v>10.807056129280369</v>
          </cell>
          <cell r="AC111">
            <v>12.364145042675174</v>
          </cell>
          <cell r="AD111">
            <v>14.043132006569031</v>
          </cell>
          <cell r="AF111">
            <v>15.724689249831986</v>
          </cell>
          <cell r="AG111">
            <v>16.953768356925131</v>
          </cell>
          <cell r="AH111">
            <v>19.330020263073028</v>
          </cell>
          <cell r="AI111">
            <v>20.422675312222886</v>
          </cell>
          <cell r="AK111">
            <v>24.105973543277297</v>
          </cell>
          <cell r="AL111">
            <v>26.115466316002454</v>
          </cell>
          <cell r="AM111">
            <v>28.6217821254269</v>
          </cell>
          <cell r="AN111">
            <v>32.093595846734495</v>
          </cell>
          <cell r="AP111">
            <v>36.473012020573272</v>
          </cell>
          <cell r="AQ111">
            <v>39.018966684124287</v>
          </cell>
          <cell r="AR111">
            <v>42.177567646519577</v>
          </cell>
          <cell r="AS111">
            <v>46.396380782050549</v>
          </cell>
          <cell r="AU111">
            <v>51.636985359478103</v>
          </cell>
          <cell r="AV111">
            <v>54.713247894847413</v>
          </cell>
          <cell r="AW111">
            <v>58.534487407799851</v>
          </cell>
          <cell r="AX111">
            <v>63.539208478501109</v>
          </cell>
        </row>
        <row r="112">
          <cell r="A112" t="str">
            <v>Plus Professional Services Revenue</v>
          </cell>
          <cell r="V112">
            <v>1.44875</v>
          </cell>
          <cell r="W112">
            <v>1.6247</v>
          </cell>
          <cell r="X112">
            <v>2.1947100000000002</v>
          </cell>
          <cell r="Y112">
            <v>2.6222000000000003</v>
          </cell>
          <cell r="AA112">
            <v>4.1366500000000004</v>
          </cell>
          <cell r="AB112">
            <v>2.6689799999999999</v>
          </cell>
          <cell r="AC112">
            <v>4.68405</v>
          </cell>
          <cell r="AD112">
            <v>3.2612500000000004</v>
          </cell>
          <cell r="AF112">
            <v>5.2985500000000005</v>
          </cell>
          <cell r="AG112">
            <v>4.1882400000000022</v>
          </cell>
          <cell r="AH112">
            <v>4.6302599999999989</v>
          </cell>
          <cell r="AI112">
            <v>8.2928700000000006</v>
          </cell>
          <cell r="AK112">
            <v>7.551760334305877</v>
          </cell>
          <cell r="AL112">
            <v>4.6959274144257046</v>
          </cell>
          <cell r="AM112">
            <v>5.7418719118576576</v>
          </cell>
          <cell r="AN112">
            <v>10.13248440576209</v>
          </cell>
          <cell r="AP112">
            <v>9.3020855094778465</v>
          </cell>
          <cell r="AQ112">
            <v>5.9663407111013536</v>
          </cell>
          <cell r="AR112">
            <v>7.4484015803826917</v>
          </cell>
          <cell r="AS112">
            <v>13.011455625783656</v>
          </cell>
          <cell r="AU112">
            <v>11.725296220165456</v>
          </cell>
          <cell r="AV112">
            <v>7.4461537148680508</v>
          </cell>
          <cell r="AW112">
            <v>9.2787075845585338</v>
          </cell>
          <cell r="AX112">
            <v>16.159773055753188</v>
          </cell>
        </row>
        <row r="113">
          <cell r="A113" t="str">
            <v>Revenue Forecast</v>
          </cell>
          <cell r="V113">
            <v>5.3512986876027142</v>
          </cell>
          <cell r="W113">
            <v>6.4830956309812322</v>
          </cell>
          <cell r="X113">
            <v>8.2231350493552569</v>
          </cell>
          <cell r="Y113">
            <v>10.151948516251096</v>
          </cell>
          <cell r="AA113">
            <v>13.243528254551169</v>
          </cell>
          <cell r="AB113">
            <v>13.476036129280368</v>
          </cell>
          <cell r="AC113">
            <v>17.048195042675175</v>
          </cell>
          <cell r="AD113">
            <v>17.304382006569032</v>
          </cell>
          <cell r="AF113">
            <v>21.023239249831988</v>
          </cell>
          <cell r="AG113">
            <v>21.142008356925132</v>
          </cell>
          <cell r="AH113">
            <v>23.960280263073027</v>
          </cell>
          <cell r="AI113">
            <v>28.715545312222886</v>
          </cell>
          <cell r="AK113">
            <v>31.657733877583176</v>
          </cell>
          <cell r="AL113">
            <v>30.811393730428158</v>
          </cell>
          <cell r="AM113">
            <v>34.363654037284562</v>
          </cell>
          <cell r="AN113">
            <v>42.226080252496587</v>
          </cell>
          <cell r="AP113">
            <v>45.77509753005112</v>
          </cell>
          <cell r="AQ113">
            <v>44.985307395225639</v>
          </cell>
          <cell r="AR113">
            <v>49.625969226902271</v>
          </cell>
          <cell r="AS113">
            <v>59.407836407834203</v>
          </cell>
          <cell r="AU113">
            <v>63.362281579643557</v>
          </cell>
          <cell r="AV113">
            <v>62.159401609715466</v>
          </cell>
          <cell r="AW113">
            <v>67.81319499235839</v>
          </cell>
          <cell r="AX113">
            <v>79.698981534254301</v>
          </cell>
        </row>
        <row r="114">
          <cell r="A114" t="str">
            <v xml:space="preserve">   License Revenue</v>
          </cell>
          <cell r="F114">
            <v>7.742</v>
          </cell>
          <cell r="K114">
            <v>14.948</v>
          </cell>
          <cell r="L114">
            <v>5.3994117647058824</v>
          </cell>
          <cell r="M114">
            <v>6.7923529411764711</v>
          </cell>
          <cell r="N114">
            <v>7.4380645161290317</v>
          </cell>
          <cell r="O114">
            <v>7.5531707779886146</v>
          </cell>
          <cell r="P114">
            <v>27.183</v>
          </cell>
          <cell r="Q114">
            <v>9.1790000000000003</v>
          </cell>
          <cell r="R114">
            <v>11.547000000000001</v>
          </cell>
          <cell r="S114">
            <v>11.529</v>
          </cell>
          <cell r="T114">
            <v>17.670999999999999</v>
          </cell>
          <cell r="U114">
            <v>49.925999999999995</v>
          </cell>
          <cell r="V114">
            <v>14.545999999999999</v>
          </cell>
          <cell r="W114">
            <v>18.765999999999998</v>
          </cell>
          <cell r="X114">
            <v>22.181999999999999</v>
          </cell>
          <cell r="Y114">
            <v>33</v>
          </cell>
          <cell r="Z114">
            <v>88.494</v>
          </cell>
          <cell r="AA114">
            <v>24.385999999999999</v>
          </cell>
          <cell r="AB114">
            <v>30.202999999999999</v>
          </cell>
          <cell r="AC114">
            <v>34.557000000000002</v>
          </cell>
          <cell r="AD114">
            <v>46.776000000000003</v>
          </cell>
          <cell r="AE114">
            <v>135.922</v>
          </cell>
          <cell r="AF114">
            <v>36.171999999999997</v>
          </cell>
          <cell r="AG114">
            <v>43.185000000000002</v>
          </cell>
          <cell r="AH114">
            <v>46.076338941434138</v>
          </cell>
          <cell r="AI114">
            <v>58.674795994416712</v>
          </cell>
          <cell r="AJ114">
            <v>184.10813493585084</v>
          </cell>
          <cell r="AK114">
            <v>44.51748360337281</v>
          </cell>
          <cell r="AL114">
            <v>57.771138377790685</v>
          </cell>
          <cell r="AM114">
            <v>61.065196283376608</v>
          </cell>
          <cell r="AN114">
            <v>77.274184542587747</v>
          </cell>
          <cell r="AO114">
            <v>240.62800280712787</v>
          </cell>
          <cell r="AP114">
            <v>62.05904788368408</v>
          </cell>
          <cell r="AQ114">
            <v>72.858368385271376</v>
          </cell>
          <cell r="AR114">
            <v>72.695723429704941</v>
          </cell>
          <cell r="AS114">
            <v>88.781638824878385</v>
          </cell>
          <cell r="AT114">
            <v>296.39477852353878</v>
          </cell>
        </row>
        <row r="115">
          <cell r="A115" t="str">
            <v>YoY % change</v>
          </cell>
          <cell r="F115">
            <v>1.33</v>
          </cell>
          <cell r="K115">
            <v>0.93076724360630325</v>
          </cell>
          <cell r="P115">
            <v>0.81850414771206847</v>
          </cell>
          <cell r="Q115">
            <v>0.7</v>
          </cell>
          <cell r="R115">
            <v>0.7</v>
          </cell>
          <cell r="S115">
            <v>0.55000000000000004</v>
          </cell>
          <cell r="T115">
            <v>1.3395472602707033</v>
          </cell>
          <cell r="U115">
            <v>0.83666262001986524</v>
          </cell>
          <cell r="V115">
            <v>0.58470421614554957</v>
          </cell>
          <cell r="W115">
            <v>0.62518403048410809</v>
          </cell>
          <cell r="X115">
            <v>0.92401769450949778</v>
          </cell>
          <cell r="Y115">
            <v>0.86746647048837078</v>
          </cell>
          <cell r="Z115">
            <v>0.77250330489123931</v>
          </cell>
          <cell r="AA115">
            <v>0.67647463220129245</v>
          </cell>
          <cell r="AB115">
            <v>0.60945326654588095</v>
          </cell>
          <cell r="AC115">
            <v>0.5578847714363</v>
          </cell>
          <cell r="AD115">
            <v>0.41745454545454552</v>
          </cell>
          <cell r="AE115">
            <v>0.53594593983772909</v>
          </cell>
          <cell r="AF115">
            <v>0.48331009595669649</v>
          </cell>
          <cell r="AG115">
            <v>0.42982485183591046</v>
          </cell>
          <cell r="AH115">
            <v>0.33334314151790179</v>
          </cell>
          <cell r="AI115">
            <v>0.2543782280318263</v>
          </cell>
          <cell r="AJ115">
            <v>0.35451313941709839</v>
          </cell>
          <cell r="AK115">
            <v>0.23071667597514134</v>
          </cell>
          <cell r="AL115">
            <v>0.33775936963738995</v>
          </cell>
          <cell r="AM115">
            <v>0.32530486766742106</v>
          </cell>
          <cell r="AN115">
            <v>0.31699110721988522</v>
          </cell>
          <cell r="AO115">
            <v>0.30699277840694195</v>
          </cell>
          <cell r="AP115">
            <v>0.39403764230245608</v>
          </cell>
          <cell r="AQ115">
            <v>0.26115514478559709</v>
          </cell>
          <cell r="AR115">
            <v>0.19046081654034475</v>
          </cell>
          <cell r="AS115">
            <v>0.14891718819690158</v>
          </cell>
          <cell r="AT115">
            <v>0.23175513683297289</v>
          </cell>
          <cell r="AU115">
            <v>63.362281579643557</v>
          </cell>
          <cell r="AV115">
            <v>62.159401609715466</v>
          </cell>
          <cell r="AW115">
            <v>67.81319499235839</v>
          </cell>
          <cell r="AX115">
            <v>79.698981534254301</v>
          </cell>
          <cell r="AY115">
            <v>273.03385971597174</v>
          </cell>
        </row>
        <row r="116">
          <cell r="A116" t="str">
            <v>QoQ % change</v>
          </cell>
          <cell r="P116">
            <v>1.4367206982543639</v>
          </cell>
          <cell r="Q116">
            <v>0.21525121962677751</v>
          </cell>
          <cell r="R116">
            <v>0.2579801721320405</v>
          </cell>
          <cell r="S116">
            <v>-1.5588464536243629E-3</v>
          </cell>
          <cell r="T116">
            <v>0.53274351635007378</v>
          </cell>
          <cell r="U116">
            <v>1.0876295253933734</v>
          </cell>
          <cell r="V116">
            <v>-0.1768434157659442</v>
          </cell>
          <cell r="W116">
            <v>0.29011412072047293</v>
          </cell>
          <cell r="X116">
            <v>0.18203133326228293</v>
          </cell>
          <cell r="Y116">
            <v>0.48769272383013273</v>
          </cell>
          <cell r="Z116">
            <v>0.977265763833568</v>
          </cell>
          <cell r="AA116">
            <v>-0.26103030303030306</v>
          </cell>
          <cell r="AB116">
            <v>0.2385385056999918</v>
          </cell>
          <cell r="AC116">
            <v>0.14415786511273732</v>
          </cell>
          <cell r="AD116">
            <v>0.35358972132997657</v>
          </cell>
          <cell r="AE116">
            <v>0.95314097994855462</v>
          </cell>
          <cell r="AF116">
            <v>-0.22669745168462474</v>
          </cell>
          <cell r="AG116">
            <v>0.19387924361384523</v>
          </cell>
          <cell r="AH116">
            <v>6.6952389520299471E-2</v>
          </cell>
          <cell r="AI116">
            <v>0.27342573959697591</v>
          </cell>
          <cell r="AJ116">
            <v>0.62854753225594284</v>
          </cell>
          <cell r="AK116">
            <v>-0.24128439053100526</v>
          </cell>
          <cell r="AL116">
            <v>0.29771796834926501</v>
          </cell>
          <cell r="AM116">
            <v>5.7019092891066769E-2</v>
          </cell>
          <cell r="AN116">
            <v>0.26543742173516294</v>
          </cell>
          <cell r="AO116">
            <v>0.44051738965848708</v>
          </cell>
          <cell r="AP116">
            <v>-0.19689805526861592</v>
          </cell>
          <cell r="AQ116">
            <v>0.17401685765189678</v>
          </cell>
          <cell r="AR116">
            <v>-2.2323441928644439E-3</v>
          </cell>
          <cell r="AS116">
            <v>0.22127732741704054</v>
          </cell>
          <cell r="AT116">
            <v>0.35136222242379023</v>
          </cell>
          <cell r="AU116">
            <v>0.38420855440114665</v>
          </cell>
          <cell r="AV116">
            <v>0.38177118728130655</v>
          </cell>
          <cell r="AW116">
            <v>0.36648605657049438</v>
          </cell>
          <cell r="AX116">
            <v>0.34155670957483775</v>
          </cell>
          <cell r="AY116">
            <v>0.36657543254467395</v>
          </cell>
        </row>
        <row r="117">
          <cell r="A117" t="str">
            <v xml:space="preserve">   Maintenance and Services Revenue</v>
          </cell>
          <cell r="F117">
            <v>1.33</v>
          </cell>
          <cell r="K117">
            <v>3.2080000000000002</v>
          </cell>
          <cell r="L117">
            <v>0.70058823529411729</v>
          </cell>
          <cell r="M117">
            <v>1.1076470588235292</v>
          </cell>
          <cell r="N117">
            <v>2.4619354838709686</v>
          </cell>
          <cell r="O117">
            <v>3.5468292220113851</v>
          </cell>
          <cell r="P117">
            <v>7.8170000000000002</v>
          </cell>
          <cell r="Q117">
            <v>3.0089999999999999</v>
          </cell>
          <cell r="R117">
            <v>3.746</v>
          </cell>
          <cell r="S117">
            <v>4.4539999999999997</v>
          </cell>
          <cell r="T117">
            <v>5.1100000000000003</v>
          </cell>
          <cell r="U117">
            <v>16.318999999999999</v>
          </cell>
          <cell r="V117">
            <v>6.093</v>
          </cell>
          <cell r="W117">
            <v>7.1829999999999998</v>
          </cell>
          <cell r="X117">
            <v>8.9909999999999997</v>
          </cell>
          <cell r="Y117">
            <v>10</v>
          </cell>
          <cell r="Z117">
            <v>32.266999999999996</v>
          </cell>
          <cell r="AA117">
            <v>12.805</v>
          </cell>
          <cell r="AB117">
            <v>14.28</v>
          </cell>
          <cell r="AC117">
            <v>17.488</v>
          </cell>
          <cell r="AD117">
            <v>18.449000000000002</v>
          </cell>
          <cell r="AE117">
            <v>63.022000000000006</v>
          </cell>
          <cell r="AF117">
            <v>21.035</v>
          </cell>
          <cell r="AG117">
            <v>23.687999999999999</v>
          </cell>
          <cell r="AH117">
            <v>24.177930657653576</v>
          </cell>
          <cell r="AI117">
            <v>25.262201115261728</v>
          </cell>
          <cell r="AJ117">
            <v>94.163131772915307</v>
          </cell>
          <cell r="AK117">
            <v>29.884800989006347</v>
          </cell>
          <cell r="AL117">
            <v>31.104619745553475</v>
          </cell>
          <cell r="AM117">
            <v>34.078498971573879</v>
          </cell>
          <cell r="AN117">
            <v>36.782998001584502</v>
          </cell>
          <cell r="AO117">
            <v>131.8509177077182</v>
          </cell>
          <cell r="AP117">
            <v>41.510138174511326</v>
          </cell>
          <cell r="AQ117">
            <v>42.441942759019561</v>
          </cell>
          <cell r="AR117">
            <v>45.489246220981521</v>
          </cell>
          <cell r="AS117">
            <v>48.476905951363769</v>
          </cell>
          <cell r="AT117">
            <v>177.91823310587617</v>
          </cell>
          <cell r="AU117">
            <v>0</v>
          </cell>
          <cell r="AV117">
            <v>0</v>
          </cell>
          <cell r="AW117">
            <v>0</v>
          </cell>
          <cell r="AX117">
            <v>0</v>
          </cell>
        </row>
        <row r="118">
          <cell r="A118" t="str">
            <v>YoY % change</v>
          </cell>
          <cell r="K118">
            <v>1.4120300751879697</v>
          </cell>
          <cell r="P118">
            <v>1.4367206982543639</v>
          </cell>
          <cell r="Q118">
            <v>3.294962216624687</v>
          </cell>
          <cell r="R118">
            <v>2.3819437068507705</v>
          </cell>
          <cell r="S118">
            <v>0.80914570230607885</v>
          </cell>
          <cell r="T118">
            <v>0.44072344061216207</v>
          </cell>
          <cell r="U118">
            <v>1.0876295253933734</v>
          </cell>
          <cell r="V118">
            <v>1.0249252243270188</v>
          </cell>
          <cell r="W118">
            <v>0.91751201281366779</v>
          </cell>
          <cell r="X118">
            <v>1.0186349348899864</v>
          </cell>
          <cell r="Y118">
            <v>0.95694716242661437</v>
          </cell>
          <cell r="Z118">
            <v>0.977265763833568</v>
          </cell>
          <cell r="AA118">
            <v>1.1015919908091254</v>
          </cell>
          <cell r="AB118">
            <v>0.9880272866490325</v>
          </cell>
          <cell r="AC118">
            <v>0.94505616727838948</v>
          </cell>
          <cell r="AD118">
            <v>0.84490000000000021</v>
          </cell>
          <cell r="AE118">
            <v>0.95314097994855462</v>
          </cell>
          <cell r="AF118">
            <v>0.64271768840296772</v>
          </cell>
          <cell r="AG118">
            <v>0.65882352941176481</v>
          </cell>
          <cell r="AH118">
            <v>0.38254406779812311</v>
          </cell>
          <cell r="AI118">
            <v>0.36929920945643269</v>
          </cell>
          <cell r="AJ118">
            <v>0.49413112520890001</v>
          </cell>
          <cell r="AK118">
            <v>0.42071789821755878</v>
          </cell>
          <cell r="AL118">
            <v>0.31309607166301401</v>
          </cell>
          <cell r="AM118">
            <v>0.40948782813992635</v>
          </cell>
          <cell r="AN118">
            <v>0.45604881513522111</v>
          </cell>
          <cell r="AO118">
            <v>0.40023929987472284</v>
          </cell>
          <cell r="AP118">
            <v>0.38900500591526654</v>
          </cell>
          <cell r="AQ118">
            <v>0.36449000522138841</v>
          </cell>
          <cell r="AR118">
            <v>0.33483714347060189</v>
          </cell>
          <cell r="AS118">
            <v>0.31791611845438839</v>
          </cell>
          <cell r="AT118">
            <v>0.34938941798098178</v>
          </cell>
        </row>
        <row r="119">
          <cell r="A119" t="str">
            <v>QoQ % change</v>
          </cell>
          <cell r="Q119">
            <v>-0.15163662763170349</v>
          </cell>
          <cell r="R119">
            <v>0.24493187105350622</v>
          </cell>
          <cell r="S119">
            <v>0.18900160170848901</v>
          </cell>
          <cell r="T119">
            <v>0.14728334081724315</v>
          </cell>
          <cell r="V119">
            <v>0.1923679060665362</v>
          </cell>
          <cell r="W119">
            <v>0.17889381257180359</v>
          </cell>
          <cell r="X119">
            <v>0.2517054155645273</v>
          </cell>
          <cell r="Y119">
            <v>0.11222333444555677</v>
          </cell>
          <cell r="AA119">
            <v>0.28049999999999997</v>
          </cell>
          <cell r="AB119">
            <v>0.11518937914876992</v>
          </cell>
          <cell r="AC119">
            <v>0.22464985994397768</v>
          </cell>
          <cell r="AD119">
            <v>5.4951967063129104E-2</v>
          </cell>
          <cell r="AF119">
            <v>0.14017019892677096</v>
          </cell>
          <cell r="AG119">
            <v>0.12612312811980031</v>
          </cell>
          <cell r="AH119">
            <v>2.0682651876628544E-2</v>
          </cell>
          <cell r="AI119">
            <v>4.4845461464872116E-2</v>
          </cell>
          <cell r="AK119">
            <v>0.18298484176630025</v>
          </cell>
          <cell r="AL119">
            <v>4.0817362544788516E-2</v>
          </cell>
          <cell r="AM119">
            <v>9.5608924023111719E-2</v>
          </cell>
          <cell r="AN119">
            <v>7.9360861294581753E-2</v>
          </cell>
          <cell r="AP119">
            <v>0.12851427098800361</v>
          </cell>
          <cell r="AQ119">
            <v>2.2447638709147899E-2</v>
          </cell>
          <cell r="AR119">
            <v>7.1799339612331092E-2</v>
          </cell>
          <cell r="AS119">
            <v>6.5678374090186953E-2</v>
          </cell>
        </row>
        <row r="120">
          <cell r="A120" t="str">
            <v>Total Revenues</v>
          </cell>
          <cell r="F120">
            <v>9.0719999999999992</v>
          </cell>
          <cell r="G120">
            <v>0</v>
          </cell>
          <cell r="H120">
            <v>0</v>
          </cell>
          <cell r="I120">
            <v>0</v>
          </cell>
          <cell r="J120">
            <v>0</v>
          </cell>
          <cell r="K120">
            <v>18.155999999999999</v>
          </cell>
          <cell r="L120">
            <v>6.1</v>
          </cell>
          <cell r="M120">
            <v>7.9</v>
          </cell>
          <cell r="N120">
            <v>9.9</v>
          </cell>
          <cell r="O120">
            <v>11.1</v>
          </cell>
          <cell r="P120">
            <v>35</v>
          </cell>
          <cell r="Q120">
            <v>12.188000000000001</v>
          </cell>
          <cell r="R120">
            <v>15.293000000000001</v>
          </cell>
          <cell r="S120">
            <v>15.983000000000001</v>
          </cell>
          <cell r="T120">
            <v>22.780999999999999</v>
          </cell>
          <cell r="U120">
            <v>66.24499999999999</v>
          </cell>
          <cell r="V120">
            <v>20.638999999999999</v>
          </cell>
          <cell r="W120">
            <v>25.948999999999998</v>
          </cell>
          <cell r="X120">
            <v>31.172999999999998</v>
          </cell>
          <cell r="Y120">
            <v>43</v>
          </cell>
          <cell r="Z120">
            <v>120.761</v>
          </cell>
          <cell r="AA120">
            <v>37.191000000000003</v>
          </cell>
          <cell r="AB120">
            <v>44.482999999999997</v>
          </cell>
          <cell r="AC120">
            <v>52.045000000000002</v>
          </cell>
          <cell r="AD120">
            <v>65.225000000000009</v>
          </cell>
          <cell r="AE120">
            <v>198.94400000000002</v>
          </cell>
          <cell r="AF120">
            <v>57.206999999999994</v>
          </cell>
          <cell r="AG120">
            <v>66.873000000000005</v>
          </cell>
          <cell r="AH120">
            <v>70.254269599087706</v>
          </cell>
          <cell r="AI120">
            <v>83.936997109678444</v>
          </cell>
          <cell r="AJ120">
            <v>278.27126670876612</v>
          </cell>
          <cell r="AK120">
            <v>74.402284592379161</v>
          </cell>
          <cell r="AL120">
            <v>88.875758123344156</v>
          </cell>
          <cell r="AM120">
            <v>95.143695254950487</v>
          </cell>
          <cell r="AN120">
            <v>114.05718254417225</v>
          </cell>
          <cell r="AO120">
            <v>372.4789205148461</v>
          </cell>
          <cell r="AP120">
            <v>103.56918605819541</v>
          </cell>
          <cell r="AQ120">
            <v>115.30031114429093</v>
          </cell>
          <cell r="AR120">
            <v>118.18496965068647</v>
          </cell>
          <cell r="AS120">
            <v>137.25854477624216</v>
          </cell>
          <cell r="AT120">
            <v>474.31301162941497</v>
          </cell>
        </row>
        <row r="121">
          <cell r="A121" t="str">
            <v>YoY % change</v>
          </cell>
          <cell r="G121" t="str">
            <v>-</v>
          </cell>
          <cell r="H121" t="str">
            <v>-</v>
          </cell>
          <cell r="I121" t="str">
            <v>-</v>
          </cell>
          <cell r="J121" t="str">
            <v>-</v>
          </cell>
          <cell r="K121">
            <v>1.0013227513227512</v>
          </cell>
          <cell r="L121" t="str">
            <v>-</v>
          </cell>
          <cell r="M121" t="str">
            <v>-</v>
          </cell>
          <cell r="N121" t="str">
            <v>-</v>
          </cell>
          <cell r="O121" t="str">
            <v>-</v>
          </cell>
          <cell r="P121">
            <v>0.92773738708966746</v>
          </cell>
          <cell r="Q121">
            <v>0.9980327868852461</v>
          </cell>
          <cell r="R121">
            <v>0.9358227848101266</v>
          </cell>
          <cell r="S121">
            <v>0.61444444444444435</v>
          </cell>
          <cell r="T121">
            <v>1.0523423423423424</v>
          </cell>
          <cell r="U121">
            <v>0.89271428571428535</v>
          </cell>
          <cell r="V121">
            <v>0.69338693797177542</v>
          </cell>
          <cell r="W121">
            <v>0.69678938076244012</v>
          </cell>
          <cell r="X121">
            <v>0.9503847838328221</v>
          </cell>
          <cell r="Y121">
            <v>0.88753786049778327</v>
          </cell>
          <cell r="Z121">
            <v>0.82294512793418395</v>
          </cell>
          <cell r="AA121">
            <v>0.80197683996317659</v>
          </cell>
          <cell r="AB121">
            <v>0.71424717715518904</v>
          </cell>
          <cell r="AC121">
            <v>0.66955378051518966</v>
          </cell>
          <cell r="AD121">
            <v>0.51686046511627937</v>
          </cell>
          <cell r="AE121">
            <v>0.64741928271544635</v>
          </cell>
          <cell r="AF121">
            <v>0.53819472453012795</v>
          </cell>
          <cell r="AG121">
            <v>0.50333835397792437</v>
          </cell>
          <cell r="AH121">
            <v>0.34987548465919316</v>
          </cell>
          <cell r="AI121">
            <v>0.28688381923615847</v>
          </cell>
          <cell r="AJ121">
            <v>0.39874168966526313</v>
          </cell>
          <cell r="AK121">
            <v>0.30058007922770247</v>
          </cell>
          <cell r="AL121">
            <v>0.32902304552426465</v>
          </cell>
          <cell r="AM121">
            <v>0.3542763421767321</v>
          </cell>
          <cell r="AN121">
            <v>0.35884278055761865</v>
          </cell>
          <cell r="AO121">
            <v>0.3385461061801831</v>
          </cell>
          <cell r="AP121">
            <v>0.39201620791095637</v>
          </cell>
          <cell r="AQ121">
            <v>0.29732014194775225</v>
          </cell>
          <cell r="AR121">
            <v>0.24217342340965153</v>
          </cell>
          <cell r="AS121">
            <v>0.20341868626365955</v>
          </cell>
          <cell r="AT121">
            <v>0.27339558161791344</v>
          </cell>
        </row>
        <row r="122">
          <cell r="A122" t="str">
            <v>QoQ % change</v>
          </cell>
          <cell r="G122" t="str">
            <v>-</v>
          </cell>
          <cell r="H122" t="str">
            <v>-</v>
          </cell>
          <cell r="I122" t="str">
            <v>-</v>
          </cell>
          <cell r="J122" t="str">
            <v>-</v>
          </cell>
          <cell r="L122" t="str">
            <v>-</v>
          </cell>
          <cell r="M122">
            <v>0.29508196721311486</v>
          </cell>
          <cell r="N122">
            <v>0.25316455696202533</v>
          </cell>
          <cell r="O122">
            <v>0.1212121212121211</v>
          </cell>
          <cell r="P122">
            <v>-7.3488157675312138E-2</v>
          </cell>
          <cell r="Q122">
            <v>9.8018018018018127E-2</v>
          </cell>
          <cell r="R122">
            <v>0.25475877912701028</v>
          </cell>
          <cell r="S122">
            <v>4.5118681749820144E-2</v>
          </cell>
          <cell r="T122">
            <v>0.42532690984170674</v>
          </cell>
          <cell r="U122">
            <v>-3.775109407334587E-2</v>
          </cell>
          <cell r="V122">
            <v>-9.4025723190377941E-2</v>
          </cell>
          <cell r="W122">
            <v>0.2572799069722369</v>
          </cell>
          <cell r="X122">
            <v>0.201317969863964</v>
          </cell>
          <cell r="Y122">
            <v>0.37939883873865221</v>
          </cell>
          <cell r="AA122">
            <v>-0.13509302325581385</v>
          </cell>
          <cell r="AB122">
            <v>0.19606894141055609</v>
          </cell>
          <cell r="AC122">
            <v>0.16999752714520167</v>
          </cell>
          <cell r="AD122">
            <v>0.25324238639638796</v>
          </cell>
          <cell r="AF122">
            <v>-0.12292832502874684</v>
          </cell>
          <cell r="AG122">
            <v>0.16896533640988021</v>
          </cell>
          <cell r="AH122">
            <v>5.0562552885136114E-2</v>
          </cell>
          <cell r="AI122">
            <v>0.19476008488412799</v>
          </cell>
          <cell r="AK122">
            <v>-0.11359368151853833</v>
          </cell>
          <cell r="AL122">
            <v>0.19452996114648169</v>
          </cell>
          <cell r="AM122">
            <v>7.0524710719288786E-2</v>
          </cell>
          <cell r="AN122">
            <v>0.19878865581729288</v>
          </cell>
          <cell r="AP122">
            <v>-9.1953845010287139E-2</v>
          </cell>
          <cell r="AQ122">
            <v>0.11326848778654885</v>
          </cell>
          <cell r="AR122">
            <v>2.5018653269595958E-2</v>
          </cell>
          <cell r="AS122">
            <v>0.16138748592084529</v>
          </cell>
        </row>
        <row r="123">
          <cell r="A123" t="str">
            <v xml:space="preserve">   License Revenue</v>
          </cell>
          <cell r="F123">
            <v>7.742</v>
          </cell>
          <cell r="K123">
            <v>14.948</v>
          </cell>
          <cell r="L123">
            <v>5.3994117647058824</v>
          </cell>
          <cell r="M123">
            <v>6.7923529411764711</v>
          </cell>
          <cell r="N123">
            <v>7.4380645161290317</v>
          </cell>
          <cell r="O123">
            <v>7.5531707779886146</v>
          </cell>
          <cell r="P123">
            <v>27.183</v>
          </cell>
          <cell r="Q123">
            <v>9.1790000000000003</v>
          </cell>
          <cell r="R123">
            <v>11.547000000000001</v>
          </cell>
          <cell r="S123">
            <v>11.529</v>
          </cell>
          <cell r="T123">
            <v>17.670999999999999</v>
          </cell>
          <cell r="U123">
            <v>49.925999999999995</v>
          </cell>
          <cell r="V123">
            <v>14.545999999999999</v>
          </cell>
          <cell r="W123">
            <v>18.765999999999998</v>
          </cell>
          <cell r="X123">
            <v>22.181999999999999</v>
          </cell>
          <cell r="Y123">
            <v>33</v>
          </cell>
          <cell r="Z123">
            <v>88.494</v>
          </cell>
          <cell r="AA123">
            <v>24.385999999999999</v>
          </cell>
          <cell r="AB123">
            <v>30.202999999999999</v>
          </cell>
          <cell r="AC123">
            <v>34.557000000000002</v>
          </cell>
          <cell r="AD123">
            <v>46.776000000000003</v>
          </cell>
          <cell r="AE123">
            <v>135.922</v>
          </cell>
          <cell r="AF123">
            <v>36.171999999999997</v>
          </cell>
          <cell r="AG123">
            <v>43.185000000000002</v>
          </cell>
          <cell r="AH123">
            <v>50.872999999999998</v>
          </cell>
          <cell r="AI123">
            <v>59.836614190067856</v>
          </cell>
          <cell r="AJ123">
            <v>190.06661419006784</v>
          </cell>
          <cell r="AK123">
            <v>47.868111507188082</v>
          </cell>
          <cell r="AL123">
            <v>57.727465733706275</v>
          </cell>
          <cell r="AM123">
            <v>67.535936632732998</v>
          </cell>
          <cell r="AN123">
            <v>82.140811669024473</v>
          </cell>
          <cell r="AO123">
            <v>255.2723255426518</v>
          </cell>
          <cell r="AP123">
            <v>62.568862612885695</v>
          </cell>
          <cell r="AQ123">
            <v>74.899904634004443</v>
          </cell>
          <cell r="AR123">
            <v>86.834644754648153</v>
          </cell>
          <cell r="AS123">
            <v>103.86463970264444</v>
          </cell>
          <cell r="AT123">
            <v>328.16805170418274</v>
          </cell>
          <cell r="AU123">
            <v>76.827876799141748</v>
          </cell>
          <cell r="AV123">
            <v>92.007162339272284</v>
          </cell>
          <cell r="AW123">
            <v>106.35648536863062</v>
          </cell>
          <cell r="AX123">
            <v>125.72739700274801</v>
          </cell>
          <cell r="AY123">
            <v>400.91892150979265</v>
          </cell>
        </row>
        <row r="124">
          <cell r="A124" t="str">
            <v>Revenue as a % of Prior Q Current Deferred</v>
          </cell>
          <cell r="K124" t="str">
            <v/>
          </cell>
          <cell r="L124" t="str">
            <v/>
          </cell>
          <cell r="M124" t="str">
            <v/>
          </cell>
          <cell r="N124" t="str">
            <v/>
          </cell>
          <cell r="O124" t="str">
            <v/>
          </cell>
          <cell r="P124" t="str">
            <v/>
          </cell>
          <cell r="Q124" t="str">
            <v/>
          </cell>
          <cell r="R124" t="str">
            <v/>
          </cell>
          <cell r="S124" t="str">
            <v/>
          </cell>
          <cell r="T124">
            <v>2.1410714285714283</v>
          </cell>
          <cell r="U124">
            <v>0.83666262001986524</v>
          </cell>
          <cell r="V124">
            <v>1.9193713382311912</v>
          </cell>
          <cell r="W124">
            <v>1.9784232997865201</v>
          </cell>
          <cell r="X124">
            <v>2.1082781009062628</v>
          </cell>
          <cell r="Y124">
            <v>2.2050151274293626</v>
          </cell>
          <cell r="Z124">
            <v>0.77250330489123931</v>
          </cell>
          <cell r="AA124">
            <v>1.7006264575426404</v>
          </cell>
          <cell r="AB124">
            <v>1.6633511573121937</v>
          </cell>
          <cell r="AC124">
            <v>1.6678951416485066</v>
          </cell>
          <cell r="AD124">
            <v>1.5195815763110687</v>
          </cell>
          <cell r="AE124">
            <v>0.53594593983772909</v>
          </cell>
          <cell r="AF124">
            <v>1.2256191618819092</v>
          </cell>
          <cell r="AG124">
            <v>1.2350724905346755</v>
          </cell>
          <cell r="AH124">
            <v>1.1337917113015252</v>
          </cell>
          <cell r="AI124">
            <v>1.0549089723215168</v>
          </cell>
          <cell r="AJ124">
            <v>0.3983506289641694</v>
          </cell>
          <cell r="AK124">
            <v>0.87601149838554104</v>
          </cell>
          <cell r="AL124">
            <v>0.91711476991934782</v>
          </cell>
          <cell r="AM124">
            <v>0.89439419482456683</v>
          </cell>
          <cell r="AN124">
            <v>0.77317075395050294</v>
          </cell>
          <cell r="AO124">
            <v>0.34306767461737309</v>
          </cell>
          <cell r="AP124">
            <v>0.66472875979582302</v>
          </cell>
          <cell r="AQ124">
            <v>0.68318066722486215</v>
          </cell>
          <cell r="AR124">
            <v>0.66272180648872658</v>
          </cell>
          <cell r="AS124">
            <v>0.60745760829786344</v>
          </cell>
          <cell r="AT124">
            <v>0.28556063022723266</v>
          </cell>
          <cell r="AU124">
            <v>0.22789313391353683</v>
          </cell>
          <cell r="AV124">
            <v>0.22840159528722781</v>
          </cell>
          <cell r="AW124">
            <v>0.22481626623960449</v>
          </cell>
          <cell r="AX124">
            <v>0.21049278525102255</v>
          </cell>
          <cell r="AY124">
            <v>0.22168784995313628</v>
          </cell>
        </row>
        <row r="125">
          <cell r="A125" t="str">
            <v>QoQ % change</v>
          </cell>
          <cell r="Q125">
            <v>0.21525121962677751</v>
          </cell>
          <cell r="R125">
            <v>0.2579801721320405</v>
          </cell>
          <cell r="S125">
            <v>-1.5588464536243629E-3</v>
          </cell>
          <cell r="T125">
            <v>0.53274351635007378</v>
          </cell>
          <cell r="V125">
            <v>-0.1768434157659442</v>
          </cell>
          <cell r="W125">
            <v>0.29011412072047293</v>
          </cell>
          <cell r="X125">
            <v>0.18203133326228293</v>
          </cell>
          <cell r="Y125">
            <v>0.48769272383013273</v>
          </cell>
          <cell r="AA125">
            <v>-0.26103030303030306</v>
          </cell>
          <cell r="AB125">
            <v>0.2385385056999918</v>
          </cell>
          <cell r="AC125">
            <v>0.14415786511273732</v>
          </cell>
          <cell r="AD125">
            <v>0.35358972132997657</v>
          </cell>
          <cell r="AF125">
            <v>-0.22669745168462474</v>
          </cell>
          <cell r="AG125">
            <v>0.19387924361384523</v>
          </cell>
          <cell r="AH125">
            <v>0.17802477712168563</v>
          </cell>
          <cell r="AI125">
            <v>0.17619590332922885</v>
          </cell>
          <cell r="AK125">
            <v>-0.20001971777451266</v>
          </cell>
          <cell r="AL125">
            <v>0.20596914973421643</v>
          </cell>
          <cell r="AM125">
            <v>0.16990995143061838</v>
          </cell>
          <cell r="AN125">
            <v>0.21625338692960172</v>
          </cell>
          <cell r="AP125">
            <v>-0.238273139240471</v>
          </cell>
          <cell r="AQ125">
            <v>0.19707952975605547</v>
          </cell>
          <cell r="AR125">
            <v>0.15934252759015344</v>
          </cell>
          <cell r="AS125">
            <v>0.19611982056372379</v>
          </cell>
          <cell r="AU125">
            <v>-0.26030767526760434</v>
          </cell>
          <cell r="AV125">
            <v>0.19757523144645983</v>
          </cell>
          <cell r="AW125">
            <v>0.15595876086739691</v>
          </cell>
          <cell r="AX125">
            <v>0.18213192704683667</v>
          </cell>
        </row>
        <row r="126">
          <cell r="A126" t="str">
            <v>Total Deferred Revenue</v>
          </cell>
          <cell r="B126">
            <v>0</v>
          </cell>
          <cell r="C126">
            <v>0</v>
          </cell>
          <cell r="D126">
            <v>0</v>
          </cell>
          <cell r="E126">
            <v>1.849</v>
          </cell>
          <cell r="F126">
            <v>0</v>
          </cell>
          <cell r="K126">
            <v>5.6585000000000001</v>
          </cell>
          <cell r="L126">
            <v>6.7</v>
          </cell>
          <cell r="M126">
            <v>7.7</v>
          </cell>
          <cell r="N126">
            <v>8.6999999999999993</v>
          </cell>
          <cell r="O126">
            <v>11.317</v>
          </cell>
          <cell r="P126">
            <v>11.317</v>
          </cell>
          <cell r="Q126">
            <v>11.540000000000001</v>
          </cell>
          <cell r="R126">
            <v>14.43</v>
          </cell>
          <cell r="S126">
            <v>16.114000000000001</v>
          </cell>
          <cell r="T126">
            <v>22.308</v>
          </cell>
          <cell r="U126">
            <v>22.308</v>
          </cell>
          <cell r="V126">
            <v>24.878999999999998</v>
          </cell>
          <cell r="W126">
            <v>30.282999999999998</v>
          </cell>
          <cell r="X126">
            <v>36.57</v>
          </cell>
          <cell r="Y126">
            <v>52.665000000000006</v>
          </cell>
          <cell r="Z126">
            <v>52.665000000000006</v>
          </cell>
          <cell r="AA126">
            <v>59.142000000000003</v>
          </cell>
          <cell r="AB126">
            <v>67.668000000000006</v>
          </cell>
          <cell r="AC126">
            <v>73.965999999999994</v>
          </cell>
          <cell r="AD126">
            <v>114.71199999999999</v>
          </cell>
          <cell r="AE126">
            <v>114.71199999999999</v>
          </cell>
          <cell r="AF126">
            <v>117.33700000000002</v>
          </cell>
          <cell r="AG126">
            <v>127.63500000000001</v>
          </cell>
          <cell r="AH126">
            <v>140.10743914514734</v>
          </cell>
          <cell r="AI126">
            <v>194.29309814152424</v>
          </cell>
          <cell r="AJ126">
            <v>194.29309814152424</v>
          </cell>
          <cell r="AK126">
            <v>205.20892538778156</v>
          </cell>
          <cell r="AL126">
            <v>222.28239282580978</v>
          </cell>
          <cell r="AM126">
            <v>234.87735037928286</v>
          </cell>
          <cell r="AN126">
            <v>297.60043819778076</v>
          </cell>
          <cell r="AO126">
            <v>297.60043819778076</v>
          </cell>
          <cell r="AP126">
            <v>298.53610835282018</v>
          </cell>
          <cell r="AQ126">
            <v>314.15492968281194</v>
          </cell>
          <cell r="AR126">
            <v>325.9319348012346</v>
          </cell>
          <cell r="AS126">
            <v>395.6680245526843</v>
          </cell>
          <cell r="AT126">
            <v>395.6680245526843</v>
          </cell>
          <cell r="AU126">
            <v>63.362281579643557</v>
          </cell>
          <cell r="AV126">
            <v>62.159401609715466</v>
          </cell>
          <cell r="AW126">
            <v>67.81319499235839</v>
          </cell>
          <cell r="AX126">
            <v>79.698981534254301</v>
          </cell>
          <cell r="AY126">
            <v>273.03385971597174</v>
          </cell>
        </row>
        <row r="127">
          <cell r="A127" t="str">
            <v>BoP Deferred</v>
          </cell>
          <cell r="K127">
            <v>0</v>
          </cell>
          <cell r="L127">
            <v>5.6585000000000001</v>
          </cell>
          <cell r="M127">
            <v>6.7</v>
          </cell>
          <cell r="N127">
            <v>7.7</v>
          </cell>
          <cell r="O127">
            <v>8.6999999999999993</v>
          </cell>
          <cell r="P127">
            <v>5.6585000000000001</v>
          </cell>
          <cell r="Q127">
            <v>11.317</v>
          </cell>
          <cell r="R127">
            <v>11.540000000000001</v>
          </cell>
          <cell r="S127">
            <v>14.43</v>
          </cell>
          <cell r="T127">
            <v>16.114000000000001</v>
          </cell>
          <cell r="U127">
            <v>11.317</v>
          </cell>
          <cell r="V127">
            <v>22.308</v>
          </cell>
          <cell r="W127">
            <v>24.878999999999998</v>
          </cell>
          <cell r="X127">
            <v>30.282999999999998</v>
          </cell>
          <cell r="Y127">
            <v>36.57</v>
          </cell>
          <cell r="Z127">
            <v>22.308</v>
          </cell>
          <cell r="AA127">
            <v>52.665000000000006</v>
          </cell>
          <cell r="AB127">
            <v>59.142000000000003</v>
          </cell>
          <cell r="AC127">
            <v>67.668000000000006</v>
          </cell>
          <cell r="AD127">
            <v>73.965999999999994</v>
          </cell>
          <cell r="AE127">
            <v>52.665000000000006</v>
          </cell>
          <cell r="AF127">
            <v>114.71199999999999</v>
          </cell>
          <cell r="AG127">
            <v>117.33700000000002</v>
          </cell>
          <cell r="AH127">
            <v>127.63500000000001</v>
          </cell>
          <cell r="AI127">
            <v>140.10743914514734</v>
          </cell>
          <cell r="AJ127">
            <v>114.71199999999999</v>
          </cell>
          <cell r="AK127">
            <v>194.29309814152424</v>
          </cell>
          <cell r="AL127">
            <v>205.20892538778156</v>
          </cell>
          <cell r="AM127">
            <v>222.28239282580978</v>
          </cell>
          <cell r="AN127">
            <v>234.87735037928286</v>
          </cell>
          <cell r="AO127">
            <v>194.29309814152424</v>
          </cell>
          <cell r="AP127">
            <v>297.60043819778076</v>
          </cell>
          <cell r="AQ127">
            <v>298.53610835282018</v>
          </cell>
          <cell r="AR127">
            <v>314.15492968281194</v>
          </cell>
          <cell r="AS127">
            <v>325.9319348012346</v>
          </cell>
          <cell r="AT127">
            <v>297.60043819778076</v>
          </cell>
          <cell r="AU127">
            <v>0.38420855440114665</v>
          </cell>
          <cell r="AV127">
            <v>0.38177118728130655</v>
          </cell>
          <cell r="AW127">
            <v>0.36648605657049438</v>
          </cell>
          <cell r="AX127">
            <v>0.34155670957483775</v>
          </cell>
          <cell r="AY127">
            <v>0.36657543254467395</v>
          </cell>
        </row>
        <row r="128">
          <cell r="A128" t="str">
            <v>EoP Deferred</v>
          </cell>
          <cell r="F128">
            <v>0</v>
          </cell>
          <cell r="K128">
            <v>5.6585000000000001</v>
          </cell>
          <cell r="L128">
            <v>6.7</v>
          </cell>
          <cell r="M128">
            <v>7.7</v>
          </cell>
          <cell r="N128">
            <v>8.6999999999999993</v>
          </cell>
          <cell r="O128">
            <v>11.317</v>
          </cell>
          <cell r="P128">
            <v>11.317</v>
          </cell>
          <cell r="Q128">
            <v>11.540000000000001</v>
          </cell>
          <cell r="R128">
            <v>14.43</v>
          </cell>
          <cell r="S128">
            <v>16.114000000000001</v>
          </cell>
          <cell r="T128">
            <v>22.308</v>
          </cell>
          <cell r="U128">
            <v>22.308</v>
          </cell>
          <cell r="V128">
            <v>24.878999999999998</v>
          </cell>
          <cell r="W128">
            <v>30.282999999999998</v>
          </cell>
          <cell r="X128">
            <v>36.57</v>
          </cell>
          <cell r="Y128">
            <v>52.665000000000006</v>
          </cell>
          <cell r="Z128">
            <v>52.665000000000006</v>
          </cell>
          <cell r="AA128">
            <v>59.142000000000003</v>
          </cell>
          <cell r="AB128">
            <v>67.668000000000006</v>
          </cell>
          <cell r="AC128">
            <v>73.965999999999994</v>
          </cell>
          <cell r="AD128">
            <v>114.71199999999999</v>
          </cell>
          <cell r="AE128">
            <v>114.71199999999999</v>
          </cell>
          <cell r="AF128">
            <v>117.33700000000002</v>
          </cell>
          <cell r="AG128">
            <v>127.63500000000001</v>
          </cell>
          <cell r="AH128">
            <v>140.10743914514734</v>
          </cell>
          <cell r="AI128">
            <v>194.29309814152424</v>
          </cell>
          <cell r="AJ128">
            <v>194.29309814152424</v>
          </cell>
          <cell r="AK128">
            <v>205.20892538778156</v>
          </cell>
          <cell r="AL128">
            <v>222.28239282580978</v>
          </cell>
          <cell r="AM128">
            <v>234.87735037928286</v>
          </cell>
          <cell r="AN128">
            <v>297.60043819778076</v>
          </cell>
          <cell r="AO128">
            <v>297.60043819778076</v>
          </cell>
          <cell r="AP128">
            <v>298.53610835282018</v>
          </cell>
          <cell r="AQ128">
            <v>314.15492968281194</v>
          </cell>
          <cell r="AR128">
            <v>325.9319348012346</v>
          </cell>
          <cell r="AS128">
            <v>395.6680245526843</v>
          </cell>
          <cell r="AT128">
            <v>395.6680245526843</v>
          </cell>
          <cell r="AU128">
            <v>6.6564369465706985E-2</v>
          </cell>
          <cell r="AV128">
            <v>-1.898416439465056E-2</v>
          </cell>
          <cell r="AW128">
            <v>9.0956367600540711E-2</v>
          </cell>
          <cell r="AX128">
            <v>0.17527247526436818</v>
          </cell>
        </row>
        <row r="129">
          <cell r="A129" t="str">
            <v>Change in Deferred Revenue</v>
          </cell>
          <cell r="F129">
            <v>0</v>
          </cell>
          <cell r="G129">
            <v>0</v>
          </cell>
          <cell r="H129">
            <v>0</v>
          </cell>
          <cell r="I129">
            <v>0</v>
          </cell>
          <cell r="J129">
            <v>0</v>
          </cell>
          <cell r="K129">
            <v>5.6585000000000001</v>
          </cell>
          <cell r="L129">
            <v>1.0415000000000001</v>
          </cell>
          <cell r="M129">
            <v>1</v>
          </cell>
          <cell r="N129">
            <v>0.99999999999999911</v>
          </cell>
          <cell r="O129">
            <v>2.6170000000000009</v>
          </cell>
          <cell r="P129">
            <v>5.6585000000000001</v>
          </cell>
          <cell r="Q129">
            <v>0.22300000000000075</v>
          </cell>
          <cell r="R129">
            <v>2.8899999999999988</v>
          </cell>
          <cell r="S129">
            <v>1.6840000000000011</v>
          </cell>
          <cell r="T129">
            <v>6.1939999999999991</v>
          </cell>
          <cell r="U129">
            <v>10.991</v>
          </cell>
          <cell r="V129">
            <v>2.570999999999998</v>
          </cell>
          <cell r="W129">
            <v>5.4039999999999999</v>
          </cell>
          <cell r="X129">
            <v>6.2870000000000026</v>
          </cell>
          <cell r="Y129">
            <v>16.095000000000006</v>
          </cell>
          <cell r="Z129">
            <v>30.357000000000006</v>
          </cell>
          <cell r="AA129">
            <v>6.4769999999999968</v>
          </cell>
          <cell r="AB129">
            <v>8.5260000000000034</v>
          </cell>
          <cell r="AC129">
            <v>6.2979999999999876</v>
          </cell>
          <cell r="AD129">
            <v>40.745999999999995</v>
          </cell>
          <cell r="AE129">
            <v>62.046999999999983</v>
          </cell>
          <cell r="AF129">
            <v>2.6250000000000284</v>
          </cell>
          <cell r="AG129">
            <v>10.297999999999988</v>
          </cell>
          <cell r="AH129">
            <v>12.472439145147334</v>
          </cell>
          <cell r="AI129">
            <v>54.185658996376901</v>
          </cell>
          <cell r="AJ129">
            <v>79.581098141524251</v>
          </cell>
          <cell r="AK129">
            <v>10.915827246257322</v>
          </cell>
          <cell r="AL129">
            <v>17.073467438028217</v>
          </cell>
          <cell r="AM129">
            <v>12.59495755347308</v>
          </cell>
          <cell r="AN129">
            <v>62.723087818497902</v>
          </cell>
          <cell r="AO129">
            <v>103.30734005625652</v>
          </cell>
          <cell r="AP129">
            <v>0.93567015503941775</v>
          </cell>
          <cell r="AQ129">
            <v>15.618821329991761</v>
          </cell>
          <cell r="AR129">
            <v>11.777005118422665</v>
          </cell>
          <cell r="AS129">
            <v>69.736089751449697</v>
          </cell>
          <cell r="AT129">
            <v>98.06758635490354</v>
          </cell>
          <cell r="AU129">
            <v>140.1901583787853</v>
          </cell>
          <cell r="AV129">
            <v>154.16656394898774</v>
          </cell>
          <cell r="AW129">
            <v>174.16968036098899</v>
          </cell>
          <cell r="AX129">
            <v>205.42637853700231</v>
          </cell>
          <cell r="AY129">
            <v>673.9527812257644</v>
          </cell>
        </row>
        <row r="130">
          <cell r="A130" t="str">
            <v>Billings</v>
          </cell>
          <cell r="F130">
            <v>9.0719999999999992</v>
          </cell>
          <cell r="G130" t="str">
            <v>-</v>
          </cell>
          <cell r="H130" t="str">
            <v>-</v>
          </cell>
          <cell r="I130" t="str">
            <v>-</v>
          </cell>
          <cell r="J130" t="str">
            <v>-</v>
          </cell>
          <cell r="K130">
            <v>23.814499999999999</v>
          </cell>
          <cell r="L130">
            <v>7.1414999999999997</v>
          </cell>
          <cell r="M130">
            <v>8.9</v>
          </cell>
          <cell r="N130">
            <v>10.899999999999999</v>
          </cell>
          <cell r="O130">
            <v>13.717000000000001</v>
          </cell>
          <cell r="P130">
            <v>40.658500000000004</v>
          </cell>
          <cell r="Q130">
            <v>12.411000000000001</v>
          </cell>
          <cell r="R130">
            <v>18.183</v>
          </cell>
          <cell r="S130">
            <v>17.667000000000002</v>
          </cell>
          <cell r="T130">
            <v>28.974999999999998</v>
          </cell>
          <cell r="U130">
            <v>77.23599999999999</v>
          </cell>
          <cell r="V130">
            <v>23.209999999999997</v>
          </cell>
          <cell r="W130">
            <v>31.352999999999998</v>
          </cell>
          <cell r="X130">
            <v>37.46</v>
          </cell>
          <cell r="Y130">
            <v>59.095000000000006</v>
          </cell>
          <cell r="Z130">
            <v>151.11799999999999</v>
          </cell>
          <cell r="AA130">
            <v>43.667999999999999</v>
          </cell>
          <cell r="AB130">
            <v>53.009</v>
          </cell>
          <cell r="AC130">
            <v>58.342999999999989</v>
          </cell>
          <cell r="AD130">
            <v>105.971</v>
          </cell>
          <cell r="AE130">
            <v>260.99099999999999</v>
          </cell>
          <cell r="AF130">
            <v>59.832000000000022</v>
          </cell>
          <cell r="AG130">
            <v>77.170999999999992</v>
          </cell>
          <cell r="AH130">
            <v>82.726708744235026</v>
          </cell>
          <cell r="AI130">
            <v>138.12265610605533</v>
          </cell>
          <cell r="AJ130">
            <v>357.85236485029037</v>
          </cell>
          <cell r="AK130">
            <v>85.318111838636469</v>
          </cell>
          <cell r="AL130">
            <v>105.94922556137237</v>
          </cell>
          <cell r="AM130">
            <v>107.73865280842359</v>
          </cell>
          <cell r="AN130">
            <v>176.78027036267017</v>
          </cell>
          <cell r="AO130">
            <v>475.78626057110262</v>
          </cell>
          <cell r="AP130">
            <v>104.50485621323479</v>
          </cell>
          <cell r="AQ130">
            <v>130.91913247428269</v>
          </cell>
          <cell r="AR130">
            <v>129.96197476910913</v>
          </cell>
          <cell r="AS130">
            <v>206.9946345276918</v>
          </cell>
          <cell r="AT130">
            <v>572.38059798431846</v>
          </cell>
          <cell r="AU130">
            <v>0.29393607353685614</v>
          </cell>
          <cell r="AV130">
            <v>0.28595146423396489</v>
          </cell>
          <cell r="AW130">
            <v>0.27633663134871189</v>
          </cell>
          <cell r="AX130">
            <v>0.25818131402625477</v>
          </cell>
          <cell r="AY130">
            <v>0.27651695849525293</v>
          </cell>
        </row>
        <row r="131">
          <cell r="A131" t="str">
            <v xml:space="preserve">   YoY Growth</v>
          </cell>
          <cell r="B131" t="str">
            <v/>
          </cell>
          <cell r="C131" t="str">
            <v/>
          </cell>
          <cell r="D131" t="str">
            <v/>
          </cell>
          <cell r="E131" t="str">
            <v/>
          </cell>
          <cell r="F131" t="str">
            <v/>
          </cell>
          <cell r="G131" t="str">
            <v>-</v>
          </cell>
          <cell r="H131" t="str">
            <v>-</v>
          </cell>
          <cell r="I131" t="str">
            <v>-</v>
          </cell>
          <cell r="J131" t="str">
            <v>-</v>
          </cell>
          <cell r="K131">
            <v>1.6250551146384482</v>
          </cell>
          <cell r="L131" t="str">
            <v/>
          </cell>
          <cell r="M131" t="str">
            <v/>
          </cell>
          <cell r="N131" t="str">
            <v/>
          </cell>
          <cell r="O131" t="str">
            <v/>
          </cell>
          <cell r="P131">
            <v>0.70730017426357916</v>
          </cell>
          <cell r="Q131">
            <v>0.73787019533711429</v>
          </cell>
          <cell r="R131">
            <v>1.0430337078651686</v>
          </cell>
          <cell r="S131">
            <v>0.62082568807339489</v>
          </cell>
          <cell r="T131">
            <v>1.1123423489101114</v>
          </cell>
          <cell r="U131">
            <v>0.89962738418780774</v>
          </cell>
          <cell r="V131">
            <v>0.870115220369027</v>
          </cell>
          <cell r="W131">
            <v>0.72430292031017984</v>
          </cell>
          <cell r="X131">
            <v>1.1203373521254316</v>
          </cell>
          <cell r="Y131">
            <v>1.0395168248490081</v>
          </cell>
          <cell r="Z131">
            <v>0.9565746543062823</v>
          </cell>
          <cell r="AA131">
            <v>0.88143041792330901</v>
          </cell>
          <cell r="AB131">
            <v>0.69071540203489312</v>
          </cell>
          <cell r="AC131">
            <v>0.55747463961558963</v>
          </cell>
          <cell r="AD131">
            <v>0.79323123783738048</v>
          </cell>
          <cell r="AE131">
            <v>0.72706758956576967</v>
          </cell>
          <cell r="AF131">
            <v>0.37015663643858265</v>
          </cell>
          <cell r="AG131">
            <v>0.45580939085815597</v>
          </cell>
          <cell r="AH131">
            <v>0.41793717745462255</v>
          </cell>
          <cell r="AI131">
            <v>0.30340051623609599</v>
          </cell>
          <cell r="AJ131">
            <v>0.37112913797905067</v>
          </cell>
          <cell r="AK131">
            <v>0.42596122206572473</v>
          </cell>
          <cell r="AL131">
            <v>0.37291502716528724</v>
          </cell>
          <cell r="AM131">
            <v>0.30234424219048339</v>
          </cell>
          <cell r="AN131">
            <v>0.27987887973231707</v>
          </cell>
          <cell r="AO131">
            <v>0.32956019661949298</v>
          </cell>
          <cell r="AP131">
            <v>0.22488477488679681</v>
          </cell>
          <cell r="AQ131">
            <v>0.23567805031709455</v>
          </cell>
          <cell r="AR131">
            <v>0.20627065014635115</v>
          </cell>
          <cell r="AS131">
            <v>0.17091479780541086</v>
          </cell>
          <cell r="AT131">
            <v>0.20302044303942357</v>
          </cell>
          <cell r="AU131">
            <v>-0.14137298754552263</v>
          </cell>
          <cell r="AV131">
            <v>9.9696053787449612E-2</v>
          </cell>
          <cell r="AW131">
            <v>0.12975003074350222</v>
          </cell>
          <cell r="AX131">
            <v>0.17946119043928777</v>
          </cell>
        </row>
        <row r="132">
          <cell r="A132" t="str">
            <v xml:space="preserve">   QoQ Growth</v>
          </cell>
          <cell r="L132" t="str">
            <v/>
          </cell>
          <cell r="M132">
            <v>0.24623678498914803</v>
          </cell>
          <cell r="N132">
            <v>0.22471910112359539</v>
          </cell>
          <cell r="O132">
            <v>0.2584403669724773</v>
          </cell>
          <cell r="Q132">
            <v>-9.5210322956914673E-2</v>
          </cell>
          <cell r="R132">
            <v>0.46507130771090144</v>
          </cell>
          <cell r="S132">
            <v>-2.8378155419897633E-2</v>
          </cell>
          <cell r="T132">
            <v>0.64006339503028209</v>
          </cell>
          <cell r="V132">
            <v>-0.19896462467644527</v>
          </cell>
          <cell r="W132">
            <v>0.35084015510555799</v>
          </cell>
          <cell r="X132">
            <v>0.19478199853283584</v>
          </cell>
          <cell r="Y132">
            <v>0.57754938601174599</v>
          </cell>
          <cell r="AA132">
            <v>-0.26105423470682809</v>
          </cell>
          <cell r="AB132">
            <v>0.21390949894659705</v>
          </cell>
          <cell r="AC132">
            <v>0.10062442226791646</v>
          </cell>
          <cell r="AD132">
            <v>0.81634472001782599</v>
          </cell>
          <cell r="AF132">
            <v>-0.43539270177690104</v>
          </cell>
          <cell r="AG132">
            <v>0.28979475865757398</v>
          </cell>
          <cell r="AH132">
            <v>7.1992182869666577E-2</v>
          </cell>
          <cell r="AI132">
            <v>0.66962590682879886</v>
          </cell>
          <cell r="AK132">
            <v>-0.38230183053295552</v>
          </cell>
          <cell r="AL132">
            <v>0.24181399796746406</v>
          </cell>
          <cell r="AM132">
            <v>1.6889479253575868E-2</v>
          </cell>
          <cell r="AN132">
            <v>0.64082495700975128</v>
          </cell>
          <cell r="AP132">
            <v>-0.40884321537216872</v>
          </cell>
          <cell r="AQ132">
            <v>0.25275644805588215</v>
          </cell>
          <cell r="AR132">
            <v>-7.3110605538238005E-3</v>
          </cell>
          <cell r="AS132">
            <v>0.59273229646932601</v>
          </cell>
        </row>
        <row r="133">
          <cell r="A133" t="str">
            <v>Revenue as a % of Prior Q Current Deferred</v>
          </cell>
          <cell r="K133" t="str">
            <v/>
          </cell>
          <cell r="L133" t="str">
            <v/>
          </cell>
          <cell r="M133" t="str">
            <v/>
          </cell>
          <cell r="N133" t="str">
            <v/>
          </cell>
          <cell r="O133" t="str">
            <v/>
          </cell>
          <cell r="P133" t="str">
            <v/>
          </cell>
          <cell r="Q133" t="str">
            <v/>
          </cell>
          <cell r="R133" t="str">
            <v/>
          </cell>
          <cell r="S133" t="str">
            <v/>
          </cell>
          <cell r="T133">
            <v>2.1410714285714283</v>
          </cell>
          <cell r="V133">
            <v>1.9193713382311912</v>
          </cell>
          <cell r="W133">
            <v>1.9784232997865201</v>
          </cell>
          <cell r="X133">
            <v>2.1082781009062628</v>
          </cell>
          <cell r="Y133">
            <v>2.2050151274293626</v>
          </cell>
          <cell r="AA133">
            <v>1.7006264575426404</v>
          </cell>
          <cell r="AB133">
            <v>1.6633511573121937</v>
          </cell>
          <cell r="AC133">
            <v>1.6678951416485066</v>
          </cell>
          <cell r="AD133">
            <v>1.5195815763110687</v>
          </cell>
          <cell r="AF133">
            <v>1.2256191618819092</v>
          </cell>
          <cell r="AG133">
            <v>1.2350724905346755</v>
          </cell>
          <cell r="AH133">
            <v>1.2690110386676134</v>
          </cell>
          <cell r="AI133">
            <v>1.1309563740184734</v>
          </cell>
          <cell r="AK133">
            <v>0.95497312091472586</v>
          </cell>
          <cell r="AL133">
            <v>0.94543276960805345</v>
          </cell>
          <cell r="AM133">
            <v>0.98432142337429163</v>
          </cell>
          <cell r="AN133">
            <v>0.90305925107548057</v>
          </cell>
          <cell r="AP133">
            <v>0.80432031221389833</v>
          </cell>
          <cell r="AQ133">
            <v>0.8501432093934117</v>
          </cell>
          <cell r="AR133">
            <v>0.89816993005716206</v>
          </cell>
          <cell r="AS133">
            <v>0.86896699129747201</v>
          </cell>
          <cell r="AU133">
            <v>0.7632862772368354</v>
          </cell>
          <cell r="AV133">
            <v>0.80065813719521495</v>
          </cell>
          <cell r="AW133">
            <v>0.82493555889001269</v>
          </cell>
          <cell r="AX133">
            <v>0.80014324940996029</v>
          </cell>
        </row>
        <row r="134">
          <cell r="A134" t="str">
            <v>Current Deferred</v>
          </cell>
          <cell r="F134">
            <v>0</v>
          </cell>
          <cell r="K134">
            <v>0</v>
          </cell>
          <cell r="L134">
            <v>0</v>
          </cell>
          <cell r="M134">
            <v>0</v>
          </cell>
          <cell r="N134">
            <v>0</v>
          </cell>
          <cell r="O134">
            <v>10.64</v>
          </cell>
          <cell r="P134">
            <v>10.64</v>
          </cell>
          <cell r="Q134">
            <v>10.753</v>
          </cell>
          <cell r="R134">
            <v>13.116</v>
          </cell>
          <cell r="S134">
            <v>14.786</v>
          </cell>
          <cell r="T134">
            <v>19.501000000000001</v>
          </cell>
          <cell r="U134">
            <v>19.501000000000001</v>
          </cell>
          <cell r="V134">
            <v>21.869</v>
          </cell>
          <cell r="W134">
            <v>26.742999999999999</v>
          </cell>
          <cell r="X134">
            <v>31.204000000000001</v>
          </cell>
          <cell r="Y134">
            <v>42.923000000000002</v>
          </cell>
          <cell r="Z134">
            <v>42.923000000000002</v>
          </cell>
          <cell r="AA134">
            <v>46.676000000000002</v>
          </cell>
          <cell r="AB134">
            <v>54.145000000000003</v>
          </cell>
          <cell r="AC134">
            <v>61.963999999999999</v>
          </cell>
          <cell r="AD134">
            <v>79.567999999999998</v>
          </cell>
          <cell r="AE134">
            <v>79.567999999999998</v>
          </cell>
          <cell r="AF134">
            <v>84.933000000000007</v>
          </cell>
          <cell r="AG134">
            <v>96.908000000000001</v>
          </cell>
          <cell r="AH134">
            <v>106.37780947763495</v>
          </cell>
          <cell r="AI134">
            <v>147.51874920436268</v>
          </cell>
          <cell r="AJ134">
            <v>147.51874920436268</v>
          </cell>
          <cell r="AK134">
            <v>155.80668736223711</v>
          </cell>
          <cell r="AL134">
            <v>168.76986817067083</v>
          </cell>
          <cell r="AM134">
            <v>178.33270083092836</v>
          </cell>
          <cell r="AN134">
            <v>225.95575872504045</v>
          </cell>
          <cell r="AO134">
            <v>225.95575872504045</v>
          </cell>
          <cell r="AP134">
            <v>226.66617454659848</v>
          </cell>
          <cell r="AQ134">
            <v>238.52490246172241</v>
          </cell>
          <cell r="AR134">
            <v>247.46669751806357</v>
          </cell>
          <cell r="AS134">
            <v>300.41443901243019</v>
          </cell>
          <cell r="AT134">
            <v>300.41443901243019</v>
          </cell>
        </row>
        <row r="135">
          <cell r="A135" t="str">
            <v>LT Deferred</v>
          </cell>
          <cell r="B135">
            <v>0</v>
          </cell>
          <cell r="C135">
            <v>0</v>
          </cell>
          <cell r="D135">
            <v>0</v>
          </cell>
          <cell r="E135">
            <v>1.849</v>
          </cell>
          <cell r="F135">
            <v>0</v>
          </cell>
          <cell r="K135">
            <v>0</v>
          </cell>
          <cell r="L135">
            <v>0</v>
          </cell>
          <cell r="M135">
            <v>0</v>
          </cell>
          <cell r="N135">
            <v>0</v>
          </cell>
          <cell r="O135">
            <v>0.67700000000000005</v>
          </cell>
          <cell r="P135">
            <v>0.67700000000000005</v>
          </cell>
          <cell r="Q135">
            <v>0.78700000000000003</v>
          </cell>
          <cell r="R135">
            <v>1.3140000000000001</v>
          </cell>
          <cell r="S135">
            <v>1.3280000000000001</v>
          </cell>
          <cell r="T135">
            <v>2.8069999999999999</v>
          </cell>
          <cell r="U135">
            <v>2.8069999999999999</v>
          </cell>
          <cell r="V135">
            <v>3.01</v>
          </cell>
          <cell r="W135">
            <v>3.54</v>
          </cell>
          <cell r="X135">
            <v>5.3659999999999997</v>
          </cell>
          <cell r="Y135">
            <v>9.7420000000000009</v>
          </cell>
          <cell r="Z135">
            <v>9.7420000000000009</v>
          </cell>
          <cell r="AA135">
            <v>12.465999999999999</v>
          </cell>
          <cell r="AB135">
            <v>13.523</v>
          </cell>
          <cell r="AC135">
            <v>12.002000000000001</v>
          </cell>
          <cell r="AD135">
            <v>35.143999999999998</v>
          </cell>
          <cell r="AE135">
            <v>35.143999999999998</v>
          </cell>
          <cell r="AF135">
            <v>32.404000000000003</v>
          </cell>
          <cell r="AG135">
            <v>30.727</v>
          </cell>
          <cell r="AH135">
            <v>33.729629667512384</v>
          </cell>
          <cell r="AI135">
            <v>46.774348937161562</v>
          </cell>
          <cell r="AJ135">
            <v>46.774348937161562</v>
          </cell>
          <cell r="AK135">
            <v>49.402238025544449</v>
          </cell>
          <cell r="AL135">
            <v>53.512524655138947</v>
          </cell>
          <cell r="AM135">
            <v>56.544649548354499</v>
          </cell>
          <cell r="AN135">
            <v>71.644679472740307</v>
          </cell>
          <cell r="AO135">
            <v>71.644679472740307</v>
          </cell>
          <cell r="AP135">
            <v>71.869933806221695</v>
          </cell>
          <cell r="AQ135">
            <v>75.630027221089534</v>
          </cell>
          <cell r="AR135">
            <v>78.465237283171035</v>
          </cell>
          <cell r="AS135">
            <v>95.253585540254107</v>
          </cell>
          <cell r="AT135">
            <v>95.253585540254107</v>
          </cell>
          <cell r="AU135">
            <v>327.91953546489071</v>
          </cell>
          <cell r="AV135">
            <v>341.07281190458599</v>
          </cell>
          <cell r="AW135">
            <v>373.75836861621985</v>
          </cell>
          <cell r="AX135">
            <v>449.75781522576926</v>
          </cell>
          <cell r="AY135">
            <v>449.75781522576926</v>
          </cell>
        </row>
        <row r="136">
          <cell r="A136" t="str">
            <v xml:space="preserve">   LT as % of Total</v>
          </cell>
          <cell r="K136">
            <v>0</v>
          </cell>
          <cell r="L136">
            <v>5.6585000000000001</v>
          </cell>
          <cell r="M136">
            <v>6.7</v>
          </cell>
          <cell r="N136">
            <v>7.7</v>
          </cell>
          <cell r="O136">
            <v>8.6999999999999993</v>
          </cell>
          <cell r="P136">
            <v>5.6585000000000001</v>
          </cell>
          <cell r="Q136">
            <v>6.8197573656845756E-2</v>
          </cell>
          <cell r="R136">
            <v>9.1060291060291065E-2</v>
          </cell>
          <cell r="S136">
            <v>8.2412808737743579E-2</v>
          </cell>
          <cell r="T136">
            <v>0.12582929890622199</v>
          </cell>
          <cell r="U136">
            <v>11.317</v>
          </cell>
          <cell r="V136">
            <v>0.12098557015957233</v>
          </cell>
          <cell r="W136">
            <v>0.11689726909487172</v>
          </cell>
          <cell r="X136">
            <v>0.14673229423024337</v>
          </cell>
          <cell r="Y136">
            <v>0.18498053735877718</v>
          </cell>
          <cell r="Z136">
            <v>22.308</v>
          </cell>
          <cell r="AA136">
            <v>0.21078083257245273</v>
          </cell>
          <cell r="AB136">
            <v>0.19984335284033811</v>
          </cell>
          <cell r="AC136">
            <v>0.16226374280074632</v>
          </cell>
          <cell r="AD136">
            <v>0.30636725015691474</v>
          </cell>
          <cell r="AE136">
            <v>52.665000000000006</v>
          </cell>
          <cell r="AF136">
            <v>0.27616182448843929</v>
          </cell>
          <cell r="AG136">
            <v>0.2407411760097152</v>
          </cell>
          <cell r="AH136">
            <v>0.2407411760097152</v>
          </cell>
          <cell r="AI136">
            <v>0.2407411760097152</v>
          </cell>
          <cell r="AJ136">
            <v>114.71199999999999</v>
          </cell>
          <cell r="AK136">
            <v>0.2407411760097152</v>
          </cell>
          <cell r="AL136">
            <v>0.2407411760097152</v>
          </cell>
          <cell r="AM136">
            <v>0.2407411760097152</v>
          </cell>
          <cell r="AN136">
            <v>0.2407411760097152</v>
          </cell>
          <cell r="AO136">
            <v>180.49451010497927</v>
          </cell>
          <cell r="AP136">
            <v>0.2407411760097152</v>
          </cell>
          <cell r="AQ136">
            <v>0.2407411760097152</v>
          </cell>
          <cell r="AR136">
            <v>0.2407411760097152</v>
          </cell>
          <cell r="AS136">
            <v>0.2407411760097152</v>
          </cell>
          <cell r="AT136">
            <v>246.25505914626501</v>
          </cell>
          <cell r="AU136">
            <v>336.48361912358786</v>
          </cell>
          <cell r="AV136">
            <v>327.91953546489071</v>
          </cell>
          <cell r="AW136">
            <v>341.07281190458599</v>
          </cell>
          <cell r="AX136">
            <v>373.75836861621985</v>
          </cell>
          <cell r="AY136">
            <v>336.48361912358786</v>
          </cell>
        </row>
        <row r="137">
          <cell r="A137" t="str">
            <v>EoP Deferred</v>
          </cell>
          <cell r="F137">
            <v>0</v>
          </cell>
          <cell r="K137">
            <v>5.6585000000000001</v>
          </cell>
          <cell r="L137">
            <v>6.7</v>
          </cell>
          <cell r="M137">
            <v>7.7</v>
          </cell>
          <cell r="N137">
            <v>8.6999999999999993</v>
          </cell>
          <cell r="O137">
            <v>11.317</v>
          </cell>
          <cell r="P137">
            <v>11.317</v>
          </cell>
          <cell r="Q137">
            <v>11.540000000000001</v>
          </cell>
          <cell r="R137">
            <v>14.43</v>
          </cell>
          <cell r="S137">
            <v>16.114000000000001</v>
          </cell>
          <cell r="T137">
            <v>22.308</v>
          </cell>
          <cell r="U137">
            <v>22.308</v>
          </cell>
          <cell r="V137">
            <v>24.878999999999998</v>
          </cell>
          <cell r="W137">
            <v>30.282999999999998</v>
          </cell>
          <cell r="X137">
            <v>36.57</v>
          </cell>
          <cell r="Y137">
            <v>52.665000000000006</v>
          </cell>
          <cell r="Z137">
            <v>52.665000000000006</v>
          </cell>
          <cell r="AA137">
            <v>59.142000000000003</v>
          </cell>
          <cell r="AB137">
            <v>67.668000000000006</v>
          </cell>
          <cell r="AC137">
            <v>73.965999999999994</v>
          </cell>
          <cell r="AD137">
            <v>114.71199999999999</v>
          </cell>
          <cell r="AE137">
            <v>114.71199999999999</v>
          </cell>
          <cell r="AF137">
            <v>117.33700000000002</v>
          </cell>
          <cell r="AG137">
            <v>127.63500000000001</v>
          </cell>
          <cell r="AH137">
            <v>141.14500000000001</v>
          </cell>
          <cell r="AI137">
            <v>180.49451010497927</v>
          </cell>
          <cell r="AJ137">
            <v>180.49451010497927</v>
          </cell>
          <cell r="AK137">
            <v>176.54325568363163</v>
          </cell>
          <cell r="AL137">
            <v>184.8200092123576</v>
          </cell>
          <cell r="AM137">
            <v>199.12430447530303</v>
          </cell>
          <cell r="AN137">
            <v>246.25505914626501</v>
          </cell>
          <cell r="AO137">
            <v>246.25505914626501</v>
          </cell>
          <cell r="AP137">
            <v>240.71631918894857</v>
          </cell>
          <cell r="AQ137">
            <v>252.35884627108587</v>
          </cell>
          <cell r="AR137">
            <v>276.71199951301435</v>
          </cell>
          <cell r="AS137">
            <v>336.48361912358786</v>
          </cell>
          <cell r="AT137">
            <v>336.48361912358786</v>
          </cell>
          <cell r="AU137">
            <v>327.91953546489071</v>
          </cell>
          <cell r="AV137">
            <v>341.07281190458599</v>
          </cell>
          <cell r="AW137">
            <v>373.75836861621985</v>
          </cell>
          <cell r="AX137">
            <v>449.75781522576926</v>
          </cell>
          <cell r="AY137">
            <v>449.75781522576926</v>
          </cell>
        </row>
        <row r="138">
          <cell r="A138" t="str">
            <v>Upsell Analysis -- Customer purchased 2.3X their initial purchase amount in the 2 years post the initial purchase</v>
          </cell>
          <cell r="F138">
            <v>0</v>
          </cell>
          <cell r="K138">
            <v>5.6585000000000001</v>
          </cell>
          <cell r="L138">
            <v>1.0415000000000001</v>
          </cell>
          <cell r="M138">
            <v>1</v>
          </cell>
          <cell r="N138">
            <v>0.99999999999999911</v>
          </cell>
          <cell r="O138">
            <v>2.6170000000000009</v>
          </cell>
          <cell r="P138">
            <v>5.6585000000000001</v>
          </cell>
          <cell r="Q138">
            <v>0.22300000000000075</v>
          </cell>
          <cell r="R138">
            <v>2.8899999999999988</v>
          </cell>
          <cell r="S138">
            <v>1.6840000000000011</v>
          </cell>
          <cell r="T138">
            <v>6.1939999999999991</v>
          </cell>
          <cell r="U138">
            <v>10.991</v>
          </cell>
          <cell r="V138">
            <v>2.570999999999998</v>
          </cell>
          <cell r="W138">
            <v>5.4039999999999999</v>
          </cell>
          <cell r="X138">
            <v>6.2870000000000026</v>
          </cell>
          <cell r="Y138">
            <v>16.095000000000006</v>
          </cell>
          <cell r="Z138">
            <v>30.357000000000006</v>
          </cell>
          <cell r="AA138">
            <v>6.4769999999999968</v>
          </cell>
          <cell r="AB138">
            <v>8.5260000000000034</v>
          </cell>
          <cell r="AC138">
            <v>6.2979999999999876</v>
          </cell>
          <cell r="AD138">
            <v>40.745999999999995</v>
          </cell>
          <cell r="AE138">
            <v>62.046999999999983</v>
          </cell>
          <cell r="AF138">
            <v>2.6250000000000284</v>
          </cell>
          <cell r="AG138">
            <v>10.297999999999988</v>
          </cell>
          <cell r="AH138">
            <v>13.510000000000005</v>
          </cell>
          <cell r="AI138">
            <v>39.349510104979259</v>
          </cell>
          <cell r="AJ138">
            <v>65.782510104979281</v>
          </cell>
          <cell r="AK138">
            <v>-3.9512544213476417</v>
          </cell>
          <cell r="AL138">
            <v>8.2767535287259761</v>
          </cell>
          <cell r="AM138">
            <v>14.304295262945431</v>
          </cell>
          <cell r="AN138">
            <v>47.130754670961977</v>
          </cell>
          <cell r="AO138">
            <v>65.760549041285742</v>
          </cell>
          <cell r="AP138">
            <v>-5.5387399573164373</v>
          </cell>
          <cell r="AQ138">
            <v>11.642527082137292</v>
          </cell>
          <cell r="AR138">
            <v>24.353153241928482</v>
          </cell>
          <cell r="AS138">
            <v>59.771619610573509</v>
          </cell>
          <cell r="AT138">
            <v>90.228559977322845</v>
          </cell>
          <cell r="AU138">
            <v>-8.5640836586971432</v>
          </cell>
          <cell r="AV138">
            <v>13.153276439695276</v>
          </cell>
          <cell r="AW138">
            <v>32.685556711633865</v>
          </cell>
          <cell r="AX138">
            <v>75.999446609549409</v>
          </cell>
          <cell r="AY138">
            <v>113.27419610218141</v>
          </cell>
        </row>
        <row r="139">
          <cell r="A139" t="str">
            <v>Billings</v>
          </cell>
          <cell r="F139">
            <v>9.0719999999999992</v>
          </cell>
          <cell r="K139">
            <v>23.814499999999999</v>
          </cell>
          <cell r="L139">
            <v>7.1414999999999997</v>
          </cell>
          <cell r="M139">
            <v>8.9</v>
          </cell>
          <cell r="N139">
            <v>10.899999999999999</v>
          </cell>
          <cell r="O139">
            <v>13.717000000000001</v>
          </cell>
          <cell r="P139">
            <v>40.658500000000004</v>
          </cell>
          <cell r="Q139">
            <v>12.411000000000001</v>
          </cell>
          <cell r="R139">
            <v>18.183</v>
          </cell>
          <cell r="S139">
            <v>17.667000000000002</v>
          </cell>
          <cell r="T139">
            <v>28.974999999999998</v>
          </cell>
          <cell r="U139">
            <v>77.23599999999999</v>
          </cell>
          <cell r="V139">
            <v>23.209999999999997</v>
          </cell>
          <cell r="W139">
            <v>31.352999999999998</v>
          </cell>
          <cell r="X139">
            <v>37.46</v>
          </cell>
          <cell r="Y139">
            <v>59.095000000000006</v>
          </cell>
          <cell r="Z139">
            <v>151.11799999999999</v>
          </cell>
          <cell r="AA139">
            <v>43.667999999999999</v>
          </cell>
          <cell r="AB139">
            <v>53.009</v>
          </cell>
          <cell r="AC139">
            <v>58.342999999999989</v>
          </cell>
          <cell r="AD139">
            <v>105.971</v>
          </cell>
          <cell r="AE139">
            <v>260.99099999999999</v>
          </cell>
          <cell r="AF139">
            <v>59.832000000000022</v>
          </cell>
          <cell r="AG139">
            <v>77.170999999999992</v>
          </cell>
          <cell r="AH139">
            <v>92.143000000000001</v>
          </cell>
          <cell r="AI139">
            <v>129.33744687288112</v>
          </cell>
          <cell r="AJ139">
            <v>358.48344687288119</v>
          </cell>
          <cell r="AK139">
            <v>77.157477657302792</v>
          </cell>
          <cell r="AL139">
            <v>99.896752365903239</v>
          </cell>
          <cell r="AM139">
            <v>120.32752441743713</v>
          </cell>
          <cell r="AN139">
            <v>171.49764659248302</v>
          </cell>
          <cell r="AO139">
            <v>468.87940103312616</v>
          </cell>
          <cell r="AP139">
            <v>102.80522018562037</v>
          </cell>
          <cell r="AQ139">
            <v>131.52773911136737</v>
          </cell>
          <cell r="AR139">
            <v>160.81376722347889</v>
          </cell>
          <cell r="AS139">
            <v>223.04409572105212</v>
          </cell>
          <cell r="AT139">
            <v>618.19082224151884</v>
          </cell>
          <cell r="AU139">
            <v>131.62607472008821</v>
          </cell>
          <cell r="AV139">
            <v>167.31984038868299</v>
          </cell>
          <cell r="AW139">
            <v>206.85523707262286</v>
          </cell>
          <cell r="AX139">
            <v>281.42582514655169</v>
          </cell>
          <cell r="AY139">
            <v>787.22697732794586</v>
          </cell>
        </row>
        <row r="140">
          <cell r="A140" t="str">
            <v>License Bookings (New vs. Existing)</v>
          </cell>
          <cell r="B140" t="str">
            <v/>
          </cell>
          <cell r="C140" t="str">
            <v/>
          </cell>
          <cell r="D140" t="str">
            <v/>
          </cell>
          <cell r="E140" t="str">
            <v/>
          </cell>
          <cell r="F140" t="str">
            <v/>
          </cell>
          <cell r="K140">
            <v>1.6250551146384482</v>
          </cell>
          <cell r="L140" t="str">
            <v/>
          </cell>
          <cell r="M140" t="str">
            <v/>
          </cell>
          <cell r="N140" t="str">
            <v/>
          </cell>
          <cell r="O140" t="str">
            <v/>
          </cell>
          <cell r="P140">
            <v>0.70730017426357916</v>
          </cell>
          <cell r="Q140">
            <v>0.73787019533711429</v>
          </cell>
          <cell r="R140">
            <v>1.0430337078651686</v>
          </cell>
          <cell r="S140">
            <v>0.62082568807339489</v>
          </cell>
          <cell r="T140">
            <v>1.1123423489101114</v>
          </cell>
          <cell r="U140">
            <v>0.89962738418780774</v>
          </cell>
          <cell r="V140">
            <v>0.870115220369027</v>
          </cell>
          <cell r="W140">
            <v>0.72430292031017984</v>
          </cell>
          <cell r="X140">
            <v>1.1203373521254316</v>
          </cell>
          <cell r="Y140">
            <v>1.0395168248490081</v>
          </cell>
          <cell r="Z140">
            <v>0.9565746543062823</v>
          </cell>
          <cell r="AA140">
            <v>0.88143041792330901</v>
          </cell>
          <cell r="AB140">
            <v>0.69071540203489312</v>
          </cell>
          <cell r="AC140">
            <v>0.55747463961558963</v>
          </cell>
          <cell r="AD140">
            <v>0.79323123783738048</v>
          </cell>
          <cell r="AE140">
            <v>0.72706758956576967</v>
          </cell>
          <cell r="AF140">
            <v>0.37015663643858265</v>
          </cell>
          <cell r="AG140">
            <v>0.45580939085815597</v>
          </cell>
          <cell r="AH140">
            <v>0.57933256774591668</v>
          </cell>
          <cell r="AI140">
            <v>0.22049850310821939</v>
          </cell>
          <cell r="AJ140">
            <v>0.37354716014299805</v>
          </cell>
          <cell r="AK140">
            <v>0.28956875346474731</v>
          </cell>
          <cell r="AL140">
            <v>0.29448565349552625</v>
          </cell>
          <cell r="AM140">
            <v>0.30587808533949556</v>
          </cell>
          <cell r="AN140">
            <v>0.32597055793933305</v>
          </cell>
          <cell r="AO140">
            <v>0.30795272452117306</v>
          </cell>
          <cell r="AP140">
            <v>0.3324077368396201</v>
          </cell>
          <cell r="AQ140">
            <v>0.31663678744635959</v>
          </cell>
          <cell r="AR140">
            <v>0.33646701369495413</v>
          </cell>
          <cell r="AS140">
            <v>0.30056651011109814</v>
          </cell>
          <cell r="AT140">
            <v>0.31844312392355212</v>
          </cell>
          <cell r="AU140">
            <v>0.28034427125811545</v>
          </cell>
          <cell r="AV140">
            <v>0.27212587640550612</v>
          </cell>
          <cell r="AW140">
            <v>0.28630303638842869</v>
          </cell>
          <cell r="AX140">
            <v>0.26174971920581158</v>
          </cell>
          <cell r="AY140">
            <v>0.27343685639575366</v>
          </cell>
        </row>
        <row r="141">
          <cell r="A141" t="str">
            <v>New Customer License Bookings</v>
          </cell>
          <cell r="L141" t="str">
            <v/>
          </cell>
          <cell r="M141">
            <v>0.24623678498914803</v>
          </cell>
          <cell r="N141">
            <v>0.22471910112359539</v>
          </cell>
          <cell r="O141">
            <v>0.2584403669724773</v>
          </cell>
          <cell r="Q141">
            <v>4.2835994091351308</v>
          </cell>
          <cell r="R141">
            <v>7.4810412328763203</v>
          </cell>
          <cell r="S141">
            <v>6.5019945871835114</v>
          </cell>
          <cell r="T141">
            <v>8.840726999864982</v>
          </cell>
          <cell r="U141">
            <v>27.107362229059945</v>
          </cell>
          <cell r="V141">
            <v>7.1595845173936983</v>
          </cell>
          <cell r="W141">
            <v>6.6291022483366424</v>
          </cell>
          <cell r="X141">
            <v>8.9122040452036124</v>
          </cell>
          <cell r="Y141">
            <v>10.687177668871946</v>
          </cell>
          <cell r="Z141">
            <v>33.388068479805895</v>
          </cell>
          <cell r="AA141">
            <v>7.2972071188806353</v>
          </cell>
          <cell r="AB141">
            <v>10.40426478526866</v>
          </cell>
          <cell r="AC141">
            <v>10.534324508895111</v>
          </cell>
          <cell r="AD141">
            <v>17.826326362392891</v>
          </cell>
          <cell r="AE141">
            <v>46.062122775437295</v>
          </cell>
          <cell r="AF141">
            <v>19.969569155066431</v>
          </cell>
          <cell r="AG141">
            <v>15.093346901005292</v>
          </cell>
          <cell r="AH141">
            <v>0.19401070350261129</v>
          </cell>
          <cell r="AI141">
            <v>0.40366003790717819</v>
          </cell>
          <cell r="AK141">
            <v>-0.40344053850748451</v>
          </cell>
          <cell r="AL141">
            <v>0.29471252040661056</v>
          </cell>
          <cell r="AM141">
            <v>0.20451888142168806</v>
          </cell>
          <cell r="AN141">
            <v>0.42525700102935571</v>
          </cell>
          <cell r="AP141">
            <v>-0.40054442595408501</v>
          </cell>
          <cell r="AQ141">
            <v>0.27938774776112485</v>
          </cell>
          <cell r="AR141">
            <v>0.22266046926659633</v>
          </cell>
          <cell r="AS141">
            <v>0.38697139910349398</v>
          </cell>
          <cell r="AU141">
            <v>-0.40986523631315908</v>
          </cell>
          <cell r="AV141">
            <v>0.27117549273196806</v>
          </cell>
          <cell r="AW141">
            <v>0.23628636384124779</v>
          </cell>
          <cell r="AX141">
            <v>0.36049649566159414</v>
          </cell>
        </row>
        <row r="142">
          <cell r="A142" t="str">
            <v>YoY Growth</v>
          </cell>
          <cell r="V142">
            <v>0.67139450578065052</v>
          </cell>
          <cell r="W142">
            <v>-0.11387973385251926</v>
          </cell>
          <cell r="X142">
            <v>0.37068770601117018</v>
          </cell>
          <cell r="Y142">
            <v>0.20885733368253123</v>
          </cell>
          <cell r="Z142">
            <v>0.23169743325349579</v>
          </cell>
          <cell r="AA142">
            <v>1.9222149155805557E-2</v>
          </cell>
          <cell r="AB142">
            <v>0.56948322646241767</v>
          </cell>
          <cell r="AC142">
            <v>0.18201114510663552</v>
          </cell>
          <cell r="AD142">
            <v>0.66801066799093434</v>
          </cell>
          <cell r="AE142">
            <v>0.37959830779959769</v>
          </cell>
          <cell r="AF142">
            <v>1.7366044062799864</v>
          </cell>
          <cell r="AG142">
            <v>0.45068846405907292</v>
          </cell>
        </row>
        <row r="143">
          <cell r="A143" t="str">
            <v>% of total</v>
          </cell>
          <cell r="F143">
            <v>0</v>
          </cell>
          <cell r="K143">
            <v>0</v>
          </cell>
          <cell r="L143">
            <v>0</v>
          </cell>
          <cell r="M143">
            <v>0</v>
          </cell>
          <cell r="N143">
            <v>0</v>
          </cell>
          <cell r="O143">
            <v>10.64</v>
          </cell>
          <cell r="P143">
            <v>10.64</v>
          </cell>
          <cell r="Q143">
            <v>0.44</v>
          </cell>
          <cell r="R143">
            <v>0.54</v>
          </cell>
          <cell r="S143">
            <v>0.52</v>
          </cell>
          <cell r="T143">
            <v>0.41</v>
          </cell>
          <cell r="U143">
            <v>0.47015831652301865</v>
          </cell>
          <cell r="V143">
            <v>0.45</v>
          </cell>
          <cell r="W143">
            <v>0.31</v>
          </cell>
          <cell r="X143">
            <v>0.36</v>
          </cell>
          <cell r="Y143">
            <v>0.25</v>
          </cell>
          <cell r="Z143">
            <v>0.31859080589592798</v>
          </cell>
          <cell r="AA143">
            <v>0.26</v>
          </cell>
          <cell r="AB143">
            <v>0.29000000000000004</v>
          </cell>
          <cell r="AC143">
            <v>0.29000000000000004</v>
          </cell>
          <cell r="AD143">
            <v>0.29000000000000004</v>
          </cell>
          <cell r="AE143">
            <v>0.28479414946841353</v>
          </cell>
          <cell r="AF143">
            <v>0.49</v>
          </cell>
          <cell r="AG143">
            <v>0.30000000000000004</v>
          </cell>
          <cell r="AH143">
            <v>107.712</v>
          </cell>
          <cell r="AI143">
            <v>137.71731121009918</v>
          </cell>
          <cell r="AJ143">
            <v>137.71731121009918</v>
          </cell>
          <cell r="AK143">
            <v>134.70250408661093</v>
          </cell>
          <cell r="AL143">
            <v>141.01766702902884</v>
          </cell>
          <cell r="AM143">
            <v>151.93184431465622</v>
          </cell>
          <cell r="AN143">
            <v>187.89261012860021</v>
          </cell>
          <cell r="AO143">
            <v>187.89261012860021</v>
          </cell>
          <cell r="AP143">
            <v>183.66655154116776</v>
          </cell>
          <cell r="AQ143">
            <v>192.54979970483851</v>
          </cell>
          <cell r="AR143">
            <v>211.13125562842995</v>
          </cell>
          <cell r="AS143">
            <v>256.73700139129755</v>
          </cell>
          <cell r="AT143">
            <v>256.73700139129755</v>
          </cell>
          <cell r="AU143">
            <v>250.20260555971163</v>
          </cell>
          <cell r="AV143">
            <v>260.23855548319909</v>
          </cell>
          <cell r="AW143">
            <v>285.17763525417575</v>
          </cell>
          <cell r="AX143">
            <v>343.16521301726198</v>
          </cell>
          <cell r="AY143">
            <v>343.16521301726198</v>
          </cell>
        </row>
        <row r="144">
          <cell r="A144" t="str">
            <v>LT Deferred</v>
          </cell>
          <cell r="F144">
            <v>0</v>
          </cell>
          <cell r="K144">
            <v>0</v>
          </cell>
          <cell r="L144">
            <v>0</v>
          </cell>
          <cell r="M144">
            <v>0</v>
          </cell>
          <cell r="N144">
            <v>0</v>
          </cell>
          <cell r="O144">
            <v>0.67700000000000005</v>
          </cell>
          <cell r="P144">
            <v>0.67700000000000005</v>
          </cell>
          <cell r="Q144">
            <v>0.78700000000000003</v>
          </cell>
          <cell r="R144">
            <v>1.3140000000000001</v>
          </cell>
          <cell r="S144">
            <v>1.3280000000000001</v>
          </cell>
          <cell r="T144">
            <v>2.8069999999999999</v>
          </cell>
          <cell r="U144">
            <v>2.8069999999999999</v>
          </cell>
          <cell r="V144">
            <v>3.01</v>
          </cell>
          <cell r="W144">
            <v>3.54</v>
          </cell>
          <cell r="X144">
            <v>5.3659999999999997</v>
          </cell>
          <cell r="Y144">
            <v>9.7420000000000009</v>
          </cell>
          <cell r="Z144">
            <v>9.7420000000000009</v>
          </cell>
          <cell r="AA144">
            <v>12.465999999999999</v>
          </cell>
          <cell r="AB144">
            <v>13.523</v>
          </cell>
          <cell r="AC144">
            <v>12.002000000000001</v>
          </cell>
          <cell r="AD144">
            <v>35.143999999999998</v>
          </cell>
          <cell r="AE144">
            <v>35.143999999999998</v>
          </cell>
          <cell r="AF144">
            <v>32.404000000000003</v>
          </cell>
          <cell r="AG144">
            <v>30.727</v>
          </cell>
          <cell r="AH144">
            <v>33.433</v>
          </cell>
          <cell r="AI144">
            <v>42.777198894880087</v>
          </cell>
          <cell r="AJ144">
            <v>42.777198894880087</v>
          </cell>
          <cell r="AK144">
            <v>41.840751597020699</v>
          </cell>
          <cell r="AL144">
            <v>43.802342183328761</v>
          </cell>
          <cell r="AM144">
            <v>47.192460160646817</v>
          </cell>
          <cell r="AN144">
            <v>58.362449017664801</v>
          </cell>
          <cell r="AO144">
            <v>58.362449017664801</v>
          </cell>
          <cell r="AP144">
            <v>57.049767647780811</v>
          </cell>
          <cell r="AQ144">
            <v>59.80904656624736</v>
          </cell>
          <cell r="AR144">
            <v>65.580743884584393</v>
          </cell>
          <cell r="AS144">
            <v>79.746617732290304</v>
          </cell>
          <cell r="AT144">
            <v>79.746617732290304</v>
          </cell>
          <cell r="AU144">
            <v>77.716929905179086</v>
          </cell>
          <cell r="AV144">
            <v>80.834256421386897</v>
          </cell>
          <cell r="AW144">
            <v>88.5807333620441</v>
          </cell>
          <cell r="AX144">
            <v>106.59260220850729</v>
          </cell>
          <cell r="AY144">
            <v>106.59260220850729</v>
          </cell>
        </row>
        <row r="145">
          <cell r="A145" t="str">
            <v>Existing Customer License Bookings</v>
          </cell>
          <cell r="Q145">
            <v>5.4518537934447115</v>
          </cell>
          <cell r="R145">
            <v>6.3727388280057529</v>
          </cell>
          <cell r="S145">
            <v>6.0018411574001638</v>
          </cell>
          <cell r="T145">
            <v>12.722021780293511</v>
          </cell>
          <cell r="U145">
            <v>30.548455559144138</v>
          </cell>
          <cell r="V145">
            <v>8.7506032990367419</v>
          </cell>
          <cell r="W145">
            <v>14.755098552749299</v>
          </cell>
          <cell r="X145">
            <v>15.8439183025842</v>
          </cell>
          <cell r="Y145">
            <v>32.061533006615839</v>
          </cell>
          <cell r="Z145">
            <v>71.411153160986089</v>
          </cell>
          <cell r="AA145">
            <v>20.768974107583347</v>
          </cell>
          <cell r="AB145">
            <v>25.472510336347405</v>
          </cell>
          <cell r="AC145">
            <v>25.790932418329405</v>
          </cell>
          <cell r="AD145">
            <v>43.643764542410167</v>
          </cell>
          <cell r="AE145">
            <v>115.67618140467033</v>
          </cell>
          <cell r="AF145">
            <v>20.784653610375265</v>
          </cell>
          <cell r="AG145">
            <v>35.217809435679008</v>
          </cell>
          <cell r="AH145">
            <v>0.23686988557866023</v>
          </cell>
          <cell r="AI145">
            <v>0.23699999999999999</v>
          </cell>
          <cell r="AK145">
            <v>0.23699999999999999</v>
          </cell>
          <cell r="AL145">
            <v>0.23699999999999999</v>
          </cell>
          <cell r="AM145">
            <v>0.23699999999999999</v>
          </cell>
          <cell r="AN145">
            <v>0.23699999999999999</v>
          </cell>
          <cell r="AP145">
            <v>0.23699999999999999</v>
          </cell>
          <cell r="AQ145">
            <v>0.23699999999999999</v>
          </cell>
          <cell r="AR145">
            <v>0.23699999999999999</v>
          </cell>
          <cell r="AS145">
            <v>0.23699999999999999</v>
          </cell>
          <cell r="AU145">
            <v>0.23699999999999999</v>
          </cell>
          <cell r="AV145">
            <v>0.23699999999999999</v>
          </cell>
          <cell r="AW145">
            <v>0.23699999999999999</v>
          </cell>
          <cell r="AX145">
            <v>0.23699999999999999</v>
          </cell>
        </row>
        <row r="146">
          <cell r="A146" t="str">
            <v>YoY Growth</v>
          </cell>
          <cell r="V146">
            <v>0.60506932697983107</v>
          </cell>
          <cell r="W146">
            <v>1.3153465018692243</v>
          </cell>
          <cell r="X146">
            <v>1.6398429893548463</v>
          </cell>
          <cell r="Y146">
            <v>1.5201602041178193</v>
          </cell>
          <cell r="Z146">
            <v>1.3376354664715753</v>
          </cell>
          <cell r="AA146">
            <v>1.3734333962858969</v>
          </cell>
          <cell r="AB146">
            <v>0.72635311416480808</v>
          </cell>
          <cell r="AC146">
            <v>0.62781276233435324</v>
          </cell>
          <cell r="AD146">
            <v>0.36125008537191139</v>
          </cell>
          <cell r="AE146">
            <v>0.6198615522129316</v>
          </cell>
          <cell r="AF146">
            <v>7.5494835280265349E-4</v>
          </cell>
          <cell r="AG146">
            <v>0.38258102443188635</v>
          </cell>
        </row>
        <row r="147">
          <cell r="A147" t="str">
            <v>% of total</v>
          </cell>
          <cell r="Q147">
            <v>0.56000000000000005</v>
          </cell>
          <cell r="R147">
            <v>0.45999999999999996</v>
          </cell>
          <cell r="S147">
            <v>0.48</v>
          </cell>
          <cell r="T147">
            <v>0.59000000000000008</v>
          </cell>
          <cell r="V147">
            <v>0.55000000000000004</v>
          </cell>
          <cell r="W147">
            <v>0.69</v>
          </cell>
          <cell r="X147">
            <v>0.64</v>
          </cell>
          <cell r="Y147">
            <v>0.75</v>
          </cell>
          <cell r="AA147">
            <v>0.74</v>
          </cell>
          <cell r="AB147">
            <v>0.71</v>
          </cell>
          <cell r="AC147">
            <v>0.71</v>
          </cell>
          <cell r="AD147">
            <v>0.71</v>
          </cell>
          <cell r="AF147">
            <v>0.51</v>
          </cell>
          <cell r="AG147">
            <v>0.7</v>
          </cell>
        </row>
        <row r="149">
          <cell r="A149" t="str">
            <v>License Bookings (New vs. Existing)</v>
          </cell>
        </row>
        <row r="150">
          <cell r="A150" t="str">
            <v>Orders (New vs. Existing)</v>
          </cell>
          <cell r="Q150">
            <v>4.2835994091351308</v>
          </cell>
          <cell r="R150">
            <v>7.4810412328763203</v>
          </cell>
          <cell r="S150">
            <v>6.5019945871835114</v>
          </cell>
          <cell r="T150">
            <v>8.840726999864982</v>
          </cell>
          <cell r="U150">
            <v>27.107362229059945</v>
          </cell>
          <cell r="V150">
            <v>7.1595845173936983</v>
          </cell>
          <cell r="W150">
            <v>6.6291022483366424</v>
          </cell>
          <cell r="X150">
            <v>8.9122040452036124</v>
          </cell>
          <cell r="Y150">
            <v>10.687177668871946</v>
          </cell>
          <cell r="Z150">
            <v>33.388068479805895</v>
          </cell>
          <cell r="AA150">
            <v>7.2972071188806353</v>
          </cell>
          <cell r="AB150">
            <v>10.40426478526866</v>
          </cell>
          <cell r="AC150">
            <v>10.534324508895111</v>
          </cell>
          <cell r="AD150">
            <v>23.626326362392891</v>
          </cell>
          <cell r="AE150">
            <v>51.8621227754373</v>
          </cell>
          <cell r="AF150">
            <v>18.997735821733102</v>
          </cell>
          <cell r="AG150">
            <v>14.512859096127244</v>
          </cell>
          <cell r="AH150">
            <v>19.18467116761077</v>
          </cell>
        </row>
        <row r="151">
          <cell r="A151" t="str">
            <v>New Customer Orders</v>
          </cell>
          <cell r="Q151">
            <v>303.26</v>
          </cell>
          <cell r="R151">
            <v>398.04</v>
          </cell>
          <cell r="S151">
            <v>407.09999999999997</v>
          </cell>
          <cell r="T151">
            <v>447.44000000000005</v>
          </cell>
          <cell r="U151">
            <v>1555.84</v>
          </cell>
          <cell r="V151">
            <v>463.59000000000003</v>
          </cell>
          <cell r="W151">
            <v>556</v>
          </cell>
          <cell r="X151">
            <v>625.77</v>
          </cell>
          <cell r="Y151">
            <v>684.48</v>
          </cell>
          <cell r="Z151">
            <v>2329.84</v>
          </cell>
          <cell r="AA151">
            <v>1.9222149155805557E-2</v>
          </cell>
          <cell r="AB151">
            <v>0.56948322646241767</v>
          </cell>
          <cell r="AC151">
            <v>0.18201114510663552</v>
          </cell>
          <cell r="AD151">
            <v>1.2107170942996683</v>
          </cell>
          <cell r="AE151">
            <v>0.55331305872949987</v>
          </cell>
          <cell r="AF151">
            <v>1.6034255999913682</v>
          </cell>
          <cell r="AG151">
            <v>0.39489520842221526</v>
          </cell>
          <cell r="AH151">
            <v>0.8211581721648471</v>
          </cell>
        </row>
        <row r="152">
          <cell r="A152" t="str">
            <v>YoY Growth</v>
          </cell>
          <cell r="Q152">
            <v>0.44</v>
          </cell>
          <cell r="R152">
            <v>0.54</v>
          </cell>
          <cell r="S152">
            <v>0.52</v>
          </cell>
          <cell r="T152">
            <v>0.41</v>
          </cell>
          <cell r="U152">
            <v>0.47015831652301865</v>
          </cell>
          <cell r="V152">
            <v>0.52868825430323829</v>
          </cell>
          <cell r="W152">
            <v>0.3968445382373631</v>
          </cell>
          <cell r="X152">
            <v>0.53714075165806929</v>
          </cell>
          <cell r="Y152">
            <v>0.52976935455033058</v>
          </cell>
          <cell r="Z152">
            <v>0.49748046071575502</v>
          </cell>
          <cell r="AA152">
            <v>0.26</v>
          </cell>
          <cell r="AB152">
            <v>0.29000000000000004</v>
          </cell>
          <cell r="AC152">
            <v>0.29000000000000004</v>
          </cell>
          <cell r="AD152">
            <v>0.29000000000000004</v>
          </cell>
          <cell r="AE152">
            <v>0.28536704471524355</v>
          </cell>
          <cell r="AF152">
            <v>0.49</v>
          </cell>
          <cell r="AG152">
            <v>0.30000000000000004</v>
          </cell>
          <cell r="AH152">
            <v>0.30000000000000004</v>
          </cell>
        </row>
        <row r="153">
          <cell r="A153" t="str">
            <v>% of total</v>
          </cell>
          <cell r="Q153">
            <v>0.59</v>
          </cell>
          <cell r="R153">
            <v>0.62</v>
          </cell>
          <cell r="S153">
            <v>0.59</v>
          </cell>
          <cell r="T153">
            <v>0.56000000000000005</v>
          </cell>
          <cell r="V153">
            <v>0.51</v>
          </cell>
          <cell r="W153">
            <v>0.5</v>
          </cell>
          <cell r="X153">
            <v>0.51</v>
          </cell>
          <cell r="Y153">
            <v>0.48</v>
          </cell>
        </row>
        <row r="154">
          <cell r="A154" t="str">
            <v>Existing Customer License Bookings</v>
          </cell>
          <cell r="Q154">
            <v>5.4518537934447115</v>
          </cell>
          <cell r="R154">
            <v>6.3727388280057529</v>
          </cell>
          <cell r="S154">
            <v>6.0018411574001638</v>
          </cell>
          <cell r="T154">
            <v>12.722021780293511</v>
          </cell>
          <cell r="U154">
            <v>30.548455559144138</v>
          </cell>
          <cell r="V154">
            <v>8.7506032990367419</v>
          </cell>
          <cell r="W154">
            <v>14.755098552749299</v>
          </cell>
          <cell r="X154">
            <v>15.8439183025842</v>
          </cell>
          <cell r="Y154">
            <v>32.061533006615839</v>
          </cell>
          <cell r="Z154">
            <v>71.411153160986089</v>
          </cell>
          <cell r="AA154">
            <v>20.768974107583347</v>
          </cell>
          <cell r="AB154">
            <v>25.472510336347405</v>
          </cell>
          <cell r="AC154">
            <v>25.790932418329405</v>
          </cell>
          <cell r="AD154">
            <v>57.84376454241017</v>
          </cell>
          <cell r="AE154">
            <v>129.87618140467032</v>
          </cell>
          <cell r="AF154">
            <v>19.773153610375267</v>
          </cell>
          <cell r="AG154">
            <v>33.863337890963564</v>
          </cell>
          <cell r="AH154">
            <v>44.764232724425128</v>
          </cell>
        </row>
        <row r="155">
          <cell r="A155" t="str">
            <v>Existing Customer Orders</v>
          </cell>
          <cell r="Q155">
            <v>210.74</v>
          </cell>
          <cell r="R155">
            <v>243.95999999999998</v>
          </cell>
          <cell r="S155">
            <v>282.90000000000003</v>
          </cell>
          <cell r="T155">
            <v>351.55999999999995</v>
          </cell>
          <cell r="U155">
            <v>1089.1599999999999</v>
          </cell>
          <cell r="V155">
            <v>445.40999999999997</v>
          </cell>
          <cell r="W155">
            <v>556</v>
          </cell>
          <cell r="X155">
            <v>601.23</v>
          </cell>
          <cell r="Y155">
            <v>741.52</v>
          </cell>
          <cell r="Z155">
            <v>2344.16</v>
          </cell>
          <cell r="AA155">
            <v>1.3734333962858969</v>
          </cell>
          <cell r="AB155">
            <v>0.72635311416480808</v>
          </cell>
          <cell r="AC155">
            <v>0.62781276233435324</v>
          </cell>
          <cell r="AD155">
            <v>0.80414843327903918</v>
          </cell>
          <cell r="AE155">
            <v>0.81871004255992474</v>
          </cell>
          <cell r="AF155">
            <v>-4.7947505353404862E-2</v>
          </cell>
          <cell r="AG155">
            <v>0.32940717046812074</v>
          </cell>
          <cell r="AH155">
            <v>0.73565778849513608</v>
          </cell>
        </row>
        <row r="156">
          <cell r="A156" t="str">
            <v>YoY Growth</v>
          </cell>
          <cell r="Q156">
            <v>0.56000000000000005</v>
          </cell>
          <cell r="R156">
            <v>0.45999999999999996</v>
          </cell>
          <cell r="S156">
            <v>0.48</v>
          </cell>
          <cell r="T156">
            <v>0.59000000000000008</v>
          </cell>
          <cell r="V156">
            <v>1.1135522444718609</v>
          </cell>
          <cell r="W156">
            <v>1.279062141334645</v>
          </cell>
          <cell r="X156">
            <v>1.1252386002120889</v>
          </cell>
          <cell r="Y156">
            <v>1.1092274433951532</v>
          </cell>
          <cell r="Z156">
            <v>1.1522641301553493</v>
          </cell>
          <cell r="AA156">
            <v>0.74</v>
          </cell>
          <cell r="AB156">
            <v>0.71</v>
          </cell>
          <cell r="AC156">
            <v>0.71</v>
          </cell>
          <cell r="AD156">
            <v>0.71</v>
          </cell>
          <cell r="AF156">
            <v>0.51</v>
          </cell>
          <cell r="AG156">
            <v>0.7</v>
          </cell>
          <cell r="AH156">
            <v>0.7</v>
          </cell>
        </row>
        <row r="157">
          <cell r="A157" t="str">
            <v>% of total</v>
          </cell>
          <cell r="Q157">
            <v>0.41000000000000003</v>
          </cell>
          <cell r="R157">
            <v>0.38</v>
          </cell>
          <cell r="S157">
            <v>0.41000000000000003</v>
          </cell>
          <cell r="T157">
            <v>0.43999999999999995</v>
          </cell>
          <cell r="V157">
            <v>0.49</v>
          </cell>
          <cell r="W157">
            <v>0.5</v>
          </cell>
          <cell r="X157">
            <v>0.49</v>
          </cell>
          <cell r="Y157">
            <v>0.52</v>
          </cell>
        </row>
        <row r="159">
          <cell r="A159" t="str">
            <v>Total Orders</v>
          </cell>
          <cell r="L159">
            <v>244</v>
          </cell>
          <cell r="M159">
            <v>379</v>
          </cell>
          <cell r="N159">
            <v>403</v>
          </cell>
          <cell r="O159">
            <v>504</v>
          </cell>
          <cell r="P159">
            <v>1530</v>
          </cell>
          <cell r="Q159">
            <v>514</v>
          </cell>
          <cell r="R159">
            <v>642</v>
          </cell>
          <cell r="S159">
            <v>690</v>
          </cell>
          <cell r="T159">
            <v>799</v>
          </cell>
          <cell r="U159">
            <v>2645</v>
          </cell>
          <cell r="V159">
            <v>909</v>
          </cell>
          <cell r="W159">
            <v>1112</v>
          </cell>
          <cell r="X159">
            <v>1227</v>
          </cell>
          <cell r="Y159">
            <v>1426</v>
          </cell>
          <cell r="Z159">
            <v>4674</v>
          </cell>
        </row>
        <row r="160">
          <cell r="A160" t="str">
            <v xml:space="preserve">   YoY Growth</v>
          </cell>
          <cell r="Q160">
            <v>1.1065573770491803</v>
          </cell>
          <cell r="R160">
            <v>0.69393139841688645</v>
          </cell>
          <cell r="S160">
            <v>0.71215880893300243</v>
          </cell>
          <cell r="T160">
            <v>0.58531746031746024</v>
          </cell>
          <cell r="U160">
            <v>0.7287581699346406</v>
          </cell>
          <cell r="V160">
            <v>0.76848249027237348</v>
          </cell>
          <cell r="W160">
            <v>0.73208722741433019</v>
          </cell>
          <cell r="X160">
            <v>0.77826086956521734</v>
          </cell>
          <cell r="Y160">
            <v>0.78473091364205261</v>
          </cell>
          <cell r="Z160">
            <v>0.76710775047258983</v>
          </cell>
        </row>
        <row r="161">
          <cell r="A161" t="str">
            <v>YoY Growth</v>
          </cell>
          <cell r="V161">
            <v>0.52868825430323829</v>
          </cell>
          <cell r="W161">
            <v>0.3968445382373631</v>
          </cell>
          <cell r="X161">
            <v>0.53714075165806929</v>
          </cell>
          <cell r="Y161">
            <v>0.52976935455033058</v>
          </cell>
          <cell r="Z161">
            <v>0.49748046071575502</v>
          </cell>
        </row>
        <row r="162">
          <cell r="A162" t="str">
            <v>Average License Bookings per Order</v>
          </cell>
          <cell r="Q162">
            <v>0.59</v>
          </cell>
          <cell r="R162">
            <v>0.62</v>
          </cell>
          <cell r="S162">
            <v>0.59</v>
          </cell>
          <cell r="T162">
            <v>0.56000000000000005</v>
          </cell>
          <cell r="V162">
            <v>0.51</v>
          </cell>
          <cell r="W162">
            <v>0.5</v>
          </cell>
          <cell r="X162">
            <v>0.51</v>
          </cell>
          <cell r="Y162">
            <v>0.48</v>
          </cell>
        </row>
        <row r="163">
          <cell r="A163" t="str">
            <v>New Customer</v>
          </cell>
          <cell r="Q163">
            <v>14125.171170398771</v>
          </cell>
          <cell r="R163">
            <v>18794.697097970857</v>
          </cell>
          <cell r="S163">
            <v>15971.492476500887</v>
          </cell>
          <cell r="T163">
            <v>19758.463704329031</v>
          </cell>
          <cell r="U163">
            <v>17422.975517443916</v>
          </cell>
          <cell r="V163">
            <v>15443.785494496642</v>
          </cell>
          <cell r="W163">
            <v>11922.845770389644</v>
          </cell>
          <cell r="X163">
            <v>14241.980352531462</v>
          </cell>
          <cell r="Y163">
            <v>15613.571863125213</v>
          </cell>
          <cell r="Z163">
            <v>14330.627201784626</v>
          </cell>
        </row>
        <row r="164">
          <cell r="A164" t="str">
            <v>YoY Growth</v>
          </cell>
          <cell r="Q164">
            <v>210.74</v>
          </cell>
          <cell r="R164">
            <v>243.95999999999998</v>
          </cell>
          <cell r="S164">
            <v>282.90000000000003</v>
          </cell>
          <cell r="T164">
            <v>351.55999999999995</v>
          </cell>
          <cell r="U164">
            <v>1089.1599999999999</v>
          </cell>
          <cell r="V164">
            <v>9.3352095220000431E-2</v>
          </cell>
          <cell r="W164">
            <v>-0.36562713896161292</v>
          </cell>
          <cell r="X164">
            <v>-0.108287445679487</v>
          </cell>
          <cell r="Y164">
            <v>-0.20977804262664823</v>
          </cell>
          <cell r="Z164">
            <v>-0.17748680829880203</v>
          </cell>
        </row>
        <row r="165">
          <cell r="A165" t="str">
            <v>% of total</v>
          </cell>
          <cell r="Q165">
            <v>0.64</v>
          </cell>
          <cell r="R165">
            <v>0.64</v>
          </cell>
          <cell r="S165">
            <v>0.62</v>
          </cell>
          <cell r="T165">
            <v>0.61</v>
          </cell>
          <cell r="V165">
            <v>0.54</v>
          </cell>
          <cell r="W165">
            <v>0.55000000000000004</v>
          </cell>
          <cell r="X165">
            <v>0.52</v>
          </cell>
          <cell r="Y165">
            <v>0.52083333333333337</v>
          </cell>
          <cell r="Z165">
            <v>1.1522641301553493</v>
          </cell>
        </row>
        <row r="166">
          <cell r="A166" t="str">
            <v>% of total</v>
          </cell>
          <cell r="Q166">
            <v>0.41000000000000003</v>
          </cell>
          <cell r="R166">
            <v>0.38</v>
          </cell>
          <cell r="S166">
            <v>0.41000000000000003</v>
          </cell>
          <cell r="T166">
            <v>0.43999999999999995</v>
          </cell>
          <cell r="V166">
            <v>0.49</v>
          </cell>
          <cell r="W166">
            <v>0.5</v>
          </cell>
          <cell r="X166">
            <v>0.49</v>
          </cell>
          <cell r="Y166">
            <v>0.52</v>
          </cell>
        </row>
        <row r="167">
          <cell r="A167" t="str">
            <v>Existing Customer</v>
          </cell>
          <cell r="Q167">
            <v>25870.047420730338</v>
          </cell>
          <cell r="R167">
            <v>26122.064387628106</v>
          </cell>
          <cell r="S167">
            <v>21215.415897490857</v>
          </cell>
          <cell r="T167">
            <v>36187.34150726338</v>
          </cell>
          <cell r="U167">
            <v>28047.720774857818</v>
          </cell>
          <cell r="V167">
            <v>19646.176105244027</v>
          </cell>
          <cell r="W167">
            <v>26537.947037318885</v>
          </cell>
          <cell r="X167">
            <v>26352.507863187464</v>
          </cell>
          <cell r="Y167">
            <v>43237.583620962134</v>
          </cell>
          <cell r="Z167">
            <v>30463.429612733813</v>
          </cell>
        </row>
        <row r="168">
          <cell r="A168" t="str">
            <v>YoY Growth</v>
          </cell>
          <cell r="L168">
            <v>244</v>
          </cell>
          <cell r="M168">
            <v>379</v>
          </cell>
          <cell r="N168">
            <v>403</v>
          </cell>
          <cell r="O168">
            <v>504</v>
          </cell>
          <cell r="P168">
            <v>1530</v>
          </cell>
          <cell r="Q168">
            <v>514</v>
          </cell>
          <cell r="R168">
            <v>642</v>
          </cell>
          <cell r="S168">
            <v>690</v>
          </cell>
          <cell r="T168">
            <v>799</v>
          </cell>
          <cell r="U168">
            <v>2645</v>
          </cell>
          <cell r="V168">
            <v>-0.24058213787806826</v>
          </cell>
          <cell r="W168">
            <v>1.5920742079165384E-2</v>
          </cell>
          <cell r="X168">
            <v>0.24213958333497332</v>
          </cell>
          <cell r="Y168">
            <v>0.19482619667663781</v>
          </cell>
          <cell r="Z168">
            <v>8.6128525639111997E-2</v>
          </cell>
        </row>
        <row r="169">
          <cell r="A169" t="str">
            <v>% of total</v>
          </cell>
          <cell r="Q169">
            <v>0.36</v>
          </cell>
          <cell r="R169">
            <v>0.36</v>
          </cell>
          <cell r="S169">
            <v>0.38</v>
          </cell>
          <cell r="T169">
            <v>0.39</v>
          </cell>
          <cell r="U169">
            <v>0.7287581699346406</v>
          </cell>
          <cell r="V169">
            <v>0.45999999999999996</v>
          </cell>
          <cell r="W169">
            <v>0.44999999999999996</v>
          </cell>
          <cell r="X169">
            <v>0.48</v>
          </cell>
          <cell r="Y169">
            <v>0.47916666666666663</v>
          </cell>
          <cell r="Z169">
            <v>0.76710775047258983</v>
          </cell>
        </row>
        <row r="171">
          <cell r="A171" t="str">
            <v>Total Orders</v>
          </cell>
          <cell r="P171">
            <v>18726.746545428879</v>
          </cell>
          <cell r="Q171">
            <v>18940.570433034714</v>
          </cell>
          <cell r="R171">
            <v>21579.096668040613</v>
          </cell>
          <cell r="S171">
            <v>18121.501079106776</v>
          </cell>
          <cell r="T171">
            <v>26987.169937620143</v>
          </cell>
          <cell r="U171">
            <v>21798.040751683962</v>
          </cell>
          <cell r="V171">
            <v>17502.956893762857</v>
          </cell>
          <cell r="W171">
            <v>19230.396403854265</v>
          </cell>
          <cell r="X171">
            <v>20176.138832752906</v>
          </cell>
          <cell r="Y171">
            <v>29978.057977200409</v>
          </cell>
          <cell r="Z171">
            <v>22421.741900041074</v>
          </cell>
        </row>
        <row r="172">
          <cell r="A172" t="str">
            <v xml:space="preserve">   YoY Growth</v>
          </cell>
          <cell r="Q172">
            <v>14125.171170398771</v>
          </cell>
          <cell r="R172">
            <v>18794.697097970857</v>
          </cell>
          <cell r="S172">
            <v>15971.492476500887</v>
          </cell>
          <cell r="T172">
            <v>19758.463704329031</v>
          </cell>
          <cell r="U172">
            <v>0.1640057550202052</v>
          </cell>
          <cell r="V172">
            <v>-7.5901279972248381E-2</v>
          </cell>
          <cell r="W172">
            <v>-0.1088414543165217</v>
          </cell>
          <cell r="X172">
            <v>0.11338121189171391</v>
          </cell>
          <cell r="Y172">
            <v>0.11082629436482572</v>
          </cell>
          <cell r="Z172">
            <v>2.8612715952874179E-2</v>
          </cell>
        </row>
        <row r="173">
          <cell r="A173" t="str">
            <v>YoY Growth</v>
          </cell>
          <cell r="V173">
            <v>9.3352095220000431E-2</v>
          </cell>
          <cell r="W173">
            <v>-0.36562713896161292</v>
          </cell>
          <cell r="X173">
            <v>-0.108287445679487</v>
          </cell>
          <cell r="Y173">
            <v>-0.20977804262664823</v>
          </cell>
          <cell r="Z173">
            <v>-0.17748680829880203</v>
          </cell>
        </row>
        <row r="174">
          <cell r="A174" t="str">
            <v>Billings - New v Upsell</v>
          </cell>
          <cell r="Q174">
            <v>0.64</v>
          </cell>
          <cell r="R174">
            <v>0.64</v>
          </cell>
          <cell r="S174">
            <v>0.62</v>
          </cell>
          <cell r="T174">
            <v>0.61</v>
          </cell>
          <cell r="V174">
            <v>0.54</v>
          </cell>
          <cell r="W174">
            <v>0.55000000000000004</v>
          </cell>
          <cell r="X174">
            <v>0.52</v>
          </cell>
          <cell r="Y174">
            <v>0.52083333333333337</v>
          </cell>
        </row>
        <row r="175">
          <cell r="A175" t="str">
            <v xml:space="preserve">New </v>
          </cell>
          <cell r="K175">
            <v>15.003134999999999</v>
          </cell>
          <cell r="P175">
            <v>18.296325000000003</v>
          </cell>
          <cell r="U175">
            <v>31.666759999999993</v>
          </cell>
          <cell r="Z175">
            <v>40.801859999999998</v>
          </cell>
          <cell r="AE175">
            <v>70.467569999999995</v>
          </cell>
          <cell r="AJ175">
            <v>71.031310559999966</v>
          </cell>
          <cell r="AO175">
            <v>70.853732283599967</v>
          </cell>
          <cell r="AT175">
            <v>70.676597952890972</v>
          </cell>
        </row>
        <row r="176">
          <cell r="A176" t="str">
            <v>% New</v>
          </cell>
          <cell r="K176">
            <v>0.63</v>
          </cell>
          <cell r="P176">
            <v>0.45</v>
          </cell>
          <cell r="Q176">
            <v>25870.047420730338</v>
          </cell>
          <cell r="R176">
            <v>26122.064387628106</v>
          </cell>
          <cell r="S176">
            <v>21215.415897490857</v>
          </cell>
          <cell r="T176">
            <v>36187.34150726338</v>
          </cell>
          <cell r="U176">
            <v>0.41</v>
          </cell>
          <cell r="V176">
            <v>19646.176105244027</v>
          </cell>
          <cell r="W176">
            <v>26537.947037318885</v>
          </cell>
          <cell r="X176">
            <v>26352.507863187464</v>
          </cell>
          <cell r="Y176">
            <v>43237.583620962134</v>
          </cell>
          <cell r="Z176">
            <v>0.27</v>
          </cell>
          <cell r="AE176">
            <v>0.27</v>
          </cell>
          <cell r="AJ176">
            <v>0.20965931236196098</v>
          </cell>
          <cell r="AO176">
            <v>0.16881287699711869</v>
          </cell>
          <cell r="AT176">
            <v>0.14003776643449833</v>
          </cell>
        </row>
        <row r="177">
          <cell r="A177" t="str">
            <v>YoY</v>
          </cell>
          <cell r="P177">
            <v>0.21950012447398515</v>
          </cell>
          <cell r="U177">
            <v>0.7307716167044469</v>
          </cell>
          <cell r="V177">
            <v>-0.24058213787806826</v>
          </cell>
          <cell r="W177">
            <v>1.5920742079165384E-2</v>
          </cell>
          <cell r="X177">
            <v>0.24213958333497332</v>
          </cell>
          <cell r="Y177">
            <v>0.19482619667663781</v>
          </cell>
          <cell r="Z177">
            <v>0.28847599186023465</v>
          </cell>
          <cell r="AE177">
            <v>0.72706758956576967</v>
          </cell>
          <cell r="AJ177">
            <v>7.999999999999563E-3</v>
          </cell>
          <cell r="AO177">
            <v>-2.4999999999999467E-3</v>
          </cell>
          <cell r="AT177">
            <v>-2.4999999999999467E-3</v>
          </cell>
        </row>
        <row r="178">
          <cell r="A178" t="str">
            <v>% of total</v>
          </cell>
          <cell r="Q178">
            <v>0.36</v>
          </cell>
          <cell r="R178">
            <v>0.36</v>
          </cell>
          <cell r="S178">
            <v>0.38</v>
          </cell>
          <cell r="T178">
            <v>0.39</v>
          </cell>
          <cell r="V178">
            <v>0.45999999999999996</v>
          </cell>
          <cell r="W178">
            <v>0.44999999999999996</v>
          </cell>
          <cell r="X178">
            <v>0.48</v>
          </cell>
          <cell r="Y178">
            <v>0.47916666666666663</v>
          </cell>
        </row>
        <row r="179">
          <cell r="A179" t="str">
            <v>Upsell</v>
          </cell>
          <cell r="K179">
            <v>8.8113650000000003</v>
          </cell>
          <cell r="P179">
            <v>22.362175000000004</v>
          </cell>
          <cell r="U179">
            <v>45.569240000000001</v>
          </cell>
          <cell r="Z179">
            <v>110.31613999999999</v>
          </cell>
          <cell r="AE179">
            <v>190.52342999999999</v>
          </cell>
          <cell r="AJ179">
            <v>267.76265837837838</v>
          </cell>
          <cell r="AO179">
            <v>348.86384817567563</v>
          </cell>
          <cell r="AT179">
            <v>434.02009746283784</v>
          </cell>
        </row>
        <row r="180">
          <cell r="A180" t="str">
            <v>% Upsell</v>
          </cell>
          <cell r="K180">
            <v>0.37</v>
          </cell>
          <cell r="P180">
            <v>0.55000000000000004</v>
          </cell>
          <cell r="Q180">
            <v>18940.570433034714</v>
          </cell>
          <cell r="R180">
            <v>21579.096668040613</v>
          </cell>
          <cell r="S180">
            <v>18121.501079106776</v>
          </cell>
          <cell r="T180">
            <v>26987.169937620143</v>
          </cell>
          <cell r="U180">
            <v>0.59000000000000008</v>
          </cell>
          <cell r="V180">
            <v>17502.956893762857</v>
          </cell>
          <cell r="W180">
            <v>19230.396403854265</v>
          </cell>
          <cell r="X180">
            <v>20176.138832752906</v>
          </cell>
          <cell r="Y180">
            <v>29978.057977200409</v>
          </cell>
          <cell r="Z180">
            <v>0.73</v>
          </cell>
          <cell r="AE180">
            <v>0.73</v>
          </cell>
          <cell r="AJ180">
            <v>0.790340687638039</v>
          </cell>
          <cell r="AO180">
            <v>0.83118712300288133</v>
          </cell>
          <cell r="AT180">
            <v>0.85996223356550172</v>
          </cell>
        </row>
        <row r="181">
          <cell r="A181" t="str">
            <v>YoY</v>
          </cell>
          <cell r="P181">
            <v>1.5378786374188338</v>
          </cell>
          <cell r="U181">
            <v>1.0377821030378303</v>
          </cell>
          <cell r="V181">
            <v>-7.5901279972248381E-2</v>
          </cell>
          <cell r="W181">
            <v>-0.1088414543165217</v>
          </cell>
          <cell r="X181">
            <v>0.11338121189171391</v>
          </cell>
          <cell r="Y181">
            <v>0.11082629436482572</v>
          </cell>
          <cell r="Z181">
            <v>1.4208466061755689</v>
          </cell>
          <cell r="AE181">
            <v>0.72706758956576989</v>
          </cell>
          <cell r="AJ181">
            <v>0.40540540540540548</v>
          </cell>
          <cell r="AO181">
            <v>0.3028846153846152</v>
          </cell>
          <cell r="AT181">
            <v>0.24409594095940967</v>
          </cell>
        </row>
        <row r="183">
          <cell r="A183" t="str">
            <v>Customer Count</v>
          </cell>
        </row>
        <row r="184">
          <cell r="A184" t="str">
            <v>New Customers</v>
          </cell>
          <cell r="K184">
            <v>350</v>
          </cell>
          <cell r="P184">
            <v>600</v>
          </cell>
          <cell r="U184">
            <v>900</v>
          </cell>
          <cell r="V184">
            <v>300</v>
          </cell>
          <cell r="W184">
            <v>300</v>
          </cell>
          <cell r="X184">
            <v>400</v>
          </cell>
          <cell r="Y184">
            <v>400</v>
          </cell>
          <cell r="Z184">
            <v>1400</v>
          </cell>
          <cell r="AA184">
            <v>350</v>
          </cell>
          <cell r="AB184">
            <v>400</v>
          </cell>
          <cell r="AC184">
            <v>350</v>
          </cell>
          <cell r="AD184">
            <v>400</v>
          </cell>
          <cell r="AE184">
            <v>1500</v>
          </cell>
          <cell r="AF184">
            <v>400</v>
          </cell>
          <cell r="AG184">
            <v>400</v>
          </cell>
          <cell r="AJ184">
            <v>1575</v>
          </cell>
          <cell r="AO184">
            <v>1653.75</v>
          </cell>
          <cell r="AT184">
            <v>1736.4375</v>
          </cell>
          <cell r="AY184">
            <v>70.499906458008738</v>
          </cell>
        </row>
        <row r="185">
          <cell r="A185" t="str">
            <v>YoY Growth</v>
          </cell>
          <cell r="K185">
            <v>0.63</v>
          </cell>
          <cell r="P185">
            <v>0.71428571428571419</v>
          </cell>
          <cell r="U185">
            <v>0.5</v>
          </cell>
          <cell r="Z185">
            <v>0.55555555555555558</v>
          </cell>
          <cell r="AE185">
            <v>7.1428571428571397E-2</v>
          </cell>
          <cell r="AJ185">
            <v>0.05</v>
          </cell>
          <cell r="AO185">
            <v>0.05</v>
          </cell>
          <cell r="AT185">
            <v>0.05</v>
          </cell>
          <cell r="AY185">
            <v>0.1186998869616931</v>
          </cell>
        </row>
        <row r="186">
          <cell r="A186" t="str">
            <v>New Customer Billings per Customer</v>
          </cell>
          <cell r="K186">
            <v>42866.1</v>
          </cell>
          <cell r="P186">
            <v>30493.875000000004</v>
          </cell>
          <cell r="U186">
            <v>35185.288888888885</v>
          </cell>
          <cell r="Z186">
            <v>29144.185714285715</v>
          </cell>
          <cell r="AE186">
            <v>46978.37999999999</v>
          </cell>
          <cell r="AJ186">
            <v>45099.244799999986</v>
          </cell>
          <cell r="AO186">
            <v>42844.282559999985</v>
          </cell>
          <cell r="AT186">
            <v>40702.068431999985</v>
          </cell>
          <cell r="AY186">
            <v>-2.5000000000000577E-3</v>
          </cell>
        </row>
        <row r="187">
          <cell r="A187" t="str">
            <v xml:space="preserve">     YoY Change</v>
          </cell>
          <cell r="P187">
            <v>-0.28862492739017531</v>
          </cell>
          <cell r="U187">
            <v>0.15384774446963134</v>
          </cell>
          <cell r="Z187">
            <v>-0.17169400523270628</v>
          </cell>
          <cell r="AE187">
            <v>0.61192975026138474</v>
          </cell>
          <cell r="AJ187">
            <v>-0.04</v>
          </cell>
          <cell r="AO187">
            <v>-0.05</v>
          </cell>
          <cell r="AT187">
            <v>-0.05</v>
          </cell>
        </row>
        <row r="188">
          <cell r="A188" t="str">
            <v>Upsell</v>
          </cell>
          <cell r="K188">
            <v>8.8113650000000003</v>
          </cell>
          <cell r="P188">
            <v>22.362175000000004</v>
          </cell>
          <cell r="U188">
            <v>45.569240000000001</v>
          </cell>
          <cell r="Z188">
            <v>110.31613999999999</v>
          </cell>
          <cell r="AE188">
            <v>190.52342999999999</v>
          </cell>
          <cell r="AJ188">
            <v>267.76265837837838</v>
          </cell>
          <cell r="AO188">
            <v>348.86384817567563</v>
          </cell>
          <cell r="AT188">
            <v>434.02009746283784</v>
          </cell>
          <cell r="AY188">
            <v>523.43415921435803</v>
          </cell>
        </row>
        <row r="189">
          <cell r="A189" t="str">
            <v>Existing Customers</v>
          </cell>
          <cell r="K189">
            <v>450</v>
          </cell>
          <cell r="P189">
            <v>800</v>
          </cell>
          <cell r="U189">
            <v>1400</v>
          </cell>
          <cell r="Z189">
            <v>2300</v>
          </cell>
          <cell r="AE189">
            <v>3700</v>
          </cell>
          <cell r="AJ189">
            <v>5200</v>
          </cell>
          <cell r="AO189">
            <v>6775</v>
          </cell>
          <cell r="AT189">
            <v>8428.75</v>
          </cell>
          <cell r="AY189">
            <v>0.88130011303830691</v>
          </cell>
        </row>
        <row r="190">
          <cell r="A190" t="str">
            <v>YoY Growth</v>
          </cell>
          <cell r="P190">
            <v>0.77777777777777768</v>
          </cell>
          <cell r="U190">
            <v>0.75</v>
          </cell>
          <cell r="Z190">
            <v>0.64285714285714279</v>
          </cell>
          <cell r="AE190">
            <v>0.60869565217391308</v>
          </cell>
          <cell r="AJ190">
            <v>0.40540540540540548</v>
          </cell>
          <cell r="AO190">
            <v>0.30288461538461542</v>
          </cell>
          <cell r="AT190">
            <v>0.24409594095940967</v>
          </cell>
          <cell r="AY190">
            <v>0.20601364377873344</v>
          </cell>
        </row>
        <row r="191">
          <cell r="A191" t="str">
            <v>Existing Customer Billings per Customer</v>
          </cell>
          <cell r="K191">
            <v>19580.811111111114</v>
          </cell>
          <cell r="P191">
            <v>27952.718750000004</v>
          </cell>
          <cell r="U191">
            <v>32549.457142857147</v>
          </cell>
          <cell r="Z191">
            <v>47963.53913043478</v>
          </cell>
          <cell r="AE191">
            <v>51492.818918918914</v>
          </cell>
          <cell r="AJ191">
            <v>51492.818918918914</v>
          </cell>
          <cell r="AO191">
            <v>51492.818918918914</v>
          </cell>
          <cell r="AT191">
            <v>51492.818918918914</v>
          </cell>
        </row>
        <row r="192">
          <cell r="A192" t="str">
            <v xml:space="preserve">     YoY Change</v>
          </cell>
          <cell r="P192">
            <v>0.42755673354809387</v>
          </cell>
          <cell r="U192">
            <v>0.16444691602161754</v>
          </cell>
          <cell r="Z192">
            <v>0.47355880375904191</v>
          </cell>
          <cell r="AE192">
            <v>7.3582555676019012E-2</v>
          </cell>
          <cell r="AJ192">
            <v>0</v>
          </cell>
          <cell r="AO192">
            <v>0</v>
          </cell>
          <cell r="AT192">
            <v>0</v>
          </cell>
        </row>
        <row r="193">
          <cell r="A193" t="str">
            <v>New Customers</v>
          </cell>
          <cell r="K193">
            <v>350</v>
          </cell>
          <cell r="P193">
            <v>600</v>
          </cell>
          <cell r="U193">
            <v>900</v>
          </cell>
          <cell r="V193">
            <v>300</v>
          </cell>
          <cell r="W193">
            <v>300</v>
          </cell>
          <cell r="X193">
            <v>400</v>
          </cell>
          <cell r="Y193">
            <v>400</v>
          </cell>
          <cell r="Z193">
            <v>1400</v>
          </cell>
          <cell r="AA193">
            <v>350</v>
          </cell>
          <cell r="AB193">
            <v>400</v>
          </cell>
          <cell r="AC193">
            <v>350</v>
          </cell>
          <cell r="AD193">
            <v>400</v>
          </cell>
          <cell r="AE193">
            <v>1500</v>
          </cell>
          <cell r="AF193">
            <v>400</v>
          </cell>
          <cell r="AG193">
            <v>400</v>
          </cell>
          <cell r="AH193">
            <v>450</v>
          </cell>
          <cell r="AJ193">
            <v>1575</v>
          </cell>
          <cell r="AO193">
            <v>1653.75</v>
          </cell>
          <cell r="AT193">
            <v>1736.4375</v>
          </cell>
          <cell r="AY193">
            <v>1823.2593750000001</v>
          </cell>
        </row>
        <row r="194">
          <cell r="A194" t="str">
            <v>Total Customers</v>
          </cell>
          <cell r="F194">
            <v>450</v>
          </cell>
          <cell r="K194">
            <v>800</v>
          </cell>
          <cell r="P194">
            <v>1400</v>
          </cell>
          <cell r="Q194">
            <v>1600</v>
          </cell>
          <cell r="R194">
            <v>1800</v>
          </cell>
          <cell r="S194">
            <v>2100</v>
          </cell>
          <cell r="T194">
            <v>2300</v>
          </cell>
          <cell r="U194">
            <v>2300</v>
          </cell>
          <cell r="V194">
            <v>2600</v>
          </cell>
          <cell r="W194">
            <v>2900</v>
          </cell>
          <cell r="X194">
            <v>3300</v>
          </cell>
          <cell r="Y194">
            <v>3700</v>
          </cell>
          <cell r="Z194">
            <v>3700</v>
          </cell>
          <cell r="AA194">
            <v>4050</v>
          </cell>
          <cell r="AB194">
            <v>4450</v>
          </cell>
          <cell r="AC194">
            <v>4800</v>
          </cell>
          <cell r="AD194">
            <v>5200</v>
          </cell>
          <cell r="AE194">
            <v>5200</v>
          </cell>
          <cell r="AF194">
            <v>5600</v>
          </cell>
          <cell r="AG194">
            <v>6000</v>
          </cell>
          <cell r="AJ194">
            <v>6775</v>
          </cell>
          <cell r="AO194">
            <v>8428.75</v>
          </cell>
          <cell r="AT194">
            <v>10165.1875</v>
          </cell>
          <cell r="AY194">
            <v>0.05</v>
          </cell>
        </row>
        <row r="195">
          <cell r="A195" t="str">
            <v>YoY Growth</v>
          </cell>
          <cell r="K195">
            <v>42866.1</v>
          </cell>
          <cell r="P195">
            <v>0.75</v>
          </cell>
          <cell r="U195">
            <v>0.64285714285714279</v>
          </cell>
          <cell r="Z195">
            <v>0.60869565217391308</v>
          </cell>
          <cell r="AA195">
            <v>0.55769230769230771</v>
          </cell>
          <cell r="AB195">
            <v>0.53448275862068972</v>
          </cell>
          <cell r="AC195">
            <v>0.45454545454545459</v>
          </cell>
          <cell r="AD195">
            <v>0.40540540540540548</v>
          </cell>
          <cell r="AE195">
            <v>0.40540540540540548</v>
          </cell>
          <cell r="AF195">
            <v>0.38271604938271597</v>
          </cell>
          <cell r="AG195">
            <v>0.348314606741573</v>
          </cell>
          <cell r="AJ195">
            <v>0.30288461538461542</v>
          </cell>
          <cell r="AO195">
            <v>0.24409594095940967</v>
          </cell>
          <cell r="AT195">
            <v>0.20601364377873344</v>
          </cell>
          <cell r="AY195">
            <v>38666.965010399981</v>
          </cell>
        </row>
        <row r="196">
          <cell r="A196" t="str">
            <v>Billings per Customer</v>
          </cell>
          <cell r="K196">
            <v>29768.125</v>
          </cell>
          <cell r="P196">
            <v>29041.785714285717</v>
          </cell>
          <cell r="U196">
            <v>33580.869565217385</v>
          </cell>
          <cell r="Z196">
            <v>40842.7027027027</v>
          </cell>
          <cell r="AE196">
            <v>50190.576923076922</v>
          </cell>
          <cell r="AJ196">
            <v>52819.53724727533</v>
          </cell>
          <cell r="AO196">
            <v>56448.021423236256</v>
          </cell>
          <cell r="AT196">
            <v>56307.923290575651</v>
          </cell>
          <cell r="AY196">
            <v>-0.05</v>
          </cell>
        </row>
        <row r="197">
          <cell r="P197">
            <v>-2.4399900420811971E-2</v>
          </cell>
          <cell r="U197">
            <v>0.15629492950562196</v>
          </cell>
          <cell r="Z197">
            <v>0.21624910943363496</v>
          </cell>
          <cell r="AE197">
            <v>0.22887501565256696</v>
          </cell>
          <cell r="AJ197">
            <v>5.2379559777278706E-2</v>
          </cell>
          <cell r="AO197">
            <v>6.8695872115920542E-2</v>
          </cell>
          <cell r="AT197">
            <v>-2.4818962494748131E-3</v>
          </cell>
        </row>
        <row r="198">
          <cell r="A198" t="str">
            <v>Existing Customers</v>
          </cell>
          <cell r="K198">
            <v>450</v>
          </cell>
          <cell r="P198">
            <v>800</v>
          </cell>
          <cell r="U198">
            <v>1400</v>
          </cell>
          <cell r="Z198">
            <v>2300</v>
          </cell>
          <cell r="AE198">
            <v>260.99099999999993</v>
          </cell>
          <cell r="AJ198">
            <v>338.79396893837833</v>
          </cell>
          <cell r="AO198">
            <v>419.71758045927561</v>
          </cell>
          <cell r="AT198">
            <v>504.69669541572881</v>
          </cell>
          <cell r="AY198">
            <v>10165.1875</v>
          </cell>
        </row>
        <row r="199">
          <cell r="A199" t="str">
            <v>YoY Growth</v>
          </cell>
          <cell r="P199">
            <v>0.77777777777777768</v>
          </cell>
          <cell r="U199">
            <v>0.75</v>
          </cell>
          <cell r="Z199">
            <v>0.64285714285714279</v>
          </cell>
          <cell r="AE199">
            <v>260.99099999999999</v>
          </cell>
          <cell r="AJ199">
            <v>357.85236485029037</v>
          </cell>
          <cell r="AO199">
            <v>475.78626057110262</v>
          </cell>
          <cell r="AT199">
            <v>572.38059798431846</v>
          </cell>
          <cell r="AY199">
            <v>0.20601364377873344</v>
          </cell>
        </row>
        <row r="200">
          <cell r="A200" t="str">
            <v>Existing Customer Billings per Customer</v>
          </cell>
          <cell r="K200">
            <v>19580.811111111114</v>
          </cell>
          <cell r="P200">
            <v>27952.718750000004</v>
          </cell>
          <cell r="U200">
            <v>32549.457142857147</v>
          </cell>
          <cell r="Z200">
            <v>47963.53913043478</v>
          </cell>
          <cell r="AE200">
            <v>51492.818918918914</v>
          </cell>
          <cell r="AJ200">
            <v>51492.818918918914</v>
          </cell>
          <cell r="AO200">
            <v>51492.818918918914</v>
          </cell>
          <cell r="AT200">
            <v>51492.818918918914</v>
          </cell>
          <cell r="AY200">
            <v>51492.818918918914</v>
          </cell>
        </row>
        <row r="201">
          <cell r="A201" t="str">
            <v xml:space="preserve">     YoY Change</v>
          </cell>
          <cell r="P201">
            <v>0.42755673354809387</v>
          </cell>
          <cell r="S201" t="str">
            <v>9mo</v>
          </cell>
          <cell r="U201">
            <v>0.16444691602161754</v>
          </cell>
          <cell r="X201" t="str">
            <v>9mo</v>
          </cell>
          <cell r="Z201">
            <v>0.47355880375904191</v>
          </cell>
          <cell r="AE201">
            <v>7.3582555676019012E-2</v>
          </cell>
          <cell r="AJ201">
            <v>0</v>
          </cell>
          <cell r="AO201">
            <v>0</v>
          </cell>
          <cell r="AT201">
            <v>0</v>
          </cell>
          <cell r="AY201">
            <v>0</v>
          </cell>
        </row>
        <row r="202">
          <cell r="A202" t="str">
            <v>Sales Commission</v>
          </cell>
          <cell r="K202">
            <v>2.4</v>
          </cell>
          <cell r="P202">
            <v>5.5</v>
          </cell>
          <cell r="S202">
            <v>6.2</v>
          </cell>
          <cell r="T202">
            <v>3.7</v>
          </cell>
          <cell r="U202">
            <v>9.9</v>
          </cell>
          <cell r="X202">
            <v>11.5</v>
          </cell>
        </row>
        <row r="203">
          <cell r="A203" t="str">
            <v xml:space="preserve">  as % of license billings</v>
          </cell>
          <cell r="F203">
            <v>450</v>
          </cell>
          <cell r="K203">
            <v>0.16900694336859007</v>
          </cell>
          <cell r="P203">
            <v>0.19195919767000499</v>
          </cell>
          <cell r="Q203">
            <v>1600</v>
          </cell>
          <cell r="R203">
            <v>1800</v>
          </cell>
          <cell r="S203">
            <v>0.17177813276609821</v>
          </cell>
          <cell r="T203">
            <v>0.17159222313087691</v>
          </cell>
          <cell r="U203">
            <v>0.17170860426205697</v>
          </cell>
          <cell r="V203">
            <v>2600</v>
          </cell>
          <cell r="W203">
            <v>2900</v>
          </cell>
          <cell r="X203">
            <v>0.18533288156853814</v>
          </cell>
          <cell r="Y203">
            <v>3700</v>
          </cell>
          <cell r="Z203">
            <v>3700</v>
          </cell>
          <cell r="AA203">
            <v>4050</v>
          </cell>
          <cell r="AB203">
            <v>4450</v>
          </cell>
          <cell r="AC203">
            <v>4800</v>
          </cell>
          <cell r="AD203">
            <v>5200</v>
          </cell>
          <cell r="AE203">
            <v>5200</v>
          </cell>
          <cell r="AF203">
            <v>5600</v>
          </cell>
          <cell r="AG203">
            <v>6000</v>
          </cell>
          <cell r="AH203">
            <v>6400</v>
          </cell>
          <cell r="AJ203">
            <v>6775</v>
          </cell>
          <cell r="AO203">
            <v>8428.75</v>
          </cell>
          <cell r="AT203">
            <v>10165.1875</v>
          </cell>
          <cell r="AY203">
            <v>11988.446875</v>
          </cell>
        </row>
        <row r="204">
          <cell r="A204" t="str">
            <v>YoY Growth</v>
          </cell>
          <cell r="P204">
            <v>0.75</v>
          </cell>
          <cell r="S204" t="str">
            <v>9mo</v>
          </cell>
          <cell r="U204">
            <v>0.64285714285714279</v>
          </cell>
          <cell r="X204" t="str">
            <v>9mo</v>
          </cell>
          <cell r="Z204">
            <v>0.60869565217391308</v>
          </cell>
          <cell r="AA204">
            <v>0.55769230769230771</v>
          </cell>
          <cell r="AB204">
            <v>0.53448275862068972</v>
          </cell>
          <cell r="AC204">
            <v>0.45454545454545459</v>
          </cell>
          <cell r="AD204">
            <v>0.40540540540540548</v>
          </cell>
          <cell r="AE204">
            <v>0.40540540540540548</v>
          </cell>
          <cell r="AF204">
            <v>0.38271604938271597</v>
          </cell>
          <cell r="AG204">
            <v>0.348314606741573</v>
          </cell>
          <cell r="AH204">
            <v>0.33333333333333326</v>
          </cell>
          <cell r="AJ204">
            <v>0.30288461538461542</v>
          </cell>
          <cell r="AO204">
            <v>0.24409594095940967</v>
          </cell>
          <cell r="AT204">
            <v>0.20601364377873344</v>
          </cell>
          <cell r="AY204">
            <v>0.17936308356338726</v>
          </cell>
        </row>
        <row r="205">
          <cell r="A205" t="str">
            <v>Advertising Expense</v>
          </cell>
          <cell r="K205">
            <v>1</v>
          </cell>
          <cell r="P205">
            <v>1.3</v>
          </cell>
          <cell r="S205">
            <v>1.5</v>
          </cell>
          <cell r="U205">
            <v>2</v>
          </cell>
          <cell r="X205">
            <v>2.5</v>
          </cell>
          <cell r="Z205">
            <v>40842.7027027027</v>
          </cell>
          <cell r="AE205">
            <v>50190.576923076922</v>
          </cell>
          <cell r="AJ205">
            <v>52912.685885296116</v>
          </cell>
          <cell r="AO205">
            <v>55628.580872979524</v>
          </cell>
          <cell r="AT205">
            <v>60814.502658364036</v>
          </cell>
          <cell r="AY205">
            <v>65665.468224210301</v>
          </cell>
        </row>
        <row r="206">
          <cell r="P206">
            <v>-2.4399900420811971E-2</v>
          </cell>
          <cell r="U206">
            <v>0.15629492950562196</v>
          </cell>
          <cell r="Z206">
            <v>0.21624910943363496</v>
          </cell>
          <cell r="AE206">
            <v>0.22887501565256696</v>
          </cell>
          <cell r="AJ206">
            <v>5.4235458707540873E-2</v>
          </cell>
          <cell r="AO206">
            <v>5.132786102695519E-2</v>
          </cell>
          <cell r="AT206">
            <v>9.3224053247482175E-2</v>
          </cell>
          <cell r="AY206">
            <v>7.97665910892571E-2</v>
          </cell>
        </row>
        <row r="207">
          <cell r="AE207">
            <v>260.99099999999993</v>
          </cell>
          <cell r="AJ207">
            <v>338.79396893837833</v>
          </cell>
          <cell r="AO207">
            <v>419.71758045927561</v>
          </cell>
          <cell r="AT207">
            <v>504.69669541572881</v>
          </cell>
          <cell r="AY207">
            <v>593.93406567236673</v>
          </cell>
        </row>
        <row r="208">
          <cell r="AE208">
            <v>260.99099999999999</v>
          </cell>
          <cell r="AJ208">
            <v>358.48344687288119</v>
          </cell>
          <cell r="AO208">
            <v>468.87940103312616</v>
          </cell>
          <cell r="AT208">
            <v>618.19082224151884</v>
          </cell>
          <cell r="AY208">
            <v>787.22697732794586</v>
          </cell>
        </row>
        <row r="210">
          <cell r="S210" t="str">
            <v>9mo</v>
          </cell>
          <cell r="X210" t="str">
            <v>9mo</v>
          </cell>
        </row>
        <row r="211">
          <cell r="A211" t="str">
            <v>Sales Commission</v>
          </cell>
          <cell r="K211">
            <v>2.4</v>
          </cell>
          <cell r="P211">
            <v>5.5</v>
          </cell>
          <cell r="S211">
            <v>6.2</v>
          </cell>
          <cell r="T211">
            <v>3.7</v>
          </cell>
          <cell r="U211">
            <v>9.9</v>
          </cell>
          <cell r="X211">
            <v>11.5</v>
          </cell>
        </row>
        <row r="212">
          <cell r="A212" t="str">
            <v xml:space="preserve">  as % of license billings</v>
          </cell>
          <cell r="K212">
            <v>0.16900694336859007</v>
          </cell>
          <cell r="P212">
            <v>0.19195919767000499</v>
          </cell>
          <cell r="S212">
            <v>0.17177813276609821</v>
          </cell>
          <cell r="T212">
            <v>0.17159222313087691</v>
          </cell>
          <cell r="U212">
            <v>0.17170860426205697</v>
          </cell>
          <cell r="X212">
            <v>0.18533288156853814</v>
          </cell>
        </row>
        <row r="213">
          <cell r="S213" t="str">
            <v>9mo</v>
          </cell>
          <cell r="X213" t="str">
            <v>9mo</v>
          </cell>
        </row>
        <row r="214">
          <cell r="A214" t="str">
            <v>Advertising Expense</v>
          </cell>
          <cell r="K214">
            <v>1</v>
          </cell>
          <cell r="P214">
            <v>1.3</v>
          </cell>
          <cell r="S214">
            <v>1.5</v>
          </cell>
          <cell r="U214">
            <v>2</v>
          </cell>
          <cell r="X214">
            <v>2.5</v>
          </cell>
        </row>
      </sheetData>
      <sheetData sheetId="6" refreshError="1">
        <row r="1">
          <cell r="A1" t="str">
            <v>Splunk Inc.</v>
          </cell>
          <cell r="AW1" t="str">
            <v>ElementName</v>
          </cell>
          <cell r="AX1" t="str">
            <v>ScaleOverride</v>
          </cell>
          <cell r="AY1" t="str">
            <v>UnitOverride</v>
          </cell>
          <cell r="AZ1" t="str">
            <v>ReverseSign</v>
          </cell>
          <cell r="BA1" t="str">
            <v>IsDrivingAssumption</v>
          </cell>
          <cell r="BB1" t="str">
            <v>SegmentID</v>
          </cell>
          <cell r="BC1" t="str">
            <v>ScaleOverride</v>
          </cell>
          <cell r="BD1" t="str">
            <v>UnitOverride</v>
          </cell>
          <cell r="BE1" t="str">
            <v>ReverseSign</v>
          </cell>
          <cell r="BF1" t="str">
            <v>IsDrivingAssumption</v>
          </cell>
          <cell r="BG1" t="str">
            <v>SegmentID</v>
          </cell>
        </row>
        <row r="2">
          <cell r="A2" t="str">
            <v>Balance Sheet</v>
          </cell>
        </row>
        <row r="3">
          <cell r="F3" t="str">
            <v>2008-FY</v>
          </cell>
          <cell r="G3" t="str">
            <v>2009-Q1</v>
          </cell>
          <cell r="H3" t="str">
            <v>2009-Q2</v>
          </cell>
          <cell r="I3" t="str">
            <v>2009-Q3</v>
          </cell>
          <cell r="J3" t="str">
            <v>2009-Q4</v>
          </cell>
          <cell r="K3" t="str">
            <v>2009-FY</v>
          </cell>
          <cell r="L3" t="str">
            <v>2010-Q1</v>
          </cell>
          <cell r="M3" t="str">
            <v>2010-Q2</v>
          </cell>
          <cell r="N3" t="str">
            <v>2010-Q3</v>
          </cell>
          <cell r="O3" t="str">
            <v>2010-Q4</v>
          </cell>
          <cell r="P3" t="str">
            <v>2010-FY</v>
          </cell>
          <cell r="Q3" t="str">
            <v>2011-Q1</v>
          </cell>
          <cell r="R3" t="str">
            <v>2011-Q2</v>
          </cell>
          <cell r="S3" t="str">
            <v>2011-Q3</v>
          </cell>
          <cell r="T3" t="str">
            <v>2011-Q4</v>
          </cell>
          <cell r="U3" t="str">
            <v>2011-FY</v>
          </cell>
          <cell r="V3" t="str">
            <v>2012-Q1</v>
          </cell>
          <cell r="W3" t="str">
            <v>2012-Q2</v>
          </cell>
          <cell r="X3" t="str">
            <v>2012-Q3</v>
          </cell>
          <cell r="Y3" t="str">
            <v>2012-Q4</v>
          </cell>
          <cell r="Z3" t="str">
            <v>2012-FY</v>
          </cell>
          <cell r="AA3" t="str">
            <v>2013-Q1</v>
          </cell>
          <cell r="AB3" t="str">
            <v>2013-Q2</v>
          </cell>
          <cell r="AC3" t="str">
            <v>2013-Q3</v>
          </cell>
          <cell r="AD3" t="str">
            <v>2013-Q4</v>
          </cell>
          <cell r="AE3" t="str">
            <v>2013-FY</v>
          </cell>
          <cell r="AF3" t="str">
            <v>2014-Q1</v>
          </cell>
          <cell r="AG3" t="str">
            <v>2014-Q2</v>
          </cell>
          <cell r="AH3" t="str">
            <v>2014-Q3</v>
          </cell>
          <cell r="AI3" t="str">
            <v>2014-Q4</v>
          </cell>
          <cell r="AJ3" t="str">
            <v>2014-FY</v>
          </cell>
          <cell r="AK3" t="str">
            <v>2015-Q1</v>
          </cell>
          <cell r="AL3" t="str">
            <v>2015-Q2</v>
          </cell>
          <cell r="AM3" t="str">
            <v>2015-Q3</v>
          </cell>
          <cell r="AN3" t="str">
            <v>2015-Q4</v>
          </cell>
          <cell r="AO3" t="str">
            <v>2015-FY</v>
          </cell>
          <cell r="AP3" t="str">
            <v>2016-Q1</v>
          </cell>
          <cell r="AQ3" t="str">
            <v>2016-Q2</v>
          </cell>
          <cell r="AR3" t="str">
            <v>2016-Q3</v>
          </cell>
          <cell r="AS3" t="str">
            <v>2016-Q4</v>
          </cell>
          <cell r="AT3" t="str">
            <v>2016-FY</v>
          </cell>
          <cell r="AU3" t="str">
            <v>2017-Q1</v>
          </cell>
          <cell r="AV3" t="str">
            <v>2017-Q2</v>
          </cell>
          <cell r="AW3" t="str">
            <v>2017-Q3</v>
          </cell>
          <cell r="AX3" t="str">
            <v>2017-Q4</v>
          </cell>
          <cell r="AY3" t="str">
            <v>2017-FY</v>
          </cell>
        </row>
        <row r="4">
          <cell r="A4" t="str">
            <v>($ in millions, except EPS)</v>
          </cell>
        </row>
        <row r="5">
          <cell r="B5" t="str">
            <v xml:space="preserve">  2008</v>
          </cell>
          <cell r="G5" t="str">
            <v>2009</v>
          </cell>
          <cell r="L5" t="str">
            <v>2010</v>
          </cell>
          <cell r="Q5" t="str">
            <v>2011</v>
          </cell>
          <cell r="V5" t="str">
            <v>2012</v>
          </cell>
          <cell r="AA5">
            <v>2013</v>
          </cell>
          <cell r="AF5" t="str">
            <v xml:space="preserve">  2014E</v>
          </cell>
          <cell r="AK5" t="str">
            <v xml:space="preserve">  2015E</v>
          </cell>
          <cell r="AP5" t="str">
            <v xml:space="preserve">  2016E</v>
          </cell>
          <cell r="AU5" t="str">
            <v xml:space="preserve">  2017E</v>
          </cell>
        </row>
        <row r="6">
          <cell r="B6" t="str">
            <v>4/07</v>
          </cell>
          <cell r="C6" t="str">
            <v>7/07</v>
          </cell>
          <cell r="D6" t="str">
            <v>10/07</v>
          </cell>
          <cell r="E6" t="str">
            <v>1/08</v>
          </cell>
          <cell r="F6" t="str">
            <v>FY08</v>
          </cell>
          <cell r="G6" t="str">
            <v>4/08</v>
          </cell>
          <cell r="H6" t="str">
            <v>7/08</v>
          </cell>
          <cell r="I6" t="str">
            <v>10/08</v>
          </cell>
          <cell r="J6" t="str">
            <v>1/09</v>
          </cell>
          <cell r="K6" t="str">
            <v>FY09</v>
          </cell>
          <cell r="L6" t="str">
            <v>4/09</v>
          </cell>
          <cell r="M6" t="str">
            <v>7/09</v>
          </cell>
          <cell r="N6" t="str">
            <v>10/09</v>
          </cell>
          <cell r="O6" t="str">
            <v>1/10</v>
          </cell>
          <cell r="P6" t="str">
            <v>FY10</v>
          </cell>
          <cell r="Q6" t="str">
            <v>4/10</v>
          </cell>
          <cell r="R6" t="str">
            <v>7/10</v>
          </cell>
          <cell r="S6" t="str">
            <v>10/10</v>
          </cell>
          <cell r="T6" t="str">
            <v>1/11</v>
          </cell>
          <cell r="U6" t="str">
            <v>FY11</v>
          </cell>
          <cell r="V6" t="str">
            <v>4/11</v>
          </cell>
          <cell r="W6" t="str">
            <v>7/11</v>
          </cell>
          <cell r="X6" t="str">
            <v>10/11</v>
          </cell>
          <cell r="Y6" t="str">
            <v>1/12</v>
          </cell>
          <cell r="Z6" t="str">
            <v>FY12</v>
          </cell>
          <cell r="AA6" t="str">
            <v>4/12</v>
          </cell>
          <cell r="AB6" t="str">
            <v>7/12</v>
          </cell>
          <cell r="AC6" t="str">
            <v>10/12</v>
          </cell>
          <cell r="AD6" t="str">
            <v>1/13</v>
          </cell>
          <cell r="AE6" t="str">
            <v>FY13</v>
          </cell>
          <cell r="AF6" t="str">
            <v>4/13</v>
          </cell>
          <cell r="AG6" t="str">
            <v>7/13</v>
          </cell>
          <cell r="AH6" t="str">
            <v>10/13E</v>
          </cell>
          <cell r="AI6" t="str">
            <v>1/14E</v>
          </cell>
          <cell r="AJ6" t="str">
            <v>FY14E</v>
          </cell>
          <cell r="AK6" t="str">
            <v>4/14E</v>
          </cell>
          <cell r="AL6" t="str">
            <v>7/14E</v>
          </cell>
          <cell r="AM6" t="str">
            <v>10/14E</v>
          </cell>
          <cell r="AN6" t="str">
            <v>1/15E</v>
          </cell>
          <cell r="AO6" t="str">
            <v>FY15E</v>
          </cell>
          <cell r="AP6" t="str">
            <v>4/15E</v>
          </cell>
          <cell r="AQ6" t="str">
            <v>7/15E</v>
          </cell>
          <cell r="AR6" t="str">
            <v>10/15E</v>
          </cell>
          <cell r="AS6" t="str">
            <v>1/16E</v>
          </cell>
          <cell r="AT6" t="str">
            <v>FY16E</v>
          </cell>
          <cell r="AU6" t="str">
            <v>4/16E</v>
          </cell>
          <cell r="AV6" t="str">
            <v>7/16E</v>
          </cell>
          <cell r="AW6" t="str">
            <v>10/16E</v>
          </cell>
          <cell r="AX6" t="str">
            <v>1/17E</v>
          </cell>
          <cell r="AY6" t="str">
            <v>FY17E</v>
          </cell>
        </row>
        <row r="7">
          <cell r="A7" t="str">
            <v>Assets</v>
          </cell>
        </row>
        <row r="8">
          <cell r="A8" t="str">
            <v>Cash and cash equivalents</v>
          </cell>
          <cell r="E8">
            <v>23.431999999999999</v>
          </cell>
          <cell r="O8">
            <v>11.805</v>
          </cell>
          <cell r="P8">
            <v>11.805</v>
          </cell>
          <cell r="Q8">
            <v>9.9329999999999998</v>
          </cell>
          <cell r="R8">
            <v>11.718</v>
          </cell>
          <cell r="S8">
            <v>13.462</v>
          </cell>
          <cell r="T8">
            <v>19.736999999999998</v>
          </cell>
          <cell r="U8">
            <v>19.736999999999998</v>
          </cell>
          <cell r="V8">
            <v>18.125</v>
          </cell>
          <cell r="W8">
            <v>17.782</v>
          </cell>
          <cell r="X8">
            <v>22.998000000000001</v>
          </cell>
          <cell r="Y8">
            <v>31.599</v>
          </cell>
          <cell r="Z8">
            <v>31.599</v>
          </cell>
          <cell r="AA8">
            <v>266.077</v>
          </cell>
          <cell r="AB8">
            <v>268.27800000000002</v>
          </cell>
          <cell r="AC8">
            <v>273.32400000000001</v>
          </cell>
          <cell r="AD8">
            <v>305.93900000000002</v>
          </cell>
          <cell r="AE8">
            <v>305.93900000000002</v>
          </cell>
          <cell r="AF8">
            <v>331.25200000000001</v>
          </cell>
          <cell r="AG8">
            <v>347.11399999999998</v>
          </cell>
          <cell r="AH8">
            <v>353.65915973450404</v>
          </cell>
          <cell r="AI8">
            <v>380.66880354775913</v>
          </cell>
          <cell r="AJ8">
            <v>380.66880354775913</v>
          </cell>
          <cell r="AK8">
            <v>409.60937447393383</v>
          </cell>
          <cell r="AL8">
            <v>418.52087125620943</v>
          </cell>
          <cell r="AM8">
            <v>424.1863932580614</v>
          </cell>
          <cell r="AN8">
            <v>461.67145633788698</v>
          </cell>
          <cell r="AO8">
            <v>461.67145633788698</v>
          </cell>
          <cell r="AP8">
            <v>508.75269325789787</v>
          </cell>
          <cell r="AQ8">
            <v>518.78848671313699</v>
          </cell>
          <cell r="AR8">
            <v>521.52339742659251</v>
          </cell>
          <cell r="AS8">
            <v>572.79644316371548</v>
          </cell>
          <cell r="AT8">
            <v>572.79644316371548</v>
          </cell>
          <cell r="AU8">
            <v>592.43592652643417</v>
          </cell>
          <cell r="AV8">
            <v>619.17016842078181</v>
          </cell>
          <cell r="AW8" t="str">
            <v>mstag:cashAndCashEquivalents</v>
          </cell>
          <cell r="AX8">
            <v>6</v>
          </cell>
          <cell r="AY8" t="str">
            <v>ISO4217:USD</v>
          </cell>
          <cell r="AZ8" t="b">
            <v>0</v>
          </cell>
          <cell r="BB8" t="str">
            <v>mstag:cashAndCashEquivalents</v>
          </cell>
          <cell r="BC8">
            <v>6</v>
          </cell>
          <cell r="BD8" t="str">
            <v>ISO4217:USD</v>
          </cell>
          <cell r="BE8" t="b">
            <v>0</v>
          </cell>
        </row>
        <row r="9">
          <cell r="A9" t="str">
            <v>Accounts Receivables, net</v>
          </cell>
          <cell r="O9">
            <v>6.59</v>
          </cell>
          <cell r="P9">
            <v>6.59</v>
          </cell>
          <cell r="Q9">
            <v>8.2899999999999991</v>
          </cell>
          <cell r="R9">
            <v>11.587999999999999</v>
          </cell>
          <cell r="S9">
            <v>12.255000000000001</v>
          </cell>
          <cell r="T9">
            <v>14.148</v>
          </cell>
          <cell r="U9">
            <v>14.148</v>
          </cell>
          <cell r="V9">
            <v>15.554</v>
          </cell>
          <cell r="W9">
            <v>22.225999999999999</v>
          </cell>
          <cell r="X9">
            <v>21.526</v>
          </cell>
          <cell r="Y9">
            <v>34.494999999999997</v>
          </cell>
          <cell r="Z9">
            <v>34.494999999999997</v>
          </cell>
          <cell r="AA9">
            <v>23.48</v>
          </cell>
          <cell r="AB9">
            <v>33.680999999999997</v>
          </cell>
          <cell r="AC9">
            <v>40.177999999999997</v>
          </cell>
          <cell r="AD9">
            <v>63.948</v>
          </cell>
          <cell r="AE9">
            <v>63.948</v>
          </cell>
          <cell r="AF9">
            <v>37.915999999999997</v>
          </cell>
          <cell r="AG9">
            <v>40.746000000000002</v>
          </cell>
          <cell r="AH9">
            <v>53.861606692633906</v>
          </cell>
          <cell r="AI9">
            <v>83.0043638084598</v>
          </cell>
          <cell r="AJ9">
            <v>83.0043638084598</v>
          </cell>
          <cell r="AK9">
            <v>56.215059469797588</v>
          </cell>
          <cell r="AL9">
            <v>70.113098075082604</v>
          </cell>
          <cell r="AM9">
            <v>80.343564881958187</v>
          </cell>
          <cell r="AN9">
            <v>114.05718254417225</v>
          </cell>
          <cell r="AO9">
            <v>114.05718254417225</v>
          </cell>
          <cell r="AP9">
            <v>78.252273910636532</v>
          </cell>
          <cell r="AQ9">
            <v>92.24024891543273</v>
          </cell>
          <cell r="AR9">
            <v>102.4269736972616</v>
          </cell>
          <cell r="AS9">
            <v>137.25854477624216</v>
          </cell>
          <cell r="AT9">
            <v>137.25854477624216</v>
          </cell>
          <cell r="AU9">
            <v>87.229431880133077</v>
          </cell>
          <cell r="AV9">
            <v>87.361052904426387</v>
          </cell>
          <cell r="AW9" t="str">
            <v>mstag:tradeReceivablesCurrent</v>
          </cell>
          <cell r="AX9">
            <v>6</v>
          </cell>
          <cell r="AY9" t="str">
            <v>ISO4217:USD</v>
          </cell>
          <cell r="AZ9" t="b">
            <v>0</v>
          </cell>
          <cell r="BB9" t="str">
            <v>mstag:tradeReceivablesCurrent</v>
          </cell>
          <cell r="BC9">
            <v>6</v>
          </cell>
          <cell r="BD9" t="str">
            <v>ISO4217:USD</v>
          </cell>
          <cell r="BE9" t="b">
            <v>0</v>
          </cell>
        </row>
        <row r="10">
          <cell r="A10" t="str">
            <v>Prepaid Expenses and Other Current Assets</v>
          </cell>
          <cell r="O10">
            <v>0.92</v>
          </cell>
          <cell r="P10">
            <v>0.92</v>
          </cell>
          <cell r="Q10">
            <v>1.127</v>
          </cell>
          <cell r="R10">
            <v>1.552</v>
          </cell>
          <cell r="S10">
            <v>1.62</v>
          </cell>
          <cell r="T10">
            <v>1.3080000000000001</v>
          </cell>
          <cell r="U10">
            <v>1.3080000000000001</v>
          </cell>
          <cell r="V10">
            <v>2.7080000000000002</v>
          </cell>
          <cell r="W10">
            <v>3.9860000000000002</v>
          </cell>
          <cell r="X10">
            <v>3.6779999999999999</v>
          </cell>
          <cell r="Y10">
            <v>4.2610000000000001</v>
          </cell>
          <cell r="Z10">
            <v>4.2610000000000001</v>
          </cell>
          <cell r="AA10">
            <v>4.3529999999999998</v>
          </cell>
          <cell r="AB10">
            <v>4.8070000000000004</v>
          </cell>
          <cell r="AC10">
            <v>5.694</v>
          </cell>
          <cell r="AD10">
            <v>6.8609999999999998</v>
          </cell>
          <cell r="AE10">
            <v>6.8609999999999998</v>
          </cell>
          <cell r="AF10">
            <v>7.1909999999999998</v>
          </cell>
          <cell r="AG10">
            <v>10.547000000000001</v>
          </cell>
          <cell r="AH10">
            <v>7.7867780879726309</v>
          </cell>
          <cell r="AI10">
            <v>11.130850668350645</v>
          </cell>
          <cell r="AJ10">
            <v>11.130850668350645</v>
          </cell>
          <cell r="AK10">
            <v>13.295994808551539</v>
          </cell>
          <cell r="AL10">
            <v>14.286118924102023</v>
          </cell>
          <cell r="AM10">
            <v>15.40614307861585</v>
          </cell>
          <cell r="AN10">
            <v>18.623946025742303</v>
          </cell>
          <cell r="AO10">
            <v>18.623946025742303</v>
          </cell>
          <cell r="AP10">
            <v>18.074061989129802</v>
          </cell>
          <cell r="AQ10">
            <v>19.263166875072407</v>
          </cell>
          <cell r="AR10">
            <v>20.300024222880527</v>
          </cell>
          <cell r="AS10">
            <v>23.715650581470751</v>
          </cell>
          <cell r="AT10">
            <v>23.715650581470751</v>
          </cell>
          <cell r="AU10">
            <v>16.794253815001333</v>
          </cell>
          <cell r="AV10">
            <v>17.822694372594061</v>
          </cell>
          <cell r="AW10" t="str">
            <v>mstag:prepaidExpensesCurrent</v>
          </cell>
          <cell r="AX10">
            <v>6</v>
          </cell>
          <cell r="AY10" t="str">
            <v>ISO4217:USD</v>
          </cell>
          <cell r="AZ10" t="b">
            <v>0</v>
          </cell>
          <cell r="BB10" t="str">
            <v>mstag:prepaidExpensesCurrent</v>
          </cell>
          <cell r="BC10">
            <v>6</v>
          </cell>
          <cell r="BD10" t="str">
            <v>ISO4217:USD</v>
          </cell>
          <cell r="BE10" t="b">
            <v>0</v>
          </cell>
        </row>
        <row r="11">
          <cell r="A11" t="str">
            <v>Total Current Assets</v>
          </cell>
          <cell r="O11">
            <v>19.315000000000001</v>
          </cell>
          <cell r="P11">
            <v>19.315000000000001</v>
          </cell>
          <cell r="Q11">
            <v>19.349999999999998</v>
          </cell>
          <cell r="R11">
            <v>24.857999999999997</v>
          </cell>
          <cell r="S11">
            <v>27.337</v>
          </cell>
          <cell r="T11">
            <v>35.192999999999998</v>
          </cell>
          <cell r="U11">
            <v>35.192999999999998</v>
          </cell>
          <cell r="V11">
            <v>36.387</v>
          </cell>
          <cell r="W11">
            <v>43.993999999999993</v>
          </cell>
          <cell r="X11">
            <v>48.201999999999998</v>
          </cell>
          <cell r="Y11">
            <v>70.35499999999999</v>
          </cell>
          <cell r="Z11">
            <v>70.35499999999999</v>
          </cell>
          <cell r="AA11">
            <v>293.91000000000003</v>
          </cell>
          <cell r="AB11">
            <v>306.76600000000002</v>
          </cell>
          <cell r="AC11">
            <v>319.19600000000003</v>
          </cell>
          <cell r="AD11">
            <v>376.74799999999999</v>
          </cell>
          <cell r="AE11">
            <v>376.74799999999999</v>
          </cell>
          <cell r="AF11">
            <v>376.35899999999998</v>
          </cell>
          <cell r="AG11">
            <v>398.40699999999998</v>
          </cell>
          <cell r="AH11">
            <v>415.30754451511058</v>
          </cell>
          <cell r="AI11">
            <v>474.80401802456959</v>
          </cell>
          <cell r="AJ11">
            <v>474.80401802456959</v>
          </cell>
          <cell r="AK11">
            <v>479.12042875228298</v>
          </cell>
          <cell r="AL11">
            <v>502.92008825539409</v>
          </cell>
          <cell r="AM11">
            <v>519.93610121863537</v>
          </cell>
          <cell r="AN11">
            <v>594.35258490780154</v>
          </cell>
          <cell r="AO11">
            <v>594.35258490780154</v>
          </cell>
          <cell r="AP11">
            <v>605.07902915766431</v>
          </cell>
          <cell r="AQ11">
            <v>630.29190250364218</v>
          </cell>
          <cell r="AR11">
            <v>644.25039534673465</v>
          </cell>
          <cell r="AS11">
            <v>733.7706385214284</v>
          </cell>
          <cell r="AT11">
            <v>733.7706385214284</v>
          </cell>
          <cell r="AU11">
            <v>696.45961222156859</v>
          </cell>
          <cell r="AV11">
            <v>724.35391569780222</v>
          </cell>
          <cell r="AW11">
            <v>791.42078003628887</v>
          </cell>
          <cell r="AX11">
            <v>926.91271717536767</v>
          </cell>
          <cell r="AY11">
            <v>926.91271717536767</v>
          </cell>
        </row>
        <row r="13">
          <cell r="A13" t="str">
            <v>Retricted Cash</v>
          </cell>
          <cell r="O13">
            <v>0.80300000000000005</v>
          </cell>
          <cell r="P13">
            <v>0.80300000000000005</v>
          </cell>
          <cell r="Q13">
            <v>0.80300000000000005</v>
          </cell>
          <cell r="R13">
            <v>0.80300000000000005</v>
          </cell>
          <cell r="S13">
            <v>0.80300000000000005</v>
          </cell>
          <cell r="T13">
            <v>0.64200000000000002</v>
          </cell>
          <cell r="U13">
            <v>0.64200000000000002</v>
          </cell>
          <cell r="V13">
            <v>0.64200000000000002</v>
          </cell>
          <cell r="W13">
            <v>0.64200000000000002</v>
          </cell>
          <cell r="X13">
            <v>0.64200000000000002</v>
          </cell>
          <cell r="Y13">
            <v>0.51400000000000001</v>
          </cell>
          <cell r="Z13">
            <v>0.51400000000000001</v>
          </cell>
          <cell r="AA13">
            <v>0.51400000000000001</v>
          </cell>
          <cell r="AB13">
            <v>0.51400000000000001</v>
          </cell>
          <cell r="AC13">
            <v>0</v>
          </cell>
          <cell r="AD13">
            <v>0</v>
          </cell>
          <cell r="AE13">
            <v>0</v>
          </cell>
          <cell r="AF13">
            <v>0</v>
          </cell>
          <cell r="AG13">
            <v>0</v>
          </cell>
          <cell r="AH13">
            <v>0</v>
          </cell>
          <cell r="AI13">
            <v>0</v>
          </cell>
          <cell r="AJ13">
            <v>0</v>
          </cell>
          <cell r="AK13">
            <v>0</v>
          </cell>
          <cell r="AL13">
            <v>0</v>
          </cell>
          <cell r="AM13">
            <v>0</v>
          </cell>
          <cell r="AN13">
            <v>0</v>
          </cell>
          <cell r="AO13">
            <v>0</v>
          </cell>
          <cell r="AP13">
            <v>0</v>
          </cell>
          <cell r="AQ13">
            <v>0</v>
          </cell>
          <cell r="AR13">
            <v>0</v>
          </cell>
          <cell r="AS13">
            <v>0</v>
          </cell>
          <cell r="AT13">
            <v>0</v>
          </cell>
          <cell r="AU13">
            <v>0</v>
          </cell>
          <cell r="AV13">
            <v>0</v>
          </cell>
          <cell r="AW13" t="str">
            <v>mstag:otherAssetsOperatingCurrent</v>
          </cell>
          <cell r="AX13">
            <v>6</v>
          </cell>
          <cell r="AY13" t="str">
            <v>ISO4217:USD</v>
          </cell>
          <cell r="AZ13" t="b">
            <v>0</v>
          </cell>
          <cell r="BB13" t="str">
            <v>mstag:otherAssetsOperatingCurrent</v>
          </cell>
          <cell r="BC13">
            <v>6</v>
          </cell>
          <cell r="BD13" t="str">
            <v>ISO4217:USD</v>
          </cell>
          <cell r="BE13" t="b">
            <v>0</v>
          </cell>
        </row>
        <row r="14">
          <cell r="A14" t="str">
            <v>Property and Equipment, net</v>
          </cell>
          <cell r="O14">
            <v>1.762</v>
          </cell>
          <cell r="P14">
            <v>1.762</v>
          </cell>
          <cell r="Q14">
            <v>1.776</v>
          </cell>
          <cell r="R14">
            <v>1.79</v>
          </cell>
          <cell r="S14">
            <v>1.857</v>
          </cell>
          <cell r="T14">
            <v>2.42</v>
          </cell>
          <cell r="U14">
            <v>2.42</v>
          </cell>
          <cell r="V14">
            <v>3.5680000000000001</v>
          </cell>
          <cell r="W14">
            <v>5.7809999999999997</v>
          </cell>
          <cell r="X14">
            <v>7.2089999999999996</v>
          </cell>
          <cell r="Y14">
            <v>8.9190000000000005</v>
          </cell>
          <cell r="Z14">
            <v>8.9190000000000005</v>
          </cell>
          <cell r="AA14">
            <v>9.6999999999999993</v>
          </cell>
          <cell r="AB14">
            <v>10.316000000000001</v>
          </cell>
          <cell r="AC14">
            <v>10.757999999999999</v>
          </cell>
          <cell r="AD14">
            <v>13.205</v>
          </cell>
          <cell r="AE14">
            <v>13.205</v>
          </cell>
          <cell r="AF14">
            <v>12.695</v>
          </cell>
          <cell r="AG14">
            <v>13.855</v>
          </cell>
          <cell r="AH14">
            <v>15.017592695990878</v>
          </cell>
          <cell r="AI14">
            <v>16.247060301125821</v>
          </cell>
          <cell r="AJ14">
            <v>16.247060301125821</v>
          </cell>
          <cell r="AK14">
            <v>18.005482283615724</v>
          </cell>
          <cell r="AL14">
            <v>19.83451094551187</v>
          </cell>
          <cell r="AM14">
            <v>21.761019562469791</v>
          </cell>
          <cell r="AN14">
            <v>23.837054456776265</v>
          </cell>
          <cell r="AO14">
            <v>23.837054456776265</v>
          </cell>
          <cell r="AP14">
            <v>27.239665796240811</v>
          </cell>
          <cell r="AQ14">
            <v>30.664358183678456</v>
          </cell>
          <cell r="AR14">
            <v>34.057953524433998</v>
          </cell>
          <cell r="AS14">
            <v>37.426273811187485</v>
          </cell>
          <cell r="AT14">
            <v>37.426273811187485</v>
          </cell>
          <cell r="AU14">
            <v>44.32630149939309</v>
          </cell>
          <cell r="AV14">
            <v>48.805018535750811</v>
          </cell>
          <cell r="AW14" t="str">
            <v>mstag:propertyPlantAndEquipmentNet</v>
          </cell>
          <cell r="AX14">
            <v>6</v>
          </cell>
          <cell r="AY14" t="str">
            <v>ISO4217:USD</v>
          </cell>
          <cell r="AZ14" t="b">
            <v>0</v>
          </cell>
          <cell r="BB14" t="str">
            <v>mstag:propertyPlantAndEquipmentNet</v>
          </cell>
          <cell r="BC14">
            <v>6</v>
          </cell>
          <cell r="BD14" t="str">
            <v>ISO4217:USD</v>
          </cell>
          <cell r="BE14" t="b">
            <v>0</v>
          </cell>
        </row>
        <row r="15">
          <cell r="A15" t="str">
            <v>Other Noncurrent Assets</v>
          </cell>
          <cell r="O15">
            <v>3.5000000000000003E-2</v>
          </cell>
          <cell r="P15">
            <v>3.5000000000000003E-2</v>
          </cell>
          <cell r="Q15">
            <v>3.5000000000000003E-2</v>
          </cell>
          <cell r="R15">
            <v>3.5000000000000003E-2</v>
          </cell>
          <cell r="S15">
            <v>3.5000000000000003E-2</v>
          </cell>
          <cell r="T15">
            <v>0.53900000000000003</v>
          </cell>
          <cell r="U15">
            <v>0.53900000000000003</v>
          </cell>
          <cell r="V15">
            <v>0.51300000000000001</v>
          </cell>
          <cell r="W15">
            <v>0.48</v>
          </cell>
          <cell r="X15">
            <v>0.39800000000000002</v>
          </cell>
          <cell r="Y15">
            <v>2.4350000000000001</v>
          </cell>
          <cell r="Z15">
            <v>2.4350000000000001</v>
          </cell>
          <cell r="AA15">
            <v>0.33</v>
          </cell>
          <cell r="AB15">
            <v>1.06</v>
          </cell>
          <cell r="AC15">
            <v>0.28100000000000003</v>
          </cell>
          <cell r="AD15">
            <v>0.49199999999999999</v>
          </cell>
          <cell r="AE15">
            <v>0.49199999999999999</v>
          </cell>
          <cell r="AF15">
            <v>0.46</v>
          </cell>
          <cell r="AG15">
            <v>0.40300000000000002</v>
          </cell>
          <cell r="AH15">
            <v>0.43340536833823223</v>
          </cell>
          <cell r="AI15">
            <v>0.46465017809667597</v>
          </cell>
          <cell r="AJ15">
            <v>0.46465017809667597</v>
          </cell>
          <cell r="AK15">
            <v>0.49336242044483763</v>
          </cell>
          <cell r="AL15">
            <v>0.53010205799904386</v>
          </cell>
          <cell r="AM15">
            <v>0.57166177848511268</v>
          </cell>
          <cell r="AN15">
            <v>0.62195568662723411</v>
          </cell>
          <cell r="AO15">
            <v>0.62195568662723411</v>
          </cell>
          <cell r="AP15">
            <v>0.67065782580570499</v>
          </cell>
          <cell r="AQ15">
            <v>0.71478086233954197</v>
          </cell>
          <cell r="AR15">
            <v>0.75325458755802799</v>
          </cell>
          <cell r="AS15">
            <v>0.79199562331325557</v>
          </cell>
          <cell r="AT15">
            <v>0.79199562331325557</v>
          </cell>
          <cell r="AU15">
            <v>4.5940000000000003</v>
          </cell>
          <cell r="AV15">
            <v>4.5940000000000003</v>
          </cell>
          <cell r="AW15" t="str">
            <v>mstag:otherAssetsNonOperatingNonCurrent</v>
          </cell>
          <cell r="AX15">
            <v>6</v>
          </cell>
          <cell r="AY15" t="str">
            <v>ISO4217:USD</v>
          </cell>
          <cell r="AZ15" t="b">
            <v>0</v>
          </cell>
          <cell r="BB15" t="str">
            <v>mstag:goodwill</v>
          </cell>
          <cell r="BC15">
            <v>6</v>
          </cell>
          <cell r="BD15" t="str">
            <v>ISO4217:USD</v>
          </cell>
          <cell r="BE15" t="b">
            <v>0</v>
          </cell>
        </row>
        <row r="16">
          <cell r="A16" t="str">
            <v>Total Assets</v>
          </cell>
          <cell r="E16">
            <v>26.628</v>
          </cell>
          <cell r="O16">
            <v>21.915000000000003</v>
          </cell>
          <cell r="P16">
            <v>21.915000000000003</v>
          </cell>
          <cell r="Q16">
            <v>21.963999999999999</v>
          </cell>
          <cell r="R16">
            <v>27.485999999999997</v>
          </cell>
          <cell r="S16">
            <v>30.032</v>
          </cell>
          <cell r="T16">
            <v>38.794000000000004</v>
          </cell>
          <cell r="U16">
            <v>38.794000000000004</v>
          </cell>
          <cell r="V16">
            <v>41.11</v>
          </cell>
          <cell r="W16">
            <v>50.896999999999991</v>
          </cell>
          <cell r="X16">
            <v>56.451000000000001</v>
          </cell>
          <cell r="Y16">
            <v>82.222999999999985</v>
          </cell>
          <cell r="Z16">
            <v>82.222999999999985</v>
          </cell>
          <cell r="AA16">
            <v>304.45400000000001</v>
          </cell>
          <cell r="AB16">
            <v>318.65600000000001</v>
          </cell>
          <cell r="AC16">
            <v>330.23500000000001</v>
          </cell>
          <cell r="AD16">
            <v>390.44499999999999</v>
          </cell>
          <cell r="AE16">
            <v>390.44499999999999</v>
          </cell>
          <cell r="AF16">
            <v>389.51399999999995</v>
          </cell>
          <cell r="AG16">
            <v>412.66500000000002</v>
          </cell>
          <cell r="AH16">
            <v>430.75854257943968</v>
          </cell>
          <cell r="AI16">
            <v>491.5157285037921</v>
          </cell>
          <cell r="AJ16">
            <v>491.5157285037921</v>
          </cell>
          <cell r="AK16">
            <v>497.61927345634354</v>
          </cell>
          <cell r="AL16">
            <v>523.28470125890499</v>
          </cell>
          <cell r="AM16">
            <v>542.26878255959025</v>
          </cell>
          <cell r="AN16">
            <v>618.81159505120502</v>
          </cell>
          <cell r="AO16">
            <v>618.81159505120502</v>
          </cell>
          <cell r="AP16">
            <v>632.98935277971088</v>
          </cell>
          <cell r="AQ16">
            <v>661.67104154966023</v>
          </cell>
          <cell r="AR16">
            <v>679.06160345872661</v>
          </cell>
          <cell r="AS16">
            <v>771.98890795592911</v>
          </cell>
          <cell r="AT16">
            <v>771.98890795592911</v>
          </cell>
          <cell r="AU16">
            <v>5.734</v>
          </cell>
          <cell r="AV16">
            <v>5.734</v>
          </cell>
          <cell r="AW16">
            <v>5.734</v>
          </cell>
          <cell r="AX16">
            <v>5.734</v>
          </cell>
          <cell r="AY16">
            <v>5.734</v>
          </cell>
          <cell r="BB16" t="str">
            <v>mstag:otherIntangibleAssets</v>
          </cell>
          <cell r="BC16">
            <v>6</v>
          </cell>
          <cell r="BD16" t="str">
            <v>ISO4217:USD</v>
          </cell>
          <cell r="BE16" t="b">
            <v>0</v>
          </cell>
        </row>
        <row r="17">
          <cell r="A17" t="str">
            <v>Other Noncurrent Assets</v>
          </cell>
          <cell r="O17">
            <v>3.5000000000000003E-2</v>
          </cell>
          <cell r="P17">
            <v>3.5000000000000003E-2</v>
          </cell>
          <cell r="Q17">
            <v>3.5000000000000003E-2</v>
          </cell>
          <cell r="R17">
            <v>3.5000000000000003E-2</v>
          </cell>
          <cell r="S17">
            <v>3.5000000000000003E-2</v>
          </cell>
          <cell r="T17">
            <v>0.53900000000000003</v>
          </cell>
          <cell r="U17">
            <v>0.53900000000000003</v>
          </cell>
          <cell r="V17">
            <v>0.51300000000000001</v>
          </cell>
          <cell r="W17">
            <v>0.48</v>
          </cell>
          <cell r="X17">
            <v>0.39800000000000002</v>
          </cell>
          <cell r="Y17">
            <v>2.4350000000000001</v>
          </cell>
          <cell r="Z17">
            <v>2.4350000000000001</v>
          </cell>
          <cell r="AA17">
            <v>0.33</v>
          </cell>
          <cell r="AB17">
            <v>1.06</v>
          </cell>
          <cell r="AC17">
            <v>0.28100000000000003</v>
          </cell>
          <cell r="AD17">
            <v>0.49199999999999999</v>
          </cell>
          <cell r="AE17">
            <v>0.49199999999999999</v>
          </cell>
          <cell r="AF17">
            <v>0.46</v>
          </cell>
          <cell r="AG17">
            <v>0.40300000000000002</v>
          </cell>
          <cell r="AH17">
            <v>0.502</v>
          </cell>
          <cell r="AI17">
            <v>0.54839504011184215</v>
          </cell>
          <cell r="AJ17">
            <v>0.54839504011184215</v>
          </cell>
          <cell r="AK17">
            <v>0.59317655487825272</v>
          </cell>
          <cell r="AL17">
            <v>0.63954173419683746</v>
          </cell>
          <cell r="AM17">
            <v>0.69085918463520313</v>
          </cell>
          <cell r="AN17">
            <v>0.75527048682868392</v>
          </cell>
          <cell r="AO17">
            <v>0.75527048682868392</v>
          </cell>
          <cell r="AP17">
            <v>0.80629753222079614</v>
          </cell>
          <cell r="AQ17">
            <v>0.85925432454741846</v>
          </cell>
          <cell r="AR17">
            <v>0.9162808276309059</v>
          </cell>
          <cell r="AS17">
            <v>0.98917307607217486</v>
          </cell>
          <cell r="AT17">
            <v>0.98917307607217486</v>
          </cell>
          <cell r="AU17">
            <v>1.0488390865462247</v>
          </cell>
          <cell r="AV17">
            <v>1.1130675224669162</v>
          </cell>
          <cell r="AW17">
            <v>1.1837180137092118</v>
          </cell>
          <cell r="AX17">
            <v>1.2626962064930458</v>
          </cell>
          <cell r="AY17">
            <v>1.2626962064930458</v>
          </cell>
          <cell r="BB17" t="str">
            <v>mstag:otherAssetsNonOperatingNonCurrent</v>
          </cell>
          <cell r="BC17">
            <v>6</v>
          </cell>
          <cell r="BD17" t="str">
            <v>ISO4217:USD</v>
          </cell>
          <cell r="BE17" t="b">
            <v>0</v>
          </cell>
        </row>
        <row r="18">
          <cell r="A18" t="str">
            <v>Liabilities</v>
          </cell>
          <cell r="E18">
            <v>26.628</v>
          </cell>
          <cell r="O18">
            <v>21.915000000000003</v>
          </cell>
          <cell r="P18">
            <v>21.915000000000003</v>
          </cell>
          <cell r="Q18">
            <v>21.963999999999999</v>
          </cell>
          <cell r="R18">
            <v>27.485999999999997</v>
          </cell>
          <cell r="S18">
            <v>30.032</v>
          </cell>
          <cell r="T18">
            <v>38.794000000000004</v>
          </cell>
          <cell r="U18">
            <v>38.794000000000004</v>
          </cell>
          <cell r="V18">
            <v>41.11</v>
          </cell>
          <cell r="W18">
            <v>50.896999999999991</v>
          </cell>
          <cell r="X18">
            <v>56.451000000000001</v>
          </cell>
          <cell r="Y18">
            <v>82.222999999999985</v>
          </cell>
          <cell r="Z18">
            <v>82.222999999999985</v>
          </cell>
          <cell r="AA18">
            <v>304.45400000000001</v>
          </cell>
          <cell r="AB18">
            <v>318.65600000000001</v>
          </cell>
          <cell r="AC18">
            <v>330.23500000000001</v>
          </cell>
          <cell r="AD18">
            <v>390.44499999999999</v>
          </cell>
          <cell r="AE18">
            <v>390.44499999999999</v>
          </cell>
          <cell r="AF18">
            <v>389.51399999999995</v>
          </cell>
          <cell r="AG18">
            <v>412.66500000000002</v>
          </cell>
          <cell r="AH18">
            <v>439.82599999999996</v>
          </cell>
          <cell r="AI18">
            <v>492.65294142700333</v>
          </cell>
          <cell r="AJ18">
            <v>492.65294142700333</v>
          </cell>
          <cell r="AK18">
            <v>481.12673128818659</v>
          </cell>
          <cell r="AL18">
            <v>496.59074507209954</v>
          </cell>
          <cell r="AM18">
            <v>530.76262076406863</v>
          </cell>
          <cell r="AN18">
            <v>612.75103485015245</v>
          </cell>
          <cell r="AO18">
            <v>612.75103485015245</v>
          </cell>
          <cell r="AP18">
            <v>592.73784007917868</v>
          </cell>
          <cell r="AQ18">
            <v>618.25196685184301</v>
          </cell>
          <cell r="AR18">
            <v>671.87715304359517</v>
          </cell>
          <cell r="AS18">
            <v>781.54475669353974</v>
          </cell>
          <cell r="AT18">
            <v>781.54475669353974</v>
          </cell>
          <cell r="AU18">
            <v>752.16275280750801</v>
          </cell>
          <cell r="AV18">
            <v>784.60000175602011</v>
          </cell>
          <cell r="AW18">
            <v>856.33399791416252</v>
          </cell>
          <cell r="AX18">
            <v>996.67405497799518</v>
          </cell>
          <cell r="AY18">
            <v>996.67405497799518</v>
          </cell>
        </row>
        <row r="19">
          <cell r="A19" t="str">
            <v>Accounts Payable</v>
          </cell>
          <cell r="O19">
            <v>0.83699999999999997</v>
          </cell>
          <cell r="P19">
            <v>0.83699999999999997</v>
          </cell>
          <cell r="Q19">
            <v>0.74299999999999999</v>
          </cell>
          <cell r="R19">
            <v>0.69199999999999995</v>
          </cell>
          <cell r="S19">
            <v>0.878</v>
          </cell>
          <cell r="T19">
            <v>0.94499999999999995</v>
          </cell>
          <cell r="U19">
            <v>0.94499999999999995</v>
          </cell>
          <cell r="V19">
            <v>2.2000000000000002</v>
          </cell>
          <cell r="W19">
            <v>3.5760000000000001</v>
          </cell>
          <cell r="X19">
            <v>1.175</v>
          </cell>
          <cell r="Y19">
            <v>1.4550000000000001</v>
          </cell>
          <cell r="Z19">
            <v>1.4550000000000001</v>
          </cell>
          <cell r="AA19">
            <v>2.5579999999999998</v>
          </cell>
          <cell r="AB19">
            <v>1.8440000000000001</v>
          </cell>
          <cell r="AC19">
            <v>1.1950000000000001</v>
          </cell>
          <cell r="AD19">
            <v>1.6319999999999999</v>
          </cell>
          <cell r="AE19">
            <v>1.6319999999999999</v>
          </cell>
          <cell r="AF19">
            <v>2.5329999999999999</v>
          </cell>
          <cell r="AG19">
            <v>1.8049999999999999</v>
          </cell>
          <cell r="AH19">
            <v>1.5572146459739287</v>
          </cell>
          <cell r="AI19">
            <v>1.6850056517480356</v>
          </cell>
          <cell r="AJ19">
            <v>1.6850056517480356</v>
          </cell>
          <cell r="AK19">
            <v>3.3253652469803416</v>
          </cell>
          <cell r="AL19">
            <v>4.6782163189087438</v>
          </cell>
          <cell r="AM19">
            <v>1.9997954240016826</v>
          </cell>
          <cell r="AN19">
            <v>2.2280958445062828</v>
          </cell>
          <cell r="AO19">
            <v>2.2280958445062828</v>
          </cell>
          <cell r="AP19">
            <v>7.8207571740447799</v>
          </cell>
          <cell r="AQ19">
            <v>10.581712182756592</v>
          </cell>
          <cell r="AR19">
            <v>2.4058296618049262</v>
          </cell>
          <cell r="AS19">
            <v>2.6262375288874371</v>
          </cell>
          <cell r="AT19">
            <v>2.6262375288874371</v>
          </cell>
          <cell r="AW19" t="str">
            <v>mstag:tradeAndOtherPayablesCurrent</v>
          </cell>
          <cell r="AX19">
            <v>6</v>
          </cell>
          <cell r="AY19" t="str">
            <v>ISO4217:USD</v>
          </cell>
          <cell r="AZ19" t="b">
            <v>0</v>
          </cell>
        </row>
        <row r="20">
          <cell r="A20" t="str">
            <v>Accrued Payroll and Compensation</v>
          </cell>
          <cell r="O20">
            <v>2.319</v>
          </cell>
          <cell r="P20">
            <v>2.319</v>
          </cell>
          <cell r="Q20">
            <v>2.9159999999999999</v>
          </cell>
          <cell r="R20">
            <v>4.2530000000000001</v>
          </cell>
          <cell r="S20">
            <v>5.7359999999999998</v>
          </cell>
          <cell r="T20">
            <v>7.9429999999999996</v>
          </cell>
          <cell r="U20">
            <v>7.9429999999999996</v>
          </cell>
          <cell r="V20">
            <v>5.6989999999999998</v>
          </cell>
          <cell r="W20">
            <v>8.1539999999999999</v>
          </cell>
          <cell r="X20">
            <v>10.193</v>
          </cell>
          <cell r="Y20">
            <v>16.141999999999999</v>
          </cell>
          <cell r="Z20">
            <v>16.141999999999999</v>
          </cell>
          <cell r="AA20">
            <v>11.685</v>
          </cell>
          <cell r="AB20">
            <v>18.704999999999998</v>
          </cell>
          <cell r="AC20">
            <v>25.715</v>
          </cell>
          <cell r="AD20">
            <v>28.123000000000001</v>
          </cell>
          <cell r="AE20">
            <v>28.123000000000001</v>
          </cell>
          <cell r="AF20">
            <v>21.190999999999999</v>
          </cell>
          <cell r="AG20">
            <v>21.888000000000002</v>
          </cell>
          <cell r="AH20">
            <v>28.266146112967494</v>
          </cell>
          <cell r="AI20">
            <v>23.834327910924095</v>
          </cell>
          <cell r="AJ20">
            <v>23.834327910924095</v>
          </cell>
          <cell r="AK20">
            <v>27.25379708472914</v>
          </cell>
          <cell r="AL20">
            <v>29.219713834123901</v>
          </cell>
          <cell r="AM20">
            <v>32.543004744911073</v>
          </cell>
          <cell r="AN20">
            <v>31.795727828340702</v>
          </cell>
          <cell r="AO20">
            <v>31.795727828340702</v>
          </cell>
          <cell r="AP20">
            <v>37.49616608157892</v>
          </cell>
          <cell r="AQ20">
            <v>37.829209862148879</v>
          </cell>
          <cell r="AR20">
            <v>41.270316915341887</v>
          </cell>
          <cell r="AS20">
            <v>42.92202950354951</v>
          </cell>
          <cell r="AT20">
            <v>42.92202950354951</v>
          </cell>
          <cell r="AW20" t="str">
            <v>mstag:accruedExpenses</v>
          </cell>
          <cell r="AX20">
            <v>6</v>
          </cell>
          <cell r="AY20" t="str">
            <v>ISO4217:USD</v>
          </cell>
          <cell r="AZ20" t="b">
            <v>0</v>
          </cell>
        </row>
        <row r="21">
          <cell r="A21" t="str">
            <v>Accrued Expenses and Other Liabilities</v>
          </cell>
          <cell r="O21">
            <v>1.4079999999999999</v>
          </cell>
          <cell r="P21">
            <v>1.4079999999999999</v>
          </cell>
          <cell r="Q21">
            <v>1.4139999999999999</v>
          </cell>
          <cell r="R21">
            <v>1.804</v>
          </cell>
          <cell r="S21">
            <v>1.867</v>
          </cell>
          <cell r="T21">
            <v>2.5630000000000002</v>
          </cell>
          <cell r="U21">
            <v>2.5630000000000002</v>
          </cell>
          <cell r="V21">
            <v>2.367</v>
          </cell>
          <cell r="W21">
            <v>3.702</v>
          </cell>
          <cell r="X21">
            <v>5.202</v>
          </cell>
          <cell r="Y21">
            <v>7.7110000000000003</v>
          </cell>
          <cell r="Z21">
            <v>7.7110000000000003</v>
          </cell>
          <cell r="AA21">
            <v>6.6989999999999998</v>
          </cell>
          <cell r="AB21">
            <v>5.2910000000000004</v>
          </cell>
          <cell r="AC21">
            <v>4.6719999999999997</v>
          </cell>
          <cell r="AD21">
            <v>7.6360000000000001</v>
          </cell>
          <cell r="AE21">
            <v>7.6360000000000001</v>
          </cell>
          <cell r="AF21">
            <v>9.4209999999999994</v>
          </cell>
          <cell r="AG21">
            <v>12.224</v>
          </cell>
          <cell r="AH21">
            <v>11.876531980238445</v>
          </cell>
          <cell r="AI21">
            <v>15.053259733215217</v>
          </cell>
          <cell r="AJ21">
            <v>15.053259733215217</v>
          </cell>
          <cell r="AK21">
            <v>5.2411148239863738</v>
          </cell>
          <cell r="AL21">
            <v>5.5566654395202271</v>
          </cell>
          <cell r="AM21">
            <v>5.9169099536201957</v>
          </cell>
          <cell r="AN21">
            <v>6.3591455656681397</v>
          </cell>
          <cell r="AO21">
            <v>6.3591455656681397</v>
          </cell>
          <cell r="AP21">
            <v>5.1131135565789441</v>
          </cell>
          <cell r="AQ21">
            <v>5.3954394686749758</v>
          </cell>
          <cell r="AR21">
            <v>5.6277704884557114</v>
          </cell>
          <cell r="AS21">
            <v>7.8040053642817293</v>
          </cell>
          <cell r="AT21">
            <v>7.8040053642817293</v>
          </cell>
          <cell r="AU21">
            <v>5.9704190437907743</v>
          </cell>
          <cell r="AV21">
            <v>3.0187295167797021</v>
          </cell>
          <cell r="AW21" t="str">
            <v>mstag:accruedExpenses</v>
          </cell>
          <cell r="AX21">
            <v>6</v>
          </cell>
          <cell r="AY21" t="str">
            <v>ISO4217:USD</v>
          </cell>
          <cell r="AZ21" t="b">
            <v>0</v>
          </cell>
          <cell r="BB21" t="str">
            <v>mstag:tradeAndOtherPayablesCurrent</v>
          </cell>
          <cell r="BC21">
            <v>6</v>
          </cell>
          <cell r="BD21" t="str">
            <v>ISO4217:USD</v>
          </cell>
          <cell r="BE21" t="b">
            <v>0</v>
          </cell>
        </row>
        <row r="22">
          <cell r="A22" t="str">
            <v>Capital Lease Obligations</v>
          </cell>
          <cell r="O22">
            <v>0.17299999999999999</v>
          </cell>
          <cell r="P22">
            <v>0.17299999999999999</v>
          </cell>
          <cell r="Q22">
            <v>0.17299999999999999</v>
          </cell>
          <cell r="R22">
            <v>0.17299999999999999</v>
          </cell>
          <cell r="S22">
            <v>0.17299999999999999</v>
          </cell>
          <cell r="T22">
            <v>0.17299999999999999</v>
          </cell>
          <cell r="U22">
            <v>0.17299999999999999</v>
          </cell>
          <cell r="V22">
            <v>0.112</v>
          </cell>
          <cell r="W22">
            <v>8.1000000000000003E-2</v>
          </cell>
          <cell r="X22">
            <v>3.1E-2</v>
          </cell>
          <cell r="Y22">
            <v>0</v>
          </cell>
          <cell r="Z22">
            <v>0</v>
          </cell>
          <cell r="AA22">
            <v>0</v>
          </cell>
          <cell r="AB22">
            <v>0</v>
          </cell>
          <cell r="AC22">
            <v>0</v>
          </cell>
          <cell r="AD22">
            <v>0</v>
          </cell>
          <cell r="AE22">
            <v>0</v>
          </cell>
          <cell r="AF22">
            <v>0</v>
          </cell>
          <cell r="AG22">
            <v>0</v>
          </cell>
          <cell r="AH22">
            <v>0</v>
          </cell>
          <cell r="AI22">
            <v>0</v>
          </cell>
          <cell r="AJ22">
            <v>0</v>
          </cell>
          <cell r="AK22">
            <v>0</v>
          </cell>
          <cell r="AL22">
            <v>0</v>
          </cell>
          <cell r="AM22">
            <v>0</v>
          </cell>
          <cell r="AN22">
            <v>0</v>
          </cell>
          <cell r="AO22">
            <v>0</v>
          </cell>
          <cell r="AP22">
            <v>0</v>
          </cell>
          <cell r="AQ22">
            <v>0</v>
          </cell>
          <cell r="AR22">
            <v>0</v>
          </cell>
          <cell r="AS22">
            <v>0</v>
          </cell>
          <cell r="AT22">
            <v>0</v>
          </cell>
          <cell r="AU22">
            <v>42.985505429572726</v>
          </cell>
          <cell r="AV22">
            <v>42.198976728784309</v>
          </cell>
          <cell r="AW22" t="str">
            <v>mstag:otherLiabilitiesNonOperatingCurrent</v>
          </cell>
          <cell r="AX22">
            <v>6</v>
          </cell>
          <cell r="AY22" t="str">
            <v>ISO4217:USD</v>
          </cell>
          <cell r="AZ22" t="b">
            <v>0</v>
          </cell>
          <cell r="BB22" t="str">
            <v>mstag:accruedExpenses</v>
          </cell>
          <cell r="BC22">
            <v>6</v>
          </cell>
          <cell r="BD22" t="str">
            <v>ISO4217:USD</v>
          </cell>
          <cell r="BE22" t="b">
            <v>0</v>
          </cell>
        </row>
        <row r="23">
          <cell r="A23" t="str">
            <v xml:space="preserve">Deferred Revenue, Current </v>
          </cell>
          <cell r="E23">
            <v>1.849</v>
          </cell>
          <cell r="O23">
            <v>10.64</v>
          </cell>
          <cell r="P23">
            <v>10.64</v>
          </cell>
          <cell r="Q23">
            <v>10.753</v>
          </cell>
          <cell r="R23">
            <v>13.116</v>
          </cell>
          <cell r="S23">
            <v>14.786</v>
          </cell>
          <cell r="T23">
            <v>19.501000000000001</v>
          </cell>
          <cell r="U23">
            <v>19.501000000000001</v>
          </cell>
          <cell r="V23">
            <v>21.869</v>
          </cell>
          <cell r="W23">
            <v>26.742999999999999</v>
          </cell>
          <cell r="X23">
            <v>31.204000000000001</v>
          </cell>
          <cell r="Y23">
            <v>42.923000000000002</v>
          </cell>
          <cell r="Z23">
            <v>42.923000000000002</v>
          </cell>
          <cell r="AA23">
            <v>46.676000000000002</v>
          </cell>
          <cell r="AB23">
            <v>54.145000000000003</v>
          </cell>
          <cell r="AC23">
            <v>61.963999999999999</v>
          </cell>
          <cell r="AD23">
            <v>79.567999999999998</v>
          </cell>
          <cell r="AE23">
            <v>79.567999999999998</v>
          </cell>
          <cell r="AF23">
            <v>84.933000000000007</v>
          </cell>
          <cell r="AG23">
            <v>96.908000000000001</v>
          </cell>
          <cell r="AH23">
            <v>109.38043914514734</v>
          </cell>
          <cell r="AI23">
            <v>163.56609814152424</v>
          </cell>
          <cell r="AJ23">
            <v>163.56609814152424</v>
          </cell>
          <cell r="AK23">
            <v>174.48192538778156</v>
          </cell>
          <cell r="AL23">
            <v>191.55539282580978</v>
          </cell>
          <cell r="AM23">
            <v>204.15035037928286</v>
          </cell>
          <cell r="AN23">
            <v>266.87343819778079</v>
          </cell>
          <cell r="AO23">
            <v>266.87343819778079</v>
          </cell>
          <cell r="AP23">
            <v>267.8091083528202</v>
          </cell>
          <cell r="AQ23">
            <v>283.42792968281196</v>
          </cell>
          <cell r="AR23">
            <v>295.20493480123463</v>
          </cell>
          <cell r="AS23">
            <v>364.94102455268433</v>
          </cell>
          <cell r="AT23">
            <v>364.94102455268433</v>
          </cell>
          <cell r="AU23">
            <v>21.106194146793737</v>
          </cell>
          <cell r="AV23">
            <v>26.21022492554496</v>
          </cell>
          <cell r="AW23" t="str">
            <v>mstag:deferredRevenueCurrent</v>
          </cell>
          <cell r="AX23">
            <v>6</v>
          </cell>
          <cell r="AY23" t="str">
            <v>ISO4217:USD</v>
          </cell>
          <cell r="AZ23" t="b">
            <v>0</v>
          </cell>
          <cell r="BB23" t="str">
            <v>mstag:accruedExpenses</v>
          </cell>
          <cell r="BC23">
            <v>6</v>
          </cell>
          <cell r="BD23" t="str">
            <v>ISO4217:USD</v>
          </cell>
          <cell r="BE23" t="b">
            <v>0</v>
          </cell>
        </row>
        <row r="24">
          <cell r="A24" t="str">
            <v>Term Debt, current</v>
          </cell>
          <cell r="O24">
            <v>0</v>
          </cell>
          <cell r="P24">
            <v>0</v>
          </cell>
          <cell r="Q24">
            <v>0</v>
          </cell>
          <cell r="R24">
            <v>0</v>
          </cell>
          <cell r="S24">
            <v>0</v>
          </cell>
          <cell r="T24">
            <v>0</v>
          </cell>
          <cell r="U24">
            <v>0</v>
          </cell>
          <cell r="V24">
            <v>1.9419999999999999</v>
          </cell>
          <cell r="W24">
            <v>1.675</v>
          </cell>
          <cell r="X24">
            <v>0.96799999999999997</v>
          </cell>
          <cell r="Y24">
            <v>0.98199999999999998</v>
          </cell>
          <cell r="Z24">
            <v>0.98199999999999998</v>
          </cell>
          <cell r="AA24">
            <v>0</v>
          </cell>
          <cell r="AB24">
            <v>0</v>
          </cell>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t="str">
            <v>mstag:shortTermBorrowings</v>
          </cell>
          <cell r="AX24">
            <v>6</v>
          </cell>
          <cell r="AY24" t="str">
            <v>ISO4217:USD</v>
          </cell>
          <cell r="AZ24" t="b">
            <v>0</v>
          </cell>
          <cell r="BB24" t="str">
            <v>mstag:otherLiabilitiesNonOperatingCurrent</v>
          </cell>
          <cell r="BC24">
            <v>6</v>
          </cell>
          <cell r="BD24" t="str">
            <v>ISO4217:USD</v>
          </cell>
          <cell r="BE24" t="b">
            <v>0</v>
          </cell>
        </row>
        <row r="25">
          <cell r="A25" t="str">
            <v>Total Current Liabilities</v>
          </cell>
          <cell r="B25">
            <v>0</v>
          </cell>
          <cell r="C25">
            <v>0</v>
          </cell>
          <cell r="D25">
            <v>0</v>
          </cell>
          <cell r="E25">
            <v>1.849</v>
          </cell>
          <cell r="F25">
            <v>0</v>
          </cell>
          <cell r="G25">
            <v>0</v>
          </cell>
          <cell r="H25">
            <v>0</v>
          </cell>
          <cell r="I25">
            <v>0</v>
          </cell>
          <cell r="J25">
            <v>0</v>
          </cell>
          <cell r="K25">
            <v>0</v>
          </cell>
          <cell r="L25">
            <v>0</v>
          </cell>
          <cell r="M25">
            <v>0</v>
          </cell>
          <cell r="N25">
            <v>0</v>
          </cell>
          <cell r="O25">
            <v>15.377000000000001</v>
          </cell>
          <cell r="P25">
            <v>15.377000000000001</v>
          </cell>
          <cell r="Q25">
            <v>15.998999999999999</v>
          </cell>
          <cell r="R25">
            <v>20.038</v>
          </cell>
          <cell r="S25">
            <v>23.439999999999998</v>
          </cell>
          <cell r="T25">
            <v>31.125</v>
          </cell>
          <cell r="U25">
            <v>31.125</v>
          </cell>
          <cell r="V25">
            <v>34.189</v>
          </cell>
          <cell r="W25">
            <v>43.930999999999997</v>
          </cell>
          <cell r="X25">
            <v>48.772999999999996</v>
          </cell>
          <cell r="Y25">
            <v>69.212999999999994</v>
          </cell>
          <cell r="Z25">
            <v>69.212999999999994</v>
          </cell>
          <cell r="AA25">
            <v>67.617999999999995</v>
          </cell>
          <cell r="AB25">
            <v>79.984999999999999</v>
          </cell>
          <cell r="AC25">
            <v>93.545999999999992</v>
          </cell>
          <cell r="AD25">
            <v>116.959</v>
          </cell>
          <cell r="AE25">
            <v>116.959</v>
          </cell>
          <cell r="AF25">
            <v>118.078</v>
          </cell>
          <cell r="AG25">
            <v>132.82499999999999</v>
          </cell>
          <cell r="AH25">
            <v>151.08033188432719</v>
          </cell>
          <cell r="AI25">
            <v>204.13869143741158</v>
          </cell>
          <cell r="AJ25">
            <v>204.13869143741158</v>
          </cell>
          <cell r="AK25">
            <v>210.30220254347742</v>
          </cell>
          <cell r="AL25">
            <v>231.00998841836264</v>
          </cell>
          <cell r="AM25">
            <v>244.61006050181581</v>
          </cell>
          <cell r="AN25">
            <v>307.25640743629594</v>
          </cell>
          <cell r="AO25">
            <v>307.25640743629594</v>
          </cell>
          <cell r="AP25">
            <v>318.23914516502282</v>
          </cell>
          <cell r="AQ25">
            <v>337.23429119639241</v>
          </cell>
          <cell r="AR25">
            <v>344.50885186683718</v>
          </cell>
          <cell r="AS25">
            <v>418.29329694940299</v>
          </cell>
          <cell r="AT25">
            <v>418.29329694940299</v>
          </cell>
          <cell r="AU25">
            <v>294.48653546489072</v>
          </cell>
          <cell r="AV25">
            <v>307.639811904586</v>
          </cell>
          <cell r="AW25">
            <v>340.32536861621986</v>
          </cell>
          <cell r="AX25">
            <v>416.32481522576927</v>
          </cell>
          <cell r="AY25">
            <v>416.32481522576927</v>
          </cell>
          <cell r="BB25" t="str">
            <v>mstag:deferredRevenueCurrent</v>
          </cell>
          <cell r="BC25">
            <v>6</v>
          </cell>
          <cell r="BD25" t="str">
            <v>ISO4217:USD</v>
          </cell>
          <cell r="BE25" t="b">
            <v>0</v>
          </cell>
        </row>
        <row r="26">
          <cell r="A26" t="str">
            <v>Term Debt, current</v>
          </cell>
          <cell r="O26">
            <v>0</v>
          </cell>
          <cell r="P26">
            <v>0</v>
          </cell>
          <cell r="Q26">
            <v>0</v>
          </cell>
          <cell r="R26">
            <v>0</v>
          </cell>
          <cell r="S26">
            <v>0</v>
          </cell>
          <cell r="T26">
            <v>0</v>
          </cell>
          <cell r="U26">
            <v>0</v>
          </cell>
          <cell r="V26">
            <v>1.9419999999999999</v>
          </cell>
          <cell r="W26">
            <v>1.675</v>
          </cell>
          <cell r="X26">
            <v>0.96799999999999997</v>
          </cell>
          <cell r="Y26">
            <v>0.98199999999999998</v>
          </cell>
          <cell r="Z26">
            <v>0.98199999999999998</v>
          </cell>
          <cell r="AA26">
            <v>0</v>
          </cell>
          <cell r="AB26">
            <v>0</v>
          </cell>
          <cell r="AC26">
            <v>0</v>
          </cell>
          <cell r="AD26">
            <v>0</v>
          </cell>
          <cell r="AE26">
            <v>0</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v>
          </cell>
          <cell r="AU26">
            <v>0</v>
          </cell>
          <cell r="AV26">
            <v>0</v>
          </cell>
          <cell r="AW26">
            <v>0</v>
          </cell>
          <cell r="AX26">
            <v>0</v>
          </cell>
          <cell r="AY26">
            <v>0</v>
          </cell>
          <cell r="BB26" t="str">
            <v>mstag:shortTermBorrowings</v>
          </cell>
          <cell r="BC26">
            <v>6</v>
          </cell>
          <cell r="BD26" t="str">
            <v>ISO4217:USD</v>
          </cell>
          <cell r="BE26" t="b">
            <v>0</v>
          </cell>
        </row>
        <row r="27">
          <cell r="A27" t="str">
            <v>Deferred Revenue, Long-Term</v>
          </cell>
          <cell r="B27">
            <v>0</v>
          </cell>
          <cell r="C27">
            <v>0</v>
          </cell>
          <cell r="D27">
            <v>0</v>
          </cell>
          <cell r="E27">
            <v>1.849</v>
          </cell>
          <cell r="F27">
            <v>0</v>
          </cell>
          <cell r="G27">
            <v>0</v>
          </cell>
          <cell r="H27">
            <v>0</v>
          </cell>
          <cell r="I27">
            <v>0</v>
          </cell>
          <cell r="J27">
            <v>0</v>
          </cell>
          <cell r="K27">
            <v>0</v>
          </cell>
          <cell r="L27">
            <v>0</v>
          </cell>
          <cell r="M27">
            <v>0</v>
          </cell>
          <cell r="N27">
            <v>0</v>
          </cell>
          <cell r="O27">
            <v>0.67700000000000005</v>
          </cell>
          <cell r="P27">
            <v>0.67700000000000005</v>
          </cell>
          <cell r="Q27">
            <v>0.78700000000000003</v>
          </cell>
          <cell r="R27">
            <v>1.3140000000000001</v>
          </cell>
          <cell r="S27">
            <v>1.3280000000000001</v>
          </cell>
          <cell r="T27">
            <v>2.8069999999999999</v>
          </cell>
          <cell r="U27">
            <v>2.8069999999999999</v>
          </cell>
          <cell r="V27">
            <v>3.01</v>
          </cell>
          <cell r="W27">
            <v>3.54</v>
          </cell>
          <cell r="X27">
            <v>5.3659999999999997</v>
          </cell>
          <cell r="Y27">
            <v>9.7420000000000009</v>
          </cell>
          <cell r="Z27">
            <v>9.7420000000000009</v>
          </cell>
          <cell r="AA27">
            <v>12.465999999999999</v>
          </cell>
          <cell r="AB27">
            <v>13.523</v>
          </cell>
          <cell r="AC27">
            <v>12.002000000000001</v>
          </cell>
          <cell r="AD27">
            <v>35.143999999999998</v>
          </cell>
          <cell r="AE27">
            <v>35.143999999999998</v>
          </cell>
          <cell r="AF27">
            <v>32.404000000000003</v>
          </cell>
          <cell r="AG27">
            <v>30.727</v>
          </cell>
          <cell r="AH27">
            <v>30.727</v>
          </cell>
          <cell r="AI27">
            <v>30.727</v>
          </cell>
          <cell r="AJ27">
            <v>30.727</v>
          </cell>
          <cell r="AK27">
            <v>30.727</v>
          </cell>
          <cell r="AL27">
            <v>30.727</v>
          </cell>
          <cell r="AM27">
            <v>30.727</v>
          </cell>
          <cell r="AN27">
            <v>30.727</v>
          </cell>
          <cell r="AO27">
            <v>30.727</v>
          </cell>
          <cell r="AP27">
            <v>30.727</v>
          </cell>
          <cell r="AQ27">
            <v>30.727</v>
          </cell>
          <cell r="AR27">
            <v>30.727</v>
          </cell>
          <cell r="AS27">
            <v>30.727</v>
          </cell>
          <cell r="AT27">
            <v>30.727</v>
          </cell>
          <cell r="AU27">
            <v>364.54865408504793</v>
          </cell>
          <cell r="AV27">
            <v>379.06774307569498</v>
          </cell>
          <cell r="AW27" t="str">
            <v>mstag:deferredRevenueNonCurrent</v>
          </cell>
          <cell r="AX27">
            <v>6</v>
          </cell>
          <cell r="AY27" t="str">
            <v>ISO4217:USD</v>
          </cell>
          <cell r="AZ27" t="b">
            <v>0</v>
          </cell>
        </row>
        <row r="28">
          <cell r="A28" t="str">
            <v>Capital Lease Obligations, Non-Current</v>
          </cell>
          <cell r="O28">
            <v>0.17499999999999999</v>
          </cell>
          <cell r="P28">
            <v>0.17499999999999999</v>
          </cell>
          <cell r="Q28">
            <v>0.13300000000000001</v>
          </cell>
          <cell r="R28">
            <v>7.4999999999999997E-2</v>
          </cell>
          <cell r="S28">
            <v>4.4999999999999998E-2</v>
          </cell>
          <cell r="T28">
            <v>0</v>
          </cell>
          <cell r="U28">
            <v>0</v>
          </cell>
          <cell r="V28">
            <v>0</v>
          </cell>
          <cell r="W28">
            <v>0</v>
          </cell>
          <cell r="X28">
            <v>0</v>
          </cell>
          <cell r="Y28">
            <v>0</v>
          </cell>
          <cell r="Z28">
            <v>0</v>
          </cell>
          <cell r="AA28">
            <v>0</v>
          </cell>
          <cell r="AB28">
            <v>0</v>
          </cell>
          <cell r="AC28">
            <v>0</v>
          </cell>
          <cell r="AD28">
            <v>0</v>
          </cell>
          <cell r="AE28">
            <v>0</v>
          </cell>
          <cell r="AF28">
            <v>0</v>
          </cell>
          <cell r="AG28">
            <v>0</v>
          </cell>
          <cell r="AH28">
            <v>0</v>
          </cell>
          <cell r="AI28">
            <v>0</v>
          </cell>
          <cell r="AJ28">
            <v>0</v>
          </cell>
          <cell r="AK28">
            <v>0</v>
          </cell>
          <cell r="AL28">
            <v>0</v>
          </cell>
          <cell r="AM28">
            <v>0</v>
          </cell>
          <cell r="AN28">
            <v>0</v>
          </cell>
          <cell r="AO28">
            <v>0</v>
          </cell>
          <cell r="AP28">
            <v>0</v>
          </cell>
          <cell r="AQ28">
            <v>0</v>
          </cell>
          <cell r="AR28">
            <v>0</v>
          </cell>
          <cell r="AS28">
            <v>0</v>
          </cell>
          <cell r="AT28">
            <v>0</v>
          </cell>
          <cell r="AW28" t="str">
            <v>mstag:otherLiabilitiesOperatingNonCurrent</v>
          </cell>
          <cell r="AX28">
            <v>6</v>
          </cell>
          <cell r="AY28" t="str">
            <v>ISO4217:USD</v>
          </cell>
          <cell r="AZ28" t="b">
            <v>0</v>
          </cell>
        </row>
        <row r="29">
          <cell r="A29" t="str">
            <v>Preferred Stock Warrant Liability</v>
          </cell>
          <cell r="O29">
            <v>0.64700000000000002</v>
          </cell>
          <cell r="P29">
            <v>0.64700000000000002</v>
          </cell>
          <cell r="Q29">
            <v>0.628</v>
          </cell>
          <cell r="R29">
            <v>0.59699999999999998</v>
          </cell>
          <cell r="S29">
            <v>0.58499999999999996</v>
          </cell>
          <cell r="T29">
            <v>1.0129999999999999</v>
          </cell>
          <cell r="U29">
            <v>1.0129999999999999</v>
          </cell>
          <cell r="V29">
            <v>1.486</v>
          </cell>
          <cell r="W29">
            <v>2.089</v>
          </cell>
          <cell r="X29">
            <v>2.528</v>
          </cell>
          <cell r="Y29">
            <v>2.133</v>
          </cell>
          <cell r="Z29">
            <v>2.133</v>
          </cell>
          <cell r="AA29">
            <v>0</v>
          </cell>
          <cell r="AB29">
            <v>0</v>
          </cell>
          <cell r="AC29">
            <v>0</v>
          </cell>
          <cell r="AD29">
            <v>0</v>
          </cell>
          <cell r="AE29">
            <v>0</v>
          </cell>
          <cell r="AF29">
            <v>0</v>
          </cell>
          <cell r="AG29">
            <v>0</v>
          </cell>
          <cell r="AH29">
            <v>0</v>
          </cell>
          <cell r="AI29">
            <v>0</v>
          </cell>
          <cell r="AJ29">
            <v>0</v>
          </cell>
          <cell r="AK29">
            <v>0</v>
          </cell>
          <cell r="AL29">
            <v>0</v>
          </cell>
          <cell r="AM29">
            <v>0</v>
          </cell>
          <cell r="AN29">
            <v>0</v>
          </cell>
          <cell r="AO29">
            <v>0</v>
          </cell>
          <cell r="AP29">
            <v>0</v>
          </cell>
          <cell r="AQ29">
            <v>0</v>
          </cell>
          <cell r="AR29">
            <v>0</v>
          </cell>
          <cell r="AS29">
            <v>0</v>
          </cell>
          <cell r="AT29">
            <v>0</v>
          </cell>
          <cell r="AU29">
            <v>33.433</v>
          </cell>
          <cell r="AV29">
            <v>33.433</v>
          </cell>
          <cell r="AW29" t="str">
            <v>mstag:otherLiabilitiesOperatingNonCurrent</v>
          </cell>
          <cell r="AX29">
            <v>6</v>
          </cell>
          <cell r="AY29" t="str">
            <v>ISO4217:USD</v>
          </cell>
          <cell r="AZ29" t="b">
            <v>0</v>
          </cell>
          <cell r="BB29" t="str">
            <v>mstag:deferredRevenueNonCurrent</v>
          </cell>
          <cell r="BC29">
            <v>6</v>
          </cell>
          <cell r="BD29" t="str">
            <v>ISO4217:USD</v>
          </cell>
          <cell r="BE29" t="b">
            <v>0</v>
          </cell>
        </row>
        <row r="30">
          <cell r="A30" t="str">
            <v>Other Liabilities</v>
          </cell>
          <cell r="O30">
            <v>0.33600000000000002</v>
          </cell>
          <cell r="P30">
            <v>0.33600000000000002</v>
          </cell>
          <cell r="Q30">
            <v>0.14099999999999999</v>
          </cell>
          <cell r="R30">
            <v>0.17100000000000001</v>
          </cell>
          <cell r="S30">
            <v>0.2</v>
          </cell>
          <cell r="T30">
            <v>0.40200000000000002</v>
          </cell>
          <cell r="U30">
            <v>0.40200000000000002</v>
          </cell>
          <cell r="V30">
            <v>0.45800000000000002</v>
          </cell>
          <cell r="W30">
            <v>0.46300000000000002</v>
          </cell>
          <cell r="X30">
            <v>0.53800000000000003</v>
          </cell>
          <cell r="Y30">
            <v>0.56100000000000005</v>
          </cell>
          <cell r="Z30">
            <v>0.56100000000000005</v>
          </cell>
          <cell r="AA30">
            <v>0.42399999999999999</v>
          </cell>
          <cell r="AB30">
            <v>0.376</v>
          </cell>
          <cell r="AC30">
            <v>0.32200000000000001</v>
          </cell>
          <cell r="AD30">
            <v>0.79800000000000004</v>
          </cell>
          <cell r="AE30">
            <v>0.79800000000000004</v>
          </cell>
          <cell r="AF30">
            <v>1.0549999999999999</v>
          </cell>
          <cell r="AG30">
            <v>1.302</v>
          </cell>
          <cell r="AH30">
            <v>1.302</v>
          </cell>
          <cell r="AI30">
            <v>1.302</v>
          </cell>
          <cell r="AJ30">
            <v>1.302</v>
          </cell>
          <cell r="AK30">
            <v>1.302</v>
          </cell>
          <cell r="AL30">
            <v>1.302</v>
          </cell>
          <cell r="AM30">
            <v>1.302</v>
          </cell>
          <cell r="AN30">
            <v>1.302</v>
          </cell>
          <cell r="AO30">
            <v>1.302</v>
          </cell>
          <cell r="AP30">
            <v>1.302</v>
          </cell>
          <cell r="AQ30">
            <v>1.302</v>
          </cell>
          <cell r="AR30">
            <v>1.302</v>
          </cell>
          <cell r="AS30">
            <v>1.302</v>
          </cell>
          <cell r="AT30">
            <v>1.302</v>
          </cell>
          <cell r="AU30">
            <v>0</v>
          </cell>
          <cell r="AV30">
            <v>0</v>
          </cell>
          <cell r="AW30" t="str">
            <v>mstag:otherLiabilitiesNonOperatingNonCurrent</v>
          </cell>
          <cell r="AX30">
            <v>6</v>
          </cell>
          <cell r="AY30" t="str">
            <v>ISO4217:USD</v>
          </cell>
          <cell r="AZ30" t="b">
            <v>0</v>
          </cell>
          <cell r="BB30" t="str">
            <v>mstag:otherLiabilitiesOperatingNonCurrent</v>
          </cell>
          <cell r="BC30">
            <v>6</v>
          </cell>
          <cell r="BD30" t="str">
            <v>ISO4217:USD</v>
          </cell>
          <cell r="BE30" t="b">
            <v>0</v>
          </cell>
        </row>
        <row r="31">
          <cell r="A31" t="str">
            <v>Long-term Debt, less current portion</v>
          </cell>
          <cell r="O31">
            <v>0</v>
          </cell>
          <cell r="P31">
            <v>0</v>
          </cell>
          <cell r="Q31">
            <v>0</v>
          </cell>
          <cell r="R31">
            <v>0</v>
          </cell>
          <cell r="S31">
            <v>0</v>
          </cell>
          <cell r="T31">
            <v>0</v>
          </cell>
          <cell r="U31">
            <v>0</v>
          </cell>
          <cell r="V31">
            <v>0</v>
          </cell>
          <cell r="W31">
            <v>1.0840000000000001</v>
          </cell>
          <cell r="X31">
            <v>1.5569999999999999</v>
          </cell>
          <cell r="Y31">
            <v>1.3069999999999999</v>
          </cell>
          <cell r="Z31">
            <v>1.3069999999999999</v>
          </cell>
          <cell r="AA31">
            <v>0</v>
          </cell>
          <cell r="AB31">
            <v>0</v>
          </cell>
          <cell r="AC31">
            <v>0</v>
          </cell>
          <cell r="AD31">
            <v>0</v>
          </cell>
          <cell r="AE31">
            <v>0</v>
          </cell>
          <cell r="AF31">
            <v>0</v>
          </cell>
          <cell r="AG31">
            <v>0</v>
          </cell>
          <cell r="AH31">
            <v>0</v>
          </cell>
          <cell r="AI31">
            <v>0</v>
          </cell>
          <cell r="AJ31">
            <v>0</v>
          </cell>
          <cell r="AK31">
            <v>0</v>
          </cell>
          <cell r="AL31">
            <v>0</v>
          </cell>
          <cell r="AM31">
            <v>0</v>
          </cell>
          <cell r="AN31">
            <v>0</v>
          </cell>
          <cell r="AO31">
            <v>0</v>
          </cell>
          <cell r="AP31">
            <v>0</v>
          </cell>
          <cell r="AQ31">
            <v>0</v>
          </cell>
          <cell r="AR31">
            <v>0</v>
          </cell>
          <cell r="AS31">
            <v>0</v>
          </cell>
          <cell r="AT31">
            <v>0</v>
          </cell>
          <cell r="AU31">
            <v>0</v>
          </cell>
          <cell r="AV31">
            <v>0</v>
          </cell>
          <cell r="AW31" t="str">
            <v>mstag:longTermDebt</v>
          </cell>
          <cell r="AX31">
            <v>6</v>
          </cell>
          <cell r="AY31" t="str">
            <v>ISO4217:USD</v>
          </cell>
          <cell r="AZ31" t="b">
            <v>0</v>
          </cell>
          <cell r="BB31" t="str">
            <v>mstag:otherLiabilitiesOperatingNonCurrent</v>
          </cell>
          <cell r="BC31">
            <v>6</v>
          </cell>
          <cell r="BD31" t="str">
            <v>ISO4217:USD</v>
          </cell>
          <cell r="BE31" t="b">
            <v>0</v>
          </cell>
        </row>
        <row r="32">
          <cell r="A32" t="str">
            <v>Total Liabilities</v>
          </cell>
          <cell r="O32">
            <v>17.212</v>
          </cell>
          <cell r="P32">
            <v>17.212</v>
          </cell>
          <cell r="Q32">
            <v>17.687999999999995</v>
          </cell>
          <cell r="R32">
            <v>22.195</v>
          </cell>
          <cell r="S32">
            <v>25.597999999999999</v>
          </cell>
          <cell r="T32">
            <v>35.347000000000001</v>
          </cell>
          <cell r="U32">
            <v>35.347000000000001</v>
          </cell>
          <cell r="V32">
            <v>39.142999999999994</v>
          </cell>
          <cell r="W32">
            <v>51.106999999999999</v>
          </cell>
          <cell r="X32">
            <v>58.761999999999993</v>
          </cell>
          <cell r="Y32">
            <v>82.956000000000003</v>
          </cell>
          <cell r="Z32">
            <v>82.956000000000003</v>
          </cell>
          <cell r="AA32">
            <v>80.507999999999996</v>
          </cell>
          <cell r="AB32">
            <v>93.884</v>
          </cell>
          <cell r="AC32">
            <v>105.86999999999999</v>
          </cell>
          <cell r="AD32">
            <v>152.90100000000001</v>
          </cell>
          <cell r="AE32">
            <v>152.90100000000001</v>
          </cell>
          <cell r="AF32">
            <v>151.53700000000001</v>
          </cell>
          <cell r="AG32">
            <v>164.85399999999998</v>
          </cell>
          <cell r="AH32">
            <v>183.10933188432719</v>
          </cell>
          <cell r="AI32">
            <v>236.16769143741158</v>
          </cell>
          <cell r="AJ32">
            <v>236.16769143741158</v>
          </cell>
          <cell r="AK32">
            <v>242.33120254347742</v>
          </cell>
          <cell r="AL32">
            <v>263.03898841836264</v>
          </cell>
          <cell r="AM32">
            <v>276.63906050181583</v>
          </cell>
          <cell r="AN32">
            <v>339.28540743629594</v>
          </cell>
          <cell r="AO32">
            <v>339.28540743629594</v>
          </cell>
          <cell r="AP32">
            <v>350.26814516502282</v>
          </cell>
          <cell r="AQ32">
            <v>369.2632911963924</v>
          </cell>
          <cell r="AR32">
            <v>376.53785186683717</v>
          </cell>
          <cell r="AS32">
            <v>450.32229694940298</v>
          </cell>
          <cell r="AT32">
            <v>450.32229694940298</v>
          </cell>
          <cell r="AU32">
            <v>3.145</v>
          </cell>
          <cell r="AV32">
            <v>3.145</v>
          </cell>
          <cell r="AW32">
            <v>3.145</v>
          </cell>
          <cell r="AX32">
            <v>3.145</v>
          </cell>
          <cell r="AY32">
            <v>3.145</v>
          </cell>
          <cell r="BB32" t="str">
            <v>mstag:otherLiabilitiesNonOperatingNonCurrent</v>
          </cell>
          <cell r="BC32">
            <v>6</v>
          </cell>
          <cell r="BD32" t="str">
            <v>ISO4217:USD</v>
          </cell>
          <cell r="BE32" t="b">
            <v>0</v>
          </cell>
        </row>
        <row r="33">
          <cell r="A33" t="str">
            <v>Long-term Debt, less current portion</v>
          </cell>
          <cell r="O33">
            <v>0</v>
          </cell>
          <cell r="P33">
            <v>0</v>
          </cell>
          <cell r="Q33">
            <v>0</v>
          </cell>
          <cell r="R33">
            <v>0</v>
          </cell>
          <cell r="S33">
            <v>0</v>
          </cell>
          <cell r="T33">
            <v>0</v>
          </cell>
          <cell r="U33">
            <v>0</v>
          </cell>
          <cell r="V33">
            <v>0</v>
          </cell>
          <cell r="W33">
            <v>1.0840000000000001</v>
          </cell>
          <cell r="X33">
            <v>1.5569999999999999</v>
          </cell>
          <cell r="Y33">
            <v>1.3069999999999999</v>
          </cell>
          <cell r="Z33">
            <v>1.3069999999999999</v>
          </cell>
          <cell r="AA33">
            <v>0</v>
          </cell>
          <cell r="AB33">
            <v>0</v>
          </cell>
          <cell r="AC33">
            <v>0</v>
          </cell>
          <cell r="AD33">
            <v>0</v>
          </cell>
          <cell r="AE33">
            <v>0</v>
          </cell>
          <cell r="AF33">
            <v>0</v>
          </cell>
          <cell r="AG33">
            <v>0</v>
          </cell>
          <cell r="AH33">
            <v>0</v>
          </cell>
          <cell r="AI33">
            <v>0</v>
          </cell>
          <cell r="AJ33">
            <v>0</v>
          </cell>
          <cell r="AK33">
            <v>0</v>
          </cell>
          <cell r="AL33">
            <v>0</v>
          </cell>
          <cell r="AM33">
            <v>0</v>
          </cell>
          <cell r="AN33">
            <v>0</v>
          </cell>
          <cell r="AO33">
            <v>0</v>
          </cell>
          <cell r="AP33">
            <v>0</v>
          </cell>
          <cell r="AQ33">
            <v>0</v>
          </cell>
          <cell r="AR33">
            <v>0</v>
          </cell>
          <cell r="AS33">
            <v>0</v>
          </cell>
          <cell r="AT33">
            <v>0</v>
          </cell>
          <cell r="AU33">
            <v>0</v>
          </cell>
          <cell r="AV33">
            <v>0</v>
          </cell>
          <cell r="AW33">
            <v>0</v>
          </cell>
          <cell r="AX33">
            <v>0</v>
          </cell>
          <cell r="AY33">
            <v>0</v>
          </cell>
          <cell r="BB33" t="str">
            <v>mstag:longTermDebt</v>
          </cell>
          <cell r="BC33">
            <v>6</v>
          </cell>
          <cell r="BD33" t="str">
            <v>ISO4217:USD</v>
          </cell>
          <cell r="BE33" t="b">
            <v>0</v>
          </cell>
        </row>
        <row r="34">
          <cell r="A34" t="str">
            <v>Convertible Preferred Stock</v>
          </cell>
          <cell r="E34">
            <v>8.2000000000000003E-2</v>
          </cell>
          <cell r="O34">
            <v>39.948999999999998</v>
          </cell>
          <cell r="P34">
            <v>39.948999999999998</v>
          </cell>
          <cell r="Q34">
            <v>39.948999999999998</v>
          </cell>
          <cell r="R34">
            <v>39.948999999999998</v>
          </cell>
          <cell r="S34">
            <v>39.948999999999998</v>
          </cell>
          <cell r="T34">
            <v>39.948999999999998</v>
          </cell>
          <cell r="U34">
            <v>39.948999999999998</v>
          </cell>
          <cell r="V34">
            <v>39.948999999999998</v>
          </cell>
          <cell r="W34">
            <v>39.948999999999998</v>
          </cell>
          <cell r="X34">
            <v>39.948999999999998</v>
          </cell>
          <cell r="Y34">
            <v>40.912999999999997</v>
          </cell>
          <cell r="Z34">
            <v>40.912999999999997</v>
          </cell>
          <cell r="AA34">
            <v>0</v>
          </cell>
          <cell r="AB34">
            <v>0</v>
          </cell>
          <cell r="AC34">
            <v>0</v>
          </cell>
          <cell r="AD34">
            <v>0</v>
          </cell>
          <cell r="AE34">
            <v>0</v>
          </cell>
          <cell r="AF34">
            <v>0</v>
          </cell>
          <cell r="AG34">
            <v>0</v>
          </cell>
          <cell r="AH34">
            <v>0</v>
          </cell>
          <cell r="AI34">
            <v>0</v>
          </cell>
          <cell r="AJ34">
            <v>0</v>
          </cell>
          <cell r="AK34">
            <v>0</v>
          </cell>
          <cell r="AL34">
            <v>0</v>
          </cell>
          <cell r="AM34">
            <v>0</v>
          </cell>
          <cell r="AN34">
            <v>0</v>
          </cell>
          <cell r="AO34">
            <v>0</v>
          </cell>
          <cell r="AP34">
            <v>0</v>
          </cell>
          <cell r="AQ34">
            <v>0</v>
          </cell>
          <cell r="AR34">
            <v>0</v>
          </cell>
          <cell r="AS34">
            <v>0</v>
          </cell>
          <cell r="AT34">
            <v>0</v>
          </cell>
          <cell r="AU34">
            <v>401.1266540850479</v>
          </cell>
          <cell r="AV34">
            <v>415.64574307569495</v>
          </cell>
          <cell r="AW34" t="str">
            <v>mstag:commonStock</v>
          </cell>
          <cell r="AX34">
            <v>6</v>
          </cell>
          <cell r="AY34" t="str">
            <v>ISO4217:USD</v>
          </cell>
          <cell r="AZ34" t="b">
            <v>0</v>
          </cell>
        </row>
        <row r="35">
          <cell r="A35" t="str">
            <v>Stockholders' Equity</v>
          </cell>
          <cell r="O35">
            <v>1.7000000000000001E-2</v>
          </cell>
          <cell r="P35">
            <v>1.7000000000000001E-2</v>
          </cell>
          <cell r="Q35">
            <v>4.5999999999999999E-2</v>
          </cell>
          <cell r="R35">
            <v>1.6E-2</v>
          </cell>
          <cell r="S35">
            <v>1.7999999999999999E-2</v>
          </cell>
          <cell r="T35">
            <v>1.9E-2</v>
          </cell>
          <cell r="U35">
            <v>1.9E-2</v>
          </cell>
          <cell r="V35">
            <v>2.5000000000000001E-2</v>
          </cell>
          <cell r="W35">
            <v>2.5000000000000001E-2</v>
          </cell>
          <cell r="X35">
            <v>2.1999999999999999E-2</v>
          </cell>
          <cell r="Y35">
            <v>2.3E-2</v>
          </cell>
          <cell r="Z35">
            <v>2.3E-2</v>
          </cell>
          <cell r="AA35">
            <v>9.5000000000000001E-2</v>
          </cell>
          <cell r="AB35">
            <v>9.7000000000000003E-2</v>
          </cell>
          <cell r="AC35">
            <v>9.7000000000000003E-2</v>
          </cell>
          <cell r="AD35">
            <v>0.10100000000000001</v>
          </cell>
          <cell r="AE35">
            <v>0.10100000000000001</v>
          </cell>
          <cell r="AF35">
            <v>0.10299999999999999</v>
          </cell>
          <cell r="AG35">
            <v>0.105</v>
          </cell>
          <cell r="AH35">
            <v>0.1075125</v>
          </cell>
          <cell r="AI35">
            <v>0.11003756249999999</v>
          </cell>
          <cell r="AJ35">
            <v>0.11003756249999999</v>
          </cell>
          <cell r="AK35">
            <v>0.11257525031249999</v>
          </cell>
          <cell r="AL35">
            <v>0.11512562656406249</v>
          </cell>
          <cell r="AM35">
            <v>0.11768875469688279</v>
          </cell>
          <cell r="AN35">
            <v>0.12026469847036721</v>
          </cell>
          <cell r="AO35">
            <v>0.12026469847036721</v>
          </cell>
          <cell r="AP35">
            <v>0.12285352196271904</v>
          </cell>
          <cell r="AQ35">
            <v>0.12545528957253263</v>
          </cell>
          <cell r="AR35">
            <v>0.12807006602039528</v>
          </cell>
          <cell r="AS35">
            <v>0.13069791635049724</v>
          </cell>
          <cell r="AT35">
            <v>0.13069791635049724</v>
          </cell>
          <cell r="AW35" t="str">
            <v>mstag:additionalPaidInCapital</v>
          </cell>
          <cell r="AX35">
            <v>6</v>
          </cell>
          <cell r="AY35" t="str">
            <v>ISO4217:USD</v>
          </cell>
          <cell r="AZ35" t="b">
            <v>0</v>
          </cell>
        </row>
        <row r="36">
          <cell r="A36" t="str">
            <v>Accumulated Other Comprehensive Income</v>
          </cell>
          <cell r="E36">
            <v>8.2000000000000003E-2</v>
          </cell>
          <cell r="O36">
            <v>0</v>
          </cell>
          <cell r="P36">
            <v>0</v>
          </cell>
          <cell r="Q36">
            <v>0</v>
          </cell>
          <cell r="R36">
            <v>0</v>
          </cell>
          <cell r="S36">
            <v>0</v>
          </cell>
          <cell r="T36">
            <v>2E-3</v>
          </cell>
          <cell r="U36">
            <v>2E-3</v>
          </cell>
          <cell r="V36">
            <v>2E-3</v>
          </cell>
          <cell r="W36">
            <v>2E-3</v>
          </cell>
          <cell r="X36">
            <v>-2.4E-2</v>
          </cell>
          <cell r="Y36">
            <v>-2.4E-2</v>
          </cell>
          <cell r="Z36">
            <v>-2.4E-2</v>
          </cell>
          <cell r="AA36">
            <v>-1.7000000000000001E-2</v>
          </cell>
          <cell r="AB36">
            <v>-3.5999999999999997E-2</v>
          </cell>
          <cell r="AC36">
            <v>-1.4999999999999999E-2</v>
          </cell>
          <cell r="AD36">
            <v>-0.13500000000000001</v>
          </cell>
          <cell r="AE36">
            <v>-0.13500000000000001</v>
          </cell>
          <cell r="AF36">
            <v>-0.14899999999999999</v>
          </cell>
          <cell r="AG36">
            <v>-0.24299999999999999</v>
          </cell>
          <cell r="AH36">
            <v>-0.24299999999999999</v>
          </cell>
          <cell r="AI36">
            <v>-0.24299999999999999</v>
          </cell>
          <cell r="AJ36">
            <v>-0.24299999999999999</v>
          </cell>
          <cell r="AK36">
            <v>-0.24299999999999999</v>
          </cell>
          <cell r="AL36">
            <v>-0.24299999999999999</v>
          </cell>
          <cell r="AM36">
            <v>-0.24299999999999999</v>
          </cell>
          <cell r="AN36">
            <v>-0.24299999999999999</v>
          </cell>
          <cell r="AO36">
            <v>-0.24299999999999999</v>
          </cell>
          <cell r="AP36">
            <v>-0.24299999999999999</v>
          </cell>
          <cell r="AQ36">
            <v>-0.24299999999999999</v>
          </cell>
          <cell r="AR36">
            <v>-0.24299999999999999</v>
          </cell>
          <cell r="AS36">
            <v>-0.24299999999999999</v>
          </cell>
          <cell r="AT36">
            <v>-0.24299999999999999</v>
          </cell>
          <cell r="AU36">
            <v>0</v>
          </cell>
          <cell r="AV36">
            <v>0</v>
          </cell>
          <cell r="AW36" t="str">
            <v>mstag:otherAccumulatedOciAndReserves</v>
          </cell>
          <cell r="AX36">
            <v>6</v>
          </cell>
          <cell r="AY36" t="str">
            <v>ISO4217:USD</v>
          </cell>
          <cell r="AZ36" t="b">
            <v>0</v>
          </cell>
          <cell r="BB36" t="str">
            <v>mstag:commonStock</v>
          </cell>
          <cell r="BC36">
            <v>6</v>
          </cell>
          <cell r="BD36" t="str">
            <v>ISO4217:USD</v>
          </cell>
          <cell r="BE36" t="b">
            <v>0</v>
          </cell>
        </row>
        <row r="37">
          <cell r="A37" t="str">
            <v>Additional Paid-In Capital</v>
          </cell>
          <cell r="O37">
            <v>3.9569999999999999</v>
          </cell>
          <cell r="P37">
            <v>3.9569999999999999</v>
          </cell>
          <cell r="Q37">
            <v>4.2489999999999997</v>
          </cell>
          <cell r="R37">
            <v>5.125</v>
          </cell>
          <cell r="S37">
            <v>5.7119999999999997</v>
          </cell>
          <cell r="T37">
            <v>6.5019999999999998</v>
          </cell>
          <cell r="U37">
            <v>6.5019999999999998</v>
          </cell>
          <cell r="V37">
            <v>7.2629999999999999</v>
          </cell>
          <cell r="W37">
            <v>8.9960000000000004</v>
          </cell>
          <cell r="X37">
            <v>10.484</v>
          </cell>
          <cell r="Y37">
            <v>12.372999999999999</v>
          </cell>
          <cell r="Z37">
            <v>12.372999999999999</v>
          </cell>
          <cell r="AA37">
            <v>298.35599999999999</v>
          </cell>
          <cell r="AB37">
            <v>303.774</v>
          </cell>
          <cell r="AC37">
            <v>308.82</v>
          </cell>
          <cell r="AD37">
            <v>328.27699999999999</v>
          </cell>
          <cell r="AE37">
            <v>328.27699999999999</v>
          </cell>
          <cell r="AF37">
            <v>344.85599999999999</v>
          </cell>
          <cell r="AG37">
            <v>368.47500000000002</v>
          </cell>
          <cell r="AH37">
            <v>381.50378750000004</v>
          </cell>
          <cell r="AI37">
            <v>394.86597618750005</v>
          </cell>
          <cell r="AJ37">
            <v>394.86597618750005</v>
          </cell>
          <cell r="AK37">
            <v>407.97707149968755</v>
          </cell>
          <cell r="AL37">
            <v>421.14202793640476</v>
          </cell>
          <cell r="AM37">
            <v>434.36336783093054</v>
          </cell>
          <cell r="AN37">
            <v>447.64373877959304</v>
          </cell>
          <cell r="AO37">
            <v>447.64373877959304</v>
          </cell>
          <cell r="AP37">
            <v>461.55346895221641</v>
          </cell>
          <cell r="AQ37">
            <v>475.52792650924073</v>
          </cell>
          <cell r="AR37">
            <v>489.57017365678558</v>
          </cell>
          <cell r="AS37">
            <v>503.68342484046104</v>
          </cell>
          <cell r="AT37">
            <v>503.68342484046104</v>
          </cell>
          <cell r="AU37">
            <v>0.13282640593224973</v>
          </cell>
          <cell r="AV37">
            <v>0.13548060046191099</v>
          </cell>
          <cell r="AW37" t="str">
            <v>mstag:additionalPaidInCapital</v>
          </cell>
          <cell r="AX37">
            <v>6</v>
          </cell>
          <cell r="AY37" t="str">
            <v>ISO4217:USD</v>
          </cell>
          <cell r="AZ37" t="b">
            <v>0</v>
          </cell>
          <cell r="BB37" t="str">
            <v>mstag:additionalPaidInCapital</v>
          </cell>
          <cell r="BC37">
            <v>6</v>
          </cell>
          <cell r="BD37" t="str">
            <v>ISO4217:USD</v>
          </cell>
          <cell r="BE37" t="b">
            <v>0</v>
          </cell>
        </row>
        <row r="38">
          <cell r="A38" t="str">
            <v>Retained Earnings (Accumulated Deficit)</v>
          </cell>
          <cell r="O38">
            <v>-39.22</v>
          </cell>
          <cell r="P38">
            <v>-39.22</v>
          </cell>
          <cell r="Q38">
            <v>-39.968000000000004</v>
          </cell>
          <cell r="R38">
            <v>-39.798999999999999</v>
          </cell>
          <cell r="S38">
            <v>-41.244999999999997</v>
          </cell>
          <cell r="T38">
            <v>-43.026000000000003</v>
          </cell>
          <cell r="U38">
            <v>-43.026000000000003</v>
          </cell>
          <cell r="V38">
            <v>-45.271999999999998</v>
          </cell>
          <cell r="W38">
            <v>-49.182000000000002</v>
          </cell>
          <cell r="X38">
            <v>-52.741999999999997</v>
          </cell>
          <cell r="Y38">
            <v>-54.018000000000001</v>
          </cell>
          <cell r="Z38">
            <v>-54.018000000000001</v>
          </cell>
          <cell r="AA38">
            <v>-74.488</v>
          </cell>
          <cell r="AB38">
            <v>-79.063000000000002</v>
          </cell>
          <cell r="AC38">
            <v>-84.537000000000006</v>
          </cell>
          <cell r="AD38">
            <v>-90.698999999999998</v>
          </cell>
          <cell r="AE38">
            <v>-90.698999999999998</v>
          </cell>
          <cell r="AF38">
            <v>-106.833</v>
          </cell>
          <cell r="AG38">
            <v>-120.526</v>
          </cell>
          <cell r="AH38">
            <v>-133.71908930488755</v>
          </cell>
          <cell r="AI38">
            <v>-139.38497668361956</v>
          </cell>
          <cell r="AJ38">
            <v>-139.38497668361956</v>
          </cell>
          <cell r="AK38">
            <v>-152.5585758371339</v>
          </cell>
          <cell r="AL38">
            <v>-160.76844072242645</v>
          </cell>
          <cell r="AM38">
            <v>-168.60833452785283</v>
          </cell>
          <cell r="AN38">
            <v>-167.99481586315426</v>
          </cell>
          <cell r="AO38">
            <v>-167.99481586315426</v>
          </cell>
          <cell r="AP38">
            <v>-178.71211485949127</v>
          </cell>
          <cell r="AQ38">
            <v>-183.00263144554557</v>
          </cell>
          <cell r="AR38">
            <v>-186.93149213091652</v>
          </cell>
          <cell r="AS38">
            <v>-181.90451175028551</v>
          </cell>
          <cell r="AT38">
            <v>-181.90451175028551</v>
          </cell>
          <cell r="AU38">
            <v>-0.156</v>
          </cell>
          <cell r="AV38">
            <v>-0.156</v>
          </cell>
          <cell r="AW38" t="str">
            <v>mstag:retainedEarnings</v>
          </cell>
          <cell r="AX38">
            <v>6</v>
          </cell>
          <cell r="AY38" t="str">
            <v>ISO4217:USD</v>
          </cell>
          <cell r="AZ38" t="b">
            <v>0</v>
          </cell>
          <cell r="BB38" t="str">
            <v>mstag:otherAccumulatedOciAndReserves</v>
          </cell>
          <cell r="BC38">
            <v>6</v>
          </cell>
          <cell r="BD38" t="str">
            <v>ISO4217:USD</v>
          </cell>
          <cell r="BE38" t="b">
            <v>0</v>
          </cell>
        </row>
        <row r="39">
          <cell r="A39" t="str">
            <v>Total Stockholders' Equity</v>
          </cell>
          <cell r="E39">
            <v>-16.734000000000002</v>
          </cell>
          <cell r="O39">
            <v>4.703000000000003</v>
          </cell>
          <cell r="P39">
            <v>4.703000000000003</v>
          </cell>
          <cell r="Q39">
            <v>4.2759999999999962</v>
          </cell>
          <cell r="R39">
            <v>5.2909999999999968</v>
          </cell>
          <cell r="S39">
            <v>4.4340000000000046</v>
          </cell>
          <cell r="T39">
            <v>3.445999999999998</v>
          </cell>
          <cell r="U39">
            <v>3.445999999999998</v>
          </cell>
          <cell r="V39">
            <v>1.9669999999999987</v>
          </cell>
          <cell r="W39">
            <v>-0.21000000000000085</v>
          </cell>
          <cell r="X39">
            <v>-2.3109999999999999</v>
          </cell>
          <cell r="Y39">
            <v>-0.73300000000000409</v>
          </cell>
          <cell r="Z39">
            <v>-0.73300000000000409</v>
          </cell>
          <cell r="AA39">
            <v>223.94599999999997</v>
          </cell>
          <cell r="AB39">
            <v>224.77199999999999</v>
          </cell>
          <cell r="AC39">
            <v>224.36499999999998</v>
          </cell>
          <cell r="AD39">
            <v>237.54399999999998</v>
          </cell>
          <cell r="AE39">
            <v>237.54399999999998</v>
          </cell>
          <cell r="AF39">
            <v>237.977</v>
          </cell>
          <cell r="AG39">
            <v>247.81100000000004</v>
          </cell>
          <cell r="AH39">
            <v>247.64921069511249</v>
          </cell>
          <cell r="AI39">
            <v>255.3480370663805</v>
          </cell>
          <cell r="AJ39">
            <v>255.3480370663805</v>
          </cell>
          <cell r="AK39">
            <v>255.28807091286615</v>
          </cell>
          <cell r="AL39">
            <v>260.24571284054241</v>
          </cell>
          <cell r="AM39">
            <v>265.62972205777459</v>
          </cell>
          <cell r="AN39">
            <v>279.52618761490913</v>
          </cell>
          <cell r="AO39">
            <v>279.52618761490913</v>
          </cell>
          <cell r="AP39">
            <v>282.72120761468784</v>
          </cell>
          <cell r="AQ39">
            <v>292.40775035326772</v>
          </cell>
          <cell r="AR39">
            <v>302.52375159188944</v>
          </cell>
          <cell r="AS39">
            <v>321.66661100652601</v>
          </cell>
          <cell r="AT39">
            <v>321.66661100652601</v>
          </cell>
          <cell r="AU39">
            <v>538.29305356394661</v>
          </cell>
          <cell r="AV39">
            <v>554.64719753911459</v>
          </cell>
          <cell r="AW39">
            <v>571.10493680271475</v>
          </cell>
          <cell r="AX39">
            <v>587.67127255823152</v>
          </cell>
          <cell r="AY39">
            <v>587.67127255823152</v>
          </cell>
          <cell r="BB39" t="str">
            <v>mstag:additionalPaidInCapital</v>
          </cell>
          <cell r="BC39">
            <v>6</v>
          </cell>
          <cell r="BD39" t="str">
            <v>ISO4217:USD</v>
          </cell>
          <cell r="BE39" t="b">
            <v>0</v>
          </cell>
        </row>
        <row r="40">
          <cell r="A40" t="str">
            <v>Retained Earnings (Accumulated Deficit)</v>
          </cell>
          <cell r="O40">
            <v>-39.22</v>
          </cell>
          <cell r="P40">
            <v>-39.22</v>
          </cell>
          <cell r="Q40">
            <v>-39.968000000000004</v>
          </cell>
          <cell r="R40">
            <v>-39.798999999999999</v>
          </cell>
          <cell r="S40">
            <v>-41.244999999999997</v>
          </cell>
          <cell r="T40">
            <v>-43.026000000000003</v>
          </cell>
          <cell r="U40">
            <v>-43.026000000000003</v>
          </cell>
          <cell r="V40">
            <v>-45.271999999999998</v>
          </cell>
          <cell r="W40">
            <v>-49.182000000000002</v>
          </cell>
          <cell r="X40">
            <v>-52.741999999999997</v>
          </cell>
          <cell r="Y40">
            <v>-54.018000000000001</v>
          </cell>
          <cell r="Z40">
            <v>-54.018000000000001</v>
          </cell>
          <cell r="AA40">
            <v>-74.488</v>
          </cell>
          <cell r="AB40">
            <v>-79.063000000000002</v>
          </cell>
          <cell r="AC40">
            <v>-84.537000000000006</v>
          </cell>
          <cell r="AD40">
            <v>-90.698999999999998</v>
          </cell>
          <cell r="AE40">
            <v>-90.698999999999998</v>
          </cell>
          <cell r="AF40">
            <v>-106.833</v>
          </cell>
          <cell r="AG40">
            <v>-120.526</v>
          </cell>
          <cell r="AH40">
            <v>-137.07599999999999</v>
          </cell>
          <cell r="AI40">
            <v>-144.93787461932035</v>
          </cell>
          <cell r="AJ40">
            <v>-144.93787461932035</v>
          </cell>
          <cell r="AK40">
            <v>-161.94908379989718</v>
          </cell>
          <cell r="AL40">
            <v>-170.45244587481361</v>
          </cell>
          <cell r="AM40">
            <v>-176.32764977124739</v>
          </cell>
          <cell r="AN40">
            <v>-174.18077569063539</v>
          </cell>
          <cell r="AO40">
            <v>-174.18077569063539</v>
          </cell>
          <cell r="AP40">
            <v>-186.42819163119219</v>
          </cell>
          <cell r="AQ40">
            <v>-189.21600924965912</v>
          </cell>
          <cell r="AR40">
            <v>-188.74906340866318</v>
          </cell>
          <cell r="AS40">
            <v>-176.39677113248064</v>
          </cell>
          <cell r="AT40">
            <v>-176.39677113248064</v>
          </cell>
          <cell r="AU40">
            <v>-187.23378124741893</v>
          </cell>
          <cell r="AV40">
            <v>-185.67241945925147</v>
          </cell>
          <cell r="AW40">
            <v>-179.64853571622976</v>
          </cell>
          <cell r="AX40">
            <v>-158.14996246480118</v>
          </cell>
          <cell r="AY40">
            <v>-158.14996246480118</v>
          </cell>
          <cell r="BB40" t="str">
            <v>mstag:retainedEarnings</v>
          </cell>
          <cell r="BC40">
            <v>6</v>
          </cell>
          <cell r="BD40" t="str">
            <v>ISO4217:USD</v>
          </cell>
          <cell r="BE40" t="b">
            <v>0</v>
          </cell>
        </row>
        <row r="41">
          <cell r="A41" t="str">
            <v>Total Liabilities and Stockholders' Equity</v>
          </cell>
          <cell r="E41">
            <v>-16.734000000000002</v>
          </cell>
          <cell r="J41">
            <v>0</v>
          </cell>
          <cell r="O41">
            <v>21.915000000000003</v>
          </cell>
          <cell r="P41">
            <v>21.915000000000003</v>
          </cell>
          <cell r="Q41">
            <v>21.963999999999992</v>
          </cell>
          <cell r="R41">
            <v>27.485999999999997</v>
          </cell>
          <cell r="S41">
            <v>30.032000000000004</v>
          </cell>
          <cell r="T41">
            <v>38.792999999999999</v>
          </cell>
          <cell r="U41">
            <v>38.792999999999999</v>
          </cell>
          <cell r="V41">
            <v>41.109999999999992</v>
          </cell>
          <cell r="W41">
            <v>50.896999999999998</v>
          </cell>
          <cell r="X41">
            <v>56.450999999999993</v>
          </cell>
          <cell r="Y41">
            <v>82.222999999999999</v>
          </cell>
          <cell r="Z41">
            <v>82.222999999999999</v>
          </cell>
          <cell r="AA41">
            <v>304.45399999999995</v>
          </cell>
          <cell r="AB41">
            <v>318.65600000000001</v>
          </cell>
          <cell r="AC41">
            <v>330.23499999999996</v>
          </cell>
          <cell r="AD41">
            <v>390.44499999999999</v>
          </cell>
          <cell r="AE41">
            <v>390.44499999999999</v>
          </cell>
          <cell r="AF41">
            <v>389.51400000000001</v>
          </cell>
          <cell r="AG41">
            <v>412.66500000000002</v>
          </cell>
          <cell r="AH41">
            <v>430.75854257943968</v>
          </cell>
          <cell r="AI41">
            <v>491.51572850379205</v>
          </cell>
          <cell r="AJ41">
            <v>491.51572850379205</v>
          </cell>
          <cell r="AK41">
            <v>497.61927345634354</v>
          </cell>
          <cell r="AL41">
            <v>523.28470125890499</v>
          </cell>
          <cell r="AM41">
            <v>542.26878255959036</v>
          </cell>
          <cell r="AN41">
            <v>618.81159505120513</v>
          </cell>
          <cell r="AO41">
            <v>618.81159505120513</v>
          </cell>
          <cell r="AP41">
            <v>632.98935277971066</v>
          </cell>
          <cell r="AQ41">
            <v>661.67104154966012</v>
          </cell>
          <cell r="AR41">
            <v>679.06160345872661</v>
          </cell>
          <cell r="AS41">
            <v>771.98890795592899</v>
          </cell>
          <cell r="AT41">
            <v>771.98890795592899</v>
          </cell>
          <cell r="AU41">
            <v>351.03609872245988</v>
          </cell>
          <cell r="AV41">
            <v>368.95425868032498</v>
          </cell>
          <cell r="AW41">
            <v>391.43854915244924</v>
          </cell>
          <cell r="AX41">
            <v>429.50613896222433</v>
          </cell>
          <cell r="AY41">
            <v>429.50613896222433</v>
          </cell>
        </row>
        <row r="43">
          <cell r="A43" t="str">
            <v>Total Liabilities and Stockholders' Equity</v>
          </cell>
          <cell r="E43">
            <v>26.628</v>
          </cell>
          <cell r="F43" t="str">
            <v>OK</v>
          </cell>
          <cell r="G43" t="str">
            <v>OK</v>
          </cell>
          <cell r="H43" t="str">
            <v>OK</v>
          </cell>
          <cell r="I43" t="str">
            <v>OK</v>
          </cell>
          <cell r="J43" t="str">
            <v>OK</v>
          </cell>
          <cell r="K43" t="str">
            <v>OK</v>
          </cell>
          <cell r="L43" t="str">
            <v>OK</v>
          </cell>
          <cell r="M43" t="str">
            <v>OK</v>
          </cell>
          <cell r="N43" t="str">
            <v>OK</v>
          </cell>
          <cell r="O43" t="str">
            <v>OK</v>
          </cell>
          <cell r="P43" t="str">
            <v>OK</v>
          </cell>
          <cell r="Q43" t="str">
            <v>OK</v>
          </cell>
          <cell r="R43" t="str">
            <v>OK</v>
          </cell>
          <cell r="S43" t="str">
            <v>OK</v>
          </cell>
          <cell r="T43" t="str">
            <v>OK</v>
          </cell>
          <cell r="U43" t="str">
            <v>OK</v>
          </cell>
          <cell r="V43" t="str">
            <v>OK</v>
          </cell>
          <cell r="W43" t="str">
            <v>OK</v>
          </cell>
          <cell r="X43" t="str">
            <v>OK</v>
          </cell>
          <cell r="Y43" t="str">
            <v>OK</v>
          </cell>
          <cell r="Z43" t="str">
            <v>OK</v>
          </cell>
          <cell r="AA43" t="str">
            <v>OK</v>
          </cell>
          <cell r="AB43" t="str">
            <v>OK</v>
          </cell>
          <cell r="AC43" t="str">
            <v>OK</v>
          </cell>
          <cell r="AD43" t="str">
            <v>OK</v>
          </cell>
          <cell r="AE43" t="str">
            <v>OK</v>
          </cell>
          <cell r="AF43" t="str">
            <v>OK</v>
          </cell>
          <cell r="AG43" t="str">
            <v>OK</v>
          </cell>
          <cell r="AH43" t="str">
            <v>OK</v>
          </cell>
          <cell r="AI43" t="str">
            <v>OK</v>
          </cell>
          <cell r="AJ43" t="str">
            <v>OK</v>
          </cell>
          <cell r="AK43" t="str">
            <v>OK</v>
          </cell>
          <cell r="AL43" t="str">
            <v>OK</v>
          </cell>
          <cell r="AM43" t="str">
            <v>OK</v>
          </cell>
          <cell r="AN43" t="str">
            <v>OK</v>
          </cell>
          <cell r="AO43" t="str">
            <v>OK</v>
          </cell>
          <cell r="AP43" t="str">
            <v>OK</v>
          </cell>
          <cell r="AQ43" t="str">
            <v>OK</v>
          </cell>
          <cell r="AR43" t="str">
            <v>OK</v>
          </cell>
          <cell r="AS43" t="str">
            <v>OK</v>
          </cell>
          <cell r="AT43" t="str">
            <v>OK</v>
          </cell>
          <cell r="AU43">
            <v>752.16275280750779</v>
          </cell>
          <cell r="AV43">
            <v>784.60000175601999</v>
          </cell>
          <cell r="AW43">
            <v>856.33399791416241</v>
          </cell>
          <cell r="AX43">
            <v>996.67405497799496</v>
          </cell>
          <cell r="AY43">
            <v>996.67405497799496</v>
          </cell>
        </row>
        <row r="44">
          <cell r="A44" t="str">
            <v>Shareholders' Equity</v>
          </cell>
        </row>
        <row r="45">
          <cell r="A45" t="str">
            <v>Opening Balance</v>
          </cell>
          <cell r="E45">
            <v>26.628</v>
          </cell>
          <cell r="F45" t="str">
            <v>OK</v>
          </cell>
          <cell r="G45">
            <v>0</v>
          </cell>
          <cell r="H45">
            <v>0</v>
          </cell>
          <cell r="I45">
            <v>0</v>
          </cell>
          <cell r="J45">
            <v>0</v>
          </cell>
          <cell r="K45">
            <v>0</v>
          </cell>
          <cell r="L45">
            <v>0</v>
          </cell>
          <cell r="M45">
            <v>0</v>
          </cell>
          <cell r="N45">
            <v>0</v>
          </cell>
          <cell r="O45">
            <v>0</v>
          </cell>
          <cell r="P45">
            <v>4.703000000000003</v>
          </cell>
          <cell r="Q45">
            <v>4.703000000000003</v>
          </cell>
          <cell r="R45">
            <v>4.2759999999999962</v>
          </cell>
          <cell r="S45">
            <v>5.2909999999999968</v>
          </cell>
          <cell r="T45">
            <v>4.4340000000000046</v>
          </cell>
          <cell r="U45">
            <v>3.445999999999998</v>
          </cell>
          <cell r="V45">
            <v>3.445999999999998</v>
          </cell>
          <cell r="W45">
            <v>1.9669999999999987</v>
          </cell>
          <cell r="X45">
            <v>-0.21000000000000085</v>
          </cell>
          <cell r="Y45">
            <v>-2.3109999999999999</v>
          </cell>
          <cell r="Z45">
            <v>-0.73300000000000409</v>
          </cell>
          <cell r="AA45">
            <v>-0.73300000000000409</v>
          </cell>
          <cell r="AB45">
            <v>223.94599999999997</v>
          </cell>
          <cell r="AC45">
            <v>224.77199999999999</v>
          </cell>
          <cell r="AD45">
            <v>224.36499999999998</v>
          </cell>
          <cell r="AE45">
            <v>237.54399999999998</v>
          </cell>
          <cell r="AF45">
            <v>237.54399999999998</v>
          </cell>
          <cell r="AG45">
            <v>237.977</v>
          </cell>
          <cell r="AH45">
            <v>247.81100000000004</v>
          </cell>
          <cell r="AI45">
            <v>247.64921069511249</v>
          </cell>
          <cell r="AJ45">
            <v>255.3480370663805</v>
          </cell>
          <cell r="AK45">
            <v>255.3480370663805</v>
          </cell>
          <cell r="AL45">
            <v>255.28807091286615</v>
          </cell>
          <cell r="AM45">
            <v>260.24571284054241</v>
          </cell>
          <cell r="AN45">
            <v>265.62972205777459</v>
          </cell>
          <cell r="AO45">
            <v>279.52618761490913</v>
          </cell>
          <cell r="AP45">
            <v>279.52618761490913</v>
          </cell>
          <cell r="AQ45">
            <v>282.72120761468784</v>
          </cell>
          <cell r="AR45">
            <v>292.40775035326772</v>
          </cell>
          <cell r="AS45">
            <v>302.52375159188944</v>
          </cell>
          <cell r="AT45">
            <v>321.66661100652601</v>
          </cell>
          <cell r="AU45" t="str">
            <v>OK</v>
          </cell>
          <cell r="AV45" t="str">
            <v>OK</v>
          </cell>
          <cell r="AW45" t="str">
            <v>OK</v>
          </cell>
          <cell r="AX45" t="str">
            <v>OK</v>
          </cell>
          <cell r="AY45" t="str">
            <v>OK</v>
          </cell>
        </row>
        <row r="46">
          <cell r="A46" t="str">
            <v>Net Income</v>
          </cell>
          <cell r="G46">
            <v>0</v>
          </cell>
          <cell r="H46">
            <v>0</v>
          </cell>
          <cell r="I46">
            <v>0</v>
          </cell>
          <cell r="J46">
            <v>0</v>
          </cell>
          <cell r="K46">
            <v>-14.771999999999997</v>
          </cell>
          <cell r="L46">
            <v>6.0827499999999999</v>
          </cell>
          <cell r="M46">
            <v>7.8827500000000006</v>
          </cell>
          <cell r="N46">
            <v>9.8827499999999997</v>
          </cell>
          <cell r="O46">
            <v>11.082749999999999</v>
          </cell>
          <cell r="P46">
            <v>-7.4509999999999934</v>
          </cell>
          <cell r="Q46">
            <v>-0.74799999999999933</v>
          </cell>
          <cell r="R46">
            <v>0.16900000000000015</v>
          </cell>
          <cell r="S46">
            <v>-1.4459999999999991</v>
          </cell>
          <cell r="T46">
            <v>-1.7810000000000006</v>
          </cell>
          <cell r="U46">
            <v>-3.8060000000000023</v>
          </cell>
          <cell r="V46">
            <v>-2.2459999999999991</v>
          </cell>
          <cell r="W46">
            <v>-3.910000000000001</v>
          </cell>
          <cell r="X46">
            <v>-3.5599999999999978</v>
          </cell>
          <cell r="Y46">
            <v>-0.58037000000000294</v>
          </cell>
          <cell r="Z46">
            <v>-10.296370000000024</v>
          </cell>
          <cell r="AA46">
            <v>-20.469999999999995</v>
          </cell>
          <cell r="AB46">
            <v>-4.5749999999999975</v>
          </cell>
          <cell r="AC46">
            <v>-5.4739999999999975</v>
          </cell>
          <cell r="AD46">
            <v>-6.1619999999999964</v>
          </cell>
          <cell r="AE46">
            <v>-36.68099999999999</v>
          </cell>
          <cell r="AF46">
            <v>-16.134000000000015</v>
          </cell>
          <cell r="AG46">
            <v>-13.692999999999989</v>
          </cell>
          <cell r="AH46">
            <v>-13.193089304887557</v>
          </cell>
          <cell r="AI46">
            <v>-5.6658873787320028</v>
          </cell>
          <cell r="AJ46">
            <v>-48.685976683619565</v>
          </cell>
          <cell r="AK46">
            <v>-13.173599153514358</v>
          </cell>
          <cell r="AL46">
            <v>-8.2098648852925429</v>
          </cell>
          <cell r="AM46">
            <v>-7.839893805426378</v>
          </cell>
          <cell r="AN46">
            <v>0.61351866469858862</v>
          </cell>
          <cell r="AO46">
            <v>-28.609839179534607</v>
          </cell>
          <cell r="AP46">
            <v>-10.717298996336996</v>
          </cell>
          <cell r="AQ46">
            <v>-4.29051658605432</v>
          </cell>
          <cell r="AR46">
            <v>-3.9288606853709513</v>
          </cell>
          <cell r="AS46">
            <v>5.0269803806310307</v>
          </cell>
          <cell r="AT46">
            <v>-13.909695887131258</v>
          </cell>
        </row>
        <row r="47">
          <cell r="A47" t="str">
            <v>Net Issuance (Repurchase) of Common Stock</v>
          </cell>
          <cell r="G47">
            <v>-8.2000000000000003E-2</v>
          </cell>
          <cell r="H47">
            <v>0</v>
          </cell>
          <cell r="I47">
            <v>0</v>
          </cell>
          <cell r="J47">
            <v>0</v>
          </cell>
          <cell r="K47">
            <v>-8.2000000000000003E-2</v>
          </cell>
          <cell r="L47">
            <v>0</v>
          </cell>
          <cell r="M47">
            <v>0</v>
          </cell>
          <cell r="N47">
            <v>0</v>
          </cell>
          <cell r="O47">
            <v>39.966000000000001</v>
          </cell>
          <cell r="P47">
            <v>3.0114799542957371E-15</v>
          </cell>
          <cell r="Q47">
            <v>2.8999999999996362E-2</v>
          </cell>
          <cell r="R47">
            <v>-3.0000000000001137E-2</v>
          </cell>
          <cell r="S47">
            <v>2.0000000000006818E-3</v>
          </cell>
          <cell r="T47">
            <v>9.999999999983529E-4</v>
          </cell>
          <cell r="U47">
            <v>-1.6479873021779667E-15</v>
          </cell>
          <cell r="V47">
            <v>6.0000000000002274E-3</v>
          </cell>
          <cell r="W47">
            <v>0</v>
          </cell>
          <cell r="X47">
            <v>-3.0000000000015362E-3</v>
          </cell>
          <cell r="Y47">
            <v>0.96500000000000186</v>
          </cell>
          <cell r="Z47">
            <v>3.2404634531246757E-15</v>
          </cell>
          <cell r="AA47">
            <v>-40.841000000000001</v>
          </cell>
          <cell r="AB47">
            <v>2.0000000000000018E-3</v>
          </cell>
          <cell r="AC47">
            <v>0</v>
          </cell>
          <cell r="AD47">
            <v>4.0000000000000036E-3</v>
          </cell>
          <cell r="AE47">
            <v>0</v>
          </cell>
          <cell r="AF47">
            <v>1.9999999999999879E-3</v>
          </cell>
          <cell r="AG47">
            <v>2.0000000000000018E-3</v>
          </cell>
          <cell r="AH47">
            <v>2.5125000000000008E-3</v>
          </cell>
          <cell r="AI47">
            <v>2.5250624999999943E-3</v>
          </cell>
          <cell r="AJ47">
            <v>0</v>
          </cell>
          <cell r="AK47">
            <v>2.5376878124999946E-3</v>
          </cell>
          <cell r="AL47">
            <v>2.5503762515625E-3</v>
          </cell>
          <cell r="AM47">
            <v>2.5631281328203082E-3</v>
          </cell>
          <cell r="AN47">
            <v>2.5759437734844126E-3</v>
          </cell>
          <cell r="AO47">
            <v>0</v>
          </cell>
          <cell r="AP47">
            <v>2.58882349235183E-3</v>
          </cell>
          <cell r="AQ47">
            <v>2.6017676098135933E-3</v>
          </cell>
          <cell r="AR47">
            <v>2.614776447862649E-3</v>
          </cell>
          <cell r="AS47">
            <v>2.6278503301019607E-3</v>
          </cell>
          <cell r="AT47">
            <v>0</v>
          </cell>
          <cell r="AU47">
            <v>345.61515526408294</v>
          </cell>
          <cell r="AV47">
            <v>351.03609872245988</v>
          </cell>
          <cell r="AW47" t="str">
            <v>mstag:netIssuanceRepurchaseOfCommonStock</v>
          </cell>
          <cell r="AX47">
            <v>3</v>
          </cell>
          <cell r="AY47" t="str">
            <v>ISO4217:USD</v>
          </cell>
          <cell r="AZ47" t="b">
            <v>0</v>
          </cell>
        </row>
        <row r="48">
          <cell r="A48" t="str">
            <v>Other Changes in Shareholder's Equity</v>
          </cell>
          <cell r="G48">
            <v>8.2000000000000003E-2</v>
          </cell>
          <cell r="H48">
            <v>0</v>
          </cell>
          <cell r="I48">
            <v>0</v>
          </cell>
          <cell r="J48">
            <v>0</v>
          </cell>
          <cell r="K48">
            <v>8.2000000000000003E-2</v>
          </cell>
          <cell r="L48">
            <v>-6.0827499999999999</v>
          </cell>
          <cell r="M48">
            <v>-7.8827500000000006</v>
          </cell>
          <cell r="N48">
            <v>-9.8827499999999997</v>
          </cell>
          <cell r="O48">
            <v>-46.345749999999995</v>
          </cell>
          <cell r="P48">
            <v>7.4509999999999899</v>
          </cell>
          <cell r="Q48">
            <v>0.29199999999999626</v>
          </cell>
          <cell r="R48">
            <v>0.87600000000000122</v>
          </cell>
          <cell r="S48">
            <v>0.58700000000000596</v>
          </cell>
          <cell r="T48">
            <v>0.79199999999999537</v>
          </cell>
          <cell r="U48">
            <v>3.8060000000000045</v>
          </cell>
          <cell r="V48">
            <v>0.76099999999999923</v>
          </cell>
          <cell r="W48">
            <v>1.7330000000000014</v>
          </cell>
          <cell r="X48">
            <v>1.4620000000000002</v>
          </cell>
          <cell r="Y48">
            <v>1.1933699999999969</v>
          </cell>
          <cell r="Z48">
            <v>10.296370000000021</v>
          </cell>
          <cell r="AA48">
            <v>285.98999999999995</v>
          </cell>
          <cell r="AB48">
            <v>5.3990000000000009</v>
          </cell>
          <cell r="AC48">
            <v>5.0669999999999789</v>
          </cell>
          <cell r="AD48">
            <v>19.337000000000018</v>
          </cell>
          <cell r="AE48">
            <v>36.680999999999983</v>
          </cell>
          <cell r="AF48">
            <v>16.565000000000026</v>
          </cell>
          <cell r="AG48">
            <v>23.525000000000006</v>
          </cell>
          <cell r="AH48">
            <v>13.028787500000021</v>
          </cell>
          <cell r="AI48">
            <v>13.36218868749998</v>
          </cell>
          <cell r="AJ48">
            <v>48.685976683619543</v>
          </cell>
          <cell r="AK48">
            <v>13.11109531218753</v>
          </cell>
          <cell r="AL48">
            <v>13.164956436717205</v>
          </cell>
          <cell r="AM48">
            <v>13.221339894525727</v>
          </cell>
          <cell r="AN48">
            <v>13.280370948662494</v>
          </cell>
          <cell r="AO48">
            <v>28.609839179534617</v>
          </cell>
          <cell r="AP48">
            <v>13.909730172623313</v>
          </cell>
          <cell r="AQ48">
            <v>13.97445755702438</v>
          </cell>
          <cell r="AR48">
            <v>14.042247147544856</v>
          </cell>
          <cell r="AS48">
            <v>14.113251183675459</v>
          </cell>
          <cell r="AT48">
            <v>13.909695887131249</v>
          </cell>
          <cell r="AU48">
            <v>-10.837010114938282</v>
          </cell>
          <cell r="AV48">
            <v>1.5613617881674564</v>
          </cell>
          <cell r="AW48" t="str">
            <v>mstag:changeInAccumulatedOtherComprehensiveIncomeLossOrOtherReserves</v>
          </cell>
          <cell r="AX48">
            <v>3</v>
          </cell>
          <cell r="AY48" t="str">
            <v>ISO4217:USD</v>
          </cell>
          <cell r="AZ48" t="b">
            <v>0</v>
          </cell>
        </row>
        <row r="49">
          <cell r="A49" t="str">
            <v>Closing Balance</v>
          </cell>
          <cell r="F49">
            <v>0</v>
          </cell>
          <cell r="G49">
            <v>0</v>
          </cell>
          <cell r="H49">
            <v>0</v>
          </cell>
          <cell r="I49">
            <v>0</v>
          </cell>
          <cell r="J49">
            <v>0</v>
          </cell>
          <cell r="K49">
            <v>-14.771999999999997</v>
          </cell>
          <cell r="L49">
            <v>0</v>
          </cell>
          <cell r="M49">
            <v>0</v>
          </cell>
          <cell r="N49">
            <v>0</v>
          </cell>
          <cell r="O49">
            <v>4.703000000000003</v>
          </cell>
          <cell r="P49">
            <v>4.703000000000003</v>
          </cell>
          <cell r="Q49">
            <v>4.2759999999999962</v>
          </cell>
          <cell r="R49">
            <v>5.2909999999999968</v>
          </cell>
          <cell r="S49">
            <v>4.4340000000000046</v>
          </cell>
          <cell r="T49">
            <v>3.445999999999998</v>
          </cell>
          <cell r="U49">
            <v>3.445999999999998</v>
          </cell>
          <cell r="V49">
            <v>1.9669999999999987</v>
          </cell>
          <cell r="W49">
            <v>-0.21000000000000085</v>
          </cell>
          <cell r="X49">
            <v>-2.3109999999999999</v>
          </cell>
          <cell r="Y49">
            <v>-0.73300000000000409</v>
          </cell>
          <cell r="Z49">
            <v>-0.73300000000000409</v>
          </cell>
          <cell r="AA49">
            <v>223.94599999999997</v>
          </cell>
          <cell r="AB49">
            <v>224.77199999999999</v>
          </cell>
          <cell r="AC49">
            <v>224.36499999999998</v>
          </cell>
          <cell r="AD49">
            <v>237.54399999999998</v>
          </cell>
          <cell r="AE49">
            <v>237.54399999999998</v>
          </cell>
          <cell r="AF49">
            <v>237.977</v>
          </cell>
          <cell r="AG49">
            <v>247.81100000000004</v>
          </cell>
          <cell r="AH49">
            <v>247.64921069511249</v>
          </cell>
          <cell r="AI49">
            <v>255.3480370663805</v>
          </cell>
          <cell r="AJ49">
            <v>255.3480370663805</v>
          </cell>
          <cell r="AK49">
            <v>255.28807091286615</v>
          </cell>
          <cell r="AL49">
            <v>260.24571284054241</v>
          </cell>
          <cell r="AM49">
            <v>265.62972205777459</v>
          </cell>
          <cell r="AN49">
            <v>279.52618761490913</v>
          </cell>
          <cell r="AO49">
            <v>279.52618761490913</v>
          </cell>
          <cell r="AP49">
            <v>282.72120761468784</v>
          </cell>
          <cell r="AQ49">
            <v>292.40775035326772</v>
          </cell>
          <cell r="AR49">
            <v>302.52375159188944</v>
          </cell>
          <cell r="AS49">
            <v>321.66661100652601</v>
          </cell>
          <cell r="AT49">
            <v>321.66661100652601</v>
          </cell>
          <cell r="AU49">
            <v>2.6409895817524898E-3</v>
          </cell>
          <cell r="AV49">
            <v>2.6541945296612579E-3</v>
          </cell>
          <cell r="AW49">
            <v>2.6674655023095628E-3</v>
          </cell>
          <cell r="AX49">
            <v>2.6808028298211106E-3</v>
          </cell>
          <cell r="AY49">
            <v>0</v>
          </cell>
          <cell r="BB49" t="str">
            <v>mstag:netIssuanceRepurchaseOfCommonStock</v>
          </cell>
          <cell r="BC49">
            <v>3</v>
          </cell>
          <cell r="BD49" t="str">
            <v>ISO4217:USD</v>
          </cell>
          <cell r="BE49" t="b">
            <v>0</v>
          </cell>
        </row>
        <row r="50">
          <cell r="A50" t="str">
            <v>Check</v>
          </cell>
          <cell r="F50" t="str">
            <v>OK</v>
          </cell>
          <cell r="G50" t="str">
            <v>OK</v>
          </cell>
          <cell r="H50" t="str">
            <v>OK</v>
          </cell>
          <cell r="I50" t="str">
            <v>OK</v>
          </cell>
          <cell r="J50" t="str">
            <v>OK</v>
          </cell>
          <cell r="K50" t="str">
            <v>ERROR</v>
          </cell>
          <cell r="L50" t="str">
            <v>OK</v>
          </cell>
          <cell r="M50" t="str">
            <v>OK</v>
          </cell>
          <cell r="N50" t="str">
            <v>OK</v>
          </cell>
          <cell r="O50" t="str">
            <v>OK</v>
          </cell>
          <cell r="P50" t="str">
            <v>OK</v>
          </cell>
          <cell r="Q50" t="str">
            <v>OK</v>
          </cell>
          <cell r="R50" t="str">
            <v>OK</v>
          </cell>
          <cell r="S50" t="str">
            <v>OK</v>
          </cell>
          <cell r="T50" t="str">
            <v>OK</v>
          </cell>
          <cell r="U50" t="str">
            <v>OK</v>
          </cell>
          <cell r="V50" t="str">
            <v>OK</v>
          </cell>
          <cell r="W50" t="str">
            <v>OK</v>
          </cell>
          <cell r="X50" t="str">
            <v>OK</v>
          </cell>
          <cell r="Y50" t="str">
            <v>OK</v>
          </cell>
          <cell r="Z50" t="str">
            <v>OK</v>
          </cell>
          <cell r="AA50" t="str">
            <v>OK</v>
          </cell>
          <cell r="AB50" t="str">
            <v>OK</v>
          </cell>
          <cell r="AC50" t="str">
            <v>OK</v>
          </cell>
          <cell r="AD50" t="str">
            <v>OK</v>
          </cell>
          <cell r="AE50" t="str">
            <v>OK</v>
          </cell>
          <cell r="AF50" t="str">
            <v>OK</v>
          </cell>
          <cell r="AG50" t="str">
            <v>OK</v>
          </cell>
          <cell r="AH50" t="str">
            <v>OK</v>
          </cell>
          <cell r="AI50" t="str">
            <v>OK</v>
          </cell>
          <cell r="AJ50" t="str">
            <v>OK</v>
          </cell>
          <cell r="AK50" t="str">
            <v>OK</v>
          </cell>
          <cell r="AL50" t="str">
            <v>OK</v>
          </cell>
          <cell r="AM50" t="str">
            <v>OK</v>
          </cell>
          <cell r="AN50" t="str">
            <v>OK</v>
          </cell>
          <cell r="AO50" t="str">
            <v>OK</v>
          </cell>
          <cell r="AP50" t="str">
            <v>OK</v>
          </cell>
          <cell r="AQ50" t="str">
            <v>OK</v>
          </cell>
          <cell r="AR50" t="str">
            <v>OK</v>
          </cell>
          <cell r="AS50" t="str">
            <v>OK</v>
          </cell>
          <cell r="AT50" t="str">
            <v>OK</v>
          </cell>
          <cell r="AU50">
            <v>16.255312583733428</v>
          </cell>
          <cell r="AV50">
            <v>16.354143975167972</v>
          </cell>
          <cell r="AW50">
            <v>16.457739263600217</v>
          </cell>
          <cell r="AX50">
            <v>16.566335755516661</v>
          </cell>
          <cell r="AY50">
            <v>-18.246808667679545</v>
          </cell>
          <cell r="BB50" t="str">
            <v>mstag:changeInAccumulatedOtherComprehensiveIncomeLossOrOtherReserves</v>
          </cell>
          <cell r="BC50">
            <v>3</v>
          </cell>
          <cell r="BD50" t="str">
            <v>ISO4217:USD</v>
          </cell>
          <cell r="BE50" t="b">
            <v>0</v>
          </cell>
        </row>
        <row r="51">
          <cell r="A51" t="str">
            <v>Unrecorded Goodwill from Pooling</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cell r="AI51">
            <v>0</v>
          </cell>
          <cell r="AJ51">
            <v>0</v>
          </cell>
          <cell r="AK51">
            <v>0</v>
          </cell>
          <cell r="AL51">
            <v>0</v>
          </cell>
          <cell r="AM51">
            <v>0</v>
          </cell>
          <cell r="AN51">
            <v>0</v>
          </cell>
          <cell r="AO51">
            <v>0</v>
          </cell>
          <cell r="AP51">
            <v>0</v>
          </cell>
          <cell r="AQ51">
            <v>0</v>
          </cell>
          <cell r="AR51">
            <v>0</v>
          </cell>
          <cell r="AS51">
            <v>0</v>
          </cell>
          <cell r="AT51">
            <v>0</v>
          </cell>
          <cell r="AU51">
            <v>351.03609872245988</v>
          </cell>
          <cell r="AV51">
            <v>368.95425868032498</v>
          </cell>
          <cell r="AW51" t="str">
            <v>mstag:unrecordedGoodwillFromPoolingAndAmortizedOrWrittenOffGoodwill</v>
          </cell>
          <cell r="AX51">
            <v>3</v>
          </cell>
          <cell r="AY51" t="str">
            <v>ISO4217:USD</v>
          </cell>
          <cell r="AZ51" t="b">
            <v>0</v>
          </cell>
        </row>
        <row r="52">
          <cell r="A52" t="str">
            <v>Check</v>
          </cell>
          <cell r="F52" t="str">
            <v>OK</v>
          </cell>
          <cell r="G52" t="str">
            <v>OK</v>
          </cell>
          <cell r="H52" t="str">
            <v>OK</v>
          </cell>
          <cell r="I52" t="str">
            <v>OK</v>
          </cell>
          <cell r="J52" t="str">
            <v>OK</v>
          </cell>
          <cell r="K52" t="str">
            <v>ERROR</v>
          </cell>
          <cell r="L52" t="str">
            <v>OK</v>
          </cell>
          <cell r="M52" t="str">
            <v>OK</v>
          </cell>
          <cell r="N52" t="str">
            <v>OK</v>
          </cell>
          <cell r="O52" t="str">
            <v>OK</v>
          </cell>
          <cell r="P52" t="str">
            <v>OK</v>
          </cell>
          <cell r="Q52" t="str">
            <v>OK</v>
          </cell>
          <cell r="R52" t="str">
            <v>OK</v>
          </cell>
          <cell r="S52" t="str">
            <v>OK</v>
          </cell>
          <cell r="T52" t="str">
            <v>OK</v>
          </cell>
          <cell r="U52" t="str">
            <v>OK</v>
          </cell>
          <cell r="V52" t="str">
            <v>OK</v>
          </cell>
          <cell r="W52" t="str">
            <v>OK</v>
          </cell>
          <cell r="X52" t="str">
            <v>OK</v>
          </cell>
          <cell r="Y52" t="str">
            <v>OK</v>
          </cell>
          <cell r="Z52" t="str">
            <v>OK</v>
          </cell>
          <cell r="AA52" t="str">
            <v>OK</v>
          </cell>
          <cell r="AB52" t="str">
            <v>OK</v>
          </cell>
          <cell r="AC52" t="str">
            <v>OK</v>
          </cell>
          <cell r="AD52" t="str">
            <v>OK</v>
          </cell>
          <cell r="AE52" t="str">
            <v>OK</v>
          </cell>
          <cell r="AF52" t="str">
            <v>OK</v>
          </cell>
          <cell r="AG52" t="str">
            <v>OK</v>
          </cell>
          <cell r="AH52" t="str">
            <v>OK</v>
          </cell>
          <cell r="AI52" t="str">
            <v>OK</v>
          </cell>
          <cell r="AJ52" t="str">
            <v>OK</v>
          </cell>
          <cell r="AK52" t="str">
            <v>OK</v>
          </cell>
          <cell r="AL52" t="str">
            <v>OK</v>
          </cell>
          <cell r="AM52" t="str">
            <v>OK</v>
          </cell>
          <cell r="AN52" t="str">
            <v>OK</v>
          </cell>
          <cell r="AO52" t="str">
            <v>OK</v>
          </cell>
          <cell r="AP52" t="str">
            <v>OK</v>
          </cell>
          <cell r="AQ52" t="str">
            <v>OK</v>
          </cell>
          <cell r="AR52" t="str">
            <v>OK</v>
          </cell>
          <cell r="AS52" t="str">
            <v>OK</v>
          </cell>
          <cell r="AT52" t="str">
            <v>OK</v>
          </cell>
          <cell r="AU52" t="str">
            <v>OK</v>
          </cell>
          <cell r="AV52" t="str">
            <v>OK</v>
          </cell>
          <cell r="AW52" t="str">
            <v>OK</v>
          </cell>
          <cell r="AX52" t="str">
            <v>OK</v>
          </cell>
          <cell r="AY52" t="str">
            <v>OK</v>
          </cell>
        </row>
        <row r="53">
          <cell r="A53" t="str">
            <v>Balance Sheet Drivers</v>
          </cell>
          <cell r="F53">
            <v>0</v>
          </cell>
          <cell r="G53">
            <v>0</v>
          </cell>
          <cell r="H53">
            <v>0</v>
          </cell>
          <cell r="I53">
            <v>0</v>
          </cell>
          <cell r="J53">
            <v>0</v>
          </cell>
          <cell r="K53">
            <v>0</v>
          </cell>
          <cell r="L53">
            <v>0</v>
          </cell>
          <cell r="M53">
            <v>0</v>
          </cell>
          <cell r="N53">
            <v>0</v>
          </cell>
          <cell r="O53">
            <v>0</v>
          </cell>
          <cell r="P53">
            <v>0</v>
          </cell>
          <cell r="Q53">
            <v>0</v>
          </cell>
          <cell r="R53">
            <v>0</v>
          </cell>
          <cell r="S53">
            <v>0</v>
          </cell>
          <cell r="T53">
            <v>0</v>
          </cell>
          <cell r="U53">
            <v>0</v>
          </cell>
          <cell r="V53">
            <v>0</v>
          </cell>
          <cell r="W53">
            <v>0</v>
          </cell>
          <cell r="X53">
            <v>0</v>
          </cell>
          <cell r="Y53">
            <v>0</v>
          </cell>
          <cell r="Z53">
            <v>0</v>
          </cell>
          <cell r="AA53">
            <v>0</v>
          </cell>
          <cell r="AB53">
            <v>0</v>
          </cell>
          <cell r="AC53">
            <v>0</v>
          </cell>
          <cell r="AD53">
            <v>0</v>
          </cell>
          <cell r="AE53">
            <v>0</v>
          </cell>
          <cell r="AF53">
            <v>0</v>
          </cell>
          <cell r="AG53">
            <v>0</v>
          </cell>
          <cell r="AH53">
            <v>0</v>
          </cell>
          <cell r="AI53">
            <v>0</v>
          </cell>
          <cell r="AJ53">
            <v>0</v>
          </cell>
          <cell r="AK53">
            <v>0</v>
          </cell>
          <cell r="AL53">
            <v>0</v>
          </cell>
          <cell r="AM53">
            <v>0</v>
          </cell>
          <cell r="AN53">
            <v>0</v>
          </cell>
          <cell r="AO53">
            <v>0</v>
          </cell>
          <cell r="AP53">
            <v>0</v>
          </cell>
          <cell r="AQ53">
            <v>0</v>
          </cell>
          <cell r="AR53">
            <v>0</v>
          </cell>
          <cell r="AS53">
            <v>0</v>
          </cell>
          <cell r="AT53">
            <v>0</v>
          </cell>
          <cell r="AU53">
            <v>0</v>
          </cell>
          <cell r="AV53">
            <v>0</v>
          </cell>
          <cell r="AW53">
            <v>0</v>
          </cell>
          <cell r="AX53">
            <v>0</v>
          </cell>
          <cell r="AY53">
            <v>0</v>
          </cell>
          <cell r="BB53" t="str">
            <v>mstag:unrecordedGoodwillFromPoolingAndAmortizedOrWrittenOffGoodwill</v>
          </cell>
          <cell r="BC53">
            <v>3</v>
          </cell>
          <cell r="BD53" t="str">
            <v>ISO4217:USD</v>
          </cell>
          <cell r="BE53" t="b">
            <v>0</v>
          </cell>
        </row>
        <row r="54">
          <cell r="A54" t="str">
            <v>DSO</v>
          </cell>
          <cell r="F54">
            <v>0</v>
          </cell>
          <cell r="G54" t="str">
            <v/>
          </cell>
          <cell r="H54" t="str">
            <v/>
          </cell>
          <cell r="I54" t="str">
            <v/>
          </cell>
          <cell r="J54" t="str">
            <v/>
          </cell>
          <cell r="K54">
            <v>0</v>
          </cell>
          <cell r="L54">
            <v>0</v>
          </cell>
          <cell r="M54">
            <v>0</v>
          </cell>
          <cell r="N54">
            <v>0</v>
          </cell>
          <cell r="O54">
            <v>53.432432432432435</v>
          </cell>
          <cell r="P54">
            <v>67.782857142857139</v>
          </cell>
          <cell r="Q54">
            <v>61.21595011486707</v>
          </cell>
          <cell r="R54">
            <v>68.195906623945575</v>
          </cell>
          <cell r="S54">
            <v>69.007695676656454</v>
          </cell>
          <cell r="T54">
            <v>55.893946709977612</v>
          </cell>
          <cell r="U54">
            <v>77.953354970186439</v>
          </cell>
          <cell r="V54">
            <v>67.825960560104662</v>
          </cell>
          <cell r="W54">
            <v>77.087363674900772</v>
          </cell>
          <cell r="X54">
            <v>62.148012703300935</v>
          </cell>
          <cell r="Y54">
            <v>72.198837209302326</v>
          </cell>
          <cell r="AA54">
            <v>56.820198435105262</v>
          </cell>
          <cell r="AB54">
            <v>68.14490929118989</v>
          </cell>
          <cell r="AC54">
            <v>69.478720338168884</v>
          </cell>
          <cell r="AD54">
            <v>88.237945573016461</v>
          </cell>
          <cell r="AF54">
            <v>59.650742042057793</v>
          </cell>
          <cell r="AG54">
            <v>54.837378314117807</v>
          </cell>
          <cell r="AH54">
            <v>69</v>
          </cell>
          <cell r="AI54">
            <v>89</v>
          </cell>
          <cell r="AK54">
            <v>68</v>
          </cell>
          <cell r="AL54">
            <v>71</v>
          </cell>
          <cell r="AM54">
            <v>76</v>
          </cell>
          <cell r="AN54">
            <v>90</v>
          </cell>
          <cell r="AP54">
            <v>68</v>
          </cell>
          <cell r="AQ54">
            <v>72</v>
          </cell>
          <cell r="AR54">
            <v>78</v>
          </cell>
          <cell r="AS54">
            <v>90</v>
          </cell>
        </row>
        <row r="55">
          <cell r="A55" t="str">
            <v>DSO (Adjusted for Deferred)</v>
          </cell>
          <cell r="O55">
            <v>43.838849602682799</v>
          </cell>
          <cell r="P55">
            <v>59.159831277592623</v>
          </cell>
          <cell r="Q55">
            <v>60.950970912899841</v>
          </cell>
          <cell r="R55">
            <v>58.153495022823513</v>
          </cell>
          <cell r="S55">
            <v>63.297036848361358</v>
          </cell>
          <cell r="T55">
            <v>44.555823986194994</v>
          </cell>
          <cell r="U55">
            <v>66.860272411828689</v>
          </cell>
          <cell r="V55">
            <v>61.150473933649295</v>
          </cell>
          <cell r="W55">
            <v>64.68671259528594</v>
          </cell>
          <cell r="X55">
            <v>52.435864922584088</v>
          </cell>
          <cell r="Y55">
            <v>53.264552838649621</v>
          </cell>
          <cell r="Z55">
            <v>83.316845114413894</v>
          </cell>
          <cell r="AA55">
            <v>49.064532380690672</v>
          </cell>
          <cell r="AB55">
            <v>57.978668716633017</v>
          </cell>
          <cell r="AC55">
            <v>62.83945803266888</v>
          </cell>
          <cell r="AD55">
            <v>55.064640326126955</v>
          </cell>
          <cell r="AE55">
            <v>89.432279273997963</v>
          </cell>
          <cell r="AF55">
            <v>57.825828987832573</v>
          </cell>
          <cell r="AG55">
            <v>48.179659457568263</v>
          </cell>
          <cell r="AH55">
            <v>59.410940980355946</v>
          </cell>
          <cell r="AI55">
            <v>54.836392602429143</v>
          </cell>
          <cell r="AJ55">
            <v>84.6622679237081</v>
          </cell>
          <cell r="AK55">
            <v>60.123507964179637</v>
          </cell>
          <cell r="AL55">
            <v>60.385719342943879</v>
          </cell>
          <cell r="AM55">
            <v>68.047540083084101</v>
          </cell>
          <cell r="AN55">
            <v>58.873752629770088</v>
          </cell>
          <cell r="AO55">
            <v>87.499104279833361</v>
          </cell>
          <cell r="AP55">
            <v>68.327159646780942</v>
          </cell>
          <cell r="AQ55">
            <v>64.291005863383859</v>
          </cell>
          <cell r="AR55">
            <v>71.91689235624554</v>
          </cell>
          <cell r="AS55">
            <v>60.508052488464465</v>
          </cell>
          <cell r="AT55">
            <v>87.52806964414431</v>
          </cell>
        </row>
        <row r="56">
          <cell r="A56" t="str">
            <v>A/R Turnover</v>
          </cell>
          <cell r="F56">
            <v>0</v>
          </cell>
          <cell r="G56" t="str">
            <v/>
          </cell>
          <cell r="H56" t="str">
            <v/>
          </cell>
          <cell r="I56" t="str">
            <v/>
          </cell>
          <cell r="J56" t="str">
            <v/>
          </cell>
          <cell r="K56" t="str">
            <v/>
          </cell>
          <cell r="L56" t="str">
            <v/>
          </cell>
          <cell r="M56" t="str">
            <v/>
          </cell>
          <cell r="N56" t="str">
            <v/>
          </cell>
          <cell r="O56">
            <v>6.737481031866464</v>
          </cell>
          <cell r="P56">
            <v>5.3110773899848258</v>
          </cell>
          <cell r="Q56">
            <v>5.8808202653799766</v>
          </cell>
          <cell r="R56">
            <v>5.2789092164307911</v>
          </cell>
          <cell r="S56">
            <v>5.2168094655242756</v>
          </cell>
          <cell r="T56">
            <v>6.4407690132880973</v>
          </cell>
          <cell r="U56">
            <v>77.953354970186439</v>
          </cell>
          <cell r="V56">
            <v>5.3077021987913078</v>
          </cell>
          <cell r="W56">
            <v>4.6700260955637543</v>
          </cell>
          <cell r="X56">
            <v>5.7926228746631976</v>
          </cell>
          <cell r="Y56">
            <v>4.9862298883896221</v>
          </cell>
          <cell r="AA56">
            <v>6.3357751277683141</v>
          </cell>
          <cell r="AB56">
            <v>5.2828597725720732</v>
          </cell>
          <cell r="AC56">
            <v>5.181442580516701</v>
          </cell>
          <cell r="AD56">
            <v>4.079877400387816</v>
          </cell>
          <cell r="AF56">
            <v>6.0351302880050639</v>
          </cell>
          <cell r="AG56">
            <v>6.5648652628478867</v>
          </cell>
          <cell r="AH56">
            <v>5.2173913043478262</v>
          </cell>
          <cell r="AI56">
            <v>4.0449438202247192</v>
          </cell>
          <cell r="AK56">
            <v>5.2941176470588234</v>
          </cell>
          <cell r="AL56">
            <v>5.070422535211268</v>
          </cell>
          <cell r="AM56">
            <v>4.7368421052631584</v>
          </cell>
          <cell r="AN56">
            <v>4</v>
          </cell>
          <cell r="AP56">
            <v>5.2941176470588234</v>
          </cell>
          <cell r="AQ56">
            <v>5.0000000000000009</v>
          </cell>
          <cell r="AR56">
            <v>4.6153846153846159</v>
          </cell>
          <cell r="AS56">
            <v>4</v>
          </cell>
          <cell r="AU56">
            <v>56</v>
          </cell>
          <cell r="AV56">
            <v>51</v>
          </cell>
          <cell r="AW56">
            <v>61</v>
          </cell>
          <cell r="AX56">
            <v>81</v>
          </cell>
        </row>
        <row r="57">
          <cell r="A57" t="str">
            <v>Days Payable (on total expense)</v>
          </cell>
          <cell r="G57" t="str">
            <v/>
          </cell>
          <cell r="H57" t="str">
            <v/>
          </cell>
          <cell r="I57" t="str">
            <v/>
          </cell>
          <cell r="J57" t="str">
            <v/>
          </cell>
          <cell r="K57" t="str">
            <v/>
          </cell>
          <cell r="L57" t="str">
            <v/>
          </cell>
          <cell r="M57" t="str">
            <v/>
          </cell>
          <cell r="N57" t="str">
            <v/>
          </cell>
          <cell r="O57" t="str">
            <v/>
          </cell>
          <cell r="P57">
            <v>7.4507962831987902</v>
          </cell>
          <cell r="Q57">
            <v>5.3834167063681129</v>
          </cell>
          <cell r="R57">
            <v>4.2947017615452623</v>
          </cell>
          <cell r="S57">
            <v>4.7158455471187235</v>
          </cell>
          <cell r="T57">
            <v>3.6433686834544523</v>
          </cell>
          <cell r="U57">
            <v>5.0758601406834023</v>
          </cell>
          <cell r="V57">
            <v>9.1700164443632399</v>
          </cell>
          <cell r="W57">
            <v>11.446662223313574</v>
          </cell>
          <cell r="X57">
            <v>3.2318166747046062</v>
          </cell>
          <cell r="Y57">
            <v>3.1611607142857148</v>
          </cell>
          <cell r="Z57">
            <v>4.2291459287278519</v>
          </cell>
          <cell r="AA57">
            <v>5.733946644394222</v>
          </cell>
          <cell r="AB57">
            <v>3.7262218482184379</v>
          </cell>
          <cell r="AC57">
            <v>2.0675720515737583</v>
          </cell>
          <cell r="AD57">
            <v>2.4019742253907319</v>
          </cell>
          <cell r="AE57">
            <v>2.9694323144104802</v>
          </cell>
          <cell r="AF57">
            <v>3.6986534276387375</v>
          </cell>
          <cell r="AG57">
            <v>2.4352581541828067</v>
          </cell>
          <cell r="AH57">
            <v>2</v>
          </cell>
          <cell r="AI57">
            <v>2</v>
          </cell>
          <cell r="AJ57">
            <v>2.211911429940641</v>
          </cell>
          <cell r="AK57">
            <v>4</v>
          </cell>
          <cell r="AL57">
            <v>5</v>
          </cell>
          <cell r="AM57">
            <v>2</v>
          </cell>
          <cell r="AN57">
            <v>2</v>
          </cell>
          <cell r="AO57">
            <v>2.2964554620343134</v>
          </cell>
          <cell r="AP57">
            <v>7</v>
          </cell>
          <cell r="AQ57">
            <v>9</v>
          </cell>
          <cell r="AR57">
            <v>2</v>
          </cell>
          <cell r="AS57">
            <v>2</v>
          </cell>
          <cell r="AT57">
            <v>2.1844216405012542</v>
          </cell>
          <cell r="AU57">
            <v>60.471951898504607</v>
          </cell>
          <cell r="AV57">
            <v>47.643459729645357</v>
          </cell>
          <cell r="AW57">
            <v>52.07463479340236</v>
          </cell>
          <cell r="AX57">
            <v>59.947026285046782</v>
          </cell>
          <cell r="AY57">
            <v>85.721865856857093</v>
          </cell>
        </row>
        <row r="58">
          <cell r="A58" t="str">
            <v>A/P Turnover</v>
          </cell>
          <cell r="G58" t="str">
            <v/>
          </cell>
          <cell r="H58" t="str">
            <v/>
          </cell>
          <cell r="I58" t="str">
            <v/>
          </cell>
          <cell r="J58" t="str">
            <v/>
          </cell>
          <cell r="K58" t="str">
            <v/>
          </cell>
          <cell r="L58" t="str">
            <v/>
          </cell>
          <cell r="M58" t="str">
            <v/>
          </cell>
          <cell r="N58" t="str">
            <v/>
          </cell>
          <cell r="O58">
            <v>0</v>
          </cell>
          <cell r="P58">
            <v>48.988052568697732</v>
          </cell>
          <cell r="Q58">
            <v>67.800807537012105</v>
          </cell>
          <cell r="R58">
            <v>84.988439306358401</v>
          </cell>
          <cell r="S58">
            <v>77.398633257403191</v>
          </cell>
          <cell r="T58">
            <v>100.18201058201061</v>
          </cell>
          <cell r="U58">
            <v>71.908994708994726</v>
          </cell>
          <cell r="V58">
            <v>39.803636363636357</v>
          </cell>
          <cell r="W58">
            <v>31.887024608501115</v>
          </cell>
          <cell r="X58">
            <v>112.93957446808508</v>
          </cell>
          <cell r="Y58">
            <v>115.46391752577318</v>
          </cell>
          <cell r="AA58">
            <v>63.655981235340114</v>
          </cell>
          <cell r="AB58">
            <v>97.954446854663772</v>
          </cell>
          <cell r="AC58">
            <v>176.53556485355648</v>
          </cell>
          <cell r="AD58">
            <v>151.95833333333334</v>
          </cell>
          <cell r="AF58">
            <v>98.684563758389274</v>
          </cell>
          <cell r="AG58">
            <v>149.88144044321334</v>
          </cell>
          <cell r="AH58">
            <v>5.8252060375960735</v>
          </cell>
          <cell r="AI58">
            <v>4.615384615384615</v>
          </cell>
          <cell r="AK58">
            <v>6.5454545454545459</v>
          </cell>
          <cell r="AL58">
            <v>7.2</v>
          </cell>
          <cell r="AM58">
            <v>6.2068965517241388</v>
          </cell>
          <cell r="AN58">
            <v>4.8</v>
          </cell>
          <cell r="AP58">
            <v>6.5454545454545459</v>
          </cell>
          <cell r="AQ58">
            <v>7.1999999999999993</v>
          </cell>
          <cell r="AR58">
            <v>6.0000000000000009</v>
          </cell>
          <cell r="AS58">
            <v>4.5</v>
          </cell>
          <cell r="AU58">
            <v>6.4285714285714279</v>
          </cell>
          <cell r="AV58">
            <v>7.0588235294117645</v>
          </cell>
          <cell r="AW58">
            <v>5.9016393442622954</v>
          </cell>
          <cell r="AX58">
            <v>4.4444444444444446</v>
          </cell>
        </row>
        <row r="59">
          <cell r="A59" t="str">
            <v>Accounts Receivables, net: % of total tevenue</v>
          </cell>
          <cell r="G59" t="str">
            <v/>
          </cell>
          <cell r="H59" t="str">
            <v/>
          </cell>
          <cell r="I59" t="str">
            <v/>
          </cell>
          <cell r="J59" t="str">
            <v/>
          </cell>
          <cell r="K59" t="str">
            <v/>
          </cell>
          <cell r="L59">
            <v>0</v>
          </cell>
          <cell r="M59">
            <v>0</v>
          </cell>
          <cell r="N59">
            <v>0</v>
          </cell>
          <cell r="O59">
            <v>0.59369369369369374</v>
          </cell>
          <cell r="P59">
            <v>7.4507962831987902</v>
          </cell>
          <cell r="Q59">
            <v>0.68017722349852305</v>
          </cell>
          <cell r="R59">
            <v>0.75773229582161761</v>
          </cell>
          <cell r="S59">
            <v>0.76675217418507169</v>
          </cell>
          <cell r="T59">
            <v>0.62104385233308457</v>
          </cell>
          <cell r="U59">
            <v>5.0758601406834023</v>
          </cell>
          <cell r="V59">
            <v>0.75362178400116286</v>
          </cell>
          <cell r="W59">
            <v>0.85652626305445301</v>
          </cell>
          <cell r="X59">
            <v>0.69053347448112157</v>
          </cell>
          <cell r="Y59">
            <v>0.8022093023255813</v>
          </cell>
          <cell r="Z59">
            <v>4.2291459287278519</v>
          </cell>
          <cell r="AA59">
            <v>0.63133553816783627</v>
          </cell>
          <cell r="AB59">
            <v>0.75716565879099884</v>
          </cell>
          <cell r="AC59">
            <v>0.7719857815352098</v>
          </cell>
          <cell r="AD59">
            <v>0.98042161747796075</v>
          </cell>
          <cell r="AE59">
            <v>2.9694323144104802</v>
          </cell>
          <cell r="AF59">
            <v>0.66278602268953102</v>
          </cell>
          <cell r="AG59">
            <v>0.60930420349019787</v>
          </cell>
          <cell r="AH59">
            <v>0.76666666666666661</v>
          </cell>
          <cell r="AI59">
            <v>0.98888888888888893</v>
          </cell>
          <cell r="AJ59">
            <v>2.2994058892199307</v>
          </cell>
          <cell r="AK59">
            <v>0.75555555555555554</v>
          </cell>
          <cell r="AL59">
            <v>0.78888888888888875</v>
          </cell>
          <cell r="AM59">
            <v>0.84444444444444444</v>
          </cell>
          <cell r="AN59">
            <v>1</v>
          </cell>
          <cell r="AO59">
            <v>2.295889486670601</v>
          </cell>
          <cell r="AP59">
            <v>0.75555555555555554</v>
          </cell>
          <cell r="AQ59">
            <v>0.79999999999999982</v>
          </cell>
          <cell r="AR59">
            <v>0.86666666666666659</v>
          </cell>
          <cell r="AS59">
            <v>1</v>
          </cell>
          <cell r="AT59">
            <v>2.3083456917830225</v>
          </cell>
          <cell r="AU59">
            <v>4</v>
          </cell>
          <cell r="AV59">
            <v>2</v>
          </cell>
          <cell r="AW59">
            <v>2</v>
          </cell>
          <cell r="AX59">
            <v>2</v>
          </cell>
          <cell r="AY59">
            <v>2.2676010460768237</v>
          </cell>
        </row>
        <row r="60">
          <cell r="A60" t="str">
            <v>A/P Turnover</v>
          </cell>
          <cell r="O60">
            <v>0</v>
          </cell>
          <cell r="P60">
            <v>48.988052568697732</v>
          </cell>
          <cell r="Q60">
            <v>67.800807537012105</v>
          </cell>
          <cell r="R60">
            <v>84.988439306358401</v>
          </cell>
          <cell r="S60">
            <v>77.398633257403191</v>
          </cell>
          <cell r="T60">
            <v>100.18201058201061</v>
          </cell>
          <cell r="U60">
            <v>71.908994708994726</v>
          </cell>
          <cell r="V60">
            <v>39.803636363636357</v>
          </cell>
          <cell r="W60">
            <v>31.887024608501115</v>
          </cell>
          <cell r="X60">
            <v>112.93957446808508</v>
          </cell>
          <cell r="Y60">
            <v>115.46391752577318</v>
          </cell>
          <cell r="AA60">
            <v>63.655981235340114</v>
          </cell>
          <cell r="AB60">
            <v>97.954446854663772</v>
          </cell>
          <cell r="AC60">
            <v>176.53556485355648</v>
          </cell>
          <cell r="AD60">
            <v>151.95833333333334</v>
          </cell>
          <cell r="AF60">
            <v>98.684563758389274</v>
          </cell>
          <cell r="AG60">
            <v>149.88144044321334</v>
          </cell>
          <cell r="AH60">
            <v>154.13280475718534</v>
          </cell>
        </row>
        <row r="61">
          <cell r="A61" t="str">
            <v>Current Deferred Revenues</v>
          </cell>
          <cell r="G61" t="str">
            <v/>
          </cell>
          <cell r="H61" t="str">
            <v/>
          </cell>
          <cell r="I61" t="str">
            <v/>
          </cell>
          <cell r="J61" t="str">
            <v/>
          </cell>
          <cell r="L61">
            <v>0</v>
          </cell>
          <cell r="M61">
            <v>0</v>
          </cell>
          <cell r="N61">
            <v>0</v>
          </cell>
          <cell r="O61">
            <v>10.64</v>
          </cell>
          <cell r="Q61">
            <v>10.753</v>
          </cell>
          <cell r="R61">
            <v>13.116</v>
          </cell>
          <cell r="S61">
            <v>14.786</v>
          </cell>
          <cell r="T61">
            <v>19.501000000000001</v>
          </cell>
          <cell r="V61">
            <v>21.869</v>
          </cell>
          <cell r="W61">
            <v>26.742999999999999</v>
          </cell>
          <cell r="X61">
            <v>31.204000000000001</v>
          </cell>
          <cell r="Y61">
            <v>42.923000000000002</v>
          </cell>
          <cell r="AA61">
            <v>46.676000000000002</v>
          </cell>
          <cell r="AB61">
            <v>54.145000000000003</v>
          </cell>
          <cell r="AC61">
            <v>61.963999999999999</v>
          </cell>
          <cell r="AD61">
            <v>79.567999999999998</v>
          </cell>
          <cell r="AF61">
            <v>84.933000000000007</v>
          </cell>
          <cell r="AG61">
            <v>96.908000000000001</v>
          </cell>
          <cell r="AH61">
            <v>0.68667099055104097</v>
          </cell>
          <cell r="AI61">
            <v>0.8666666666666667</v>
          </cell>
          <cell r="AK61">
            <v>0.61111111111111105</v>
          </cell>
          <cell r="AL61">
            <v>0.55555555555555558</v>
          </cell>
          <cell r="AM61">
            <v>0.64444444444444438</v>
          </cell>
          <cell r="AN61">
            <v>0.83333333333333348</v>
          </cell>
          <cell r="AP61">
            <v>0.61111111111111105</v>
          </cell>
          <cell r="AQ61">
            <v>0.55555555555555558</v>
          </cell>
          <cell r="AR61">
            <v>0.66666666666666663</v>
          </cell>
          <cell r="AS61">
            <v>0.88888888888888895</v>
          </cell>
          <cell r="AU61">
            <v>0.62222222222222223</v>
          </cell>
          <cell r="AV61">
            <v>0.56666666666666665</v>
          </cell>
          <cell r="AW61">
            <v>0.67777777777777781</v>
          </cell>
          <cell r="AX61">
            <v>0.9</v>
          </cell>
        </row>
        <row r="62">
          <cell r="A62" t="str">
            <v xml:space="preserve">     YoY Growth</v>
          </cell>
          <cell r="T62">
            <v>0.83280075187969937</v>
          </cell>
          <cell r="Y62">
            <v>1.2010666119686171</v>
          </cell>
          <cell r="AF62">
            <v>0.81962893135658588</v>
          </cell>
        </row>
        <row r="63">
          <cell r="A63" t="str">
            <v xml:space="preserve">     QoQ Growth</v>
          </cell>
          <cell r="O63">
            <v>10.64</v>
          </cell>
          <cell r="Q63">
            <v>1.0620300751879697E-2</v>
          </cell>
          <cell r="R63">
            <v>0.21975262717381194</v>
          </cell>
          <cell r="S63">
            <v>0.12732540408661186</v>
          </cell>
          <cell r="T63">
            <v>0.31888272690382813</v>
          </cell>
          <cell r="V63">
            <v>0.1214296702733193</v>
          </cell>
          <cell r="W63">
            <v>0.22287255933055916</v>
          </cell>
          <cell r="X63">
            <v>0.16681000635680365</v>
          </cell>
          <cell r="Y63">
            <v>0.37556082553518788</v>
          </cell>
          <cell r="AA63">
            <v>8.7435640565663997E-2</v>
          </cell>
          <cell r="AB63">
            <v>0.16001799640071979</v>
          </cell>
          <cell r="AC63">
            <v>0.14440853264382669</v>
          </cell>
          <cell r="AD63">
            <v>0.28410044541992119</v>
          </cell>
          <cell r="AF63">
            <v>6.7426603659762829E-2</v>
          </cell>
          <cell r="AG63">
            <v>0.1409934889854354</v>
          </cell>
          <cell r="AH63">
            <v>107.712</v>
          </cell>
        </row>
        <row r="64">
          <cell r="A64" t="str">
            <v>LT Deferred Revenues</v>
          </cell>
          <cell r="O64">
            <v>0.67700000000000005</v>
          </cell>
          <cell r="Q64">
            <v>0.78700000000000003</v>
          </cell>
          <cell r="R64">
            <v>1.3140000000000001</v>
          </cell>
          <cell r="S64">
            <v>1.3280000000000001</v>
          </cell>
          <cell r="T64">
            <v>2.8069999999999999</v>
          </cell>
          <cell r="V64">
            <v>3.01</v>
          </cell>
          <cell r="W64">
            <v>3.54</v>
          </cell>
          <cell r="X64">
            <v>5.3659999999999997</v>
          </cell>
          <cell r="Y64">
            <v>9.7420000000000009</v>
          </cell>
          <cell r="AA64">
            <v>12.465999999999999</v>
          </cell>
          <cell r="AB64">
            <v>13.523</v>
          </cell>
          <cell r="AC64">
            <v>12.002000000000001</v>
          </cell>
          <cell r="AD64">
            <v>35.143999999999998</v>
          </cell>
          <cell r="AF64">
            <v>32.404000000000003</v>
          </cell>
          <cell r="AG64">
            <v>30.727</v>
          </cell>
        </row>
        <row r="65">
          <cell r="A65" t="str">
            <v xml:space="preserve">    LT as a % of Total Deferred</v>
          </cell>
          <cell r="O65">
            <v>5.9821507466643109E-2</v>
          </cell>
          <cell r="Q65">
            <v>6.8197573656845756E-2</v>
          </cell>
          <cell r="R65">
            <v>9.1060291060291065E-2</v>
          </cell>
          <cell r="S65">
            <v>8.2412808737743579E-2</v>
          </cell>
          <cell r="T65">
            <v>0.12582929890622199</v>
          </cell>
          <cell r="V65">
            <v>0.12098557015957233</v>
          </cell>
          <cell r="W65">
            <v>0.11689726909487172</v>
          </cell>
          <cell r="X65">
            <v>0.14673229423024337</v>
          </cell>
          <cell r="Y65">
            <v>0.18498053735877718</v>
          </cell>
          <cell r="AA65">
            <v>0.21078083257245273</v>
          </cell>
          <cell r="AB65">
            <v>0.19984335284033811</v>
          </cell>
          <cell r="AC65">
            <v>0.16226374280074632</v>
          </cell>
          <cell r="AD65">
            <v>0.30636725015691474</v>
          </cell>
          <cell r="AF65">
            <v>0.27616182448843929</v>
          </cell>
          <cell r="AG65">
            <v>0.2407411760097152</v>
          </cell>
          <cell r="AH65">
            <v>0.11148718372064237</v>
          </cell>
        </row>
        <row r="66">
          <cell r="A66" t="str">
            <v>LT Deferred Revenues</v>
          </cell>
          <cell r="O66">
            <v>0.67700000000000005</v>
          </cell>
          <cell r="Q66">
            <v>0.78700000000000003</v>
          </cell>
          <cell r="R66">
            <v>1.3140000000000001</v>
          </cell>
          <cell r="S66">
            <v>1.3280000000000001</v>
          </cell>
          <cell r="T66">
            <v>2.8069999999999999</v>
          </cell>
          <cell r="V66">
            <v>3.01</v>
          </cell>
          <cell r="W66">
            <v>3.54</v>
          </cell>
          <cell r="X66">
            <v>5.3659999999999997</v>
          </cell>
          <cell r="Y66">
            <v>9.7420000000000009</v>
          </cell>
          <cell r="AA66">
            <v>12.465999999999999</v>
          </cell>
          <cell r="AB66">
            <v>13.523</v>
          </cell>
          <cell r="AC66">
            <v>12.002000000000001</v>
          </cell>
          <cell r="AD66">
            <v>35.143999999999998</v>
          </cell>
          <cell r="AF66">
            <v>32.404000000000003</v>
          </cell>
          <cell r="AG66">
            <v>30.727</v>
          </cell>
          <cell r="AH66">
            <v>33.433</v>
          </cell>
        </row>
        <row r="67">
          <cell r="A67" t="str">
            <v>Total Deferred Revenues</v>
          </cell>
          <cell r="F67">
            <v>0</v>
          </cell>
          <cell r="G67">
            <v>0</v>
          </cell>
          <cell r="H67">
            <v>0</v>
          </cell>
          <cell r="I67">
            <v>0</v>
          </cell>
          <cell r="J67">
            <v>0</v>
          </cell>
          <cell r="K67">
            <v>0</v>
          </cell>
          <cell r="L67">
            <v>0</v>
          </cell>
          <cell r="M67">
            <v>0</v>
          </cell>
          <cell r="N67">
            <v>0</v>
          </cell>
          <cell r="O67">
            <v>11.317</v>
          </cell>
          <cell r="P67">
            <v>11.317</v>
          </cell>
          <cell r="Q67">
            <v>11.540000000000001</v>
          </cell>
          <cell r="R67">
            <v>14.43</v>
          </cell>
          <cell r="S67">
            <v>16.114000000000001</v>
          </cell>
          <cell r="T67">
            <v>22.308</v>
          </cell>
          <cell r="U67">
            <v>22.308</v>
          </cell>
          <cell r="V67">
            <v>24.878999999999998</v>
          </cell>
          <cell r="W67">
            <v>30.282999999999998</v>
          </cell>
          <cell r="X67">
            <v>36.57</v>
          </cell>
          <cell r="Y67">
            <v>52.665000000000006</v>
          </cell>
          <cell r="Z67">
            <v>52.665000000000006</v>
          </cell>
          <cell r="AA67">
            <v>59.142000000000003</v>
          </cell>
          <cell r="AB67">
            <v>67.668000000000006</v>
          </cell>
          <cell r="AC67">
            <v>73.965999999999994</v>
          </cell>
          <cell r="AD67">
            <v>114.71199999999999</v>
          </cell>
          <cell r="AE67">
            <v>114.71199999999999</v>
          </cell>
          <cell r="AF67">
            <v>117.33700000000002</v>
          </cell>
          <cell r="AG67">
            <v>127.63500000000001</v>
          </cell>
          <cell r="AH67">
            <v>140.10743914514734</v>
          </cell>
          <cell r="AI67">
            <v>194.29309814152424</v>
          </cell>
          <cell r="AJ67">
            <v>194.29309814152424</v>
          </cell>
          <cell r="AK67">
            <v>205.20892538778156</v>
          </cell>
          <cell r="AL67">
            <v>222.28239282580978</v>
          </cell>
          <cell r="AM67">
            <v>234.87735037928286</v>
          </cell>
          <cell r="AN67">
            <v>297.60043819778076</v>
          </cell>
          <cell r="AO67">
            <v>297.60043819778076</v>
          </cell>
          <cell r="AP67">
            <v>298.53610835282018</v>
          </cell>
          <cell r="AQ67">
            <v>314.15492968281194</v>
          </cell>
          <cell r="AR67">
            <v>325.9319348012346</v>
          </cell>
          <cell r="AS67">
            <v>395.6680245526843</v>
          </cell>
          <cell r="AT67">
            <v>395.6680245526843</v>
          </cell>
        </row>
        <row r="68">
          <cell r="A68" t="str">
            <v>YoY % Growth</v>
          </cell>
          <cell r="K68" t="str">
            <v/>
          </cell>
          <cell r="P68" t="str">
            <v/>
          </cell>
          <cell r="T68">
            <v>0.97119377927012462</v>
          </cell>
          <cell r="U68">
            <v>0.97119377927012462</v>
          </cell>
          <cell r="V68">
            <v>1.1558925476603115</v>
          </cell>
          <cell r="W68">
            <v>1.0986139986139984</v>
          </cell>
          <cell r="X68">
            <v>1.2694551321831948</v>
          </cell>
          <cell r="Y68">
            <v>1.3608122646584189</v>
          </cell>
          <cell r="Z68">
            <v>1.3608122646584189</v>
          </cell>
          <cell r="AA68">
            <v>1.377185578198481</v>
          </cell>
          <cell r="AB68">
            <v>1.2345210183931581</v>
          </cell>
          <cell r="AC68">
            <v>1.022586819797648</v>
          </cell>
          <cell r="AD68">
            <v>1.1781448780024681</v>
          </cell>
          <cell r="AE68">
            <v>1.1781448780024681</v>
          </cell>
          <cell r="AF68">
            <v>0.98398769064285974</v>
          </cell>
          <cell r="AG68">
            <v>0.88619436070225199</v>
          </cell>
          <cell r="AH68">
            <v>0.8942140868121482</v>
          </cell>
          <cell r="AI68">
            <v>0.69374693267944298</v>
          </cell>
          <cell r="AJ68">
            <v>0.69374693267944298</v>
          </cell>
          <cell r="AK68">
            <v>0.74888505235161573</v>
          </cell>
          <cell r="AL68">
            <v>0.74154732499557152</v>
          </cell>
          <cell r="AM68">
            <v>0.67640884604247575</v>
          </cell>
          <cell r="AN68">
            <v>0.53170874850637695</v>
          </cell>
          <cell r="AO68">
            <v>0.53170874850637695</v>
          </cell>
          <cell r="AP68">
            <v>0.45479105155235833</v>
          </cell>
          <cell r="AQ68">
            <v>0.41331450363231204</v>
          </cell>
          <cell r="AR68">
            <v>0.3876686461036607</v>
          </cell>
          <cell r="AS68">
            <v>0.32952769474663635</v>
          </cell>
          <cell r="AT68">
            <v>0.32952769474663635</v>
          </cell>
        </row>
        <row r="69">
          <cell r="A69" t="str">
            <v>Total Deferred Revenues</v>
          </cell>
          <cell r="F69">
            <v>0</v>
          </cell>
          <cell r="G69">
            <v>0</v>
          </cell>
          <cell r="H69">
            <v>0</v>
          </cell>
          <cell r="I69">
            <v>0</v>
          </cell>
          <cell r="J69">
            <v>0</v>
          </cell>
          <cell r="K69">
            <v>0</v>
          </cell>
          <cell r="L69">
            <v>0</v>
          </cell>
          <cell r="M69">
            <v>0</v>
          </cell>
          <cell r="N69">
            <v>0</v>
          </cell>
          <cell r="O69">
            <v>11.317</v>
          </cell>
          <cell r="P69">
            <v>11.317</v>
          </cell>
          <cell r="Q69">
            <v>11.540000000000001</v>
          </cell>
          <cell r="R69">
            <v>14.43</v>
          </cell>
          <cell r="S69">
            <v>16.114000000000001</v>
          </cell>
          <cell r="T69">
            <v>22.308</v>
          </cell>
          <cell r="U69">
            <v>22.308</v>
          </cell>
          <cell r="V69">
            <v>24.878999999999998</v>
          </cell>
          <cell r="W69">
            <v>30.282999999999998</v>
          </cell>
          <cell r="X69">
            <v>36.57</v>
          </cell>
          <cell r="Y69">
            <v>52.665000000000006</v>
          </cell>
          <cell r="Z69">
            <v>52.665000000000006</v>
          </cell>
          <cell r="AA69">
            <v>59.142000000000003</v>
          </cell>
          <cell r="AB69">
            <v>67.668000000000006</v>
          </cell>
          <cell r="AC69">
            <v>73.965999999999994</v>
          </cell>
          <cell r="AD69">
            <v>114.71199999999999</v>
          </cell>
          <cell r="AE69">
            <v>114.71199999999999</v>
          </cell>
          <cell r="AF69">
            <v>117.33700000000002</v>
          </cell>
          <cell r="AG69">
            <v>127.63500000000001</v>
          </cell>
          <cell r="AH69">
            <v>141.14500000000001</v>
          </cell>
          <cell r="AI69">
            <v>180.49451010497927</v>
          </cell>
          <cell r="AJ69">
            <v>180.49451010497927</v>
          </cell>
          <cell r="AK69">
            <v>176.54325568363163</v>
          </cell>
          <cell r="AL69">
            <v>184.8200092123576</v>
          </cell>
          <cell r="AM69">
            <v>199.12430447530303</v>
          </cell>
          <cell r="AN69">
            <v>246.25505914626501</v>
          </cell>
          <cell r="AO69">
            <v>246.25505914626501</v>
          </cell>
          <cell r="AP69">
            <v>240.71631918894857</v>
          </cell>
          <cell r="AQ69">
            <v>252.35884627108587</v>
          </cell>
          <cell r="AR69">
            <v>276.71199951301435</v>
          </cell>
          <cell r="AS69">
            <v>336.48361912358786</v>
          </cell>
          <cell r="AT69">
            <v>336.48361912358786</v>
          </cell>
          <cell r="AU69">
            <v>327.91953546489071</v>
          </cell>
          <cell r="AV69">
            <v>341.07281190458599</v>
          </cell>
          <cell r="AW69">
            <v>373.75836861621985</v>
          </cell>
          <cell r="AX69">
            <v>449.75781522576926</v>
          </cell>
          <cell r="AY69">
            <v>449.75781522576926</v>
          </cell>
        </row>
        <row r="70">
          <cell r="A70" t="str">
            <v>Estimates Using % of Sales Approach</v>
          </cell>
          <cell r="K70" t="str">
            <v/>
          </cell>
          <cell r="P70" t="str">
            <v/>
          </cell>
          <cell r="T70">
            <v>0.97119377927012462</v>
          </cell>
          <cell r="U70">
            <v>0.97119377927012462</v>
          </cell>
          <cell r="V70">
            <v>1.1558925476603115</v>
          </cell>
          <cell r="W70">
            <v>1.0986139986139984</v>
          </cell>
          <cell r="X70">
            <v>1.2694551321831948</v>
          </cell>
          <cell r="Y70">
            <v>1.3608122646584189</v>
          </cell>
          <cell r="Z70">
            <v>1.3608122646584189</v>
          </cell>
          <cell r="AA70">
            <v>1.377185578198481</v>
          </cell>
          <cell r="AB70">
            <v>1.2345210183931581</v>
          </cell>
          <cell r="AC70">
            <v>1.022586819797648</v>
          </cell>
          <cell r="AD70">
            <v>1.1781448780024681</v>
          </cell>
          <cell r="AE70">
            <v>1.1781448780024681</v>
          </cell>
          <cell r="AF70">
            <v>0.98398769064285974</v>
          </cell>
          <cell r="AG70">
            <v>0.88619436070225199</v>
          </cell>
          <cell r="AH70">
            <v>0.90824162453018986</v>
          </cell>
          <cell r="AI70">
            <v>0.57345796520834158</v>
          </cell>
          <cell r="AJ70">
            <v>0.57345796520834158</v>
          </cell>
          <cell r="AK70">
            <v>0.50458300181214444</v>
          </cell>
          <cell r="AL70">
            <v>0.44803548566112417</v>
          </cell>
          <cell r="AM70">
            <v>0.41077830936485893</v>
          </cell>
          <cell r="AN70">
            <v>0.36433545265746914</v>
          </cell>
          <cell r="AO70">
            <v>0.36433545265746914</v>
          </cell>
          <cell r="AP70">
            <v>0.36349767798729227</v>
          </cell>
          <cell r="AQ70">
            <v>0.36543033055001284</v>
          </cell>
          <cell r="AR70">
            <v>0.38964452502248093</v>
          </cell>
          <cell r="AS70">
            <v>0.36640286818932277</v>
          </cell>
          <cell r="AT70">
            <v>0.36640286818932277</v>
          </cell>
          <cell r="AU70">
            <v>0.36226549396301033</v>
          </cell>
          <cell r="AV70">
            <v>0.35153895710159833</v>
          </cell>
          <cell r="AW70">
            <v>0.35071254327241852</v>
          </cell>
          <cell r="AX70">
            <v>0.33664104183501631</v>
          </cell>
          <cell r="AY70">
            <v>0.33664104183501631</v>
          </cell>
        </row>
        <row r="71">
          <cell r="A71" t="str">
            <v>Prepaid Expenses and Other Current Assets</v>
          </cell>
          <cell r="G71" t="str">
            <v/>
          </cell>
          <cell r="H71" t="str">
            <v/>
          </cell>
          <cell r="I71" t="str">
            <v/>
          </cell>
          <cell r="J71" t="str">
            <v/>
          </cell>
          <cell r="L71">
            <v>0</v>
          </cell>
          <cell r="M71">
            <v>0</v>
          </cell>
          <cell r="N71">
            <v>0</v>
          </cell>
          <cell r="O71">
            <v>2.6285714285714287E-2</v>
          </cell>
          <cell r="Q71">
            <v>2.7428933021806854E-2</v>
          </cell>
          <cell r="R71">
            <v>3.2012540995441513E-2</v>
          </cell>
          <cell r="S71">
            <v>2.9689905432153069E-2</v>
          </cell>
          <cell r="T71">
            <v>1.9744886406521247E-2</v>
          </cell>
          <cell r="V71">
            <v>3.6253614651386962E-2</v>
          </cell>
          <cell r="W71">
            <v>4.6700721717124381E-2</v>
          </cell>
          <cell r="X71">
            <v>3.6581727039446198E-2</v>
          </cell>
          <cell r="Y71">
            <v>3.5284570349698993E-2</v>
          </cell>
          <cell r="AA71">
            <v>3.1701295580170853E-2</v>
          </cell>
          <cell r="AB71">
            <v>3.0844353757210598E-2</v>
          </cell>
          <cell r="AC71">
            <v>3.2220644073359402E-2</v>
          </cell>
          <cell r="AD71">
            <v>3.4487091844941288E-2</v>
          </cell>
          <cell r="AF71">
            <v>3.2841614906832295E-2</v>
          </cell>
          <cell r="AG71">
            <v>4.3700020716801326E-2</v>
          </cell>
          <cell r="AH71">
            <v>0.03</v>
          </cell>
          <cell r="AI71">
            <v>0.04</v>
          </cell>
          <cell r="AK71">
            <v>4.4999999999999998E-2</v>
          </cell>
          <cell r="AL71">
            <v>4.4999999999999998E-2</v>
          </cell>
          <cell r="AM71">
            <v>4.4999999999999998E-2</v>
          </cell>
          <cell r="AN71">
            <v>0.05</v>
          </cell>
          <cell r="AP71">
            <v>4.4999999999999998E-2</v>
          </cell>
          <cell r="AQ71">
            <v>4.4999999999999998E-2</v>
          </cell>
          <cell r="AR71">
            <v>4.4999999999999998E-2</v>
          </cell>
          <cell r="AS71">
            <v>0.05</v>
          </cell>
        </row>
        <row r="72">
          <cell r="A72" t="str">
            <v>Other Total Assets</v>
          </cell>
          <cell r="G72" t="str">
            <v/>
          </cell>
          <cell r="H72" t="str">
            <v/>
          </cell>
          <cell r="I72" t="str">
            <v/>
          </cell>
          <cell r="J72" t="str">
            <v/>
          </cell>
          <cell r="L72">
            <v>0</v>
          </cell>
          <cell r="M72">
            <v>0</v>
          </cell>
          <cell r="N72">
            <v>0</v>
          </cell>
          <cell r="O72">
            <v>1E-3</v>
          </cell>
          <cell r="Q72">
            <v>8.5183021806853592E-4</v>
          </cell>
          <cell r="R72">
            <v>7.2193230337658058E-4</v>
          </cell>
          <cell r="S72">
            <v>6.414485741514552E-4</v>
          </cell>
          <cell r="T72">
            <v>8.1364631292927762E-3</v>
          </cell>
          <cell r="V72">
            <v>6.8678376352147375E-3</v>
          </cell>
          <cell r="W72">
            <v>5.6237698003561718E-3</v>
          </cell>
          <cell r="X72">
            <v>3.9585446877921666E-3</v>
          </cell>
          <cell r="Y72">
            <v>2.0163794602562086E-2</v>
          </cell>
          <cell r="AA72">
            <v>2.4032684450853163E-3</v>
          </cell>
          <cell r="AB72">
            <v>6.8015425385153389E-3</v>
          </cell>
          <cell r="AC72">
            <v>1.5900950095914985E-3</v>
          </cell>
          <cell r="AD72">
            <v>2.4730577448930351E-3</v>
          </cell>
          <cell r="AF72">
            <v>2.1008403361344537E-3</v>
          </cell>
          <cell r="AG72">
            <v>1.6697741868655479E-3</v>
          </cell>
          <cell r="AH72">
            <v>1.6697741868655479E-3</v>
          </cell>
          <cell r="AI72">
            <v>1.6697741868655479E-3</v>
          </cell>
          <cell r="AK72">
            <v>1.6697741868655479E-3</v>
          </cell>
          <cell r="AL72">
            <v>1.6697741868655479E-3</v>
          </cell>
          <cell r="AM72">
            <v>1.6697741868655479E-3</v>
          </cell>
          <cell r="AN72">
            <v>1.6697741868655479E-3</v>
          </cell>
          <cell r="AP72">
            <v>1.6697741868655479E-3</v>
          </cell>
          <cell r="AQ72">
            <v>1.6697741868655479E-3</v>
          </cell>
          <cell r="AR72">
            <v>1.6697741868655479E-3</v>
          </cell>
          <cell r="AS72">
            <v>1.6697741868655479E-3</v>
          </cell>
        </row>
        <row r="73">
          <cell r="A73" t="str">
            <v>Prepaid Expenses and Other Current Assets</v>
          </cell>
          <cell r="G73" t="str">
            <v/>
          </cell>
          <cell r="H73" t="str">
            <v/>
          </cell>
          <cell r="I73" t="str">
            <v/>
          </cell>
          <cell r="J73" t="str">
            <v/>
          </cell>
          <cell r="L73">
            <v>0</v>
          </cell>
          <cell r="M73">
            <v>0</v>
          </cell>
          <cell r="N73">
            <v>0</v>
          </cell>
          <cell r="O73">
            <v>2.6285714285714287E-2</v>
          </cell>
          <cell r="Q73">
            <v>2.7428933021806854E-2</v>
          </cell>
          <cell r="R73">
            <v>3.2012540995441513E-2</v>
          </cell>
          <cell r="S73">
            <v>2.9689905432153069E-2</v>
          </cell>
          <cell r="T73">
            <v>1.9744886406521247E-2</v>
          </cell>
          <cell r="V73">
            <v>3.6253614651386962E-2</v>
          </cell>
          <cell r="W73">
            <v>4.6700721717124381E-2</v>
          </cell>
          <cell r="X73">
            <v>3.6581727039446198E-2</v>
          </cell>
          <cell r="Y73">
            <v>3.5284570349698993E-2</v>
          </cell>
          <cell r="AA73">
            <v>3.1701295580170853E-2</v>
          </cell>
          <cell r="AB73">
            <v>3.0844353757210598E-2</v>
          </cell>
          <cell r="AC73">
            <v>3.2220644073359402E-2</v>
          </cell>
          <cell r="AD73">
            <v>3.4487091844941288E-2</v>
          </cell>
          <cell r="AF73">
            <v>3.2841614906832295E-2</v>
          </cell>
          <cell r="AG73">
            <v>4.3700020716801326E-2</v>
          </cell>
          <cell r="AH73">
            <v>3.2354499921623661E-2</v>
          </cell>
          <cell r="AI73">
            <v>0.03</v>
          </cell>
          <cell r="AK73">
            <v>0.03</v>
          </cell>
          <cell r="AL73">
            <v>0.03</v>
          </cell>
          <cell r="AM73">
            <v>0.03</v>
          </cell>
          <cell r="AN73">
            <v>0.03</v>
          </cell>
          <cell r="AP73">
            <v>0.03</v>
          </cell>
          <cell r="AQ73">
            <v>0.03</v>
          </cell>
          <cell r="AR73">
            <v>0.03</v>
          </cell>
          <cell r="AS73">
            <v>0.03</v>
          </cell>
          <cell r="AU73">
            <v>0.03</v>
          </cell>
          <cell r="AV73">
            <v>0.03</v>
          </cell>
          <cell r="AW73">
            <v>0.03</v>
          </cell>
          <cell r="AX73">
            <v>0.03</v>
          </cell>
        </row>
        <row r="74">
          <cell r="A74" t="str">
            <v>Estimates Using % of LTM Operating Expense</v>
          </cell>
          <cell r="G74" t="str">
            <v/>
          </cell>
          <cell r="H74" t="str">
            <v/>
          </cell>
          <cell r="I74" t="str">
            <v/>
          </cell>
          <cell r="J74" t="str">
            <v/>
          </cell>
          <cell r="L74">
            <v>0</v>
          </cell>
          <cell r="M74">
            <v>0</v>
          </cell>
          <cell r="N74">
            <v>0</v>
          </cell>
          <cell r="O74">
            <v>1E-3</v>
          </cell>
          <cell r="Q74">
            <v>8.5183021806853592E-4</v>
          </cell>
          <cell r="R74">
            <v>7.2193230337658058E-4</v>
          </cell>
          <cell r="S74">
            <v>6.414485741514552E-4</v>
          </cell>
          <cell r="T74">
            <v>8.1364631292927762E-3</v>
          </cell>
          <cell r="V74">
            <v>6.8678376352147375E-3</v>
          </cell>
          <cell r="W74">
            <v>5.6237698003561718E-3</v>
          </cell>
          <cell r="X74">
            <v>3.9585446877921666E-3</v>
          </cell>
          <cell r="Y74">
            <v>2.0163794602562086E-2</v>
          </cell>
          <cell r="AA74">
            <v>2.4032684450853163E-3</v>
          </cell>
          <cell r="AB74">
            <v>6.8015425385153389E-3</v>
          </cell>
          <cell r="AC74">
            <v>1.5900950095914985E-3</v>
          </cell>
          <cell r="AD74">
            <v>2.4730577448930351E-3</v>
          </cell>
          <cell r="AF74">
            <v>2.1008403361344537E-3</v>
          </cell>
          <cell r="AG74">
            <v>1.6697741868655479E-3</v>
          </cell>
          <cell r="AH74">
            <v>1.8735677656771344E-3</v>
          </cell>
          <cell r="AI74">
            <v>1.8735677656771344E-3</v>
          </cell>
          <cell r="AK74">
            <v>1.8735677656771344E-3</v>
          </cell>
          <cell r="AL74">
            <v>1.8735677656771344E-3</v>
          </cell>
          <cell r="AM74">
            <v>1.8735677656771344E-3</v>
          </cell>
          <cell r="AN74">
            <v>1.8735677656771344E-3</v>
          </cell>
          <cell r="AP74">
            <v>1.8735677656771344E-3</v>
          </cell>
          <cell r="AQ74">
            <v>1.8735677656771344E-3</v>
          </cell>
          <cell r="AR74">
            <v>1.8735677656771344E-3</v>
          </cell>
          <cell r="AS74">
            <v>1.8735677656771344E-3</v>
          </cell>
          <cell r="AU74">
            <v>1.8735677656771344E-3</v>
          </cell>
          <cell r="AV74">
            <v>1.8735677656771344E-3</v>
          </cell>
          <cell r="AW74">
            <v>1.8735677656771344E-3</v>
          </cell>
          <cell r="AX74">
            <v>1.8735677656771344E-3</v>
          </cell>
        </row>
        <row r="75">
          <cell r="A75" t="str">
            <v>Accrued Wages and Payroll Related</v>
          </cell>
          <cell r="O75" t="str">
            <v/>
          </cell>
          <cell r="Q75">
            <v>0.25471698113207547</v>
          </cell>
          <cell r="R75">
            <v>0.17254949691658553</v>
          </cell>
          <cell r="S75">
            <v>0.14343227226125879</v>
          </cell>
          <cell r="T75">
            <v>0.12945759175956711</v>
          </cell>
          <cell r="V75">
            <v>8.163002220153262E-2</v>
          </cell>
          <cell r="W75">
            <v>9.9226051401869145E-2</v>
          </cell>
          <cell r="X75">
            <v>0.10524196462680556</v>
          </cell>
          <cell r="Y75">
            <v>0.14099294249178954</v>
          </cell>
          <cell r="AA75">
            <v>8.9108684379098926E-2</v>
          </cell>
          <cell r="AB75">
            <v>0.12781004441407581</v>
          </cell>
          <cell r="AC75">
            <v>0.15726578314874046</v>
          </cell>
          <cell r="AD75">
            <v>0.15588900467838851</v>
          </cell>
          <cell r="AF75">
            <v>0.10574826214750163</v>
          </cell>
          <cell r="AG75">
            <v>9.9169959041647049E-2</v>
          </cell>
          <cell r="AH75">
            <v>0.11899999999999999</v>
          </cell>
          <cell r="AI75">
            <v>9.5000000000000001E-2</v>
          </cell>
          <cell r="AK75">
            <v>0.104</v>
          </cell>
          <cell r="AL75">
            <v>0.10516995904164705</v>
          </cell>
          <cell r="AM75">
            <v>0.11</v>
          </cell>
          <cell r="AN75">
            <v>0.1</v>
          </cell>
          <cell r="AP75">
            <v>0.11</v>
          </cell>
          <cell r="AQ75">
            <v>0.10516995904164705</v>
          </cell>
          <cell r="AR75">
            <v>0.11</v>
          </cell>
          <cell r="AS75">
            <v>0.11</v>
          </cell>
        </row>
        <row r="76">
          <cell r="A76" t="str">
            <v>Accrued Expenses and Other</v>
          </cell>
          <cell r="O76">
            <v>4.0228571428571426E-2</v>
          </cell>
          <cell r="Q76">
            <v>0.12351502445842069</v>
          </cell>
          <cell r="R76">
            <v>7.3190522557611173E-2</v>
          </cell>
          <cell r="S76">
            <v>4.6685504238453655E-2</v>
          </cell>
          <cell r="T76">
            <v>4.1772605776126216E-2</v>
          </cell>
          <cell r="V76">
            <v>3.3903888849101199E-2</v>
          </cell>
          <cell r="W76">
            <v>4.5049649532710269E-2</v>
          </cell>
          <cell r="X76">
            <v>5.3710261943357457E-2</v>
          </cell>
          <cell r="Y76">
            <v>6.735203689469639E-2</v>
          </cell>
          <cell r="AA76">
            <v>5.1085928682548881E-2</v>
          </cell>
          <cell r="AB76">
            <v>3.6153057738298598E-2</v>
          </cell>
          <cell r="AC76">
            <v>2.8572651715765715E-2</v>
          </cell>
          <cell r="AD76">
            <v>4.2327221125917386E-2</v>
          </cell>
          <cell r="AF76">
            <v>4.7013089410203053E-2</v>
          </cell>
          <cell r="AG76">
            <v>5.5384392330276561E-2</v>
          </cell>
          <cell r="AH76">
            <v>0.05</v>
          </cell>
          <cell r="AI76">
            <v>0.06</v>
          </cell>
          <cell r="AK76">
            <v>0.02</v>
          </cell>
          <cell r="AL76">
            <v>0.02</v>
          </cell>
          <cell r="AM76">
            <v>0.02</v>
          </cell>
          <cell r="AN76">
            <v>0.02</v>
          </cell>
          <cell r="AP76">
            <v>1.4999999999999999E-2</v>
          </cell>
          <cell r="AQ76">
            <v>1.4999999999999999E-2</v>
          </cell>
          <cell r="AR76">
            <v>1.4999999999999999E-2</v>
          </cell>
          <cell r="AS76">
            <v>0.02</v>
          </cell>
        </row>
        <row r="77">
          <cell r="A77" t="str">
            <v>Accrued Wages and Payroll Related</v>
          </cell>
          <cell r="O77" t="str">
            <v/>
          </cell>
          <cell r="Q77">
            <v>0.25471698113207547</v>
          </cell>
          <cell r="R77">
            <v>0.17254949691658553</v>
          </cell>
          <cell r="S77">
            <v>0.14343227226125879</v>
          </cell>
          <cell r="T77">
            <v>0.12945759175956711</v>
          </cell>
          <cell r="V77">
            <v>8.163002220153262E-2</v>
          </cell>
          <cell r="W77">
            <v>9.9226051401869145E-2</v>
          </cell>
          <cell r="X77">
            <v>0.10524196462680556</v>
          </cell>
          <cell r="Y77">
            <v>0.14099294249178954</v>
          </cell>
          <cell r="AA77">
            <v>8.9108684379098926E-2</v>
          </cell>
          <cell r="AB77">
            <v>0.12781004441407581</v>
          </cell>
          <cell r="AC77">
            <v>0.15726578314874046</v>
          </cell>
          <cell r="AD77">
            <v>0.15588900467838851</v>
          </cell>
          <cell r="AF77">
            <v>0.10574826214750163</v>
          </cell>
          <cell r="AG77">
            <v>9.9169959041647049E-2</v>
          </cell>
          <cell r="AH77">
            <v>0.12664006213232865</v>
          </cell>
          <cell r="AI77">
            <v>0.13</v>
          </cell>
          <cell r="AK77">
            <v>0.10574826214750163</v>
          </cell>
          <cell r="AL77">
            <v>9.9169959041647049E-2</v>
          </cell>
          <cell r="AM77">
            <v>0.12664006213232865</v>
          </cell>
          <cell r="AN77">
            <v>0.16</v>
          </cell>
          <cell r="AP77">
            <v>0.10574826214750163</v>
          </cell>
          <cell r="AQ77">
            <v>9.9169959041647049E-2</v>
          </cell>
          <cell r="AR77">
            <v>0.12664006213232865</v>
          </cell>
          <cell r="AS77">
            <v>0.16</v>
          </cell>
          <cell r="AU77">
            <v>9.5748262147501637E-2</v>
          </cell>
          <cell r="AV77">
            <v>8.9169959041647054E-2</v>
          </cell>
          <cell r="AW77">
            <v>0.11664006213232865</v>
          </cell>
          <cell r="AX77">
            <v>0.15</v>
          </cell>
        </row>
        <row r="78">
          <cell r="A78" t="str">
            <v>Notes Payable</v>
          </cell>
          <cell r="O78">
            <v>4.0228571428571426E-2</v>
          </cell>
          <cell r="Q78">
            <v>0.12351502445842069</v>
          </cell>
          <cell r="R78">
            <v>7.3190522557611173E-2</v>
          </cell>
          <cell r="S78">
            <v>4.6685504238453655E-2</v>
          </cell>
          <cell r="T78">
            <v>4.1772605776126216E-2</v>
          </cell>
          <cell r="V78">
            <v>3.3903888849101199E-2</v>
          </cell>
          <cell r="W78">
            <v>4.5049649532710269E-2</v>
          </cell>
          <cell r="X78">
            <v>5.3710261943357457E-2</v>
          </cell>
          <cell r="Y78">
            <v>6.735203689469639E-2</v>
          </cell>
          <cell r="AA78">
            <v>5.1085928682548881E-2</v>
          </cell>
          <cell r="AB78">
            <v>3.6153057738298598E-2</v>
          </cell>
          <cell r="AC78">
            <v>2.8572651715765715E-2</v>
          </cell>
          <cell r="AD78">
            <v>4.2327221125917386E-2</v>
          </cell>
          <cell r="AF78">
            <v>4.7013089410203053E-2</v>
          </cell>
          <cell r="AG78">
            <v>5.5384392330276561E-2</v>
          </cell>
          <cell r="AH78">
            <v>5.2800085927688548E-2</v>
          </cell>
          <cell r="AI78">
            <v>0.06</v>
          </cell>
          <cell r="AK78">
            <v>4.7013089410203053E-2</v>
          </cell>
          <cell r="AL78">
            <v>5.5384392330276561E-2</v>
          </cell>
          <cell r="AM78">
            <v>5.2800085927688548E-2</v>
          </cell>
          <cell r="AN78">
            <v>0.06</v>
          </cell>
          <cell r="AP78">
            <v>4.7013089410203053E-2</v>
          </cell>
          <cell r="AQ78">
            <v>5.5384392330276561E-2</v>
          </cell>
          <cell r="AR78">
            <v>5.2800085927688548E-2</v>
          </cell>
          <cell r="AS78">
            <v>0.06</v>
          </cell>
          <cell r="AU78">
            <v>4.7013089410203053E-2</v>
          </cell>
          <cell r="AV78">
            <v>5.5384392330276561E-2</v>
          </cell>
          <cell r="AW78">
            <v>5.2800085927688548E-2</v>
          </cell>
          <cell r="AX78">
            <v>0.06</v>
          </cell>
        </row>
        <row r="79">
          <cell r="A79" t="str">
            <v>Current</v>
          </cell>
          <cell r="G79">
            <v>0</v>
          </cell>
          <cell r="H79">
            <v>0</v>
          </cell>
          <cell r="I79">
            <v>0</v>
          </cell>
          <cell r="J79">
            <v>0</v>
          </cell>
          <cell r="K79">
            <v>0</v>
          </cell>
          <cell r="L79">
            <v>0</v>
          </cell>
          <cell r="M79">
            <v>0</v>
          </cell>
          <cell r="N79">
            <v>0</v>
          </cell>
          <cell r="O79">
            <v>0</v>
          </cell>
          <cell r="P79">
            <v>0</v>
          </cell>
          <cell r="Q79">
            <v>0</v>
          </cell>
          <cell r="R79">
            <v>0</v>
          </cell>
          <cell r="S79">
            <v>0</v>
          </cell>
          <cell r="T79">
            <v>0</v>
          </cell>
          <cell r="U79">
            <v>0</v>
          </cell>
          <cell r="V79">
            <v>1.9419999999999999</v>
          </cell>
          <cell r="W79">
            <v>1.675</v>
          </cell>
          <cell r="X79">
            <v>0.96799999999999997</v>
          </cell>
          <cell r="Y79">
            <v>0.98199999999999998</v>
          </cell>
          <cell r="Z79">
            <v>0.98199999999999998</v>
          </cell>
          <cell r="AA79">
            <v>0</v>
          </cell>
          <cell r="AB79">
            <v>0</v>
          </cell>
          <cell r="AC79">
            <v>0</v>
          </cell>
          <cell r="AD79">
            <v>0</v>
          </cell>
          <cell r="AE79">
            <v>0</v>
          </cell>
          <cell r="AF79">
            <v>0</v>
          </cell>
          <cell r="AG79">
            <v>0</v>
          </cell>
          <cell r="AH79">
            <v>0</v>
          </cell>
          <cell r="AI79">
            <v>0</v>
          </cell>
          <cell r="AJ79">
            <v>0</v>
          </cell>
          <cell r="AK79">
            <v>0</v>
          </cell>
          <cell r="AL79">
            <v>0</v>
          </cell>
          <cell r="AM79">
            <v>0</v>
          </cell>
          <cell r="AN79">
            <v>0</v>
          </cell>
          <cell r="AO79">
            <v>0</v>
          </cell>
          <cell r="AP79">
            <v>0</v>
          </cell>
          <cell r="AQ79">
            <v>0</v>
          </cell>
          <cell r="AR79">
            <v>0</v>
          </cell>
          <cell r="AS79">
            <v>0</v>
          </cell>
          <cell r="AT79">
            <v>0</v>
          </cell>
        </row>
        <row r="80">
          <cell r="A80" t="str">
            <v>Long-Term</v>
          </cell>
          <cell r="G80">
            <v>0</v>
          </cell>
          <cell r="H80">
            <v>0</v>
          </cell>
          <cell r="I80">
            <v>0</v>
          </cell>
          <cell r="J80">
            <v>0</v>
          </cell>
          <cell r="K80">
            <v>0</v>
          </cell>
          <cell r="L80">
            <v>0</v>
          </cell>
          <cell r="M80">
            <v>0</v>
          </cell>
          <cell r="N80">
            <v>0</v>
          </cell>
          <cell r="O80">
            <v>0</v>
          </cell>
          <cell r="P80">
            <v>0</v>
          </cell>
          <cell r="Q80">
            <v>0</v>
          </cell>
          <cell r="R80">
            <v>0</v>
          </cell>
          <cell r="S80">
            <v>0</v>
          </cell>
          <cell r="T80">
            <v>0</v>
          </cell>
          <cell r="U80">
            <v>0</v>
          </cell>
          <cell r="V80">
            <v>0</v>
          </cell>
          <cell r="W80">
            <v>1.0840000000000001</v>
          </cell>
          <cell r="X80">
            <v>1.5569999999999999</v>
          </cell>
          <cell r="Y80">
            <v>1.3069999999999999</v>
          </cell>
          <cell r="Z80">
            <v>1.3069999999999999</v>
          </cell>
          <cell r="AA80">
            <v>0</v>
          </cell>
          <cell r="AB80">
            <v>0</v>
          </cell>
          <cell r="AC80">
            <v>0</v>
          </cell>
          <cell r="AD80">
            <v>0</v>
          </cell>
          <cell r="AE80">
            <v>0</v>
          </cell>
          <cell r="AF80">
            <v>0</v>
          </cell>
          <cell r="AG80">
            <v>0</v>
          </cell>
          <cell r="AH80">
            <v>0</v>
          </cell>
          <cell r="AI80">
            <v>0</v>
          </cell>
          <cell r="AJ80">
            <v>0</v>
          </cell>
          <cell r="AK80">
            <v>0</v>
          </cell>
          <cell r="AL80">
            <v>0</v>
          </cell>
          <cell r="AM80">
            <v>0</v>
          </cell>
          <cell r="AN80">
            <v>0</v>
          </cell>
          <cell r="AO80">
            <v>0</v>
          </cell>
          <cell r="AP80">
            <v>0</v>
          </cell>
          <cell r="AQ80">
            <v>0</v>
          </cell>
          <cell r="AR80">
            <v>0</v>
          </cell>
          <cell r="AS80">
            <v>0</v>
          </cell>
          <cell r="AT80">
            <v>0</v>
          </cell>
        </row>
        <row r="81">
          <cell r="A81" t="str">
            <v>Total Notes Payable</v>
          </cell>
          <cell r="G81">
            <v>0</v>
          </cell>
          <cell r="H81">
            <v>0</v>
          </cell>
          <cell r="I81">
            <v>0</v>
          </cell>
          <cell r="J81">
            <v>0</v>
          </cell>
          <cell r="K81">
            <v>0</v>
          </cell>
          <cell r="L81">
            <v>0</v>
          </cell>
          <cell r="M81">
            <v>0</v>
          </cell>
          <cell r="N81">
            <v>0</v>
          </cell>
          <cell r="O81">
            <v>0</v>
          </cell>
          <cell r="P81">
            <v>0</v>
          </cell>
          <cell r="Q81">
            <v>0</v>
          </cell>
          <cell r="R81">
            <v>0</v>
          </cell>
          <cell r="S81">
            <v>0</v>
          </cell>
          <cell r="T81">
            <v>0</v>
          </cell>
          <cell r="U81">
            <v>0</v>
          </cell>
          <cell r="V81">
            <v>1.9419999999999999</v>
          </cell>
          <cell r="W81">
            <v>2.7590000000000003</v>
          </cell>
          <cell r="X81">
            <v>2.5249999999999999</v>
          </cell>
          <cell r="Y81">
            <v>2.2889999999999997</v>
          </cell>
          <cell r="Z81">
            <v>2.2889999999999997</v>
          </cell>
          <cell r="AA81">
            <v>0</v>
          </cell>
          <cell r="AB81">
            <v>0</v>
          </cell>
          <cell r="AC81">
            <v>0</v>
          </cell>
          <cell r="AD81">
            <v>0</v>
          </cell>
          <cell r="AE81">
            <v>0</v>
          </cell>
          <cell r="AF81">
            <v>0</v>
          </cell>
          <cell r="AG81">
            <v>0</v>
          </cell>
          <cell r="AH81">
            <v>0</v>
          </cell>
          <cell r="AI81">
            <v>0</v>
          </cell>
          <cell r="AJ81">
            <v>0</v>
          </cell>
          <cell r="AK81">
            <v>0</v>
          </cell>
          <cell r="AL81">
            <v>0</v>
          </cell>
          <cell r="AM81">
            <v>0</v>
          </cell>
          <cell r="AN81">
            <v>0</v>
          </cell>
          <cell r="AO81">
            <v>0</v>
          </cell>
          <cell r="AP81">
            <v>0</v>
          </cell>
          <cell r="AQ81">
            <v>0</v>
          </cell>
          <cell r="AR81">
            <v>0</v>
          </cell>
          <cell r="AS81">
            <v>0</v>
          </cell>
          <cell r="AT81">
            <v>0</v>
          </cell>
          <cell r="AU81">
            <v>0</v>
          </cell>
          <cell r="AV81">
            <v>0</v>
          </cell>
          <cell r="AW81">
            <v>0</v>
          </cell>
          <cell r="AX81">
            <v>0</v>
          </cell>
          <cell r="AY81">
            <v>0</v>
          </cell>
        </row>
        <row r="82">
          <cell r="A82" t="str">
            <v>Debt Paydown</v>
          </cell>
          <cell r="G82">
            <v>0</v>
          </cell>
          <cell r="H82">
            <v>0</v>
          </cell>
          <cell r="I82">
            <v>0</v>
          </cell>
          <cell r="J82">
            <v>0</v>
          </cell>
          <cell r="K82">
            <v>0</v>
          </cell>
          <cell r="L82">
            <v>0</v>
          </cell>
          <cell r="M82">
            <v>0</v>
          </cell>
          <cell r="N82">
            <v>0</v>
          </cell>
          <cell r="O82">
            <v>0</v>
          </cell>
          <cell r="P82">
            <v>0</v>
          </cell>
          <cell r="Q82">
            <v>0</v>
          </cell>
          <cell r="R82">
            <v>0</v>
          </cell>
          <cell r="S82">
            <v>0</v>
          </cell>
          <cell r="T82">
            <v>0</v>
          </cell>
          <cell r="U82">
            <v>0</v>
          </cell>
          <cell r="V82">
            <v>1.9419999999999999</v>
          </cell>
          <cell r="W82">
            <v>0.81700000000000039</v>
          </cell>
          <cell r="X82">
            <v>-0.23400000000000043</v>
          </cell>
          <cell r="Y82">
            <v>-0.23600000000000021</v>
          </cell>
          <cell r="Z82">
            <v>2.2889999999999997</v>
          </cell>
          <cell r="AA82">
            <v>-2.2889999999999997</v>
          </cell>
          <cell r="AB82">
            <v>0</v>
          </cell>
          <cell r="AC82">
            <v>0</v>
          </cell>
          <cell r="AD82">
            <v>0</v>
          </cell>
          <cell r="AE82">
            <v>-2.2889999999999997</v>
          </cell>
          <cell r="AF82">
            <v>0</v>
          </cell>
          <cell r="AG82">
            <v>0</v>
          </cell>
          <cell r="AH82">
            <v>0</v>
          </cell>
          <cell r="AI82">
            <v>0</v>
          </cell>
          <cell r="AJ82">
            <v>0</v>
          </cell>
          <cell r="AK82">
            <v>0</v>
          </cell>
          <cell r="AL82">
            <v>0</v>
          </cell>
          <cell r="AM82">
            <v>0</v>
          </cell>
          <cell r="AN82">
            <v>0</v>
          </cell>
          <cell r="AO82">
            <v>0</v>
          </cell>
          <cell r="AP82">
            <v>0</v>
          </cell>
          <cell r="AQ82">
            <v>0</v>
          </cell>
          <cell r="AR82">
            <v>0</v>
          </cell>
          <cell r="AS82">
            <v>0</v>
          </cell>
          <cell r="AT82">
            <v>0</v>
          </cell>
          <cell r="AU82">
            <v>0</v>
          </cell>
          <cell r="AV82">
            <v>0</v>
          </cell>
          <cell r="AW82">
            <v>0</v>
          </cell>
          <cell r="AX82">
            <v>0</v>
          </cell>
          <cell r="AY82">
            <v>0</v>
          </cell>
        </row>
        <row r="83">
          <cell r="A83" t="str">
            <v>Total Notes Payable</v>
          </cell>
          <cell r="G83">
            <v>0</v>
          </cell>
          <cell r="H83">
            <v>0</v>
          </cell>
          <cell r="I83">
            <v>0</v>
          </cell>
          <cell r="J83">
            <v>0</v>
          </cell>
          <cell r="K83">
            <v>0</v>
          </cell>
          <cell r="L83">
            <v>0</v>
          </cell>
          <cell r="M83">
            <v>0</v>
          </cell>
          <cell r="N83">
            <v>0</v>
          </cell>
          <cell r="O83">
            <v>0</v>
          </cell>
          <cell r="P83">
            <v>0</v>
          </cell>
          <cell r="Q83">
            <v>0</v>
          </cell>
          <cell r="R83">
            <v>0</v>
          </cell>
          <cell r="S83">
            <v>0</v>
          </cell>
          <cell r="T83">
            <v>0</v>
          </cell>
          <cell r="U83">
            <v>0</v>
          </cell>
          <cell r="V83">
            <v>1.9419999999999999</v>
          </cell>
          <cell r="W83">
            <v>2.7590000000000003</v>
          </cell>
          <cell r="X83">
            <v>2.5249999999999999</v>
          </cell>
          <cell r="Y83">
            <v>2.2889999999999997</v>
          </cell>
          <cell r="Z83">
            <v>2.2889999999999997</v>
          </cell>
          <cell r="AA83">
            <v>0</v>
          </cell>
          <cell r="AB83">
            <v>0</v>
          </cell>
          <cell r="AC83">
            <v>0</v>
          </cell>
          <cell r="AD83">
            <v>0</v>
          </cell>
          <cell r="AE83">
            <v>0</v>
          </cell>
          <cell r="AF83">
            <v>0</v>
          </cell>
          <cell r="AG83">
            <v>0</v>
          </cell>
          <cell r="AH83">
            <v>0</v>
          </cell>
          <cell r="AI83">
            <v>0</v>
          </cell>
          <cell r="AJ83">
            <v>0</v>
          </cell>
          <cell r="AK83">
            <v>0</v>
          </cell>
          <cell r="AL83">
            <v>0</v>
          </cell>
          <cell r="AM83">
            <v>0</v>
          </cell>
          <cell r="AN83">
            <v>0</v>
          </cell>
          <cell r="AO83">
            <v>0</v>
          </cell>
          <cell r="AP83">
            <v>0</v>
          </cell>
          <cell r="AQ83">
            <v>0</v>
          </cell>
          <cell r="AR83">
            <v>0</v>
          </cell>
          <cell r="AS83">
            <v>0</v>
          </cell>
          <cell r="AT83">
            <v>0</v>
          </cell>
          <cell r="AU83">
            <v>0</v>
          </cell>
          <cell r="AV83">
            <v>0</v>
          </cell>
          <cell r="AW83">
            <v>0</v>
          </cell>
          <cell r="AX83">
            <v>0</v>
          </cell>
          <cell r="AY83">
            <v>0</v>
          </cell>
        </row>
        <row r="84">
          <cell r="A84" t="str">
            <v>Interest Expense</v>
          </cell>
          <cell r="H84">
            <v>0</v>
          </cell>
          <cell r="I84">
            <v>0</v>
          </cell>
          <cell r="J84">
            <v>0</v>
          </cell>
          <cell r="K84">
            <v>0</v>
          </cell>
          <cell r="L84">
            <v>-1.7250000000000001E-2</v>
          </cell>
          <cell r="M84">
            <v>-1.7250000000000001E-2</v>
          </cell>
          <cell r="N84">
            <v>-1.7250000000000001E-2</v>
          </cell>
          <cell r="O84">
            <v>-1.7250000000000001E-2</v>
          </cell>
          <cell r="P84">
            <v>0</v>
          </cell>
          <cell r="Q84">
            <v>1.2E-2</v>
          </cell>
          <cell r="R84">
            <v>2.3E-2</v>
          </cell>
          <cell r="S84">
            <v>-3.0000000000000001E-3</v>
          </cell>
          <cell r="T84">
            <v>-0.41899999999999998</v>
          </cell>
          <cell r="U84">
            <v>-0.38700000000000001</v>
          </cell>
          <cell r="V84">
            <v>-0.48299999999999998</v>
          </cell>
          <cell r="W84">
            <v>-0.63600000000000001</v>
          </cell>
          <cell r="X84">
            <v>-0.46600000000000003</v>
          </cell>
          <cell r="Y84">
            <v>-0.5</v>
          </cell>
          <cell r="Z84">
            <v>-2.085</v>
          </cell>
          <cell r="AA84">
            <v>-1.7000000000000001E-2</v>
          </cell>
          <cell r="AB84">
            <v>0.10100000000000001</v>
          </cell>
          <cell r="AC84">
            <v>3.1E-2</v>
          </cell>
          <cell r="AD84">
            <v>3.6999999999999998E-2</v>
          </cell>
          <cell r="AE84">
            <v>0.152</v>
          </cell>
          <cell r="AF84">
            <v>-3.3000000000000002E-2</v>
          </cell>
          <cell r="AG84">
            <v>-2.4E-2</v>
          </cell>
          <cell r="AH84">
            <v>0</v>
          </cell>
          <cell r="AI84">
            <v>0</v>
          </cell>
          <cell r="AJ84">
            <v>-5.7000000000000002E-2</v>
          </cell>
          <cell r="AK84">
            <v>0</v>
          </cell>
          <cell r="AL84">
            <v>0</v>
          </cell>
          <cell r="AM84">
            <v>0</v>
          </cell>
          <cell r="AN84">
            <v>0</v>
          </cell>
          <cell r="AO84">
            <v>0</v>
          </cell>
          <cell r="AP84">
            <v>0</v>
          </cell>
          <cell r="AQ84">
            <v>0</v>
          </cell>
          <cell r="AR84">
            <v>0</v>
          </cell>
          <cell r="AS84">
            <v>0</v>
          </cell>
          <cell r="AT84">
            <v>0</v>
          </cell>
          <cell r="AU84">
            <v>0</v>
          </cell>
          <cell r="AV84">
            <v>0</v>
          </cell>
          <cell r="AW84">
            <v>0</v>
          </cell>
          <cell r="AX84">
            <v>0</v>
          </cell>
          <cell r="AY84">
            <v>0</v>
          </cell>
        </row>
        <row r="85">
          <cell r="A85" t="str">
            <v xml:space="preserve">   % of Avg. Quarterly Debt</v>
          </cell>
          <cell r="V85">
            <v>-1.9897013388259526</v>
          </cell>
          <cell r="W85">
            <v>-1.0823229100191447</v>
          </cell>
          <cell r="X85">
            <v>-0.70552611657834963</v>
          </cell>
          <cell r="Y85">
            <v>-0.83090984628167841</v>
          </cell>
          <cell r="Z85">
            <v>-1.8217562254259505</v>
          </cell>
          <cell r="AA85">
            <v>-5.9414591524683279E-2</v>
          </cell>
          <cell r="AB85">
            <v>0</v>
          </cell>
          <cell r="AC85">
            <v>0</v>
          </cell>
          <cell r="AD85">
            <v>0</v>
          </cell>
          <cell r="AE85">
            <v>0.13280908693752733</v>
          </cell>
          <cell r="AF85">
            <v>0</v>
          </cell>
          <cell r="AG85">
            <v>0</v>
          </cell>
          <cell r="AH85">
            <v>0</v>
          </cell>
          <cell r="AI85">
            <v>0</v>
          </cell>
          <cell r="AK85">
            <v>0</v>
          </cell>
          <cell r="AL85">
            <v>0</v>
          </cell>
          <cell r="AM85">
            <v>0</v>
          </cell>
          <cell r="AN85">
            <v>0</v>
          </cell>
          <cell r="AP85">
            <v>0</v>
          </cell>
          <cell r="AQ85">
            <v>0</v>
          </cell>
          <cell r="AR85">
            <v>0</v>
          </cell>
          <cell r="AS85">
            <v>0</v>
          </cell>
        </row>
        <row r="86">
          <cell r="A86" t="str">
            <v>Interest Expense</v>
          </cell>
          <cell r="L86">
            <v>-1.7250000000000001E-2</v>
          </cell>
          <cell r="M86">
            <v>-1.7250000000000001E-2</v>
          </cell>
          <cell r="N86">
            <v>-1.7250000000000001E-2</v>
          </cell>
          <cell r="O86">
            <v>-1.7250000000000001E-2</v>
          </cell>
          <cell r="Q86">
            <v>1.2E-2</v>
          </cell>
          <cell r="R86">
            <v>2.3E-2</v>
          </cell>
          <cell r="S86">
            <v>-3.0000000000000001E-3</v>
          </cell>
          <cell r="T86">
            <v>-0.41899999999999998</v>
          </cell>
          <cell r="U86">
            <v>-0.38700000000000001</v>
          </cell>
          <cell r="V86">
            <v>-0.48299999999999998</v>
          </cell>
          <cell r="W86">
            <v>-0.63600000000000001</v>
          </cell>
          <cell r="X86">
            <v>-0.46600000000000003</v>
          </cell>
          <cell r="Y86">
            <v>-0.5</v>
          </cell>
          <cell r="Z86">
            <v>-2.085</v>
          </cell>
          <cell r="AA86">
            <v>-1.7000000000000001E-2</v>
          </cell>
          <cell r="AB86">
            <v>0.10100000000000001</v>
          </cell>
          <cell r="AC86">
            <v>3.1E-2</v>
          </cell>
          <cell r="AD86">
            <v>3.6999999999999998E-2</v>
          </cell>
          <cell r="AE86">
            <v>0.152</v>
          </cell>
          <cell r="AF86">
            <v>-3.3000000000000002E-2</v>
          </cell>
          <cell r="AG86">
            <v>-2.4E-2</v>
          </cell>
          <cell r="AH86">
            <v>-0.97499999999999998</v>
          </cell>
          <cell r="AI86">
            <v>0</v>
          </cell>
          <cell r="AJ86">
            <v>-1.032</v>
          </cell>
          <cell r="AK86">
            <v>0</v>
          </cell>
          <cell r="AL86">
            <v>0</v>
          </cell>
          <cell r="AM86">
            <v>0</v>
          </cell>
          <cell r="AN86">
            <v>0</v>
          </cell>
          <cell r="AO86">
            <v>0</v>
          </cell>
          <cell r="AP86">
            <v>0</v>
          </cell>
          <cell r="AQ86">
            <v>0</v>
          </cell>
          <cell r="AR86">
            <v>0</v>
          </cell>
          <cell r="AS86">
            <v>0</v>
          </cell>
          <cell r="AT86">
            <v>0</v>
          </cell>
          <cell r="AU86">
            <v>0</v>
          </cell>
          <cell r="AV86">
            <v>0</v>
          </cell>
          <cell r="AW86">
            <v>0</v>
          </cell>
          <cell r="AX86">
            <v>0</v>
          </cell>
          <cell r="AY86">
            <v>0</v>
          </cell>
        </row>
        <row r="87">
          <cell r="A87" t="str">
            <v>Interest Income</v>
          </cell>
          <cell r="L87">
            <v>0</v>
          </cell>
          <cell r="M87">
            <v>0</v>
          </cell>
          <cell r="N87">
            <v>0</v>
          </cell>
          <cell r="O87">
            <v>0</v>
          </cell>
          <cell r="Q87">
            <v>0</v>
          </cell>
          <cell r="R87">
            <v>0</v>
          </cell>
          <cell r="S87">
            <v>0</v>
          </cell>
          <cell r="T87">
            <v>0</v>
          </cell>
          <cell r="U87">
            <v>0</v>
          </cell>
          <cell r="V87">
            <v>0</v>
          </cell>
          <cell r="W87">
            <v>0</v>
          </cell>
          <cell r="X87">
            <v>0</v>
          </cell>
          <cell r="Y87">
            <v>0</v>
          </cell>
          <cell r="Z87">
            <v>0</v>
          </cell>
          <cell r="AA87">
            <v>-1.7000000000000001E-2</v>
          </cell>
          <cell r="AB87">
            <v>0.10100000000000001</v>
          </cell>
          <cell r="AC87">
            <v>3.1E-2</v>
          </cell>
          <cell r="AD87">
            <v>3.6999999999999998E-2</v>
          </cell>
          <cell r="AE87">
            <v>0.152</v>
          </cell>
          <cell r="AF87">
            <v>6.0999999999999999E-2</v>
          </cell>
          <cell r="AG87">
            <v>5.8000000000000003E-2</v>
          </cell>
          <cell r="AH87">
            <v>0.24310931858524626</v>
          </cell>
          <cell r="AI87">
            <v>0.24769337259368981</v>
          </cell>
          <cell r="AJ87">
            <v>0.60980269117893604</v>
          </cell>
          <cell r="AK87">
            <v>0.76133760709551823</v>
          </cell>
          <cell r="AL87">
            <v>0.81921874894786761</v>
          </cell>
          <cell r="AM87">
            <v>0.83704174251241892</v>
          </cell>
          <cell r="AN87">
            <v>0.8483727865161228</v>
          </cell>
          <cell r="AO87">
            <v>3.2659708850719276</v>
          </cell>
          <cell r="AP87">
            <v>0.92334291267577395</v>
          </cell>
          <cell r="AQ87">
            <v>1.0175053865157957</v>
          </cell>
          <cell r="AR87">
            <v>1.0375769734262741</v>
          </cell>
          <cell r="AS87">
            <v>1.043046794853185</v>
          </cell>
          <cell r="AT87">
            <v>4.0214720674710289</v>
          </cell>
          <cell r="AU87">
            <v>0</v>
          </cell>
          <cell r="AV87">
            <v>0</v>
          </cell>
          <cell r="AW87">
            <v>0</v>
          </cell>
          <cell r="AX87">
            <v>0</v>
          </cell>
        </row>
        <row r="88">
          <cell r="A88" t="str">
            <v xml:space="preserve">   % of Prior Period Cash</v>
          </cell>
          <cell r="Q88">
            <v>0</v>
          </cell>
          <cell r="R88">
            <v>0</v>
          </cell>
          <cell r="S88">
            <v>0</v>
          </cell>
          <cell r="T88">
            <v>0</v>
          </cell>
          <cell r="U88">
            <v>0</v>
          </cell>
          <cell r="V88">
            <v>0</v>
          </cell>
          <cell r="W88">
            <v>0</v>
          </cell>
          <cell r="X88">
            <v>0</v>
          </cell>
          <cell r="Y88">
            <v>0</v>
          </cell>
          <cell r="Z88">
            <v>0</v>
          </cell>
          <cell r="AA88">
            <v>-2.1519668343934935E-3</v>
          </cell>
          <cell r="AB88">
            <v>1.5183574679510068E-3</v>
          </cell>
          <cell r="AC88">
            <v>4.6220711351657604E-4</v>
          </cell>
          <cell r="AD88">
            <v>5.414819042601454E-4</v>
          </cell>
          <cell r="AE88">
            <v>4.8102788062913378E-3</v>
          </cell>
          <cell r="AF88">
            <v>7.9754460856575982E-4</v>
          </cell>
          <cell r="AG88">
            <v>7.0037312982261242E-4</v>
          </cell>
          <cell r="AH88">
            <v>7.0037312982261242E-4</v>
          </cell>
          <cell r="AI88">
            <v>7.0037312982261242E-4</v>
          </cell>
          <cell r="AJ88">
            <v>1.9932165927813582E-3</v>
          </cell>
          <cell r="AK88">
            <v>2E-3</v>
          </cell>
          <cell r="AL88">
            <v>2E-3</v>
          </cell>
          <cell r="AM88">
            <v>2E-3</v>
          </cell>
          <cell r="AN88">
            <v>2E-3</v>
          </cell>
          <cell r="AO88">
            <v>8.5795601179653146E-3</v>
          </cell>
          <cell r="AP88">
            <v>2E-3</v>
          </cell>
          <cell r="AQ88">
            <v>2E-3</v>
          </cell>
          <cell r="AR88">
            <v>2E-3</v>
          </cell>
          <cell r="AS88">
            <v>2E-3</v>
          </cell>
          <cell r="AT88">
            <v>8.7106794502101598E-3</v>
          </cell>
        </row>
        <row r="89">
          <cell r="A89" t="str">
            <v>Interest Income</v>
          </cell>
          <cell r="L89">
            <v>0</v>
          </cell>
          <cell r="M89">
            <v>0</v>
          </cell>
          <cell r="N89">
            <v>0</v>
          </cell>
          <cell r="O89">
            <v>0</v>
          </cell>
          <cell r="Q89">
            <v>0</v>
          </cell>
          <cell r="R89">
            <v>0</v>
          </cell>
          <cell r="S89">
            <v>0</v>
          </cell>
          <cell r="T89">
            <v>0</v>
          </cell>
          <cell r="U89">
            <v>0</v>
          </cell>
          <cell r="V89">
            <v>0</v>
          </cell>
          <cell r="W89">
            <v>0</v>
          </cell>
          <cell r="X89">
            <v>0</v>
          </cell>
          <cell r="Y89">
            <v>0</v>
          </cell>
          <cell r="Z89">
            <v>0</v>
          </cell>
          <cell r="AA89">
            <v>-1.7000000000000001E-2</v>
          </cell>
          <cell r="AB89">
            <v>0.10100000000000001</v>
          </cell>
          <cell r="AC89">
            <v>3.1E-2</v>
          </cell>
          <cell r="AD89">
            <v>3.6999999999999998E-2</v>
          </cell>
          <cell r="AE89">
            <v>0.152</v>
          </cell>
          <cell r="AF89">
            <v>6.0999999999999999E-2</v>
          </cell>
          <cell r="AG89">
            <v>5.8000000000000003E-2</v>
          </cell>
          <cell r="AH89">
            <v>5.5E-2</v>
          </cell>
          <cell r="AI89">
            <v>0.22303018604838754</v>
          </cell>
          <cell r="AJ89">
            <v>0.39703018604838752</v>
          </cell>
          <cell r="AK89">
            <v>0.75825392743465425</v>
          </cell>
          <cell r="AL89">
            <v>0.78641895384624272</v>
          </cell>
          <cell r="AM89">
            <v>0.80885487623555807</v>
          </cell>
          <cell r="AN89">
            <v>0.83616281881569954</v>
          </cell>
          <cell r="AO89">
            <v>3.1896905763321546</v>
          </cell>
          <cell r="AP89">
            <v>0.92254753978153692</v>
          </cell>
          <cell r="AQ89">
            <v>0.94815761504408036</v>
          </cell>
          <cell r="AR89">
            <v>0.98908892924923753</v>
          </cell>
          <cell r="AS89">
            <v>1.0380605412069055</v>
          </cell>
          <cell r="AT89">
            <v>3.8978546252817603</v>
          </cell>
          <cell r="AU89">
            <v>1.138672641542916</v>
          </cell>
          <cell r="AV89">
            <v>1.1848718530528684</v>
          </cell>
          <cell r="AW89">
            <v>1.2383403368415635</v>
          </cell>
          <cell r="AX89">
            <v>1.3088369495219494</v>
          </cell>
          <cell r="AY89">
            <v>4.8707217809592969</v>
          </cell>
        </row>
        <row r="90">
          <cell r="A90" t="str">
            <v>PPE &amp; Capitalized Software</v>
          </cell>
          <cell r="Q90">
            <v>0</v>
          </cell>
          <cell r="R90">
            <v>0</v>
          </cell>
          <cell r="S90">
            <v>0</v>
          </cell>
          <cell r="T90">
            <v>0</v>
          </cell>
          <cell r="U90">
            <v>0</v>
          </cell>
          <cell r="V90">
            <v>0</v>
          </cell>
          <cell r="W90">
            <v>0</v>
          </cell>
          <cell r="X90">
            <v>0</v>
          </cell>
          <cell r="Y90">
            <v>0</v>
          </cell>
          <cell r="Z90">
            <v>0</v>
          </cell>
          <cell r="AA90">
            <v>-2.1519668343934935E-3</v>
          </cell>
          <cell r="AB90">
            <v>1.5183574679510068E-3</v>
          </cell>
          <cell r="AC90">
            <v>4.6220711351657604E-4</v>
          </cell>
          <cell r="AD90">
            <v>5.414819042601454E-4</v>
          </cell>
          <cell r="AE90">
            <v>4.8102788062913378E-3</v>
          </cell>
          <cell r="AF90">
            <v>7.9754460856575982E-4</v>
          </cell>
          <cell r="AG90">
            <v>7.0037312982261242E-4</v>
          </cell>
          <cell r="AH90">
            <v>6.3379754201789613E-4</v>
          </cell>
          <cell r="AI90">
            <v>6.3379754201789613E-4</v>
          </cell>
          <cell r="AJ90">
            <v>1.2977429685276721E-3</v>
          </cell>
          <cell r="AK90">
            <v>2E-3</v>
          </cell>
          <cell r="AL90">
            <v>2E-3</v>
          </cell>
          <cell r="AM90">
            <v>2E-3</v>
          </cell>
          <cell r="AN90">
            <v>2E-3</v>
          </cell>
          <cell r="AO90">
            <v>8.4132517113985929E-3</v>
          </cell>
          <cell r="AP90">
            <v>2E-3</v>
          </cell>
          <cell r="AQ90">
            <v>2E-3</v>
          </cell>
          <cell r="AR90">
            <v>2E-3</v>
          </cell>
          <cell r="AS90">
            <v>2E-3</v>
          </cell>
          <cell r="AT90">
            <v>8.4501978645020043E-3</v>
          </cell>
          <cell r="AU90">
            <v>2E-3</v>
          </cell>
          <cell r="AV90">
            <v>2E-3</v>
          </cell>
          <cell r="AW90">
            <v>2E-3</v>
          </cell>
          <cell r="AX90">
            <v>2E-3</v>
          </cell>
          <cell r="AY90">
            <v>8.5550870430317998E-3</v>
          </cell>
        </row>
        <row r="91">
          <cell r="A91" t="str">
            <v>Computer and Office Equipment</v>
          </cell>
          <cell r="F91">
            <v>0</v>
          </cell>
          <cell r="P91">
            <v>2.7189999999999999</v>
          </cell>
          <cell r="U91">
            <v>4.1440000000000001</v>
          </cell>
          <cell r="X91">
            <v>8.7159999999999993</v>
          </cell>
          <cell r="Y91">
            <v>10.712</v>
          </cell>
          <cell r="AC91">
            <v>15.454000000000001</v>
          </cell>
        </row>
        <row r="92">
          <cell r="A92" t="str">
            <v>Furniture and Fixtures</v>
          </cell>
          <cell r="F92">
            <v>0</v>
          </cell>
          <cell r="P92">
            <v>0.97599999999999998</v>
          </cell>
          <cell r="U92">
            <v>1.1020000000000001</v>
          </cell>
          <cell r="X92">
            <v>1.6279999999999999</v>
          </cell>
          <cell r="Y92">
            <v>1.964</v>
          </cell>
          <cell r="AC92">
            <v>2.6520000000000001</v>
          </cell>
        </row>
        <row r="93">
          <cell r="A93" t="str">
            <v>Leasehold improvements</v>
          </cell>
          <cell r="F93">
            <v>0</v>
          </cell>
          <cell r="P93">
            <v>0.67</v>
          </cell>
          <cell r="U93">
            <v>0.73099999999999998</v>
          </cell>
          <cell r="X93">
            <v>1.8540000000000001</v>
          </cell>
          <cell r="Y93">
            <v>1.903</v>
          </cell>
          <cell r="AC93">
            <v>1.669</v>
          </cell>
        </row>
        <row r="94">
          <cell r="A94" t="str">
            <v>Total PPE Before Writedowns</v>
          </cell>
          <cell r="F94">
            <v>0</v>
          </cell>
          <cell r="P94">
            <v>4.3650000000000002</v>
          </cell>
          <cell r="U94">
            <v>5.9770000000000003</v>
          </cell>
          <cell r="X94">
            <v>12.198</v>
          </cell>
          <cell r="Y94">
            <v>14.579000000000001</v>
          </cell>
          <cell r="Z94">
            <v>14.579000000000001</v>
          </cell>
          <cell r="AA94">
            <v>16.456</v>
          </cell>
          <cell r="AB94">
            <v>18.053000000000001</v>
          </cell>
          <cell r="AC94">
            <v>19.775000000000002</v>
          </cell>
          <cell r="AD94">
            <v>22.92</v>
          </cell>
          <cell r="AE94">
            <v>22.92</v>
          </cell>
          <cell r="AF94">
            <v>24.183</v>
          </cell>
          <cell r="AG94">
            <v>26.15</v>
          </cell>
          <cell r="AH94">
            <v>28.745592695990876</v>
          </cell>
          <cell r="AI94">
            <v>31.528305363078537</v>
          </cell>
          <cell r="AJ94">
            <v>31.528305363078537</v>
          </cell>
          <cell r="AK94">
            <v>35.073903978692279</v>
          </cell>
          <cell r="AL94">
            <v>38.88353569178615</v>
          </cell>
          <cell r="AM94">
            <v>42.991840512750379</v>
          </cell>
          <cell r="AN94">
            <v>47.461587558928528</v>
          </cell>
          <cell r="AO94">
            <v>47.461587558928528</v>
          </cell>
          <cell r="AP94">
            <v>53.486274888638462</v>
          </cell>
          <cell r="AQ94">
            <v>59.9073305136626</v>
          </cell>
          <cell r="AR94">
            <v>66.67400525462277</v>
          </cell>
          <cell r="AS94">
            <v>73.788700429063994</v>
          </cell>
          <cell r="AT94">
            <v>73.788700429063994</v>
          </cell>
        </row>
        <row r="95">
          <cell r="A95" t="str">
            <v>Less: Accumulated Depreciation</v>
          </cell>
          <cell r="F95">
            <v>0</v>
          </cell>
          <cell r="P95">
            <v>-2.6030000000000002</v>
          </cell>
          <cell r="U95">
            <v>-3.5590000000000002</v>
          </cell>
          <cell r="X95">
            <v>-4.9889999999999999</v>
          </cell>
          <cell r="Y95">
            <v>-5.66</v>
          </cell>
          <cell r="AA95">
            <v>-6.5910000000000002</v>
          </cell>
          <cell r="AB95">
            <v>-7.8090000000000002</v>
          </cell>
          <cell r="AC95">
            <v>-9.0169999999999995</v>
          </cell>
          <cell r="AD95">
            <v>-9.7149999999999999</v>
          </cell>
          <cell r="AF95">
            <v>-11.118</v>
          </cell>
          <cell r="AG95">
            <v>-12.551</v>
          </cell>
          <cell r="AH95">
            <v>-13.984</v>
          </cell>
          <cell r="AI95">
            <v>-15.537245061952719</v>
          </cell>
          <cell r="AK95">
            <v>-17.324421695076559</v>
          </cell>
          <cell r="AL95">
            <v>-19.305024746274288</v>
          </cell>
          <cell r="AM95">
            <v>-21.486820950280595</v>
          </cell>
          <cell r="AN95">
            <v>-23.88053310215227</v>
          </cell>
          <cell r="AP95">
            <v>-26.502609092397659</v>
          </cell>
          <cell r="AQ95">
            <v>-29.498972329984149</v>
          </cell>
          <cell r="AR95">
            <v>-32.87205173018878</v>
          </cell>
          <cell r="AS95">
            <v>-36.618426617876523</v>
          </cell>
        </row>
        <row r="96">
          <cell r="A96" t="str">
            <v>Net PPE</v>
          </cell>
          <cell r="F96">
            <v>0</v>
          </cell>
          <cell r="G96">
            <v>0</v>
          </cell>
          <cell r="H96">
            <v>0</v>
          </cell>
          <cell r="I96">
            <v>0</v>
          </cell>
          <cell r="J96">
            <v>0</v>
          </cell>
          <cell r="K96">
            <v>0</v>
          </cell>
          <cell r="L96">
            <v>0</v>
          </cell>
          <cell r="M96">
            <v>0</v>
          </cell>
          <cell r="N96">
            <v>0</v>
          </cell>
          <cell r="O96">
            <v>1.762</v>
          </cell>
          <cell r="P96">
            <v>1.762</v>
          </cell>
          <cell r="Q96">
            <v>1.776</v>
          </cell>
          <cell r="R96">
            <v>1.79</v>
          </cell>
          <cell r="S96">
            <v>1.857</v>
          </cell>
          <cell r="T96">
            <v>2.42</v>
          </cell>
          <cell r="U96">
            <v>2.42</v>
          </cell>
          <cell r="V96">
            <v>3.5680000000000001</v>
          </cell>
          <cell r="W96">
            <v>5.7809999999999997</v>
          </cell>
          <cell r="X96">
            <v>7.2089999999999996</v>
          </cell>
          <cell r="Y96">
            <v>8.9190000000000005</v>
          </cell>
          <cell r="Z96">
            <v>8.9190000000000005</v>
          </cell>
          <cell r="AA96">
            <v>9.6999999999999993</v>
          </cell>
          <cell r="AB96">
            <v>10.316000000000001</v>
          </cell>
          <cell r="AC96">
            <v>10.757999999999999</v>
          </cell>
          <cell r="AD96">
            <v>13.205</v>
          </cell>
          <cell r="AE96">
            <v>13.205</v>
          </cell>
          <cell r="AF96">
            <v>12.695</v>
          </cell>
          <cell r="AG96">
            <v>13.855</v>
          </cell>
          <cell r="AH96">
            <v>15.017592695990878</v>
          </cell>
          <cell r="AI96">
            <v>16.247060301125821</v>
          </cell>
          <cell r="AJ96">
            <v>16.247060301125821</v>
          </cell>
          <cell r="AK96">
            <v>18.005482283615724</v>
          </cell>
          <cell r="AL96">
            <v>19.83451094551187</v>
          </cell>
          <cell r="AM96">
            <v>21.761019562469791</v>
          </cell>
          <cell r="AN96">
            <v>23.837054456776265</v>
          </cell>
          <cell r="AO96">
            <v>23.837054456776265</v>
          </cell>
          <cell r="AP96">
            <v>27.239665796240811</v>
          </cell>
          <cell r="AQ96">
            <v>30.664358183678456</v>
          </cell>
          <cell r="AR96">
            <v>34.057953524433998</v>
          </cell>
          <cell r="AS96">
            <v>37.426273811187485</v>
          </cell>
          <cell r="AT96">
            <v>37.426273811187485</v>
          </cell>
          <cell r="AU96">
            <v>87.256754004159916</v>
          </cell>
          <cell r="AV96">
            <v>96.168101190456952</v>
          </cell>
          <cell r="AW96">
            <v>105.64508437244555</v>
          </cell>
          <cell r="AX96">
            <v>115.75437609083201</v>
          </cell>
          <cell r="AY96">
            <v>115.75437609083201</v>
          </cell>
        </row>
        <row r="97">
          <cell r="A97" t="str">
            <v>Less: Accumulated Depreciation</v>
          </cell>
          <cell r="F97">
            <v>0</v>
          </cell>
          <cell r="P97">
            <v>-2.6030000000000002</v>
          </cell>
          <cell r="U97">
            <v>-3.5590000000000002</v>
          </cell>
          <cell r="X97">
            <v>-4.9889999999999999</v>
          </cell>
          <cell r="Y97">
            <v>-5.66</v>
          </cell>
          <cell r="AA97">
            <v>-6.5910000000000002</v>
          </cell>
          <cell r="AB97">
            <v>-7.8090000000000002</v>
          </cell>
          <cell r="AC97">
            <v>-9.0169999999999995</v>
          </cell>
          <cell r="AD97">
            <v>-9.7149999999999999</v>
          </cell>
          <cell r="AF97">
            <v>-11.118</v>
          </cell>
          <cell r="AG97">
            <v>-12.551</v>
          </cell>
          <cell r="AH97">
            <v>-14.036</v>
          </cell>
          <cell r="AI97">
            <v>-15.520999999999999</v>
          </cell>
          <cell r="AK97">
            <v>-17.267691030444691</v>
          </cell>
          <cell r="AL97">
            <v>-19.240161570417918</v>
          </cell>
          <cell r="AM97">
            <v>-21.44624191233661</v>
          </cell>
          <cell r="AN97">
            <v>-23.896390080470699</v>
          </cell>
          <cell r="AP97">
            <v>-26.609138834739266</v>
          </cell>
          <cell r="AQ97">
            <v>-29.733569458130901</v>
          </cell>
          <cell r="AR97">
            <v>-33.271034546808956</v>
          </cell>
          <cell r="AS97">
            <v>-37.226321994556564</v>
          </cell>
          <cell r="AU97">
            <v>-41.21845250476683</v>
          </cell>
          <cell r="AV97">
            <v>-45.651082654706137</v>
          </cell>
          <cell r="AW97">
            <v>-50.53158450828122</v>
          </cell>
          <cell r="AX97">
            <v>-55.871734494697655</v>
          </cell>
        </row>
        <row r="98">
          <cell r="A98" t="str">
            <v>Net PPE</v>
          </cell>
          <cell r="F98">
            <v>0</v>
          </cell>
          <cell r="G98">
            <v>0</v>
          </cell>
          <cell r="H98">
            <v>0</v>
          </cell>
          <cell r="I98">
            <v>0</v>
          </cell>
          <cell r="J98">
            <v>0</v>
          </cell>
          <cell r="K98">
            <v>0</v>
          </cell>
          <cell r="L98">
            <v>0</v>
          </cell>
          <cell r="M98">
            <v>0</v>
          </cell>
          <cell r="N98">
            <v>0</v>
          </cell>
          <cell r="O98">
            <v>1.762</v>
          </cell>
          <cell r="P98">
            <v>1.762</v>
          </cell>
          <cell r="Q98">
            <v>1.776</v>
          </cell>
          <cell r="R98">
            <v>1.79</v>
          </cell>
          <cell r="S98">
            <v>1.857</v>
          </cell>
          <cell r="T98">
            <v>2.42</v>
          </cell>
          <cell r="U98">
            <v>2.42</v>
          </cell>
          <cell r="V98">
            <v>3.5680000000000001</v>
          </cell>
          <cell r="W98">
            <v>5.7809999999999997</v>
          </cell>
          <cell r="X98">
            <v>7.2089999999999996</v>
          </cell>
          <cell r="Y98">
            <v>8.9190000000000005</v>
          </cell>
          <cell r="Z98">
            <v>8.9190000000000005</v>
          </cell>
          <cell r="AA98">
            <v>9.6999999999999993</v>
          </cell>
          <cell r="AB98">
            <v>10.316000000000001</v>
          </cell>
          <cell r="AC98">
            <v>10.757999999999999</v>
          </cell>
          <cell r="AD98">
            <v>13.205</v>
          </cell>
          <cell r="AE98">
            <v>13.205</v>
          </cell>
          <cell r="AF98">
            <v>12.695</v>
          </cell>
          <cell r="AG98">
            <v>13.855</v>
          </cell>
          <cell r="AH98">
            <v>14.436999999999999</v>
          </cell>
          <cell r="AI98">
            <v>15.879009367679018</v>
          </cell>
          <cell r="AJ98">
            <v>15.879009367679018</v>
          </cell>
          <cell r="AK98">
            <v>17.931550363392954</v>
          </cell>
          <cell r="AL98">
            <v>20.055275835624482</v>
          </cell>
          <cell r="AM98">
            <v>22.274074255764443</v>
          </cell>
          <cell r="AN98">
            <v>24.66135231153244</v>
          </cell>
          <cell r="AO98">
            <v>24.66135231153244</v>
          </cell>
          <cell r="AP98">
            <v>28.403914758105774</v>
          </cell>
          <cell r="AQ98">
            <v>32.158773533436836</v>
          </cell>
          <cell r="AR98">
            <v>35.957158615887359</v>
          </cell>
          <cell r="AS98">
            <v>39.921305102102693</v>
          </cell>
          <cell r="AT98">
            <v>39.921305102102693</v>
          </cell>
          <cell r="AU98">
            <v>44.32630149939309</v>
          </cell>
          <cell r="AV98">
            <v>48.805018535750811</v>
          </cell>
          <cell r="AW98">
            <v>53.401499864164336</v>
          </cell>
          <cell r="AX98">
            <v>58.170641596134367</v>
          </cell>
          <cell r="AY98">
            <v>58.170641596134367</v>
          </cell>
        </row>
        <row r="99">
          <cell r="A99" t="str">
            <v>Total CapEx</v>
          </cell>
          <cell r="F99">
            <v>0</v>
          </cell>
          <cell r="G99">
            <v>0.53974999999999995</v>
          </cell>
          <cell r="H99">
            <v>0.53974999999999995</v>
          </cell>
          <cell r="I99">
            <v>0.53974999999999995</v>
          </cell>
          <cell r="J99">
            <v>0.53974999999999995</v>
          </cell>
          <cell r="K99">
            <v>2.1589999999999998</v>
          </cell>
          <cell r="L99">
            <v>0</v>
          </cell>
          <cell r="M99">
            <v>0</v>
          </cell>
          <cell r="N99">
            <v>0</v>
          </cell>
          <cell r="O99">
            <v>0</v>
          </cell>
          <cell r="P99">
            <v>0</v>
          </cell>
          <cell r="Q99">
            <v>0.22600000000000001</v>
          </cell>
          <cell r="R99">
            <v>0.24299999999999999</v>
          </cell>
          <cell r="S99">
            <v>0.311</v>
          </cell>
          <cell r="T99">
            <v>0.83599999999999997</v>
          </cell>
          <cell r="U99">
            <v>1.6160000000000001</v>
          </cell>
          <cell r="V99">
            <v>1.496</v>
          </cell>
          <cell r="W99">
            <v>2.71</v>
          </cell>
          <cell r="X99">
            <v>1.9</v>
          </cell>
          <cell r="Y99">
            <v>2.0739999999999998</v>
          </cell>
          <cell r="Z99">
            <v>8.18</v>
          </cell>
          <cell r="AA99">
            <v>1.877</v>
          </cell>
          <cell r="AB99">
            <v>1.597</v>
          </cell>
          <cell r="AC99">
            <v>2.246</v>
          </cell>
          <cell r="AD99">
            <v>3.3570000000000002</v>
          </cell>
          <cell r="AE99">
            <v>9.0770000000000017</v>
          </cell>
          <cell r="AF99">
            <v>1.2629999999999999</v>
          </cell>
          <cell r="AG99">
            <v>1.9670000000000001</v>
          </cell>
          <cell r="AH99">
            <v>2.5955926959908773</v>
          </cell>
          <cell r="AI99">
            <v>2.7827126670876612</v>
          </cell>
          <cell r="AJ99">
            <v>8.6083053630785393</v>
          </cell>
          <cell r="AK99">
            <v>3.545598615613744</v>
          </cell>
          <cell r="AL99">
            <v>3.8096317130938733</v>
          </cell>
          <cell r="AM99">
            <v>4.1083048209642268</v>
          </cell>
          <cell r="AN99">
            <v>4.4697470461781528</v>
          </cell>
          <cell r="AO99">
            <v>15.933282195849998</v>
          </cell>
          <cell r="AP99">
            <v>6.0246873297099341</v>
          </cell>
          <cell r="AQ99">
            <v>6.4210556250241355</v>
          </cell>
          <cell r="AR99">
            <v>6.7666747409601751</v>
          </cell>
          <cell r="AS99">
            <v>7.1146951744412243</v>
          </cell>
          <cell r="AT99">
            <v>26.327112870135466</v>
          </cell>
        </row>
        <row r="100">
          <cell r="A100" t="str">
            <v>Capex as % of LTM revs</v>
          </cell>
          <cell r="G100" t="str">
            <v/>
          </cell>
          <cell r="H100" t="str">
            <v/>
          </cell>
          <cell r="I100" t="str">
            <v/>
          </cell>
          <cell r="J100" t="str">
            <v/>
          </cell>
          <cell r="L100">
            <v>0</v>
          </cell>
          <cell r="M100">
            <v>0</v>
          </cell>
          <cell r="N100">
            <v>0</v>
          </cell>
          <cell r="O100">
            <v>0</v>
          </cell>
          <cell r="Q100">
            <v>5.5003894080996882E-3</v>
          </cell>
          <cell r="R100">
            <v>5.0122728491574014E-3</v>
          </cell>
          <cell r="S100">
            <v>5.6997287588886449E-3</v>
          </cell>
          <cell r="T100">
            <v>9.726358897989576E-3</v>
          </cell>
          <cell r="V100">
            <v>2.0027846203277286E-2</v>
          </cell>
          <cell r="W100">
            <v>3.175086699784422E-2</v>
          </cell>
          <cell r="X100">
            <v>1.3000520020800835E-2</v>
          </cell>
          <cell r="Y100">
            <v>1.2877428488050811E-2</v>
          </cell>
          <cell r="Z100">
            <v>4.1204501264343496E-2</v>
          </cell>
          <cell r="AA100">
            <v>1.3669499610379207E-2</v>
          </cell>
          <cell r="AB100">
            <v>1.0247229654725467E-2</v>
          </cell>
          <cell r="AC100">
            <v>8.6288702173353462E-3</v>
          </cell>
          <cell r="AD100">
            <v>1.219742607785715E-2</v>
          </cell>
          <cell r="AF100">
            <v>5.7681768359517703E-3</v>
          </cell>
          <cell r="AG100">
            <v>8.149989641599336E-3</v>
          </cell>
          <cell r="AH100">
            <v>0.01</v>
          </cell>
          <cell r="AI100">
            <v>0.01</v>
          </cell>
          <cell r="AK100">
            <v>1.2E-2</v>
          </cell>
          <cell r="AL100">
            <v>1.2E-2</v>
          </cell>
          <cell r="AM100">
            <v>1.2E-2</v>
          </cell>
          <cell r="AN100">
            <v>1.2E-2</v>
          </cell>
          <cell r="AP100">
            <v>1.4999999999999999E-2</v>
          </cell>
          <cell r="AQ100">
            <v>1.4999999999999999E-2</v>
          </cell>
          <cell r="AR100">
            <v>1.4999999999999999E-2</v>
          </cell>
          <cell r="AS100">
            <v>1.4999999999999999E-2</v>
          </cell>
        </row>
        <row r="101">
          <cell r="A101" t="str">
            <v>Total CapEx</v>
          </cell>
          <cell r="F101">
            <v>0</v>
          </cell>
          <cell r="G101">
            <v>0.53974999999999995</v>
          </cell>
          <cell r="H101">
            <v>0.53974999999999995</v>
          </cell>
          <cell r="I101">
            <v>0.53974999999999995</v>
          </cell>
          <cell r="J101">
            <v>0.53974999999999995</v>
          </cell>
          <cell r="K101">
            <v>2.1589999999999998</v>
          </cell>
          <cell r="L101">
            <v>0</v>
          </cell>
          <cell r="M101">
            <v>0</v>
          </cell>
          <cell r="N101">
            <v>0</v>
          </cell>
          <cell r="O101">
            <v>0</v>
          </cell>
          <cell r="P101">
            <v>0</v>
          </cell>
          <cell r="Q101">
            <v>0.22600000000000001</v>
          </cell>
          <cell r="R101">
            <v>0.24299999999999999</v>
          </cell>
          <cell r="S101">
            <v>0.311</v>
          </cell>
          <cell r="T101">
            <v>0.83599999999999997</v>
          </cell>
          <cell r="U101">
            <v>1.6160000000000001</v>
          </cell>
          <cell r="V101">
            <v>1.496</v>
          </cell>
          <cell r="W101">
            <v>2.71</v>
          </cell>
          <cell r="X101">
            <v>1.9</v>
          </cell>
          <cell r="Y101">
            <v>2.0739999999999998</v>
          </cell>
          <cell r="Z101">
            <v>8.18</v>
          </cell>
          <cell r="AA101">
            <v>1.877</v>
          </cell>
          <cell r="AB101">
            <v>1.597</v>
          </cell>
          <cell r="AC101">
            <v>2.246</v>
          </cell>
          <cell r="AD101">
            <v>3.3570000000000002</v>
          </cell>
          <cell r="AE101">
            <v>9.0770000000000017</v>
          </cell>
          <cell r="AF101">
            <v>1.2629999999999999</v>
          </cell>
          <cell r="AG101">
            <v>1.9670000000000001</v>
          </cell>
          <cell r="AH101">
            <v>4.0350000000000001</v>
          </cell>
          <cell r="AI101">
            <v>2.9270093676790192</v>
          </cell>
          <cell r="AJ101">
            <v>10.19200936767902</v>
          </cell>
          <cell r="AK101">
            <v>3.7992320261586281</v>
          </cell>
          <cell r="AL101">
            <v>4.0961960122047545</v>
          </cell>
          <cell r="AM101">
            <v>4.4248787620586549</v>
          </cell>
          <cell r="AN101">
            <v>4.8374262239020851</v>
          </cell>
          <cell r="AO101">
            <v>17.157733024324124</v>
          </cell>
          <cell r="AP101">
            <v>6.4553112008419022</v>
          </cell>
          <cell r="AQ101">
            <v>6.8792893987226948</v>
          </cell>
          <cell r="AR101">
            <v>7.3358501711285751</v>
          </cell>
          <cell r="AS101">
            <v>7.9194339339629387</v>
          </cell>
          <cell r="AT101">
            <v>28.589884704656111</v>
          </cell>
          <cell r="AU101">
            <v>8.3971269075006667</v>
          </cell>
          <cell r="AV101">
            <v>8.9113471862970304</v>
          </cell>
          <cell r="AW101">
            <v>9.4769831819886079</v>
          </cell>
          <cell r="AX101">
            <v>10.109291718386464</v>
          </cell>
          <cell r="AY101">
            <v>36.894748994172772</v>
          </cell>
        </row>
        <row r="102">
          <cell r="A102" t="str">
            <v>Depreciation Expense</v>
          </cell>
          <cell r="G102">
            <v>0</v>
          </cell>
          <cell r="H102">
            <v>0</v>
          </cell>
          <cell r="I102">
            <v>0</v>
          </cell>
          <cell r="J102">
            <v>0</v>
          </cell>
          <cell r="L102">
            <v>0</v>
          </cell>
          <cell r="M102">
            <v>0</v>
          </cell>
          <cell r="N102">
            <v>0</v>
          </cell>
          <cell r="O102">
            <v>0</v>
          </cell>
          <cell r="Q102">
            <v>-0.21199999999999999</v>
          </cell>
          <cell r="R102">
            <v>-0.22900000000000001</v>
          </cell>
          <cell r="S102">
            <v>-0.24399999999999999</v>
          </cell>
          <cell r="T102">
            <v>-0.27300000000000002</v>
          </cell>
          <cell r="U102">
            <v>-0.95800000000000007</v>
          </cell>
          <cell r="V102">
            <v>-0.34799999999999998</v>
          </cell>
          <cell r="W102">
            <v>-0.497</v>
          </cell>
          <cell r="X102">
            <v>-0.58399999999999996</v>
          </cell>
          <cell r="Y102">
            <v>-0.69100000000000028</v>
          </cell>
          <cell r="Z102">
            <v>-2.12</v>
          </cell>
          <cell r="AA102">
            <v>-0.93100000000000005</v>
          </cell>
          <cell r="AB102">
            <v>-1.218</v>
          </cell>
          <cell r="AC102">
            <v>-1.208</v>
          </cell>
          <cell r="AD102">
            <v>-1.31</v>
          </cell>
          <cell r="AE102">
            <v>-4.6669999999999998</v>
          </cell>
          <cell r="AF102">
            <v>-1.403</v>
          </cell>
          <cell r="AG102">
            <v>-1.4330000000000001</v>
          </cell>
          <cell r="AH102">
            <v>-1.4330000000000001</v>
          </cell>
          <cell r="AI102">
            <v>-1.5532450619527194</v>
          </cell>
          <cell r="AJ102">
            <v>-5.8222450619527191</v>
          </cell>
          <cell r="AK102">
            <v>-1.7871766331238403</v>
          </cell>
          <cell r="AL102">
            <v>-1.9806030511977295</v>
          </cell>
          <cell r="AM102">
            <v>-2.1817962040063055</v>
          </cell>
          <cell r="AN102">
            <v>-2.3937121518716769</v>
          </cell>
          <cell r="AO102">
            <v>-8.3432880401995533</v>
          </cell>
          <cell r="AP102">
            <v>-2.622075990245389</v>
          </cell>
          <cell r="AQ102">
            <v>-2.9963632375864893</v>
          </cell>
          <cell r="AR102">
            <v>-3.37307940020463</v>
          </cell>
          <cell r="AS102">
            <v>-3.7463748876877396</v>
          </cell>
          <cell r="AT102">
            <v>-12.737893515724249</v>
          </cell>
          <cell r="AU102">
            <v>1.4999999999999999E-2</v>
          </cell>
          <cell r="AV102">
            <v>1.4999999999999999E-2</v>
          </cell>
          <cell r="AW102">
            <v>1.4999999999999999E-2</v>
          </cell>
          <cell r="AX102">
            <v>1.4999999999999999E-2</v>
          </cell>
        </row>
        <row r="103">
          <cell r="A103" t="str">
            <v>% of Net PPE</v>
          </cell>
          <cell r="G103" t="str">
            <v/>
          </cell>
          <cell r="H103" t="str">
            <v/>
          </cell>
          <cell r="I103" t="str">
            <v/>
          </cell>
          <cell r="J103" t="str">
            <v/>
          </cell>
          <cell r="Q103">
            <v>0.11936936936936937</v>
          </cell>
          <cell r="R103">
            <v>0.12793296089385475</v>
          </cell>
          <cell r="S103">
            <v>0.13139472267097468</v>
          </cell>
          <cell r="T103">
            <v>0.11280991735537191</v>
          </cell>
          <cell r="U103">
            <v>-0.21947308132875143</v>
          </cell>
          <cell r="V103">
            <v>9.7533632286995506E-2</v>
          </cell>
          <cell r="W103">
            <v>8.597128524476734E-2</v>
          </cell>
          <cell r="X103">
            <v>8.1009848800110973E-2</v>
          </cell>
          <cell r="Y103">
            <v>7.7475053257091628E-2</v>
          </cell>
          <cell r="Z103">
            <v>-0.35469298979421116</v>
          </cell>
          <cell r="AA103">
            <v>9.5979381443298983E-2</v>
          </cell>
          <cell r="AB103">
            <v>0.11806901899961224</v>
          </cell>
          <cell r="AC103">
            <v>0.11228852946644358</v>
          </cell>
          <cell r="AD103">
            <v>9.9204846648996592E-2</v>
          </cell>
          <cell r="AF103">
            <v>0.11051595116187475</v>
          </cell>
          <cell r="AG103">
            <v>0.10342836521111512</v>
          </cell>
          <cell r="AH103">
            <v>0.10342836521111512</v>
          </cell>
          <cell r="AI103">
            <v>0.10342836521111512</v>
          </cell>
          <cell r="AJ103">
            <v>-0.25402465366285859</v>
          </cell>
          <cell r="AK103">
            <v>0.11</v>
          </cell>
          <cell r="AL103">
            <v>0.11</v>
          </cell>
          <cell r="AM103">
            <v>0.11</v>
          </cell>
          <cell r="AN103">
            <v>0.11</v>
          </cell>
          <cell r="AO103">
            <v>-0.26462849633428204</v>
          </cell>
          <cell r="AP103">
            <v>0.11</v>
          </cell>
          <cell r="AQ103">
            <v>0.11</v>
          </cell>
          <cell r="AR103">
            <v>0.11</v>
          </cell>
          <cell r="AS103">
            <v>0.11</v>
          </cell>
          <cell r="AT103">
            <v>-0.26838321621477201</v>
          </cell>
        </row>
        <row r="104">
          <cell r="A104" t="str">
            <v>Depreciation Expense</v>
          </cell>
          <cell r="G104">
            <v>0</v>
          </cell>
          <cell r="H104">
            <v>0</v>
          </cell>
          <cell r="I104">
            <v>0</v>
          </cell>
          <cell r="J104">
            <v>0</v>
          </cell>
          <cell r="Q104">
            <v>-0.21199999999999999</v>
          </cell>
          <cell r="R104">
            <v>-0.22900000000000001</v>
          </cell>
          <cell r="S104">
            <v>-0.24399999999999999</v>
          </cell>
          <cell r="T104">
            <v>-0.27300000000000002</v>
          </cell>
          <cell r="U104">
            <v>-0.95800000000000007</v>
          </cell>
          <cell r="V104">
            <v>-0.34799999999999998</v>
          </cell>
          <cell r="W104">
            <v>-0.497</v>
          </cell>
          <cell r="X104">
            <v>-0.58399999999999996</v>
          </cell>
          <cell r="Y104">
            <v>-0.69100000000000028</v>
          </cell>
          <cell r="Z104">
            <v>-2.12</v>
          </cell>
          <cell r="AA104">
            <v>-0.93100000000000005</v>
          </cell>
          <cell r="AB104">
            <v>-1.218</v>
          </cell>
          <cell r="AC104">
            <v>-1.208</v>
          </cell>
          <cell r="AD104">
            <v>-1.31</v>
          </cell>
          <cell r="AE104">
            <v>-4.6669999999999998</v>
          </cell>
          <cell r="AF104">
            <v>-1.403</v>
          </cell>
          <cell r="AG104">
            <v>-1.4330000000000001</v>
          </cell>
          <cell r="AH104">
            <v>-1.4850000000000001</v>
          </cell>
          <cell r="AI104">
            <v>-1.4850000000000001</v>
          </cell>
          <cell r="AJ104">
            <v>-5.8060000000000009</v>
          </cell>
          <cell r="AK104">
            <v>-1.7466910304446919</v>
          </cell>
          <cell r="AL104">
            <v>-1.972470539973225</v>
          </cell>
          <cell r="AM104">
            <v>-2.206080341918693</v>
          </cell>
          <cell r="AN104">
            <v>-2.4501481681340889</v>
          </cell>
          <cell r="AO104">
            <v>-8.375390080470698</v>
          </cell>
          <cell r="AP104">
            <v>-2.7127487542685684</v>
          </cell>
          <cell r="AQ104">
            <v>-3.124430623391635</v>
          </cell>
          <cell r="AR104">
            <v>-3.5374650886780521</v>
          </cell>
          <cell r="AS104">
            <v>-3.9552874477476094</v>
          </cell>
          <cell r="AT104">
            <v>-13.329931914085865</v>
          </cell>
          <cell r="AU104">
            <v>-3.9921305102102695</v>
          </cell>
          <cell r="AV104">
            <v>-4.4326301499393095</v>
          </cell>
          <cell r="AW104">
            <v>-4.8805018535750815</v>
          </cell>
          <cell r="AX104">
            <v>-5.3401499864164341</v>
          </cell>
          <cell r="AY104">
            <v>-18.645412500141095</v>
          </cell>
        </row>
        <row r="105">
          <cell r="A105" t="str">
            <v>Intangible Assets, BoP</v>
          </cell>
          <cell r="G105">
            <v>0</v>
          </cell>
          <cell r="H105">
            <v>0</v>
          </cell>
          <cell r="I105">
            <v>0</v>
          </cell>
          <cell r="J105">
            <v>0</v>
          </cell>
          <cell r="K105">
            <v>0</v>
          </cell>
          <cell r="L105">
            <v>0</v>
          </cell>
          <cell r="M105">
            <v>0</v>
          </cell>
          <cell r="N105">
            <v>0</v>
          </cell>
          <cell r="O105">
            <v>0</v>
          </cell>
          <cell r="P105">
            <v>0</v>
          </cell>
          <cell r="Q105">
            <v>0</v>
          </cell>
          <cell r="R105">
            <v>0</v>
          </cell>
          <cell r="S105">
            <v>0</v>
          </cell>
          <cell r="T105">
            <v>0</v>
          </cell>
          <cell r="U105">
            <v>0</v>
          </cell>
          <cell r="V105">
            <v>0</v>
          </cell>
          <cell r="W105">
            <v>0</v>
          </cell>
          <cell r="X105">
            <v>0</v>
          </cell>
          <cell r="Y105">
            <v>0</v>
          </cell>
          <cell r="Z105">
            <v>0</v>
          </cell>
          <cell r="AA105">
            <v>0</v>
          </cell>
          <cell r="AB105">
            <v>0</v>
          </cell>
          <cell r="AC105">
            <v>0</v>
          </cell>
          <cell r="AD105">
            <v>0</v>
          </cell>
          <cell r="AE105">
            <v>0</v>
          </cell>
          <cell r="AF105">
            <v>-0.89300000000000002</v>
          </cell>
          <cell r="AG105">
            <v>-0.91500000000000004</v>
          </cell>
          <cell r="AH105">
            <v>-0.93700000000000006</v>
          </cell>
          <cell r="AI105">
            <v>-0.93700000000000006</v>
          </cell>
          <cell r="AJ105">
            <v>-0.89300000000000002</v>
          </cell>
          <cell r="AK105">
            <v>-0.93700000000000006</v>
          </cell>
          <cell r="AL105">
            <v>-0.93700000000000006</v>
          </cell>
          <cell r="AM105">
            <v>-0.93700000000000006</v>
          </cell>
          <cell r="AN105">
            <v>-0.93700000000000006</v>
          </cell>
          <cell r="AO105">
            <v>-0.93700000000000006</v>
          </cell>
          <cell r="AP105">
            <v>-0.93700000000000006</v>
          </cell>
          <cell r="AQ105">
            <v>-0.93700000000000006</v>
          </cell>
          <cell r="AR105">
            <v>-0.93700000000000006</v>
          </cell>
          <cell r="AS105">
            <v>-0.93700000000000006</v>
          </cell>
          <cell r="AT105">
            <v>-0.93700000000000006</v>
          </cell>
          <cell r="AU105">
            <v>0.1</v>
          </cell>
          <cell r="AV105">
            <v>0.1</v>
          </cell>
          <cell r="AW105">
            <v>0.1</v>
          </cell>
          <cell r="AX105">
            <v>0.1</v>
          </cell>
          <cell r="AY105">
            <v>-0.23643799985621508</v>
          </cell>
        </row>
        <row r="106">
          <cell r="A106" t="str">
            <v>New Intangibles</v>
          </cell>
          <cell r="L106">
            <v>0</v>
          </cell>
          <cell r="M106">
            <v>0</v>
          </cell>
          <cell r="N106">
            <v>0</v>
          </cell>
          <cell r="O106">
            <v>0</v>
          </cell>
          <cell r="P106">
            <v>0</v>
          </cell>
          <cell r="Q106">
            <v>0</v>
          </cell>
          <cell r="R106">
            <v>0</v>
          </cell>
          <cell r="S106">
            <v>0</v>
          </cell>
          <cell r="T106">
            <v>0</v>
          </cell>
          <cell r="U106">
            <v>0</v>
          </cell>
          <cell r="V106">
            <v>0</v>
          </cell>
          <cell r="W106">
            <v>0</v>
          </cell>
          <cell r="X106">
            <v>0</v>
          </cell>
          <cell r="Y106">
            <v>0</v>
          </cell>
          <cell r="Z106">
            <v>0</v>
          </cell>
          <cell r="AA106">
            <v>0</v>
          </cell>
          <cell r="AB106">
            <v>0</v>
          </cell>
          <cell r="AC106">
            <v>0</v>
          </cell>
          <cell r="AD106">
            <v>0</v>
          </cell>
          <cell r="AE106">
            <v>0</v>
          </cell>
          <cell r="AF106">
            <v>0</v>
          </cell>
          <cell r="AG106">
            <v>0</v>
          </cell>
          <cell r="AH106">
            <v>0</v>
          </cell>
          <cell r="AI106">
            <v>0</v>
          </cell>
          <cell r="AJ106">
            <v>0</v>
          </cell>
          <cell r="AK106">
            <v>0</v>
          </cell>
          <cell r="AL106">
            <v>0</v>
          </cell>
          <cell r="AM106">
            <v>0</v>
          </cell>
          <cell r="AN106">
            <v>0</v>
          </cell>
          <cell r="AO106">
            <v>0</v>
          </cell>
          <cell r="AP106">
            <v>0</v>
          </cell>
          <cell r="AQ106">
            <v>0</v>
          </cell>
          <cell r="AR106">
            <v>0</v>
          </cell>
          <cell r="AS106">
            <v>0</v>
          </cell>
          <cell r="AT106">
            <v>0</v>
          </cell>
        </row>
        <row r="107">
          <cell r="A107" t="str">
            <v>Less Amortization Expense</v>
          </cell>
          <cell r="G107">
            <v>0</v>
          </cell>
          <cell r="H107">
            <v>0</v>
          </cell>
          <cell r="I107">
            <v>0</v>
          </cell>
          <cell r="J107">
            <v>0</v>
          </cell>
          <cell r="K107">
            <v>0</v>
          </cell>
          <cell r="L107">
            <v>0</v>
          </cell>
          <cell r="M107">
            <v>0</v>
          </cell>
          <cell r="N107">
            <v>0</v>
          </cell>
          <cell r="O107">
            <v>0</v>
          </cell>
          <cell r="P107">
            <v>0</v>
          </cell>
          <cell r="Q107">
            <v>0</v>
          </cell>
          <cell r="R107">
            <v>0</v>
          </cell>
          <cell r="S107">
            <v>0</v>
          </cell>
          <cell r="T107">
            <v>0</v>
          </cell>
          <cell r="U107">
            <v>0</v>
          </cell>
          <cell r="V107">
            <v>0</v>
          </cell>
          <cell r="W107">
            <v>0</v>
          </cell>
          <cell r="X107">
            <v>0</v>
          </cell>
          <cell r="Y107">
            <v>0</v>
          </cell>
          <cell r="Z107">
            <v>0</v>
          </cell>
          <cell r="AA107">
            <v>0</v>
          </cell>
          <cell r="AB107">
            <v>0</v>
          </cell>
          <cell r="AC107">
            <v>0</v>
          </cell>
          <cell r="AD107">
            <v>-7.0000000000000001E-3</v>
          </cell>
          <cell r="AE107">
            <v>-7.0000000000000001E-3</v>
          </cell>
          <cell r="AF107">
            <v>-2.1999999999999999E-2</v>
          </cell>
          <cell r="AG107">
            <v>-2.1999999999999999E-2</v>
          </cell>
          <cell r="AH107">
            <v>0</v>
          </cell>
          <cell r="AI107">
            <v>0</v>
          </cell>
          <cell r="AJ107">
            <v>-4.3999999999999997E-2</v>
          </cell>
          <cell r="AK107">
            <v>0</v>
          </cell>
          <cell r="AL107">
            <v>0</v>
          </cell>
          <cell r="AM107">
            <v>0</v>
          </cell>
          <cell r="AN107">
            <v>0</v>
          </cell>
          <cell r="AO107">
            <v>0</v>
          </cell>
          <cell r="AP107">
            <v>0</v>
          </cell>
          <cell r="AQ107">
            <v>0</v>
          </cell>
          <cell r="AR107">
            <v>0</v>
          </cell>
          <cell r="AS107">
            <v>0</v>
          </cell>
          <cell r="AT107">
            <v>0</v>
          </cell>
          <cell r="AU107">
            <v>-1.0720000000000001</v>
          </cell>
          <cell r="AV107">
            <v>-1.0720000000000001</v>
          </cell>
          <cell r="AW107">
            <v>-1.0720000000000001</v>
          </cell>
          <cell r="AX107">
            <v>-1.0720000000000001</v>
          </cell>
          <cell r="AY107">
            <v>-1.0720000000000001</v>
          </cell>
        </row>
        <row r="108">
          <cell r="A108" t="str">
            <v xml:space="preserve">Other </v>
          </cell>
          <cell r="G108">
            <v>0</v>
          </cell>
          <cell r="H108">
            <v>0</v>
          </cell>
          <cell r="I108">
            <v>0</v>
          </cell>
          <cell r="J108">
            <v>0</v>
          </cell>
          <cell r="L108">
            <v>0</v>
          </cell>
          <cell r="M108">
            <v>0</v>
          </cell>
          <cell r="N108">
            <v>0</v>
          </cell>
          <cell r="O108">
            <v>0</v>
          </cell>
          <cell r="P108">
            <v>0</v>
          </cell>
          <cell r="Q108">
            <v>0</v>
          </cell>
          <cell r="R108">
            <v>0</v>
          </cell>
          <cell r="S108">
            <v>0</v>
          </cell>
          <cell r="T108">
            <v>0</v>
          </cell>
          <cell r="U108">
            <v>0</v>
          </cell>
          <cell r="V108">
            <v>0</v>
          </cell>
          <cell r="W108">
            <v>0</v>
          </cell>
          <cell r="X108">
            <v>0</v>
          </cell>
          <cell r="Y108">
            <v>0</v>
          </cell>
          <cell r="Z108">
            <v>0</v>
          </cell>
          <cell r="AA108">
            <v>0</v>
          </cell>
          <cell r="AB108">
            <v>0</v>
          </cell>
          <cell r="AC108">
            <v>0</v>
          </cell>
          <cell r="AD108">
            <v>-0.88600000000000001</v>
          </cell>
          <cell r="AE108">
            <v>-0.88600000000000001</v>
          </cell>
          <cell r="AF108">
            <v>0</v>
          </cell>
          <cell r="AG108">
            <v>0</v>
          </cell>
          <cell r="AH108">
            <v>0</v>
          </cell>
          <cell r="AI108">
            <v>0</v>
          </cell>
          <cell r="AJ108">
            <v>0</v>
          </cell>
          <cell r="AK108">
            <v>0</v>
          </cell>
          <cell r="AL108">
            <v>0</v>
          </cell>
          <cell r="AM108">
            <v>0</v>
          </cell>
          <cell r="AN108">
            <v>0</v>
          </cell>
          <cell r="AO108">
            <v>0</v>
          </cell>
          <cell r="AP108">
            <v>0</v>
          </cell>
          <cell r="AQ108">
            <v>0</v>
          </cell>
          <cell r="AR108">
            <v>0</v>
          </cell>
          <cell r="AS108">
            <v>0</v>
          </cell>
          <cell r="AT108">
            <v>0</v>
          </cell>
          <cell r="AU108">
            <v>0</v>
          </cell>
          <cell r="AV108">
            <v>0</v>
          </cell>
          <cell r="AW108">
            <v>0</v>
          </cell>
          <cell r="AX108">
            <v>0</v>
          </cell>
          <cell r="AY108">
            <v>0</v>
          </cell>
        </row>
        <row r="109">
          <cell r="A109" t="str">
            <v>Intangible Assets, EoP</v>
          </cell>
          <cell r="F109">
            <v>0</v>
          </cell>
          <cell r="G109">
            <v>0</v>
          </cell>
          <cell r="H109">
            <v>0</v>
          </cell>
          <cell r="I109">
            <v>0</v>
          </cell>
          <cell r="J109">
            <v>0</v>
          </cell>
          <cell r="K109">
            <v>0</v>
          </cell>
          <cell r="L109">
            <v>0</v>
          </cell>
          <cell r="M109">
            <v>0</v>
          </cell>
          <cell r="N109">
            <v>0</v>
          </cell>
          <cell r="O109">
            <v>0</v>
          </cell>
          <cell r="P109">
            <v>0</v>
          </cell>
          <cell r="Q109">
            <v>0</v>
          </cell>
          <cell r="R109">
            <v>0</v>
          </cell>
          <cell r="S109">
            <v>0</v>
          </cell>
          <cell r="T109">
            <v>0</v>
          </cell>
          <cell r="U109">
            <v>0</v>
          </cell>
          <cell r="V109">
            <v>0</v>
          </cell>
          <cell r="W109">
            <v>0</v>
          </cell>
          <cell r="X109">
            <v>0</v>
          </cell>
          <cell r="Y109">
            <v>0</v>
          </cell>
          <cell r="Z109">
            <v>0</v>
          </cell>
          <cell r="AA109">
            <v>0</v>
          </cell>
          <cell r="AB109">
            <v>0</v>
          </cell>
          <cell r="AC109">
            <v>0</v>
          </cell>
          <cell r="AD109">
            <v>-0.89300000000000002</v>
          </cell>
          <cell r="AE109">
            <v>-0.89300000000000002</v>
          </cell>
          <cell r="AF109">
            <v>-0.91500000000000004</v>
          </cell>
          <cell r="AG109">
            <v>-0.93700000000000006</v>
          </cell>
          <cell r="AH109">
            <v>-0.93700000000000006</v>
          </cell>
          <cell r="AI109">
            <v>-0.93700000000000006</v>
          </cell>
          <cell r="AJ109">
            <v>-0.93700000000000006</v>
          </cell>
          <cell r="AK109">
            <v>-0.93700000000000006</v>
          </cell>
          <cell r="AL109">
            <v>-0.93700000000000006</v>
          </cell>
          <cell r="AM109">
            <v>-0.93700000000000006</v>
          </cell>
          <cell r="AN109">
            <v>-0.93700000000000006</v>
          </cell>
          <cell r="AO109">
            <v>-0.93700000000000006</v>
          </cell>
          <cell r="AP109">
            <v>-0.93700000000000006</v>
          </cell>
          <cell r="AQ109">
            <v>-0.93700000000000006</v>
          </cell>
          <cell r="AR109">
            <v>-0.93700000000000006</v>
          </cell>
          <cell r="AS109">
            <v>-0.93700000000000006</v>
          </cell>
          <cell r="AT109">
            <v>-0.93700000000000006</v>
          </cell>
          <cell r="AU109">
            <v>0</v>
          </cell>
          <cell r="AV109">
            <v>0</v>
          </cell>
          <cell r="AW109">
            <v>0</v>
          </cell>
          <cell r="AX109">
            <v>0</v>
          </cell>
          <cell r="AY109">
            <v>0</v>
          </cell>
        </row>
        <row r="110">
          <cell r="A110" t="str">
            <v xml:space="preserve">Other </v>
          </cell>
          <cell r="G110">
            <v>0</v>
          </cell>
          <cell r="H110">
            <v>0</v>
          </cell>
          <cell r="I110">
            <v>0</v>
          </cell>
          <cell r="J110">
            <v>0</v>
          </cell>
          <cell r="L110">
            <v>0</v>
          </cell>
          <cell r="M110">
            <v>0</v>
          </cell>
          <cell r="N110">
            <v>0</v>
          </cell>
          <cell r="O110">
            <v>0</v>
          </cell>
          <cell r="P110">
            <v>0</v>
          </cell>
          <cell r="Q110">
            <v>0</v>
          </cell>
          <cell r="R110">
            <v>0</v>
          </cell>
          <cell r="S110">
            <v>0</v>
          </cell>
          <cell r="T110">
            <v>0</v>
          </cell>
          <cell r="U110">
            <v>0</v>
          </cell>
          <cell r="Y110">
            <v>0</v>
          </cell>
          <cell r="Z110">
            <v>0</v>
          </cell>
          <cell r="AD110">
            <v>-0.88600000000000001</v>
          </cell>
          <cell r="AE110">
            <v>-0.88600000000000001</v>
          </cell>
          <cell r="AJ110">
            <v>0</v>
          </cell>
          <cell r="AO110">
            <v>0</v>
          </cell>
          <cell r="AT110">
            <v>0</v>
          </cell>
          <cell r="AY110">
            <v>0</v>
          </cell>
        </row>
        <row r="111">
          <cell r="A111" t="str">
            <v>Total Depreciation &amp; Amortization Expense</v>
          </cell>
          <cell r="F111">
            <v>0</v>
          </cell>
          <cell r="G111">
            <v>0</v>
          </cell>
          <cell r="H111">
            <v>0</v>
          </cell>
          <cell r="I111">
            <v>0</v>
          </cell>
          <cell r="J111">
            <v>0</v>
          </cell>
          <cell r="K111">
            <v>0</v>
          </cell>
          <cell r="L111">
            <v>0</v>
          </cell>
          <cell r="M111">
            <v>0</v>
          </cell>
          <cell r="N111">
            <v>0</v>
          </cell>
          <cell r="O111">
            <v>0</v>
          </cell>
          <cell r="P111">
            <v>0</v>
          </cell>
          <cell r="Q111">
            <v>-0.21199999999999999</v>
          </cell>
          <cell r="R111">
            <v>-0.22900000000000001</v>
          </cell>
          <cell r="S111">
            <v>-0.24399999999999999</v>
          </cell>
          <cell r="T111">
            <v>-0.27300000000000002</v>
          </cell>
          <cell r="U111">
            <v>-0.95800000000000007</v>
          </cell>
          <cell r="V111">
            <v>-0.34799999999999998</v>
          </cell>
          <cell r="W111">
            <v>-0.497</v>
          </cell>
          <cell r="X111">
            <v>-0.58399999999999996</v>
          </cell>
          <cell r="Y111">
            <v>-0.69100000000000028</v>
          </cell>
          <cell r="Z111">
            <v>-2.12</v>
          </cell>
          <cell r="AA111">
            <v>-0.93100000000000005</v>
          </cell>
          <cell r="AB111">
            <v>-1.218</v>
          </cell>
          <cell r="AC111">
            <v>-1.208</v>
          </cell>
          <cell r="AD111">
            <v>-1.3169999999999999</v>
          </cell>
          <cell r="AE111">
            <v>-4.6740000000000004</v>
          </cell>
          <cell r="AF111">
            <v>-1.425</v>
          </cell>
          <cell r="AG111">
            <v>-1.4550000000000001</v>
          </cell>
          <cell r="AH111">
            <v>-1.4330000000000001</v>
          </cell>
          <cell r="AI111">
            <v>-1.5532450619527194</v>
          </cell>
          <cell r="AJ111">
            <v>-5.8662450619527196</v>
          </cell>
          <cell r="AK111">
            <v>-1.7871766331238403</v>
          </cell>
          <cell r="AL111">
            <v>-1.9806030511977295</v>
          </cell>
          <cell r="AM111">
            <v>-2.1817962040063055</v>
          </cell>
          <cell r="AN111">
            <v>-2.3937121518716769</v>
          </cell>
          <cell r="AO111">
            <v>-8.3432880401995533</v>
          </cell>
          <cell r="AP111">
            <v>-2.622075990245389</v>
          </cell>
          <cell r="AQ111">
            <v>-2.9963632375864893</v>
          </cell>
          <cell r="AR111">
            <v>-3.37307940020463</v>
          </cell>
          <cell r="AS111">
            <v>-3.7463748876877396</v>
          </cell>
          <cell r="AT111">
            <v>-12.737893515724249</v>
          </cell>
          <cell r="AU111">
            <v>-1.0720000000000001</v>
          </cell>
          <cell r="AV111">
            <v>-1.0720000000000001</v>
          </cell>
          <cell r="AW111">
            <v>-1.0720000000000001</v>
          </cell>
          <cell r="AX111">
            <v>-1.0720000000000001</v>
          </cell>
          <cell r="AY111">
            <v>-1.0720000000000001</v>
          </cell>
        </row>
        <row r="113">
          <cell r="A113" t="str">
            <v>Unrecorded Goodwill from Pooling</v>
          </cell>
          <cell r="F113">
            <v>0</v>
          </cell>
          <cell r="G113">
            <v>0</v>
          </cell>
          <cell r="H113">
            <v>0</v>
          </cell>
          <cell r="I113">
            <v>0</v>
          </cell>
          <cell r="J113">
            <v>0</v>
          </cell>
          <cell r="K113">
            <v>0</v>
          </cell>
          <cell r="L113">
            <v>0</v>
          </cell>
          <cell r="M113">
            <v>0</v>
          </cell>
          <cell r="N113">
            <v>0</v>
          </cell>
          <cell r="O113">
            <v>0</v>
          </cell>
          <cell r="P113">
            <v>0</v>
          </cell>
          <cell r="Q113">
            <v>0</v>
          </cell>
          <cell r="R113">
            <v>0</v>
          </cell>
          <cell r="S113">
            <v>0</v>
          </cell>
          <cell r="T113">
            <v>0</v>
          </cell>
          <cell r="U113">
            <v>0</v>
          </cell>
          <cell r="V113">
            <v>0</v>
          </cell>
          <cell r="W113">
            <v>0</v>
          </cell>
          <cell r="X113">
            <v>0</v>
          </cell>
          <cell r="Y113">
            <v>0</v>
          </cell>
          <cell r="Z113">
            <v>0</v>
          </cell>
          <cell r="AA113">
            <v>0</v>
          </cell>
          <cell r="AB113">
            <v>0</v>
          </cell>
          <cell r="AC113">
            <v>0</v>
          </cell>
          <cell r="AD113">
            <v>0</v>
          </cell>
          <cell r="AE113">
            <v>0</v>
          </cell>
          <cell r="AF113">
            <v>0</v>
          </cell>
          <cell r="AG113">
            <v>0</v>
          </cell>
          <cell r="AH113">
            <v>0</v>
          </cell>
          <cell r="AI113">
            <v>0</v>
          </cell>
          <cell r="AJ113">
            <v>0</v>
          </cell>
          <cell r="AK113">
            <v>0</v>
          </cell>
          <cell r="AL113">
            <v>0</v>
          </cell>
          <cell r="AM113">
            <v>0</v>
          </cell>
          <cell r="AN113">
            <v>0</v>
          </cell>
          <cell r="AO113">
            <v>0</v>
          </cell>
          <cell r="AP113">
            <v>0</v>
          </cell>
          <cell r="AQ113">
            <v>0</v>
          </cell>
          <cell r="AR113">
            <v>0</v>
          </cell>
          <cell r="AS113">
            <v>0</v>
          </cell>
          <cell r="AT113">
            <v>0</v>
          </cell>
          <cell r="AU113">
            <v>-3.9921305102102695</v>
          </cell>
          <cell r="AV113">
            <v>-4.4326301499393095</v>
          </cell>
          <cell r="AW113" t="str">
            <v>mstag:unrecordedGoodwillFromPoolingAndAmortizedOrWrittenOffGoodwill</v>
          </cell>
          <cell r="AX113">
            <v>3</v>
          </cell>
          <cell r="AY113" t="str">
            <v>ISO4217:USD</v>
          </cell>
          <cell r="AZ113" t="b">
            <v>0</v>
          </cell>
        </row>
        <row r="115">
          <cell r="A115" t="str">
            <v>Share Issuances</v>
          </cell>
          <cell r="F115">
            <v>0</v>
          </cell>
          <cell r="G115">
            <v>0</v>
          </cell>
          <cell r="H115">
            <v>0</v>
          </cell>
          <cell r="I115">
            <v>0</v>
          </cell>
          <cell r="J115">
            <v>0</v>
          </cell>
          <cell r="K115">
            <v>0</v>
          </cell>
          <cell r="L115">
            <v>0</v>
          </cell>
          <cell r="M115">
            <v>0</v>
          </cell>
          <cell r="N115">
            <v>0</v>
          </cell>
          <cell r="O115">
            <v>0</v>
          </cell>
          <cell r="P115">
            <v>0</v>
          </cell>
          <cell r="Q115">
            <v>0</v>
          </cell>
          <cell r="R115">
            <v>0</v>
          </cell>
          <cell r="S115">
            <v>0</v>
          </cell>
          <cell r="T115">
            <v>0</v>
          </cell>
          <cell r="U115">
            <v>0</v>
          </cell>
          <cell r="V115">
            <v>0</v>
          </cell>
          <cell r="W115">
            <v>0</v>
          </cell>
          <cell r="X115">
            <v>0</v>
          </cell>
          <cell r="Y115">
            <v>0</v>
          </cell>
          <cell r="Z115">
            <v>0</v>
          </cell>
          <cell r="AA115">
            <v>0</v>
          </cell>
          <cell r="AB115">
            <v>0</v>
          </cell>
          <cell r="AC115">
            <v>0</v>
          </cell>
          <cell r="AD115">
            <v>0</v>
          </cell>
          <cell r="AE115">
            <v>0</v>
          </cell>
          <cell r="AF115">
            <v>0</v>
          </cell>
          <cell r="AG115">
            <v>0</v>
          </cell>
          <cell r="AH115">
            <v>0</v>
          </cell>
          <cell r="AI115">
            <v>0</v>
          </cell>
          <cell r="AJ115">
            <v>0</v>
          </cell>
          <cell r="AK115">
            <v>0</v>
          </cell>
          <cell r="AL115">
            <v>0</v>
          </cell>
          <cell r="AM115">
            <v>0</v>
          </cell>
          <cell r="AN115">
            <v>0</v>
          </cell>
          <cell r="AO115">
            <v>0</v>
          </cell>
          <cell r="AP115">
            <v>0</v>
          </cell>
          <cell r="AQ115">
            <v>0</v>
          </cell>
          <cell r="AR115">
            <v>0</v>
          </cell>
          <cell r="AS115">
            <v>0</v>
          </cell>
          <cell r="AT115">
            <v>0</v>
          </cell>
          <cell r="AU115">
            <v>0</v>
          </cell>
          <cell r="AV115">
            <v>0</v>
          </cell>
          <cell r="AW115">
            <v>0</v>
          </cell>
          <cell r="AX115">
            <v>0</v>
          </cell>
          <cell r="AY115">
            <v>0</v>
          </cell>
          <cell r="BB115" t="str">
            <v>mstag:unrecordedGoodwillFromPoolingAndAmortizedOrWrittenOffGoodwill</v>
          </cell>
          <cell r="BC115">
            <v>3</v>
          </cell>
          <cell r="BD115" t="str">
            <v>ISO4217:USD</v>
          </cell>
          <cell r="BE115" t="b">
            <v>0</v>
          </cell>
        </row>
        <row r="116">
          <cell r="A116" t="str">
            <v>IPO Shares Issued</v>
          </cell>
          <cell r="P116">
            <v>0</v>
          </cell>
          <cell r="Q116">
            <v>0</v>
          </cell>
          <cell r="R116">
            <v>0</v>
          </cell>
          <cell r="S116">
            <v>0</v>
          </cell>
          <cell r="T116">
            <v>0</v>
          </cell>
          <cell r="U116">
            <v>0</v>
          </cell>
          <cell r="V116">
            <v>0</v>
          </cell>
          <cell r="W116">
            <v>0</v>
          </cell>
          <cell r="X116">
            <v>0</v>
          </cell>
          <cell r="Y116">
            <v>0</v>
          </cell>
          <cell r="Z116">
            <v>0</v>
          </cell>
          <cell r="AA116">
            <v>13.401999999999999</v>
          </cell>
          <cell r="AB116">
            <v>0</v>
          </cell>
          <cell r="AC116">
            <v>0</v>
          </cell>
          <cell r="AD116">
            <v>0</v>
          </cell>
          <cell r="AE116">
            <v>13.401999999999999</v>
          </cell>
          <cell r="AF116">
            <v>0</v>
          </cell>
          <cell r="AG116">
            <v>0</v>
          </cell>
          <cell r="AH116">
            <v>0</v>
          </cell>
          <cell r="AI116">
            <v>0</v>
          </cell>
          <cell r="AJ116">
            <v>0</v>
          </cell>
          <cell r="AK116">
            <v>0</v>
          </cell>
          <cell r="AL116">
            <v>0</v>
          </cell>
          <cell r="AM116">
            <v>0</v>
          </cell>
          <cell r="AN116">
            <v>0</v>
          </cell>
          <cell r="AO116">
            <v>0</v>
          </cell>
          <cell r="AP116">
            <v>0</v>
          </cell>
          <cell r="AQ116">
            <v>0</v>
          </cell>
          <cell r="AR116">
            <v>0</v>
          </cell>
          <cell r="AS116">
            <v>0</v>
          </cell>
          <cell r="AT116">
            <v>0</v>
          </cell>
        </row>
        <row r="117">
          <cell r="A117" t="str">
            <v>Proceeds from IPO</v>
          </cell>
          <cell r="P117">
            <v>0</v>
          </cell>
          <cell r="Q117">
            <v>0</v>
          </cell>
          <cell r="R117">
            <v>0</v>
          </cell>
          <cell r="S117">
            <v>0</v>
          </cell>
          <cell r="T117">
            <v>0</v>
          </cell>
          <cell r="U117">
            <v>0</v>
          </cell>
          <cell r="V117">
            <v>0</v>
          </cell>
          <cell r="W117">
            <v>0</v>
          </cell>
          <cell r="X117">
            <v>0</v>
          </cell>
          <cell r="Y117">
            <v>0</v>
          </cell>
          <cell r="Z117">
            <v>0</v>
          </cell>
          <cell r="AA117">
            <v>211.88561999999996</v>
          </cell>
          <cell r="AB117">
            <v>0</v>
          </cell>
          <cell r="AC117">
            <v>0</v>
          </cell>
          <cell r="AD117">
            <v>0</v>
          </cell>
          <cell r="AE117">
            <v>211.88561999999996</v>
          </cell>
          <cell r="AF117">
            <v>0</v>
          </cell>
          <cell r="AG117">
            <v>0</v>
          </cell>
          <cell r="AH117">
            <v>0</v>
          </cell>
          <cell r="AI117">
            <v>0</v>
          </cell>
          <cell r="AJ117">
            <v>0</v>
          </cell>
          <cell r="AK117">
            <v>0</v>
          </cell>
          <cell r="AL117">
            <v>0</v>
          </cell>
          <cell r="AM117">
            <v>0</v>
          </cell>
          <cell r="AN117">
            <v>0</v>
          </cell>
          <cell r="AO117">
            <v>0</v>
          </cell>
          <cell r="AP117">
            <v>0</v>
          </cell>
          <cell r="AQ117">
            <v>0</v>
          </cell>
          <cell r="AR117">
            <v>0</v>
          </cell>
          <cell r="AS117">
            <v>0</v>
          </cell>
          <cell r="AT117">
            <v>0</v>
          </cell>
        </row>
        <row r="118">
          <cell r="A118" t="str">
            <v>Avg. Share Grant Price</v>
          </cell>
          <cell r="P118">
            <v>0</v>
          </cell>
          <cell r="Q118">
            <v>0</v>
          </cell>
          <cell r="R118">
            <v>0</v>
          </cell>
          <cell r="S118">
            <v>0</v>
          </cell>
          <cell r="T118">
            <v>0</v>
          </cell>
          <cell r="U118">
            <v>0</v>
          </cell>
          <cell r="V118">
            <v>0</v>
          </cell>
          <cell r="W118">
            <v>0</v>
          </cell>
          <cell r="X118">
            <v>0</v>
          </cell>
          <cell r="Y118">
            <v>0</v>
          </cell>
          <cell r="Z118">
            <v>0</v>
          </cell>
          <cell r="AA118">
            <v>0</v>
          </cell>
          <cell r="AB118">
            <v>0</v>
          </cell>
          <cell r="AC118">
            <v>0</v>
          </cell>
          <cell r="AD118">
            <v>0</v>
          </cell>
          <cell r="AE118">
            <v>13.401999999999999</v>
          </cell>
          <cell r="AF118">
            <v>0</v>
          </cell>
          <cell r="AG118">
            <v>0</v>
          </cell>
          <cell r="AH118">
            <v>0</v>
          </cell>
          <cell r="AI118">
            <v>0</v>
          </cell>
          <cell r="AJ118">
            <v>0</v>
          </cell>
          <cell r="AK118">
            <v>0</v>
          </cell>
          <cell r="AL118">
            <v>0</v>
          </cell>
          <cell r="AM118">
            <v>0</v>
          </cell>
          <cell r="AN118">
            <v>0</v>
          </cell>
          <cell r="AO118">
            <v>0</v>
          </cell>
          <cell r="AP118">
            <v>0</v>
          </cell>
          <cell r="AQ118">
            <v>0</v>
          </cell>
          <cell r="AR118">
            <v>0</v>
          </cell>
          <cell r="AS118">
            <v>0</v>
          </cell>
          <cell r="AT118">
            <v>0</v>
          </cell>
          <cell r="AU118">
            <v>0</v>
          </cell>
          <cell r="AV118">
            <v>0</v>
          </cell>
          <cell r="AW118">
            <v>0</v>
          </cell>
          <cell r="AX118">
            <v>0</v>
          </cell>
          <cell r="AY118">
            <v>0</v>
          </cell>
        </row>
        <row r="119">
          <cell r="A119" t="str">
            <v>Proceeds from IPO</v>
          </cell>
          <cell r="P119">
            <v>0</v>
          </cell>
          <cell r="Q119">
            <v>0</v>
          </cell>
          <cell r="R119">
            <v>0</v>
          </cell>
          <cell r="S119">
            <v>0</v>
          </cell>
          <cell r="T119">
            <v>0</v>
          </cell>
          <cell r="U119">
            <v>0</v>
          </cell>
          <cell r="V119">
            <v>0</v>
          </cell>
          <cell r="W119">
            <v>0</v>
          </cell>
          <cell r="X119">
            <v>0</v>
          </cell>
          <cell r="Y119">
            <v>0</v>
          </cell>
          <cell r="Z119">
            <v>0</v>
          </cell>
          <cell r="AA119">
            <v>211.88561999999996</v>
          </cell>
          <cell r="AB119">
            <v>0</v>
          </cell>
          <cell r="AC119">
            <v>0</v>
          </cell>
          <cell r="AD119">
            <v>0</v>
          </cell>
          <cell r="AE119">
            <v>211.88561999999996</v>
          </cell>
          <cell r="AF119">
            <v>0</v>
          </cell>
          <cell r="AG119">
            <v>0</v>
          </cell>
          <cell r="AH119">
            <v>0</v>
          </cell>
          <cell r="AI119">
            <v>0</v>
          </cell>
          <cell r="AJ119">
            <v>0</v>
          </cell>
          <cell r="AK119">
            <v>0</v>
          </cell>
          <cell r="AL119">
            <v>0</v>
          </cell>
          <cell r="AM119">
            <v>0</v>
          </cell>
          <cell r="AN119">
            <v>0</v>
          </cell>
          <cell r="AO119">
            <v>0</v>
          </cell>
          <cell r="AP119">
            <v>0</v>
          </cell>
          <cell r="AQ119">
            <v>0</v>
          </cell>
          <cell r="AR119">
            <v>0</v>
          </cell>
          <cell r="AS119">
            <v>0</v>
          </cell>
          <cell r="AT119">
            <v>0</v>
          </cell>
          <cell r="AU119">
            <v>0</v>
          </cell>
          <cell r="AV119">
            <v>0</v>
          </cell>
          <cell r="AW119">
            <v>0</v>
          </cell>
          <cell r="AX119">
            <v>0</v>
          </cell>
          <cell r="AY119">
            <v>0</v>
          </cell>
        </row>
        <row r="120">
          <cell r="A120" t="str">
            <v>Shares from Options Issued</v>
          </cell>
          <cell r="P120">
            <v>0</v>
          </cell>
          <cell r="Q120">
            <v>0</v>
          </cell>
          <cell r="R120">
            <v>0</v>
          </cell>
          <cell r="S120">
            <v>0</v>
          </cell>
          <cell r="T120">
            <v>0</v>
          </cell>
          <cell r="U120">
            <v>0</v>
          </cell>
          <cell r="V120">
            <v>0</v>
          </cell>
          <cell r="W120">
            <v>0</v>
          </cell>
          <cell r="X120">
            <v>0</v>
          </cell>
          <cell r="Y120">
            <v>0</v>
          </cell>
          <cell r="Z120">
            <v>0</v>
          </cell>
          <cell r="AA120">
            <v>0</v>
          </cell>
          <cell r="AB120">
            <v>0.25</v>
          </cell>
          <cell r="AC120">
            <v>0.25</v>
          </cell>
          <cell r="AD120">
            <v>0.5</v>
          </cell>
          <cell r="AE120">
            <v>1</v>
          </cell>
          <cell r="AF120">
            <v>0.75</v>
          </cell>
          <cell r="AG120">
            <v>0.25</v>
          </cell>
          <cell r="AH120">
            <v>0.25124999999999997</v>
          </cell>
          <cell r="AI120">
            <v>0.25250624999999993</v>
          </cell>
          <cell r="AJ120">
            <v>1.5037562499999999</v>
          </cell>
          <cell r="AK120">
            <v>0.25376878124999991</v>
          </cell>
          <cell r="AL120">
            <v>0.25503762515624989</v>
          </cell>
          <cell r="AM120">
            <v>0.25631281328203109</v>
          </cell>
          <cell r="AN120">
            <v>0.25759437734844121</v>
          </cell>
          <cell r="AO120">
            <v>1.0227135970367223</v>
          </cell>
          <cell r="AP120">
            <v>0.25888234923518338</v>
          </cell>
          <cell r="AQ120">
            <v>0.26017676098135928</v>
          </cell>
          <cell r="AR120">
            <v>0.26147764478626606</v>
          </cell>
          <cell r="AS120">
            <v>0.26278503301019734</v>
          </cell>
          <cell r="AT120">
            <v>1.0433217880130061</v>
          </cell>
          <cell r="AU120">
            <v>0</v>
          </cell>
          <cell r="AV120">
            <v>0</v>
          </cell>
          <cell r="AW120">
            <v>0</v>
          </cell>
          <cell r="AX120">
            <v>0</v>
          </cell>
        </row>
        <row r="121">
          <cell r="A121" t="str">
            <v>Proceeds from Shares Issued</v>
          </cell>
          <cell r="P121">
            <v>0</v>
          </cell>
          <cell r="Q121">
            <v>0</v>
          </cell>
          <cell r="R121">
            <v>0</v>
          </cell>
          <cell r="S121">
            <v>0</v>
          </cell>
          <cell r="T121">
            <v>0</v>
          </cell>
          <cell r="U121">
            <v>0</v>
          </cell>
          <cell r="V121">
            <v>0</v>
          </cell>
          <cell r="W121">
            <v>0</v>
          </cell>
          <cell r="X121">
            <v>0</v>
          </cell>
          <cell r="Y121">
            <v>0</v>
          </cell>
          <cell r="Z121">
            <v>0</v>
          </cell>
          <cell r="AA121">
            <v>0</v>
          </cell>
          <cell r="AB121">
            <v>0.75</v>
          </cell>
          <cell r="AC121">
            <v>0.75</v>
          </cell>
          <cell r="AD121">
            <v>1.5</v>
          </cell>
          <cell r="AE121">
            <v>3</v>
          </cell>
          <cell r="AF121">
            <v>2.25</v>
          </cell>
          <cell r="AG121">
            <v>0.75</v>
          </cell>
          <cell r="AH121">
            <v>0.75374999999999992</v>
          </cell>
          <cell r="AI121">
            <v>0.7575187499999998</v>
          </cell>
          <cell r="AJ121">
            <v>4.5112687500000002</v>
          </cell>
          <cell r="AK121">
            <v>0.76130634374999973</v>
          </cell>
          <cell r="AL121">
            <v>0.76511287546874973</v>
          </cell>
          <cell r="AM121">
            <v>0.76893843984609322</v>
          </cell>
          <cell r="AN121">
            <v>0.77278313204532356</v>
          </cell>
          <cell r="AO121">
            <v>3.0681407911101664</v>
          </cell>
          <cell r="AP121">
            <v>0.77664704770555015</v>
          </cell>
          <cell r="AQ121">
            <v>0.78053028294407789</v>
          </cell>
          <cell r="AR121">
            <v>0.78443293435879813</v>
          </cell>
          <cell r="AS121">
            <v>0.78835509903059209</v>
          </cell>
          <cell r="AT121">
            <v>3.1299653640390179</v>
          </cell>
        </row>
        <row r="122">
          <cell r="A122" t="str">
            <v>Avg. Option Grant Price</v>
          </cell>
          <cell r="P122">
            <v>0</v>
          </cell>
          <cell r="Q122">
            <v>0</v>
          </cell>
          <cell r="R122">
            <v>0</v>
          </cell>
          <cell r="S122">
            <v>0</v>
          </cell>
          <cell r="T122">
            <v>0</v>
          </cell>
          <cell r="U122">
            <v>0</v>
          </cell>
          <cell r="V122">
            <v>0</v>
          </cell>
          <cell r="W122">
            <v>3</v>
          </cell>
          <cell r="X122">
            <v>3</v>
          </cell>
          <cell r="Y122">
            <v>0</v>
          </cell>
          <cell r="Z122">
            <v>0</v>
          </cell>
          <cell r="AA122">
            <v>3</v>
          </cell>
          <cell r="AB122">
            <v>3</v>
          </cell>
          <cell r="AC122">
            <v>3</v>
          </cell>
          <cell r="AD122">
            <v>3</v>
          </cell>
          <cell r="AE122">
            <v>3</v>
          </cell>
          <cell r="AF122">
            <v>3</v>
          </cell>
          <cell r="AG122">
            <v>3</v>
          </cell>
          <cell r="AH122">
            <v>3</v>
          </cell>
          <cell r="AI122">
            <v>3</v>
          </cell>
          <cell r="AJ122">
            <v>3.0000000000000004</v>
          </cell>
          <cell r="AK122">
            <v>3</v>
          </cell>
          <cell r="AL122">
            <v>3</v>
          </cell>
          <cell r="AM122">
            <v>3</v>
          </cell>
          <cell r="AN122">
            <v>3</v>
          </cell>
          <cell r="AO122">
            <v>2.9999999999999996</v>
          </cell>
          <cell r="AP122">
            <v>3</v>
          </cell>
          <cell r="AQ122">
            <v>3</v>
          </cell>
          <cell r="AR122">
            <v>3</v>
          </cell>
          <cell r="AS122">
            <v>3</v>
          </cell>
          <cell r="AT122">
            <v>2.9999999999999996</v>
          </cell>
          <cell r="AU122">
            <v>0.26409895817524831</v>
          </cell>
          <cell r="AV122">
            <v>0.26541945296612451</v>
          </cell>
          <cell r="AW122">
            <v>0.26674655023095512</v>
          </cell>
          <cell r="AX122">
            <v>0.26808028298210984</v>
          </cell>
          <cell r="AY122">
            <v>1.0643452443544379</v>
          </cell>
        </row>
        <row r="123">
          <cell r="A123" t="str">
            <v>Proceeds from Shares Issued</v>
          </cell>
          <cell r="P123">
            <v>0</v>
          </cell>
          <cell r="Q123">
            <v>0</v>
          </cell>
          <cell r="R123">
            <v>0</v>
          </cell>
          <cell r="S123">
            <v>0</v>
          </cell>
          <cell r="T123">
            <v>0</v>
          </cell>
          <cell r="U123">
            <v>0</v>
          </cell>
          <cell r="V123">
            <v>0</v>
          </cell>
          <cell r="W123">
            <v>0</v>
          </cell>
          <cell r="X123">
            <v>0</v>
          </cell>
          <cell r="Y123">
            <v>0</v>
          </cell>
          <cell r="Z123">
            <v>0</v>
          </cell>
          <cell r="AA123">
            <v>0</v>
          </cell>
          <cell r="AB123">
            <v>0.75</v>
          </cell>
          <cell r="AC123">
            <v>0.75</v>
          </cell>
          <cell r="AD123">
            <v>1.5</v>
          </cell>
          <cell r="AE123">
            <v>3</v>
          </cell>
          <cell r="AF123">
            <v>2.25</v>
          </cell>
          <cell r="AG123">
            <v>0.75</v>
          </cell>
          <cell r="AH123">
            <v>0.75374999999999992</v>
          </cell>
          <cell r="AI123">
            <v>0.7575187499999998</v>
          </cell>
          <cell r="AJ123">
            <v>4.5112687500000002</v>
          </cell>
          <cell r="AK123">
            <v>0.76130634374999973</v>
          </cell>
          <cell r="AL123">
            <v>0.76511287546874973</v>
          </cell>
          <cell r="AM123">
            <v>0.76893843984609322</v>
          </cell>
          <cell r="AN123">
            <v>0.77278313204532356</v>
          </cell>
          <cell r="AO123">
            <v>3.0681407911101664</v>
          </cell>
          <cell r="AP123">
            <v>0.77664704770555015</v>
          </cell>
          <cell r="AQ123">
            <v>0.78053028294407789</v>
          </cell>
          <cell r="AR123">
            <v>0.78443293435879813</v>
          </cell>
          <cell r="AS123">
            <v>0.78835509903059209</v>
          </cell>
          <cell r="AT123">
            <v>3.1299653640390179</v>
          </cell>
          <cell r="AU123">
            <v>0.79229687452574493</v>
          </cell>
          <cell r="AV123">
            <v>0.7962583588983736</v>
          </cell>
          <cell r="AW123">
            <v>0.80023965069286529</v>
          </cell>
          <cell r="AX123">
            <v>0.80424084894632952</v>
          </cell>
          <cell r="AY123">
            <v>3.1930357330633132</v>
          </cell>
        </row>
        <row r="124">
          <cell r="A124" t="str">
            <v>Avg. Option Grant Price</v>
          </cell>
          <cell r="Q124">
            <v>0</v>
          </cell>
          <cell r="R124">
            <v>0</v>
          </cell>
          <cell r="S124">
            <v>0</v>
          </cell>
          <cell r="T124">
            <v>0</v>
          </cell>
          <cell r="V124">
            <v>0</v>
          </cell>
          <cell r="W124">
            <v>3</v>
          </cell>
          <cell r="X124">
            <v>3</v>
          </cell>
          <cell r="Y124">
            <v>0</v>
          </cell>
          <cell r="AA124">
            <v>3</v>
          </cell>
          <cell r="AB124">
            <v>3</v>
          </cell>
          <cell r="AC124">
            <v>3</v>
          </cell>
          <cell r="AD124">
            <v>3</v>
          </cell>
          <cell r="AE124">
            <v>3</v>
          </cell>
          <cell r="AF124">
            <v>3</v>
          </cell>
          <cell r="AG124">
            <v>3</v>
          </cell>
          <cell r="AH124">
            <v>3</v>
          </cell>
          <cell r="AI124">
            <v>3</v>
          </cell>
          <cell r="AJ124">
            <v>3.0000000000000004</v>
          </cell>
          <cell r="AK124">
            <v>3</v>
          </cell>
          <cell r="AL124">
            <v>3</v>
          </cell>
          <cell r="AM124">
            <v>3</v>
          </cell>
          <cell r="AN124">
            <v>3</v>
          </cell>
          <cell r="AO124">
            <v>2.9999999999999996</v>
          </cell>
          <cell r="AP124">
            <v>3</v>
          </cell>
          <cell r="AQ124">
            <v>3</v>
          </cell>
          <cell r="AR124">
            <v>3</v>
          </cell>
          <cell r="AS124">
            <v>3</v>
          </cell>
          <cell r="AT124">
            <v>2.9999999999999996</v>
          </cell>
          <cell r="AU124">
            <v>3</v>
          </cell>
          <cell r="AV124">
            <v>3</v>
          </cell>
          <cell r="AW124">
            <v>3</v>
          </cell>
          <cell r="AX124">
            <v>3</v>
          </cell>
          <cell r="AY124">
            <v>2.9999999999999996</v>
          </cell>
        </row>
        <row r="125">
          <cell r="A125" t="str">
            <v>Stockholder's Equity</v>
          </cell>
        </row>
        <row r="127">
          <cell r="A127" t="str">
            <v>Common Stock -- BoP</v>
          </cell>
          <cell r="K127">
            <v>0</v>
          </cell>
          <cell r="L127">
            <v>0</v>
          </cell>
          <cell r="M127">
            <v>0</v>
          </cell>
          <cell r="N127">
            <v>0</v>
          </cell>
          <cell r="O127">
            <v>0</v>
          </cell>
          <cell r="P127">
            <v>0</v>
          </cell>
          <cell r="Q127">
            <v>1.7000000000000001E-2</v>
          </cell>
          <cell r="R127">
            <v>4.5999999999999999E-2</v>
          </cell>
          <cell r="S127">
            <v>1.6E-2</v>
          </cell>
          <cell r="T127">
            <v>1.7999999999999999E-2</v>
          </cell>
          <cell r="U127">
            <v>1.7000000000000001E-2</v>
          </cell>
          <cell r="V127">
            <v>1.9E-2</v>
          </cell>
          <cell r="W127">
            <v>2.5000000000000001E-2</v>
          </cell>
          <cell r="X127">
            <v>2.5000000000000001E-2</v>
          </cell>
          <cell r="Y127">
            <v>2.1999999999999999E-2</v>
          </cell>
          <cell r="Z127">
            <v>1.9E-2</v>
          </cell>
          <cell r="AA127">
            <v>2.3E-2</v>
          </cell>
          <cell r="AB127">
            <v>9.5000000000000001E-2</v>
          </cell>
          <cell r="AC127">
            <v>9.7000000000000003E-2</v>
          </cell>
          <cell r="AD127">
            <v>9.7000000000000003E-2</v>
          </cell>
          <cell r="AE127">
            <v>2.3E-2</v>
          </cell>
          <cell r="AF127">
            <v>0.10100000000000001</v>
          </cell>
          <cell r="AG127">
            <v>0.10299999999999999</v>
          </cell>
          <cell r="AH127">
            <v>0.105</v>
          </cell>
          <cell r="AI127">
            <v>0.1075125</v>
          </cell>
          <cell r="AJ127">
            <v>0.10100000000000001</v>
          </cell>
          <cell r="AK127">
            <v>0.11003756249999999</v>
          </cell>
          <cell r="AL127">
            <v>0.11257525031249999</v>
          </cell>
          <cell r="AM127">
            <v>0.11512562656406249</v>
          </cell>
          <cell r="AN127">
            <v>0.11768875469688279</v>
          </cell>
          <cell r="AO127">
            <v>0.11003756249999999</v>
          </cell>
          <cell r="AP127">
            <v>0.12026469847036721</v>
          </cell>
          <cell r="AQ127">
            <v>0.12285352196271904</v>
          </cell>
          <cell r="AR127">
            <v>0.12545528957253263</v>
          </cell>
          <cell r="AS127">
            <v>0.12807006602039528</v>
          </cell>
          <cell r="AT127">
            <v>0.12026469847036721</v>
          </cell>
        </row>
        <row r="128">
          <cell r="A128" t="str">
            <v>New Issuances</v>
          </cell>
          <cell r="K128">
            <v>0</v>
          </cell>
          <cell r="L128">
            <v>0</v>
          </cell>
          <cell r="M128">
            <v>0</v>
          </cell>
          <cell r="N128">
            <v>0</v>
          </cell>
          <cell r="O128">
            <v>0</v>
          </cell>
          <cell r="P128">
            <v>1.7000000000000001E-2</v>
          </cell>
          <cell r="Q128">
            <v>2.8999999999999998E-2</v>
          </cell>
          <cell r="R128">
            <v>-0.03</v>
          </cell>
          <cell r="S128">
            <v>1.9999999999999983E-3</v>
          </cell>
          <cell r="T128">
            <v>1.0000000000000009E-3</v>
          </cell>
          <cell r="U128">
            <v>1.9999999999999983E-3</v>
          </cell>
          <cell r="V128">
            <v>6.0000000000000019E-3</v>
          </cell>
          <cell r="W128">
            <v>0</v>
          </cell>
          <cell r="X128">
            <v>-3.0000000000000027E-3</v>
          </cell>
          <cell r="Y128">
            <v>1.0000000000000009E-3</v>
          </cell>
          <cell r="Z128">
            <v>4.0000000000000001E-3</v>
          </cell>
          <cell r="AA128">
            <v>7.2000000000000008E-2</v>
          </cell>
          <cell r="AB128">
            <v>2.0000000000000018E-3</v>
          </cell>
          <cell r="AC128">
            <v>0</v>
          </cell>
          <cell r="AD128">
            <v>4.0000000000000036E-3</v>
          </cell>
          <cell r="AE128">
            <v>7.8000000000000014E-2</v>
          </cell>
          <cell r="AF128">
            <v>1.9999999999999879E-3</v>
          </cell>
          <cell r="AG128">
            <v>2.0000000000000018E-3</v>
          </cell>
          <cell r="AH128">
            <v>2.5125E-3</v>
          </cell>
          <cell r="AI128">
            <v>2.5250624999999995E-3</v>
          </cell>
          <cell r="AJ128">
            <v>9.0375624999999848E-3</v>
          </cell>
          <cell r="AK128">
            <v>2.537687812499999E-3</v>
          </cell>
          <cell r="AL128">
            <v>2.5503762515624992E-3</v>
          </cell>
          <cell r="AM128">
            <v>2.5631281328203112E-3</v>
          </cell>
          <cell r="AN128">
            <v>2.5759437734844122E-3</v>
          </cell>
          <cell r="AO128">
            <v>1.0227135970367215E-2</v>
          </cell>
          <cell r="AP128">
            <v>2.5888234923518339E-3</v>
          </cell>
          <cell r="AQ128">
            <v>2.6017676098135929E-3</v>
          </cell>
          <cell r="AR128">
            <v>2.6147764478626607E-3</v>
          </cell>
          <cell r="AS128">
            <v>2.6278503301019737E-3</v>
          </cell>
          <cell r="AT128">
            <v>1.0433217880130033E-2</v>
          </cell>
        </row>
        <row r="129">
          <cell r="A129" t="str">
            <v>Other</v>
          </cell>
          <cell r="K129">
            <v>0</v>
          </cell>
          <cell r="L129">
            <v>0</v>
          </cell>
          <cell r="M129">
            <v>0</v>
          </cell>
          <cell r="N129">
            <v>0</v>
          </cell>
          <cell r="O129">
            <v>1.7000000000000001E-2</v>
          </cell>
          <cell r="P129">
            <v>0</v>
          </cell>
          <cell r="Q129">
            <v>0</v>
          </cell>
          <cell r="R129">
            <v>0</v>
          </cell>
          <cell r="S129">
            <v>0</v>
          </cell>
          <cell r="T129">
            <v>0</v>
          </cell>
          <cell r="U129">
            <v>0</v>
          </cell>
          <cell r="V129">
            <v>0</v>
          </cell>
          <cell r="W129">
            <v>0</v>
          </cell>
          <cell r="X129">
            <v>0</v>
          </cell>
          <cell r="Y129">
            <v>0</v>
          </cell>
          <cell r="Z129">
            <v>0</v>
          </cell>
          <cell r="AA129">
            <v>0</v>
          </cell>
          <cell r="AB129">
            <v>0</v>
          </cell>
          <cell r="AC129">
            <v>0</v>
          </cell>
          <cell r="AD129">
            <v>0</v>
          </cell>
          <cell r="AE129">
            <v>0</v>
          </cell>
          <cell r="AF129">
            <v>0</v>
          </cell>
          <cell r="AG129">
            <v>0</v>
          </cell>
          <cell r="AH129">
            <v>0</v>
          </cell>
          <cell r="AI129">
            <v>0</v>
          </cell>
          <cell r="AJ129">
            <v>0</v>
          </cell>
          <cell r="AK129">
            <v>0</v>
          </cell>
          <cell r="AL129">
            <v>0</v>
          </cell>
          <cell r="AM129">
            <v>0</v>
          </cell>
          <cell r="AN129">
            <v>0</v>
          </cell>
          <cell r="AO129">
            <v>0</v>
          </cell>
          <cell r="AP129">
            <v>0</v>
          </cell>
          <cell r="AQ129">
            <v>0</v>
          </cell>
          <cell r="AR129">
            <v>0</v>
          </cell>
          <cell r="AS129">
            <v>0</v>
          </cell>
          <cell r="AT129">
            <v>0</v>
          </cell>
          <cell r="AU129">
            <v>0.13018541635049724</v>
          </cell>
          <cell r="AV129">
            <v>0.13282640593224973</v>
          </cell>
          <cell r="AW129">
            <v>0.13548060046191099</v>
          </cell>
          <cell r="AX129">
            <v>0.13814806596422055</v>
          </cell>
          <cell r="AY129">
            <v>0.13018541635049724</v>
          </cell>
        </row>
        <row r="130">
          <cell r="A130" t="str">
            <v>Common Stock -- EoP</v>
          </cell>
          <cell r="F130">
            <v>0</v>
          </cell>
          <cell r="G130">
            <v>0</v>
          </cell>
          <cell r="H130">
            <v>0</v>
          </cell>
          <cell r="I130">
            <v>0</v>
          </cell>
          <cell r="J130">
            <v>0</v>
          </cell>
          <cell r="K130">
            <v>0</v>
          </cell>
          <cell r="L130">
            <v>0</v>
          </cell>
          <cell r="M130">
            <v>0</v>
          </cell>
          <cell r="N130">
            <v>0</v>
          </cell>
          <cell r="O130">
            <v>1.7000000000000001E-2</v>
          </cell>
          <cell r="P130">
            <v>1.7000000000000001E-2</v>
          </cell>
          <cell r="Q130">
            <v>4.5999999999999999E-2</v>
          </cell>
          <cell r="R130">
            <v>1.6E-2</v>
          </cell>
          <cell r="S130">
            <v>1.7999999999999999E-2</v>
          </cell>
          <cell r="T130">
            <v>1.9E-2</v>
          </cell>
          <cell r="U130">
            <v>1.9E-2</v>
          </cell>
          <cell r="V130">
            <v>2.5000000000000001E-2</v>
          </cell>
          <cell r="W130">
            <v>2.5000000000000001E-2</v>
          </cell>
          <cell r="X130">
            <v>2.1999999999999999E-2</v>
          </cell>
          <cell r="Y130">
            <v>2.3E-2</v>
          </cell>
          <cell r="Z130">
            <v>2.3E-2</v>
          </cell>
          <cell r="AA130">
            <v>9.5000000000000001E-2</v>
          </cell>
          <cell r="AB130">
            <v>9.7000000000000003E-2</v>
          </cell>
          <cell r="AC130">
            <v>9.7000000000000003E-2</v>
          </cell>
          <cell r="AD130">
            <v>0.10100000000000001</v>
          </cell>
          <cell r="AE130">
            <v>0.10100000000000001</v>
          </cell>
          <cell r="AF130">
            <v>0.10299999999999999</v>
          </cell>
          <cell r="AG130">
            <v>0.105</v>
          </cell>
          <cell r="AH130">
            <v>0.1075125</v>
          </cell>
          <cell r="AI130">
            <v>0.11003756249999999</v>
          </cell>
          <cell r="AJ130">
            <v>0.11003756249999999</v>
          </cell>
          <cell r="AK130">
            <v>0.11257525031249999</v>
          </cell>
          <cell r="AL130">
            <v>0.11512562656406249</v>
          </cell>
          <cell r="AM130">
            <v>0.11768875469688279</v>
          </cell>
          <cell r="AN130">
            <v>0.12026469847036721</v>
          </cell>
          <cell r="AO130">
            <v>0.12026469847036721</v>
          </cell>
          <cell r="AP130">
            <v>0.12285352196271904</v>
          </cell>
          <cell r="AQ130">
            <v>0.12545528957253263</v>
          </cell>
          <cell r="AR130">
            <v>0.12807006602039528</v>
          </cell>
          <cell r="AS130">
            <v>0.13069791635049724</v>
          </cell>
          <cell r="AT130">
            <v>0.13069791635049724</v>
          </cell>
          <cell r="AU130">
            <v>2.6409895817524833E-3</v>
          </cell>
          <cell r="AV130">
            <v>2.6541945296612453E-3</v>
          </cell>
          <cell r="AW130">
            <v>2.6674655023095511E-3</v>
          </cell>
          <cell r="AX130">
            <v>2.6808028298210985E-3</v>
          </cell>
          <cell r="AY130">
            <v>1.0643452443544421E-2</v>
          </cell>
        </row>
        <row r="131">
          <cell r="A131" t="str">
            <v>Other</v>
          </cell>
          <cell r="K131">
            <v>0</v>
          </cell>
          <cell r="L131">
            <v>0</v>
          </cell>
          <cell r="M131">
            <v>0</v>
          </cell>
          <cell r="N131">
            <v>0</v>
          </cell>
          <cell r="O131">
            <v>1.7000000000000001E-2</v>
          </cell>
          <cell r="P131">
            <v>0</v>
          </cell>
          <cell r="Q131">
            <v>0</v>
          </cell>
          <cell r="R131">
            <v>0</v>
          </cell>
          <cell r="S131">
            <v>0</v>
          </cell>
          <cell r="T131">
            <v>0</v>
          </cell>
          <cell r="U131">
            <v>0</v>
          </cell>
          <cell r="V131">
            <v>0</v>
          </cell>
          <cell r="W131">
            <v>0</v>
          </cell>
          <cell r="X131">
            <v>0</v>
          </cell>
          <cell r="Y131">
            <v>0</v>
          </cell>
          <cell r="Z131">
            <v>0</v>
          </cell>
          <cell r="AA131">
            <v>0</v>
          </cell>
          <cell r="AB131">
            <v>0</v>
          </cell>
          <cell r="AC131">
            <v>0</v>
          </cell>
          <cell r="AD131">
            <v>0</v>
          </cell>
          <cell r="AE131">
            <v>0</v>
          </cell>
          <cell r="AF131">
            <v>0</v>
          </cell>
          <cell r="AG131">
            <v>0</v>
          </cell>
          <cell r="AH131">
            <v>0</v>
          </cell>
          <cell r="AI131">
            <v>0</v>
          </cell>
          <cell r="AJ131">
            <v>0</v>
          </cell>
          <cell r="AK131">
            <v>0</v>
          </cell>
          <cell r="AL131">
            <v>0</v>
          </cell>
          <cell r="AM131">
            <v>0</v>
          </cell>
          <cell r="AN131">
            <v>0</v>
          </cell>
          <cell r="AO131">
            <v>0</v>
          </cell>
          <cell r="AP131">
            <v>0</v>
          </cell>
          <cell r="AQ131">
            <v>0</v>
          </cell>
          <cell r="AR131">
            <v>0</v>
          </cell>
          <cell r="AS131">
            <v>0</v>
          </cell>
          <cell r="AT131">
            <v>0</v>
          </cell>
          <cell r="AU131">
            <v>0</v>
          </cell>
          <cell r="AV131">
            <v>0</v>
          </cell>
          <cell r="AW131">
            <v>0</v>
          </cell>
          <cell r="AX131">
            <v>0</v>
          </cell>
          <cell r="AY131">
            <v>0</v>
          </cell>
        </row>
        <row r="132">
          <cell r="A132" t="str">
            <v>Additional Paid-In Capital -- BoP</v>
          </cell>
          <cell r="F132">
            <v>0</v>
          </cell>
          <cell r="G132">
            <v>0</v>
          </cell>
          <cell r="H132">
            <v>0</v>
          </cell>
          <cell r="I132">
            <v>0</v>
          </cell>
          <cell r="J132">
            <v>0</v>
          </cell>
          <cell r="K132">
            <v>0</v>
          </cell>
          <cell r="L132">
            <v>0</v>
          </cell>
          <cell r="M132">
            <v>0</v>
          </cell>
          <cell r="N132">
            <v>0</v>
          </cell>
          <cell r="O132">
            <v>0</v>
          </cell>
          <cell r="P132">
            <v>0</v>
          </cell>
          <cell r="Q132">
            <v>1.7000000000000001E-2</v>
          </cell>
          <cell r="R132">
            <v>4.2489999999999997</v>
          </cell>
          <cell r="S132">
            <v>5.125</v>
          </cell>
          <cell r="T132">
            <v>5.7119999999999997</v>
          </cell>
          <cell r="U132">
            <v>1.7000000000000001E-2</v>
          </cell>
          <cell r="V132">
            <v>6.5019999999999998</v>
          </cell>
          <cell r="W132">
            <v>7.2629999999999999</v>
          </cell>
          <cell r="X132">
            <v>8.9960000000000004</v>
          </cell>
          <cell r="Y132">
            <v>10.484</v>
          </cell>
          <cell r="Z132">
            <v>6.5019999999999998</v>
          </cell>
          <cell r="AA132">
            <v>12.372999999999999</v>
          </cell>
          <cell r="AB132">
            <v>298.35599999999999</v>
          </cell>
          <cell r="AC132">
            <v>303.774</v>
          </cell>
          <cell r="AD132">
            <v>308.82</v>
          </cell>
          <cell r="AE132">
            <v>12.372999999999999</v>
          </cell>
          <cell r="AF132">
            <v>328.27699999999999</v>
          </cell>
          <cell r="AG132">
            <v>344.85599999999999</v>
          </cell>
          <cell r="AH132">
            <v>368.47500000000002</v>
          </cell>
          <cell r="AI132">
            <v>381.50378750000004</v>
          </cell>
          <cell r="AJ132">
            <v>328.27699999999999</v>
          </cell>
          <cell r="AK132">
            <v>394.86597618750005</v>
          </cell>
          <cell r="AL132">
            <v>407.97707149968755</v>
          </cell>
          <cell r="AM132">
            <v>421.14202793640476</v>
          </cell>
          <cell r="AN132">
            <v>434.36336783093054</v>
          </cell>
          <cell r="AO132">
            <v>394.86597618750005</v>
          </cell>
          <cell r="AP132">
            <v>447.64373877959304</v>
          </cell>
          <cell r="AQ132">
            <v>461.55346895221641</v>
          </cell>
          <cell r="AR132">
            <v>475.52792650924073</v>
          </cell>
          <cell r="AS132">
            <v>489.57017365678558</v>
          </cell>
          <cell r="AT132">
            <v>447.64373877959304</v>
          </cell>
          <cell r="AU132">
            <v>0.13282640593224973</v>
          </cell>
          <cell r="AV132">
            <v>0.13548060046191099</v>
          </cell>
          <cell r="AW132">
            <v>0.13814806596422055</v>
          </cell>
          <cell r="AX132">
            <v>0.14082886879404166</v>
          </cell>
          <cell r="AY132">
            <v>0.14082886879404166</v>
          </cell>
        </row>
        <row r="133">
          <cell r="A133" t="str">
            <v>New Issuances</v>
          </cell>
          <cell r="K133">
            <v>0</v>
          </cell>
          <cell r="L133">
            <v>0</v>
          </cell>
          <cell r="M133">
            <v>0</v>
          </cell>
          <cell r="N133">
            <v>0</v>
          </cell>
          <cell r="O133">
            <v>0</v>
          </cell>
          <cell r="P133">
            <v>-1.7000000000000001E-2</v>
          </cell>
          <cell r="Q133">
            <v>-2.8999999999999998E-2</v>
          </cell>
          <cell r="R133">
            <v>0.03</v>
          </cell>
          <cell r="S133">
            <v>-1.9999999999999983E-3</v>
          </cell>
          <cell r="T133">
            <v>-1.0000000000000009E-3</v>
          </cell>
          <cell r="U133">
            <v>-1.9999999999999983E-3</v>
          </cell>
          <cell r="V133">
            <v>-6.0000000000000019E-3</v>
          </cell>
          <cell r="W133">
            <v>0</v>
          </cell>
          <cell r="X133">
            <v>3.0000000000000027E-3</v>
          </cell>
          <cell r="Y133">
            <v>-1.0000000000000009E-3</v>
          </cell>
          <cell r="Z133">
            <v>-4.0000000000000001E-3</v>
          </cell>
          <cell r="AA133">
            <v>211.81361999999996</v>
          </cell>
          <cell r="AB133">
            <v>0.748</v>
          </cell>
          <cell r="AC133">
            <v>0.75</v>
          </cell>
          <cell r="AD133">
            <v>1.496</v>
          </cell>
          <cell r="AE133">
            <v>214.80761999999996</v>
          </cell>
          <cell r="AF133">
            <v>2.2480000000000002</v>
          </cell>
          <cell r="AG133">
            <v>0.748</v>
          </cell>
          <cell r="AH133">
            <v>0.75123749999999989</v>
          </cell>
          <cell r="AI133">
            <v>0.75499368749999984</v>
          </cell>
          <cell r="AJ133">
            <v>4.5022311874999996</v>
          </cell>
          <cell r="AK133">
            <v>0.75876865593749976</v>
          </cell>
          <cell r="AL133">
            <v>0.76256249921718722</v>
          </cell>
          <cell r="AM133">
            <v>0.76637531171327289</v>
          </cell>
          <cell r="AN133">
            <v>0.7702071882718392</v>
          </cell>
          <cell r="AO133">
            <v>3.057913655139799</v>
          </cell>
          <cell r="AP133">
            <v>0.77405822421319836</v>
          </cell>
          <cell r="AQ133">
            <v>0.77792851533426433</v>
          </cell>
          <cell r="AR133">
            <v>0.78181815791093545</v>
          </cell>
          <cell r="AS133">
            <v>0.78572724870049016</v>
          </cell>
          <cell r="AT133">
            <v>3.1195321461588881</v>
          </cell>
        </row>
        <row r="134">
          <cell r="A134" t="str">
            <v>Less Repurchases</v>
          </cell>
          <cell r="K134">
            <v>0</v>
          </cell>
          <cell r="L134">
            <v>0</v>
          </cell>
          <cell r="M134">
            <v>0</v>
          </cell>
          <cell r="N134">
            <v>0</v>
          </cell>
          <cell r="O134">
            <v>0</v>
          </cell>
          <cell r="P134">
            <v>0</v>
          </cell>
          <cell r="Q134">
            <v>0</v>
          </cell>
          <cell r="R134">
            <v>0</v>
          </cell>
          <cell r="S134">
            <v>0</v>
          </cell>
          <cell r="T134">
            <v>0</v>
          </cell>
          <cell r="U134">
            <v>0</v>
          </cell>
          <cell r="V134">
            <v>0</v>
          </cell>
          <cell r="W134">
            <v>0</v>
          </cell>
          <cell r="X134">
            <v>0</v>
          </cell>
          <cell r="Y134">
            <v>0</v>
          </cell>
          <cell r="Z134">
            <v>0</v>
          </cell>
          <cell r="AA134">
            <v>0</v>
          </cell>
          <cell r="AB134">
            <v>0</v>
          </cell>
          <cell r="AC134">
            <v>0</v>
          </cell>
          <cell r="AD134">
            <v>0</v>
          </cell>
          <cell r="AE134">
            <v>0</v>
          </cell>
          <cell r="AF134">
            <v>0</v>
          </cell>
          <cell r="AG134">
            <v>0</v>
          </cell>
          <cell r="AH134">
            <v>0</v>
          </cell>
          <cell r="AI134">
            <v>0</v>
          </cell>
          <cell r="AJ134">
            <v>0</v>
          </cell>
          <cell r="AK134">
            <v>0</v>
          </cell>
          <cell r="AL134">
            <v>0</v>
          </cell>
          <cell r="AM134">
            <v>0</v>
          </cell>
          <cell r="AN134">
            <v>0</v>
          </cell>
          <cell r="AO134">
            <v>0</v>
          </cell>
          <cell r="AP134">
            <v>0</v>
          </cell>
          <cell r="AQ134">
            <v>0</v>
          </cell>
          <cell r="AR134">
            <v>0</v>
          </cell>
          <cell r="AS134">
            <v>0</v>
          </cell>
          <cell r="AT134">
            <v>0</v>
          </cell>
          <cell r="AU134">
            <v>522.03774098021313</v>
          </cell>
          <cell r="AV134">
            <v>538.29305356394661</v>
          </cell>
          <cell r="AW134">
            <v>554.64719753911459</v>
          </cell>
          <cell r="AX134">
            <v>571.10493680271475</v>
          </cell>
          <cell r="AY134">
            <v>522.03774098021313</v>
          </cell>
        </row>
        <row r="135">
          <cell r="A135" t="str">
            <v>Other</v>
          </cell>
          <cell r="K135">
            <v>0</v>
          </cell>
          <cell r="L135">
            <v>0</v>
          </cell>
          <cell r="M135">
            <v>0</v>
          </cell>
          <cell r="N135">
            <v>0</v>
          </cell>
          <cell r="O135">
            <v>1.7000000000000001E-2</v>
          </cell>
          <cell r="P135">
            <v>3.4000000000000002E-2</v>
          </cell>
          <cell r="Q135">
            <v>4.2609999999999992</v>
          </cell>
          <cell r="R135">
            <v>0.84600000000000009</v>
          </cell>
          <cell r="S135">
            <v>0.58899999999999952</v>
          </cell>
          <cell r="T135">
            <v>0.79100000000000037</v>
          </cell>
          <cell r="U135">
            <v>6.4869999999999992</v>
          </cell>
          <cell r="V135">
            <v>0.76700000000000035</v>
          </cell>
          <cell r="W135">
            <v>0</v>
          </cell>
          <cell r="X135">
            <v>0</v>
          </cell>
          <cell r="Y135">
            <v>0</v>
          </cell>
          <cell r="Z135">
            <v>0.76700000000000035</v>
          </cell>
          <cell r="AA135">
            <v>74.169380000000032</v>
          </cell>
          <cell r="AB135">
            <v>4.6700000000000159</v>
          </cell>
          <cell r="AC135">
            <v>4.2959999999999923</v>
          </cell>
          <cell r="AD135">
            <v>17.961000000000013</v>
          </cell>
          <cell r="AE135">
            <v>101.09638000000005</v>
          </cell>
          <cell r="AF135">
            <v>14.331000000000017</v>
          </cell>
          <cell r="AG135">
            <v>22.871000000000038</v>
          </cell>
          <cell r="AH135">
            <v>12.27755</v>
          </cell>
          <cell r="AI135">
            <v>12.607194999999997</v>
          </cell>
          <cell r="AJ135">
            <v>62.08674500000005</v>
          </cell>
          <cell r="AK135">
            <v>12.352326656249998</v>
          </cell>
          <cell r="AL135">
            <v>12.402393937499998</v>
          </cell>
          <cell r="AM135">
            <v>12.454964582812497</v>
          </cell>
          <cell r="AN135">
            <v>12.510163760390622</v>
          </cell>
          <cell r="AO135">
            <v>49.719848936953113</v>
          </cell>
          <cell r="AP135">
            <v>13.135671948410156</v>
          </cell>
          <cell r="AQ135">
            <v>13.196529041690038</v>
          </cell>
          <cell r="AR135">
            <v>13.260428989633915</v>
          </cell>
          <cell r="AS135">
            <v>13.327523934974986</v>
          </cell>
          <cell r="AT135">
            <v>52.920153914709097</v>
          </cell>
          <cell r="AU135">
            <v>0.78965588494399241</v>
          </cell>
          <cell r="AV135">
            <v>0.79360416436871239</v>
          </cell>
          <cell r="AW135">
            <v>0.79757218519055573</v>
          </cell>
          <cell r="AX135">
            <v>0.80156004611650844</v>
          </cell>
          <cell r="AY135">
            <v>3.1823922806197684</v>
          </cell>
        </row>
        <row r="136">
          <cell r="A136" t="str">
            <v>Additional Paid-In Capital -- EoP</v>
          </cell>
          <cell r="G136">
            <v>0</v>
          </cell>
          <cell r="H136">
            <v>0</v>
          </cell>
          <cell r="I136">
            <v>0</v>
          </cell>
          <cell r="J136">
            <v>0</v>
          </cell>
          <cell r="K136">
            <v>0</v>
          </cell>
          <cell r="L136">
            <v>0</v>
          </cell>
          <cell r="M136">
            <v>0</v>
          </cell>
          <cell r="N136">
            <v>0</v>
          </cell>
          <cell r="O136">
            <v>1.7000000000000001E-2</v>
          </cell>
          <cell r="P136">
            <v>1.7000000000000001E-2</v>
          </cell>
          <cell r="Q136">
            <v>4.2489999999999997</v>
          </cell>
          <cell r="R136">
            <v>5.125</v>
          </cell>
          <cell r="S136">
            <v>5.7119999999999997</v>
          </cell>
          <cell r="T136">
            <v>6.5019999999999998</v>
          </cell>
          <cell r="U136">
            <v>6.5019999999999989</v>
          </cell>
          <cell r="V136">
            <v>7.2629999999999999</v>
          </cell>
          <cell r="W136">
            <v>8.9960000000000004</v>
          </cell>
          <cell r="X136">
            <v>10.484</v>
          </cell>
          <cell r="Y136">
            <v>12.372999999999999</v>
          </cell>
          <cell r="Z136">
            <v>7.2650000000000006</v>
          </cell>
          <cell r="AA136">
            <v>298.35599999999999</v>
          </cell>
          <cell r="AB136">
            <v>303.774</v>
          </cell>
          <cell r="AC136">
            <v>308.82</v>
          </cell>
          <cell r="AD136">
            <v>328.27699999999999</v>
          </cell>
          <cell r="AE136">
            <v>328.27699999999999</v>
          </cell>
          <cell r="AF136">
            <v>344.85599999999999</v>
          </cell>
          <cell r="AG136">
            <v>368.47500000000002</v>
          </cell>
          <cell r="AH136">
            <v>381.50378750000004</v>
          </cell>
          <cell r="AI136">
            <v>394.86597618750005</v>
          </cell>
          <cell r="AJ136">
            <v>394.86597618750005</v>
          </cell>
          <cell r="AK136">
            <v>407.97707149968755</v>
          </cell>
          <cell r="AL136">
            <v>421.14202793640476</v>
          </cell>
          <cell r="AM136">
            <v>434.36336783093054</v>
          </cell>
          <cell r="AN136">
            <v>447.64373877959304</v>
          </cell>
          <cell r="AO136">
            <v>447.64373877959292</v>
          </cell>
          <cell r="AP136">
            <v>461.55346895221641</v>
          </cell>
          <cell r="AQ136">
            <v>475.52792650924073</v>
          </cell>
          <cell r="AR136">
            <v>489.57017365678558</v>
          </cell>
          <cell r="AS136">
            <v>503.68342484046104</v>
          </cell>
          <cell r="AT136">
            <v>503.68342484046099</v>
          </cell>
          <cell r="AU136">
            <v>0</v>
          </cell>
          <cell r="AV136">
            <v>0</v>
          </cell>
          <cell r="AW136">
            <v>0</v>
          </cell>
          <cell r="AX136">
            <v>0</v>
          </cell>
          <cell r="AY136">
            <v>0</v>
          </cell>
        </row>
        <row r="137">
          <cell r="A137" t="str">
            <v>Other</v>
          </cell>
          <cell r="K137">
            <v>0</v>
          </cell>
          <cell r="L137">
            <v>0</v>
          </cell>
          <cell r="M137">
            <v>0</v>
          </cell>
          <cell r="N137">
            <v>0</v>
          </cell>
          <cell r="O137">
            <v>1.7000000000000001E-2</v>
          </cell>
          <cell r="P137">
            <v>3.4000000000000002E-2</v>
          </cell>
          <cell r="Q137">
            <v>4.2609999999999992</v>
          </cell>
          <cell r="R137">
            <v>0.84600000000000009</v>
          </cell>
          <cell r="S137">
            <v>0.58899999999999952</v>
          </cell>
          <cell r="T137">
            <v>0.79100000000000037</v>
          </cell>
          <cell r="U137">
            <v>6.4869999999999992</v>
          </cell>
          <cell r="V137">
            <v>0.76700000000000035</v>
          </cell>
          <cell r="W137">
            <v>0</v>
          </cell>
          <cell r="X137">
            <v>0</v>
          </cell>
          <cell r="Y137">
            <v>0</v>
          </cell>
          <cell r="Z137">
            <v>0.76700000000000035</v>
          </cell>
          <cell r="AA137">
            <v>74.169380000000032</v>
          </cell>
          <cell r="AB137">
            <v>4.6700000000000159</v>
          </cell>
          <cell r="AC137">
            <v>4.2959999999999923</v>
          </cell>
          <cell r="AD137">
            <v>17.961000000000013</v>
          </cell>
          <cell r="AE137">
            <v>101.09638000000005</v>
          </cell>
          <cell r="AF137">
            <v>14.331000000000017</v>
          </cell>
          <cell r="AG137">
            <v>22.871000000000038</v>
          </cell>
          <cell r="AH137">
            <v>17.980249999999955</v>
          </cell>
          <cell r="AI137">
            <v>14.719425000000001</v>
          </cell>
          <cell r="AJ137">
            <v>69.901675000000012</v>
          </cell>
          <cell r="AK137">
            <v>13.590983437500002</v>
          </cell>
          <cell r="AL137">
            <v>13.655204062500003</v>
          </cell>
          <cell r="AM137">
            <v>13.722635718750002</v>
          </cell>
          <cell r="AN137">
            <v>13.793438957812503</v>
          </cell>
          <cell r="AO137">
            <v>54.762262176562508</v>
          </cell>
          <cell r="AP137">
            <v>14.483110905703127</v>
          </cell>
          <cell r="AQ137">
            <v>14.561171476769532</v>
          </cell>
          <cell r="AR137">
            <v>14.64313507638926</v>
          </cell>
          <cell r="AS137">
            <v>14.729196855989972</v>
          </cell>
          <cell r="AT137">
            <v>58.416614314851884</v>
          </cell>
          <cell r="AU137">
            <v>15.465656698789473</v>
          </cell>
          <cell r="AV137">
            <v>15.560539810799259</v>
          </cell>
          <cell r="AW137">
            <v>15.660167078409534</v>
          </cell>
          <cell r="AX137">
            <v>15.764775709400324</v>
          </cell>
          <cell r="AY137">
            <v>62.451139297398591</v>
          </cell>
        </row>
        <row r="138">
          <cell r="A138" t="str">
            <v>Retained Earnings -- BoP</v>
          </cell>
          <cell r="G138">
            <v>0</v>
          </cell>
          <cell r="H138">
            <v>0</v>
          </cell>
          <cell r="I138">
            <v>0</v>
          </cell>
          <cell r="J138">
            <v>0</v>
          </cell>
          <cell r="K138">
            <v>0</v>
          </cell>
          <cell r="L138">
            <v>0</v>
          </cell>
          <cell r="M138">
            <v>0</v>
          </cell>
          <cell r="N138">
            <v>0</v>
          </cell>
          <cell r="O138">
            <v>0</v>
          </cell>
          <cell r="P138">
            <v>0</v>
          </cell>
          <cell r="Q138">
            <v>-39.22</v>
          </cell>
          <cell r="R138">
            <v>-39.968000000000004</v>
          </cell>
          <cell r="S138">
            <v>-39.798999999999999</v>
          </cell>
          <cell r="T138">
            <v>-41.244999999999997</v>
          </cell>
          <cell r="U138">
            <v>-39.22</v>
          </cell>
          <cell r="V138">
            <v>-43.025999999999996</v>
          </cell>
          <cell r="W138">
            <v>-45.271999999999998</v>
          </cell>
          <cell r="X138">
            <v>-49.182000000000002</v>
          </cell>
          <cell r="Y138">
            <v>-52.741999999999997</v>
          </cell>
          <cell r="Z138">
            <v>-43.026000000000003</v>
          </cell>
          <cell r="AA138">
            <v>-54.018000000000008</v>
          </cell>
          <cell r="AB138">
            <v>-74.488</v>
          </cell>
          <cell r="AC138">
            <v>-79.063000000000002</v>
          </cell>
          <cell r="AD138">
            <v>-84.537000000000006</v>
          </cell>
          <cell r="AE138">
            <v>-54.018000000000001</v>
          </cell>
          <cell r="AF138">
            <v>-90.698999999999984</v>
          </cell>
          <cell r="AG138">
            <v>-106.833</v>
          </cell>
          <cell r="AH138">
            <v>-120.526</v>
          </cell>
          <cell r="AI138">
            <v>-133.71908930488755</v>
          </cell>
          <cell r="AJ138">
            <v>-90.698999999999998</v>
          </cell>
          <cell r="AK138">
            <v>-139.38497668361956</v>
          </cell>
          <cell r="AL138">
            <v>-152.5585758371339</v>
          </cell>
          <cell r="AM138">
            <v>-160.76844072242645</v>
          </cell>
          <cell r="AN138">
            <v>-168.60833452785283</v>
          </cell>
          <cell r="AO138">
            <v>-139.38497668361956</v>
          </cell>
          <cell r="AP138">
            <v>-167.99481586315426</v>
          </cell>
          <cell r="AQ138">
            <v>-178.71211485949127</v>
          </cell>
          <cell r="AR138">
            <v>-183.00263144554557</v>
          </cell>
          <cell r="AS138">
            <v>-186.93149213091652</v>
          </cell>
          <cell r="AT138">
            <v>-167.99481586315426</v>
          </cell>
          <cell r="AU138">
            <v>538.29305356394661</v>
          </cell>
          <cell r="AV138">
            <v>554.64719753911459</v>
          </cell>
          <cell r="AW138">
            <v>571.10493680271475</v>
          </cell>
          <cell r="AX138">
            <v>587.67127255823152</v>
          </cell>
          <cell r="AY138">
            <v>587.67127255823152</v>
          </cell>
        </row>
        <row r="139">
          <cell r="A139" t="str">
            <v>Net Income</v>
          </cell>
          <cell r="K139">
            <v>0</v>
          </cell>
          <cell r="L139">
            <v>6.0827499999999999</v>
          </cell>
          <cell r="M139">
            <v>7.8827500000000006</v>
          </cell>
          <cell r="N139">
            <v>9.8827499999999997</v>
          </cell>
          <cell r="O139">
            <v>11.082749999999999</v>
          </cell>
          <cell r="P139">
            <v>34.930999999999997</v>
          </cell>
          <cell r="Q139">
            <v>-0.74799999999999933</v>
          </cell>
          <cell r="R139">
            <v>0.16900000000000015</v>
          </cell>
          <cell r="S139">
            <v>-1.4459999999999991</v>
          </cell>
          <cell r="T139">
            <v>-1.7810000000000006</v>
          </cell>
          <cell r="U139">
            <v>-3.8059999999999987</v>
          </cell>
          <cell r="V139">
            <v>-2.2459999999999991</v>
          </cell>
          <cell r="W139">
            <v>-3.910000000000001</v>
          </cell>
          <cell r="X139">
            <v>-3.5599999999999978</v>
          </cell>
          <cell r="Y139">
            <v>-0.58037000000000294</v>
          </cell>
          <cell r="Z139">
            <v>-10.29637</v>
          </cell>
          <cell r="AA139">
            <v>-20.469999999999995</v>
          </cell>
          <cell r="AB139">
            <v>-4.5749999999999975</v>
          </cell>
          <cell r="AC139">
            <v>-5.4739999999999975</v>
          </cell>
          <cell r="AD139">
            <v>-6.1619999999999964</v>
          </cell>
          <cell r="AE139">
            <v>-36.68099999999999</v>
          </cell>
          <cell r="AF139">
            <v>-16.134000000000015</v>
          </cell>
          <cell r="AG139">
            <v>-13.692999999999989</v>
          </cell>
          <cell r="AH139">
            <v>-13.193089304887557</v>
          </cell>
          <cell r="AI139">
            <v>-5.6658873787320028</v>
          </cell>
          <cell r="AJ139">
            <v>-48.685976683619565</v>
          </cell>
          <cell r="AK139">
            <v>-13.173599153514358</v>
          </cell>
          <cell r="AL139">
            <v>-8.2098648852925429</v>
          </cell>
          <cell r="AM139">
            <v>-7.839893805426378</v>
          </cell>
          <cell r="AN139">
            <v>0.61351866469858862</v>
          </cell>
          <cell r="AO139">
            <v>-28.609839179534688</v>
          </cell>
          <cell r="AP139">
            <v>-10.717298996336996</v>
          </cell>
          <cell r="AQ139">
            <v>-4.29051658605432</v>
          </cell>
          <cell r="AR139">
            <v>-3.9288606853709513</v>
          </cell>
          <cell r="AS139">
            <v>5.0269803806310307</v>
          </cell>
          <cell r="AT139">
            <v>-13.909695887131235</v>
          </cell>
        </row>
        <row r="140">
          <cell r="A140" t="str">
            <v>Other</v>
          </cell>
          <cell r="K140">
            <v>0</v>
          </cell>
          <cell r="L140">
            <v>-6.0827499999999999</v>
          </cell>
          <cell r="M140">
            <v>-7.8827500000000006</v>
          </cell>
          <cell r="N140">
            <v>-9.8827499999999997</v>
          </cell>
          <cell r="O140">
            <v>-50.302749999999996</v>
          </cell>
          <cell r="P140">
            <v>-74.150999999999996</v>
          </cell>
          <cell r="Q140">
            <v>0</v>
          </cell>
          <cell r="R140">
            <v>0</v>
          </cell>
          <cell r="S140">
            <v>0</v>
          </cell>
          <cell r="T140">
            <v>0</v>
          </cell>
          <cell r="U140">
            <v>0</v>
          </cell>
          <cell r="V140">
            <v>0</v>
          </cell>
          <cell r="W140">
            <v>0</v>
          </cell>
          <cell r="X140">
            <v>0</v>
          </cell>
          <cell r="Y140">
            <v>-0.6956300000000013</v>
          </cell>
          <cell r="Z140">
            <v>-0.6956300000000013</v>
          </cell>
          <cell r="AA140">
            <v>0</v>
          </cell>
          <cell r="AB140">
            <v>0</v>
          </cell>
          <cell r="AC140">
            <v>0</v>
          </cell>
          <cell r="AD140">
            <v>0</v>
          </cell>
          <cell r="AE140">
            <v>0</v>
          </cell>
          <cell r="AF140">
            <v>0</v>
          </cell>
          <cell r="AG140">
            <v>0</v>
          </cell>
          <cell r="AH140">
            <v>0</v>
          </cell>
          <cell r="AI140">
            <v>0</v>
          </cell>
          <cell r="AJ140">
            <v>0</v>
          </cell>
          <cell r="AK140">
            <v>0</v>
          </cell>
          <cell r="AL140">
            <v>0</v>
          </cell>
          <cell r="AM140">
            <v>0</v>
          </cell>
          <cell r="AN140">
            <v>0</v>
          </cell>
          <cell r="AO140">
            <v>0</v>
          </cell>
          <cell r="AP140">
            <v>0</v>
          </cell>
          <cell r="AQ140">
            <v>0</v>
          </cell>
          <cell r="AR140">
            <v>0</v>
          </cell>
          <cell r="AS140">
            <v>0</v>
          </cell>
          <cell r="AT140">
            <v>0</v>
          </cell>
          <cell r="AU140">
            <v>-176.39677113248064</v>
          </cell>
          <cell r="AV140">
            <v>-187.23378124741893</v>
          </cell>
          <cell r="AW140">
            <v>-185.67241945925147</v>
          </cell>
          <cell r="AX140">
            <v>-179.64853571622976</v>
          </cell>
          <cell r="AY140">
            <v>-176.39677113248064</v>
          </cell>
        </row>
        <row r="141">
          <cell r="A141" t="str">
            <v>Retained Earnings -- EoP</v>
          </cell>
          <cell r="G141">
            <v>0</v>
          </cell>
          <cell r="H141">
            <v>0</v>
          </cell>
          <cell r="I141">
            <v>0</v>
          </cell>
          <cell r="J141">
            <v>0</v>
          </cell>
          <cell r="K141">
            <v>0</v>
          </cell>
          <cell r="L141">
            <v>0</v>
          </cell>
          <cell r="M141">
            <v>0</v>
          </cell>
          <cell r="N141">
            <v>0</v>
          </cell>
          <cell r="O141">
            <v>-39.22</v>
          </cell>
          <cell r="P141">
            <v>-39.22</v>
          </cell>
          <cell r="Q141">
            <v>-39.968000000000004</v>
          </cell>
          <cell r="R141">
            <v>-39.798999999999999</v>
          </cell>
          <cell r="S141">
            <v>-41.244999999999997</v>
          </cell>
          <cell r="T141">
            <v>-43.026000000000003</v>
          </cell>
          <cell r="U141">
            <v>-43.025999999999996</v>
          </cell>
          <cell r="V141">
            <v>-45.271999999999998</v>
          </cell>
          <cell r="W141">
            <v>-49.182000000000002</v>
          </cell>
          <cell r="X141">
            <v>-52.741999999999997</v>
          </cell>
          <cell r="Y141">
            <v>-54.018000000000001</v>
          </cell>
          <cell r="Z141">
            <v>-54.018000000000008</v>
          </cell>
          <cell r="AA141">
            <v>-74.488</v>
          </cell>
          <cell r="AB141">
            <v>-79.063000000000002</v>
          </cell>
          <cell r="AC141">
            <v>-84.537000000000006</v>
          </cell>
          <cell r="AD141">
            <v>-90.698999999999998</v>
          </cell>
          <cell r="AE141">
            <v>-90.698999999999984</v>
          </cell>
          <cell r="AF141">
            <v>-106.833</v>
          </cell>
          <cell r="AG141">
            <v>-120.526</v>
          </cell>
          <cell r="AH141">
            <v>-133.71908930488755</v>
          </cell>
          <cell r="AI141">
            <v>-139.38497668361956</v>
          </cell>
          <cell r="AJ141">
            <v>-139.38497668361956</v>
          </cell>
          <cell r="AK141">
            <v>-152.5585758371339</v>
          </cell>
          <cell r="AL141">
            <v>-160.76844072242645</v>
          </cell>
          <cell r="AM141">
            <v>-168.60833452785283</v>
          </cell>
          <cell r="AN141">
            <v>-167.99481586315426</v>
          </cell>
          <cell r="AO141">
            <v>-167.99481586315426</v>
          </cell>
          <cell r="AP141">
            <v>-178.71211485949127</v>
          </cell>
          <cell r="AQ141">
            <v>-183.00263144554557</v>
          </cell>
          <cell r="AR141">
            <v>-186.93149213091652</v>
          </cell>
          <cell r="AS141">
            <v>-181.90451175028551</v>
          </cell>
          <cell r="AT141">
            <v>-181.90451175028551</v>
          </cell>
          <cell r="AU141">
            <v>-10.837010114938282</v>
          </cell>
          <cell r="AV141">
            <v>1.5613617881674564</v>
          </cell>
          <cell r="AW141">
            <v>6.0238837430217238</v>
          </cell>
          <cell r="AX141">
            <v>21.498573251428585</v>
          </cell>
          <cell r="AY141">
            <v>18.246808667679481</v>
          </cell>
        </row>
        <row r="142">
          <cell r="A142" t="str">
            <v>Other</v>
          </cell>
          <cell r="K142">
            <v>0</v>
          </cell>
          <cell r="L142">
            <v>-6.0827499999999999</v>
          </cell>
          <cell r="M142">
            <v>-7.8827500000000006</v>
          </cell>
          <cell r="N142">
            <v>-9.8827499999999997</v>
          </cell>
          <cell r="O142">
            <v>-50.302749999999996</v>
          </cell>
          <cell r="P142">
            <v>-74.150999999999996</v>
          </cell>
          <cell r="Q142">
            <v>0</v>
          </cell>
          <cell r="R142">
            <v>0</v>
          </cell>
          <cell r="S142">
            <v>0</v>
          </cell>
          <cell r="T142">
            <v>0</v>
          </cell>
          <cell r="U142">
            <v>0</v>
          </cell>
          <cell r="V142">
            <v>0</v>
          </cell>
          <cell r="W142">
            <v>0</v>
          </cell>
          <cell r="X142">
            <v>0</v>
          </cell>
          <cell r="Y142">
            <v>-0.6956300000000013</v>
          </cell>
          <cell r="Z142">
            <v>-0.6956300000000013</v>
          </cell>
          <cell r="AA142">
            <v>0</v>
          </cell>
          <cell r="AB142">
            <v>0</v>
          </cell>
          <cell r="AC142">
            <v>0</v>
          </cell>
          <cell r="AD142">
            <v>0</v>
          </cell>
          <cell r="AE142">
            <v>0</v>
          </cell>
          <cell r="AF142">
            <v>0</v>
          </cell>
          <cell r="AG142">
            <v>0</v>
          </cell>
          <cell r="AH142">
            <v>0</v>
          </cell>
          <cell r="AI142">
            <v>0</v>
          </cell>
          <cell r="AJ142">
            <v>0</v>
          </cell>
          <cell r="AK142">
            <v>0</v>
          </cell>
          <cell r="AL142">
            <v>0</v>
          </cell>
          <cell r="AM142">
            <v>0</v>
          </cell>
          <cell r="AN142">
            <v>0</v>
          </cell>
          <cell r="AO142">
            <v>0</v>
          </cell>
          <cell r="AP142">
            <v>0</v>
          </cell>
          <cell r="AQ142">
            <v>0</v>
          </cell>
          <cell r="AR142">
            <v>0</v>
          </cell>
          <cell r="AS142">
            <v>0</v>
          </cell>
          <cell r="AT142">
            <v>0</v>
          </cell>
          <cell r="AU142">
            <v>0</v>
          </cell>
          <cell r="AV142">
            <v>0</v>
          </cell>
          <cell r="AW142">
            <v>0</v>
          </cell>
          <cell r="AX142">
            <v>0</v>
          </cell>
          <cell r="AY142">
            <v>0</v>
          </cell>
        </row>
        <row r="143">
          <cell r="A143" t="str">
            <v>Retained Earnings -- EoP</v>
          </cell>
          <cell r="G143">
            <v>0</v>
          </cell>
          <cell r="H143">
            <v>0</v>
          </cell>
          <cell r="I143">
            <v>0</v>
          </cell>
          <cell r="J143">
            <v>0</v>
          </cell>
          <cell r="K143">
            <v>0</v>
          </cell>
          <cell r="L143">
            <v>0</v>
          </cell>
          <cell r="M143">
            <v>0</v>
          </cell>
          <cell r="N143">
            <v>0</v>
          </cell>
          <cell r="O143">
            <v>-39.22</v>
          </cell>
          <cell r="P143">
            <v>-39.22</v>
          </cell>
          <cell r="Q143">
            <v>-39.968000000000004</v>
          </cell>
          <cell r="R143">
            <v>-39.798999999999999</v>
          </cell>
          <cell r="S143">
            <v>-41.244999999999997</v>
          </cell>
          <cell r="T143">
            <v>-43.026000000000003</v>
          </cell>
          <cell r="U143">
            <v>-43.025999999999996</v>
          </cell>
          <cell r="V143">
            <v>-45.271999999999998</v>
          </cell>
          <cell r="W143">
            <v>-49.182000000000002</v>
          </cell>
          <cell r="X143">
            <v>-52.741999999999997</v>
          </cell>
          <cell r="Y143">
            <v>-54.018000000000001</v>
          </cell>
          <cell r="Z143">
            <v>-54.018000000000008</v>
          </cell>
          <cell r="AA143">
            <v>-74.488</v>
          </cell>
          <cell r="AB143">
            <v>-79.063000000000002</v>
          </cell>
          <cell r="AC143">
            <v>-84.537000000000006</v>
          </cell>
          <cell r="AD143">
            <v>-90.698999999999998</v>
          </cell>
          <cell r="AE143">
            <v>-90.698999999999984</v>
          </cell>
          <cell r="AF143">
            <v>-106.833</v>
          </cell>
          <cell r="AG143">
            <v>-120.526</v>
          </cell>
          <cell r="AH143">
            <v>-137.07599999999999</v>
          </cell>
          <cell r="AI143">
            <v>-144.93787461932035</v>
          </cell>
          <cell r="AJ143">
            <v>-145.6848746193204</v>
          </cell>
          <cell r="AK143">
            <v>-161.94908379989718</v>
          </cell>
          <cell r="AL143">
            <v>-170.45244587481361</v>
          </cell>
          <cell r="AM143">
            <v>-176.32764977124739</v>
          </cell>
          <cell r="AN143">
            <v>-174.18077569063539</v>
          </cell>
          <cell r="AO143">
            <v>-174.18077569063539</v>
          </cell>
          <cell r="AP143">
            <v>-186.42819163119219</v>
          </cell>
          <cell r="AQ143">
            <v>-189.21600924965912</v>
          </cell>
          <cell r="AR143">
            <v>-188.74906340866318</v>
          </cell>
          <cell r="AS143">
            <v>-176.39677113248064</v>
          </cell>
          <cell r="AT143">
            <v>-176.39677113248061</v>
          </cell>
          <cell r="AU143">
            <v>-187.23378124741893</v>
          </cell>
          <cell r="AV143">
            <v>-185.67241945925147</v>
          </cell>
          <cell r="AW143">
            <v>-179.64853571622976</v>
          </cell>
          <cell r="AX143">
            <v>-158.14996246480118</v>
          </cell>
          <cell r="AY143">
            <v>-158.14996246480115</v>
          </cell>
        </row>
      </sheetData>
      <sheetData sheetId="7" refreshError="1">
        <row r="1">
          <cell r="A1" t="str">
            <v>Splunk Inc.</v>
          </cell>
          <cell r="AW1" t="str">
            <v>ElementName</v>
          </cell>
          <cell r="AX1" t="str">
            <v>ScaleOverride</v>
          </cell>
          <cell r="AY1" t="str">
            <v>UnitOverride</v>
          </cell>
          <cell r="AZ1" t="str">
            <v>ReverseSign</v>
          </cell>
          <cell r="BA1" t="str">
            <v>IsDrivingAssumption</v>
          </cell>
          <cell r="BB1" t="str">
            <v>SegmentID</v>
          </cell>
          <cell r="BC1" t="str">
            <v>ScaleOverride</v>
          </cell>
          <cell r="BD1" t="str">
            <v>UnitOverride</v>
          </cell>
          <cell r="BE1" t="str">
            <v>ReverseSign</v>
          </cell>
          <cell r="BF1" t="str">
            <v>IsDrivingAssumption</v>
          </cell>
          <cell r="BG1" t="str">
            <v>SegmentID</v>
          </cell>
        </row>
        <row r="2">
          <cell r="A2" t="str">
            <v>Cash Flow Statement (Quarterly)</v>
          </cell>
        </row>
        <row r="3">
          <cell r="F3" t="str">
            <v>2008-FY</v>
          </cell>
          <cell r="G3" t="str">
            <v>2009-Q1</v>
          </cell>
          <cell r="H3" t="str">
            <v>2009-Q2</v>
          </cell>
          <cell r="I3" t="str">
            <v>2009-Q3</v>
          </cell>
          <cell r="J3" t="str">
            <v>2009-Q4</v>
          </cell>
          <cell r="K3" t="str">
            <v>2009-FY</v>
          </cell>
          <cell r="L3" t="str">
            <v>2010-Q1</v>
          </cell>
          <cell r="M3" t="str">
            <v>2010-Q2</v>
          </cell>
          <cell r="N3" t="str">
            <v>2010-Q3</v>
          </cell>
          <cell r="O3" t="str">
            <v>2010-Q4</v>
          </cell>
          <cell r="P3" t="str">
            <v>2010-FY</v>
          </cell>
          <cell r="Q3" t="str">
            <v>2011-Q1</v>
          </cell>
          <cell r="R3" t="str">
            <v>2011-Q2</v>
          </cell>
          <cell r="S3" t="str">
            <v>2011-Q3</v>
          </cell>
          <cell r="T3" t="str">
            <v>2011-Q4</v>
          </cell>
          <cell r="U3" t="str">
            <v>2011-FY</v>
          </cell>
          <cell r="V3" t="str">
            <v>2012-Q1</v>
          </cell>
          <cell r="W3" t="str">
            <v>2012-Q2</v>
          </cell>
          <cell r="X3" t="str">
            <v>2012-Q3</v>
          </cell>
          <cell r="Y3" t="str">
            <v>2012-Q4</v>
          </cell>
          <cell r="Z3" t="str">
            <v>2012-FY</v>
          </cell>
          <cell r="AA3" t="str">
            <v>2013-Q1</v>
          </cell>
          <cell r="AB3" t="str">
            <v>2013-Q2</v>
          </cell>
          <cell r="AC3" t="str">
            <v>2013-Q3</v>
          </cell>
          <cell r="AD3" t="str">
            <v>2013-Q4</v>
          </cell>
          <cell r="AE3" t="str">
            <v>2013-FY</v>
          </cell>
          <cell r="AF3" t="str">
            <v>2014-Q1</v>
          </cell>
          <cell r="AG3" t="str">
            <v>2014-Q2</v>
          </cell>
          <cell r="AH3" t="str">
            <v>2014-Q3</v>
          </cell>
          <cell r="AI3" t="str">
            <v>2014-Q4</v>
          </cell>
          <cell r="AJ3" t="str">
            <v>2014-FY</v>
          </cell>
          <cell r="AK3" t="str">
            <v>2015-Q1</v>
          </cell>
          <cell r="AL3" t="str">
            <v>2015-Q2</v>
          </cell>
          <cell r="AM3" t="str">
            <v>2015-Q3</v>
          </cell>
          <cell r="AN3" t="str">
            <v>2015-Q4</v>
          </cell>
          <cell r="AO3" t="str">
            <v>2015-FY</v>
          </cell>
          <cell r="AP3" t="str">
            <v>2016-Q1</v>
          </cell>
          <cell r="AQ3" t="str">
            <v>2016-Q2</v>
          </cell>
          <cell r="AR3" t="str">
            <v>2016-Q3</v>
          </cell>
          <cell r="AS3" t="str">
            <v>2016-Q4</v>
          </cell>
          <cell r="AT3" t="str">
            <v>2016-FY</v>
          </cell>
          <cell r="AU3" t="str">
            <v>2017-Q1</v>
          </cell>
          <cell r="AV3" t="str">
            <v>2017-Q2</v>
          </cell>
          <cell r="AW3" t="str">
            <v>2017-Q3</v>
          </cell>
          <cell r="AX3" t="str">
            <v>2017-Q4</v>
          </cell>
          <cell r="AY3" t="str">
            <v>2017-FY</v>
          </cell>
        </row>
        <row r="4">
          <cell r="A4" t="str">
            <v>($ in millions, except EPS)</v>
          </cell>
        </row>
        <row r="5">
          <cell r="B5" t="str">
            <v>2008</v>
          </cell>
          <cell r="G5" t="str">
            <v>2009</v>
          </cell>
          <cell r="H5">
            <v>0</v>
          </cell>
          <cell r="I5">
            <v>0</v>
          </cell>
          <cell r="J5">
            <v>0</v>
          </cell>
          <cell r="L5" t="str">
            <v>2010</v>
          </cell>
          <cell r="M5">
            <v>0</v>
          </cell>
          <cell r="N5">
            <v>0</v>
          </cell>
          <cell r="O5">
            <v>0</v>
          </cell>
          <cell r="Q5" t="str">
            <v>2011</v>
          </cell>
          <cell r="R5">
            <v>0</v>
          </cell>
          <cell r="S5">
            <v>0</v>
          </cell>
          <cell r="T5">
            <v>0</v>
          </cell>
          <cell r="V5" t="str">
            <v>2012</v>
          </cell>
          <cell r="W5">
            <v>0</v>
          </cell>
          <cell r="X5">
            <v>0</v>
          </cell>
          <cell r="Y5">
            <v>0</v>
          </cell>
          <cell r="AA5">
            <v>2013</v>
          </cell>
          <cell r="AB5">
            <v>0</v>
          </cell>
          <cell r="AC5">
            <v>0</v>
          </cell>
          <cell r="AD5">
            <v>0</v>
          </cell>
          <cell r="AF5" t="str">
            <v xml:space="preserve">  2014E</v>
          </cell>
          <cell r="AG5">
            <v>0</v>
          </cell>
          <cell r="AH5">
            <v>0</v>
          </cell>
          <cell r="AI5">
            <v>0</v>
          </cell>
          <cell r="AK5" t="str">
            <v xml:space="preserve">  2015E</v>
          </cell>
          <cell r="AL5">
            <v>0</v>
          </cell>
          <cell r="AM5">
            <v>0</v>
          </cell>
          <cell r="AN5">
            <v>0</v>
          </cell>
          <cell r="AP5" t="str">
            <v xml:space="preserve">  2016E</v>
          </cell>
          <cell r="AQ5">
            <v>0</v>
          </cell>
          <cell r="AR5">
            <v>0</v>
          </cell>
          <cell r="AS5">
            <v>0</v>
          </cell>
          <cell r="AU5" t="str">
            <v xml:space="preserve">  2017E</v>
          </cell>
          <cell r="AV5">
            <v>0</v>
          </cell>
          <cell r="AW5">
            <v>0</v>
          </cell>
          <cell r="AX5">
            <v>0</v>
          </cell>
        </row>
        <row r="6">
          <cell r="B6" t="str">
            <v>4/07</v>
          </cell>
          <cell r="C6" t="str">
            <v>7/07</v>
          </cell>
          <cell r="D6" t="str">
            <v>10/07</v>
          </cell>
          <cell r="E6" t="str">
            <v>1/08</v>
          </cell>
          <cell r="F6" t="str">
            <v>FY08</v>
          </cell>
          <cell r="G6" t="str">
            <v>4/08</v>
          </cell>
          <cell r="H6" t="str">
            <v>7/08</v>
          </cell>
          <cell r="I6" t="str">
            <v>10/08</v>
          </cell>
          <cell r="J6" t="str">
            <v>1/09</v>
          </cell>
          <cell r="K6" t="str">
            <v>FY09</v>
          </cell>
          <cell r="L6" t="str">
            <v>4/09</v>
          </cell>
          <cell r="M6" t="str">
            <v>7/09</v>
          </cell>
          <cell r="N6" t="str">
            <v>10/09</v>
          </cell>
          <cell r="O6" t="str">
            <v>1/10</v>
          </cell>
          <cell r="P6" t="str">
            <v>FY10</v>
          </cell>
          <cell r="Q6" t="str">
            <v>4/10</v>
          </cell>
          <cell r="R6" t="str">
            <v>7/10</v>
          </cell>
          <cell r="S6" t="str">
            <v>10/10</v>
          </cell>
          <cell r="T6" t="str">
            <v>1/11</v>
          </cell>
          <cell r="U6" t="str">
            <v>FY11</v>
          </cell>
          <cell r="V6" t="str">
            <v>4/11</v>
          </cell>
          <cell r="W6" t="str">
            <v>7/11</v>
          </cell>
          <cell r="X6" t="str">
            <v>10/11</v>
          </cell>
          <cell r="Y6" t="str">
            <v>1/12</v>
          </cell>
          <cell r="Z6" t="str">
            <v>FY12</v>
          </cell>
          <cell r="AA6" t="str">
            <v>4/12</v>
          </cell>
          <cell r="AB6" t="str">
            <v>7/12</v>
          </cell>
          <cell r="AC6" t="str">
            <v>10/12</v>
          </cell>
          <cell r="AD6" t="str">
            <v>1/13</v>
          </cell>
          <cell r="AE6" t="str">
            <v>FY13</v>
          </cell>
          <cell r="AF6" t="str">
            <v>4/13</v>
          </cell>
          <cell r="AG6" t="str">
            <v>7/13</v>
          </cell>
          <cell r="AH6" t="str">
            <v>10/13E</v>
          </cell>
          <cell r="AI6" t="str">
            <v>1/14E</v>
          </cell>
          <cell r="AJ6" t="str">
            <v>FY14E</v>
          </cell>
          <cell r="AK6" t="str">
            <v>4/14E</v>
          </cell>
          <cell r="AL6" t="str">
            <v>7/14E</v>
          </cell>
          <cell r="AM6" t="str">
            <v>10/14E</v>
          </cell>
          <cell r="AN6" t="str">
            <v>1/15E</v>
          </cell>
          <cell r="AO6" t="str">
            <v>FY15E</v>
          </cell>
          <cell r="AP6" t="str">
            <v>4/15E</v>
          </cell>
          <cell r="AQ6" t="str">
            <v>7/15E</v>
          </cell>
          <cell r="AR6" t="str">
            <v>10/15E</v>
          </cell>
          <cell r="AS6" t="str">
            <v>1/16E</v>
          </cell>
          <cell r="AT6" t="str">
            <v>FY16E</v>
          </cell>
          <cell r="AU6" t="str">
            <v>4/16E</v>
          </cell>
          <cell r="AV6" t="str">
            <v>7/16E</v>
          </cell>
          <cell r="AW6" t="str">
            <v>10/16E</v>
          </cell>
          <cell r="AX6" t="str">
            <v>1/17E</v>
          </cell>
          <cell r="AY6" t="str">
            <v>FY17E</v>
          </cell>
        </row>
        <row r="8">
          <cell r="A8" t="str">
            <v>Net Income</v>
          </cell>
          <cell r="K8">
            <v>-14.772</v>
          </cell>
          <cell r="P8">
            <v>-7.4509999999999996</v>
          </cell>
          <cell r="Q8">
            <v>-0.748</v>
          </cell>
          <cell r="R8">
            <v>0.16900000000000001</v>
          </cell>
          <cell r="S8">
            <v>-1.446</v>
          </cell>
          <cell r="T8">
            <v>-1.7809999999999999</v>
          </cell>
          <cell r="U8">
            <v>-3.806</v>
          </cell>
          <cell r="V8">
            <v>-2.246</v>
          </cell>
          <cell r="W8">
            <v>-3.91</v>
          </cell>
          <cell r="X8">
            <v>-3.56</v>
          </cell>
          <cell r="Y8">
            <v>-1.2759999999999998</v>
          </cell>
          <cell r="Z8">
            <v>-10.992000000000001</v>
          </cell>
          <cell r="AA8">
            <v>-20.47</v>
          </cell>
          <cell r="AB8">
            <v>-4.5750000000000002</v>
          </cell>
          <cell r="AC8">
            <v>-5.4740000000000002</v>
          </cell>
          <cell r="AD8">
            <v>-6.1619999999999999</v>
          </cell>
          <cell r="AE8">
            <v>-36.680999999999997</v>
          </cell>
          <cell r="AF8">
            <v>-16.134</v>
          </cell>
          <cell r="AG8">
            <v>-13.693</v>
          </cell>
          <cell r="AH8">
            <v>-13.193089304887557</v>
          </cell>
          <cell r="AI8">
            <v>-5.6658873787320028</v>
          </cell>
          <cell r="AJ8">
            <v>-48.685976683619558</v>
          </cell>
          <cell r="AK8">
            <v>-13.173599153514358</v>
          </cell>
          <cell r="AL8">
            <v>-8.2098648852925429</v>
          </cell>
          <cell r="AM8">
            <v>-7.839893805426378</v>
          </cell>
          <cell r="AN8">
            <v>0.61351866469858862</v>
          </cell>
          <cell r="AO8">
            <v>-28.609839179534688</v>
          </cell>
          <cell r="AP8">
            <v>-10.717298996336996</v>
          </cell>
          <cell r="AQ8">
            <v>-4.29051658605432</v>
          </cell>
          <cell r="AR8">
            <v>-3.9288606853709513</v>
          </cell>
          <cell r="AS8">
            <v>5.0269803806310307</v>
          </cell>
          <cell r="AT8">
            <v>-13.909695887131235</v>
          </cell>
          <cell r="AU8">
            <v>-10.837010114938282</v>
          </cell>
          <cell r="AV8">
            <v>1.5613617881674564</v>
          </cell>
          <cell r="AW8" t="str">
            <v>mstag:netIncomeReported</v>
          </cell>
          <cell r="AX8">
            <v>6</v>
          </cell>
          <cell r="AY8" t="str">
            <v>ISO4217:USD</v>
          </cell>
          <cell r="AZ8" t="b">
            <v>0</v>
          </cell>
          <cell r="BB8" t="str">
            <v>mstag:netIncomeReported</v>
          </cell>
          <cell r="BC8">
            <v>6</v>
          </cell>
          <cell r="BD8" t="str">
            <v>ISO4217:USD</v>
          </cell>
          <cell r="BE8" t="b">
            <v>0</v>
          </cell>
        </row>
        <row r="10">
          <cell r="A10" t="str">
            <v xml:space="preserve">Depreciation and Amortization </v>
          </cell>
          <cell r="K10">
            <v>0.75800000000000001</v>
          </cell>
          <cell r="P10">
            <v>0.93799999999999994</v>
          </cell>
          <cell r="Q10">
            <v>0.21199999999999999</v>
          </cell>
          <cell r="R10">
            <v>0.22900000000000001</v>
          </cell>
          <cell r="S10">
            <v>0.24399999999999999</v>
          </cell>
          <cell r="T10">
            <v>0.27300000000000002</v>
          </cell>
          <cell r="U10">
            <v>0.95800000000000007</v>
          </cell>
          <cell r="V10">
            <v>0.34799999999999998</v>
          </cell>
          <cell r="W10">
            <v>0.497</v>
          </cell>
          <cell r="X10">
            <v>0.58399999999999996</v>
          </cell>
          <cell r="Y10">
            <v>0.69100000000000028</v>
          </cell>
          <cell r="Z10">
            <v>2.12</v>
          </cell>
          <cell r="AA10">
            <v>0.93100000000000005</v>
          </cell>
          <cell r="AB10">
            <v>1.218</v>
          </cell>
          <cell r="AC10">
            <v>1.208</v>
          </cell>
          <cell r="AD10">
            <v>1.3169999999999999</v>
          </cell>
          <cell r="AE10">
            <v>4.6740000000000004</v>
          </cell>
          <cell r="AF10">
            <v>1.425</v>
          </cell>
          <cell r="AG10">
            <v>1.4550000000000001</v>
          </cell>
          <cell r="AH10">
            <v>1.4330000000000001</v>
          </cell>
          <cell r="AI10">
            <v>1.5532450619527194</v>
          </cell>
          <cell r="AJ10">
            <v>5.8662450619527196</v>
          </cell>
          <cell r="AK10">
            <v>1.7871766331238403</v>
          </cell>
          <cell r="AL10">
            <v>1.9806030511977295</v>
          </cell>
          <cell r="AM10">
            <v>2.1817962040063055</v>
          </cell>
          <cell r="AN10">
            <v>2.3937121518716769</v>
          </cell>
          <cell r="AO10">
            <v>8.3432880401995533</v>
          </cell>
          <cell r="AP10">
            <v>2.622075990245389</v>
          </cell>
          <cell r="AQ10">
            <v>2.9963632375864893</v>
          </cell>
          <cell r="AR10">
            <v>3.37307940020463</v>
          </cell>
          <cell r="AS10">
            <v>3.7463748876877396</v>
          </cell>
          <cell r="AT10">
            <v>12.737893515724249</v>
          </cell>
          <cell r="AU10">
            <v>3.9921305102102695</v>
          </cell>
          <cell r="AV10">
            <v>4.4326301499393095</v>
          </cell>
          <cell r="AW10" t="str">
            <v>mstag:depreciation</v>
          </cell>
          <cell r="AX10">
            <v>6</v>
          </cell>
          <cell r="AY10" t="str">
            <v>ISO4217:USD</v>
          </cell>
          <cell r="AZ10" t="b">
            <v>0</v>
          </cell>
          <cell r="BB10" t="str">
            <v>mstag:depreciation</v>
          </cell>
          <cell r="BC10">
            <v>6</v>
          </cell>
          <cell r="BD10" t="str">
            <v>ISO4217:USD</v>
          </cell>
          <cell r="BE10" t="b">
            <v>0</v>
          </cell>
        </row>
        <row r="11">
          <cell r="A11" t="str">
            <v>Provision for Doubtful Accounts</v>
          </cell>
          <cell r="K11">
            <v>0.17899999999999999</v>
          </cell>
          <cell r="P11">
            <v>0.379</v>
          </cell>
          <cell r="Q11">
            <v>7.2999999999999995E-2</v>
          </cell>
          <cell r="R11">
            <v>0.10299999999999999</v>
          </cell>
          <cell r="S11">
            <v>0.1</v>
          </cell>
          <cell r="T11">
            <v>0.16700000000000001</v>
          </cell>
          <cell r="U11">
            <v>0.44300000000000006</v>
          </cell>
          <cell r="V11">
            <v>0.35799999999999998</v>
          </cell>
          <cell r="W11">
            <v>-0.157</v>
          </cell>
          <cell r="X11">
            <v>2.8000000000000001E-2</v>
          </cell>
          <cell r="Y11">
            <v>1.8000000000000016E-2</v>
          </cell>
          <cell r="Z11">
            <v>0.247</v>
          </cell>
          <cell r="AA11">
            <v>0</v>
          </cell>
          <cell r="AB11">
            <v>0</v>
          </cell>
          <cell r="AC11">
            <v>0</v>
          </cell>
          <cell r="AD11">
            <v>0</v>
          </cell>
          <cell r="AE11">
            <v>0</v>
          </cell>
          <cell r="AF11">
            <v>0</v>
          </cell>
          <cell r="AG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0</v>
          </cell>
          <cell r="AV11">
            <v>0</v>
          </cell>
          <cell r="AW11" t="str">
            <v>mstag:provisionForDoubtfulAccountsOneTimeCashFlowStatement</v>
          </cell>
          <cell r="AX11">
            <v>6</v>
          </cell>
          <cell r="AY11" t="str">
            <v>ISO4217:USD</v>
          </cell>
          <cell r="AZ11" t="b">
            <v>0</v>
          </cell>
          <cell r="BB11" t="str">
            <v>mstag:provisionForDoubtfulAccountsOneTimeCashFlowStatement</v>
          </cell>
          <cell r="BC11">
            <v>6</v>
          </cell>
          <cell r="BD11" t="str">
            <v>ISO4217:USD</v>
          </cell>
          <cell r="BE11" t="b">
            <v>0</v>
          </cell>
        </row>
        <row r="12">
          <cell r="A12" t="str">
            <v>Change in the Fair Value of Preferred Warrants</v>
          </cell>
          <cell r="K12">
            <v>2.1000000000000001E-2</v>
          </cell>
          <cell r="P12">
            <v>2.1999999999999999E-2</v>
          </cell>
          <cell r="Q12">
            <v>-1.9E-2</v>
          </cell>
          <cell r="R12">
            <v>-3.1E-2</v>
          </cell>
          <cell r="S12">
            <v>-1.2E-2</v>
          </cell>
          <cell r="T12">
            <v>0.42799999999999999</v>
          </cell>
          <cell r="U12">
            <v>0.36599999999999999</v>
          </cell>
          <cell r="V12">
            <v>0.47299999999999998</v>
          </cell>
          <cell r="W12">
            <v>0.60299999999999998</v>
          </cell>
          <cell r="X12">
            <v>0.439</v>
          </cell>
          <cell r="Y12">
            <v>0.51899999999999968</v>
          </cell>
          <cell r="Z12">
            <v>2.0339999999999998</v>
          </cell>
          <cell r="AA12">
            <v>14.087</v>
          </cell>
          <cell r="AB12">
            <v>0</v>
          </cell>
          <cell r="AC12">
            <v>0</v>
          </cell>
          <cell r="AD12">
            <v>0</v>
          </cell>
          <cell r="AE12">
            <v>14.087</v>
          </cell>
          <cell r="AF12">
            <v>0</v>
          </cell>
          <cell r="AG12">
            <v>0</v>
          </cell>
          <cell r="AH12">
            <v>0</v>
          </cell>
          <cell r="AI12">
            <v>0</v>
          </cell>
          <cell r="AJ12">
            <v>0</v>
          </cell>
          <cell r="AK12">
            <v>0</v>
          </cell>
          <cell r="AL12">
            <v>0</v>
          </cell>
          <cell r="AM12">
            <v>0</v>
          </cell>
          <cell r="AN12">
            <v>0</v>
          </cell>
          <cell r="AO12">
            <v>0</v>
          </cell>
          <cell r="AP12">
            <v>0</v>
          </cell>
          <cell r="AQ12">
            <v>0</v>
          </cell>
          <cell r="AR12">
            <v>0</v>
          </cell>
          <cell r="AS12">
            <v>0</v>
          </cell>
          <cell r="AT12">
            <v>0</v>
          </cell>
          <cell r="AU12">
            <v>0</v>
          </cell>
          <cell r="AV12">
            <v>0</v>
          </cell>
          <cell r="AW12" t="str">
            <v>mstag:otherCashFlow</v>
          </cell>
          <cell r="AX12">
            <v>6</v>
          </cell>
          <cell r="AY12" t="str">
            <v>ISO4217:USD</v>
          </cell>
          <cell r="AZ12" t="b">
            <v>0</v>
          </cell>
          <cell r="BB12" t="str">
            <v>mstag:otherCashFlow</v>
          </cell>
          <cell r="BC12">
            <v>6</v>
          </cell>
          <cell r="BD12" t="str">
            <v>ISO4217:USD</v>
          </cell>
          <cell r="BE12" t="b">
            <v>0</v>
          </cell>
        </row>
        <row r="13">
          <cell r="A13" t="str">
            <v>Issuance of Preferred Stock Warrants</v>
          </cell>
          <cell r="K13">
            <v>0.52200000000000002</v>
          </cell>
          <cell r="P13">
            <v>0</v>
          </cell>
          <cell r="Q13">
            <v>0</v>
          </cell>
          <cell r="R13">
            <v>0</v>
          </cell>
          <cell r="S13">
            <v>0</v>
          </cell>
          <cell r="T13">
            <v>0</v>
          </cell>
          <cell r="U13">
            <v>0</v>
          </cell>
          <cell r="V13">
            <v>0</v>
          </cell>
          <cell r="W13">
            <v>0</v>
          </cell>
          <cell r="X13">
            <v>0</v>
          </cell>
          <cell r="Y13">
            <v>0</v>
          </cell>
          <cell r="Z13">
            <v>0</v>
          </cell>
          <cell r="AA13">
            <v>0</v>
          </cell>
          <cell r="AB13">
            <v>0</v>
          </cell>
          <cell r="AC13">
            <v>0</v>
          </cell>
          <cell r="AD13">
            <v>0</v>
          </cell>
          <cell r="AE13">
            <v>0</v>
          </cell>
          <cell r="AF13">
            <v>0</v>
          </cell>
          <cell r="AG13">
            <v>0</v>
          </cell>
          <cell r="AH13">
            <v>0</v>
          </cell>
          <cell r="AI13">
            <v>0</v>
          </cell>
          <cell r="AJ13">
            <v>0</v>
          </cell>
          <cell r="AK13">
            <v>0</v>
          </cell>
          <cell r="AL13">
            <v>0</v>
          </cell>
          <cell r="AM13">
            <v>0</v>
          </cell>
          <cell r="AN13">
            <v>0</v>
          </cell>
          <cell r="AO13">
            <v>0</v>
          </cell>
          <cell r="AP13">
            <v>0</v>
          </cell>
          <cell r="AQ13">
            <v>0</v>
          </cell>
          <cell r="AR13">
            <v>0</v>
          </cell>
          <cell r="AS13">
            <v>0</v>
          </cell>
          <cell r="AT13">
            <v>0</v>
          </cell>
          <cell r="AU13">
            <v>0</v>
          </cell>
          <cell r="AV13">
            <v>0</v>
          </cell>
          <cell r="AW13" t="str">
            <v>mstag:otherCashFlow</v>
          </cell>
          <cell r="AX13">
            <v>6</v>
          </cell>
          <cell r="AY13" t="str">
            <v>ISO4217:USD</v>
          </cell>
          <cell r="AZ13" t="b">
            <v>0</v>
          </cell>
          <cell r="BB13" t="str">
            <v>mstag:otherCashFlow</v>
          </cell>
          <cell r="BC13">
            <v>6</v>
          </cell>
          <cell r="BD13" t="str">
            <v>ISO4217:USD</v>
          </cell>
          <cell r="BE13" t="b">
            <v>0</v>
          </cell>
        </row>
        <row r="14">
          <cell r="A14" t="str">
            <v xml:space="preserve">Stock Compensation Expenses </v>
          </cell>
          <cell r="K14">
            <v>0.76700000000000002</v>
          </cell>
          <cell r="P14">
            <v>1.3</v>
          </cell>
          <cell r="Q14">
            <v>0.32400000000000001</v>
          </cell>
          <cell r="R14">
            <v>0.41499999999999998</v>
          </cell>
          <cell r="S14">
            <v>0.41699999999999998</v>
          </cell>
          <cell r="T14">
            <v>0.42899999999999999</v>
          </cell>
          <cell r="U14">
            <v>1.585</v>
          </cell>
          <cell r="V14">
            <v>0.51</v>
          </cell>
          <cell r="W14">
            <v>0.71499999999999997</v>
          </cell>
          <cell r="X14">
            <v>1.042</v>
          </cell>
          <cell r="Y14">
            <v>1.4929999999999994</v>
          </cell>
          <cell r="Z14">
            <v>3.76</v>
          </cell>
          <cell r="AA14">
            <v>2.6720000000000002</v>
          </cell>
          <cell r="AB14">
            <v>3.8660000000000001</v>
          </cell>
          <cell r="AC14">
            <v>4.6849999999999996</v>
          </cell>
          <cell r="AD14">
            <v>8.2569999999999997</v>
          </cell>
          <cell r="AE14">
            <v>19.479999999999997</v>
          </cell>
          <cell r="AF14">
            <v>9.8350000000000009</v>
          </cell>
          <cell r="AG14">
            <v>11.957000000000001</v>
          </cell>
          <cell r="AH14">
            <v>12.27755</v>
          </cell>
          <cell r="AI14">
            <v>12.607194999999997</v>
          </cell>
          <cell r="AJ14">
            <v>46.676744999999997</v>
          </cell>
          <cell r="AK14">
            <v>12.352326656249998</v>
          </cell>
          <cell r="AL14">
            <v>12.402393937499998</v>
          </cell>
          <cell r="AM14">
            <v>12.454964582812497</v>
          </cell>
          <cell r="AN14">
            <v>12.510163760390622</v>
          </cell>
          <cell r="AO14">
            <v>49.719848936953113</v>
          </cell>
          <cell r="AP14">
            <v>13.135671948410156</v>
          </cell>
          <cell r="AQ14">
            <v>13.196529041690038</v>
          </cell>
          <cell r="AR14">
            <v>13.260428989633915</v>
          </cell>
          <cell r="AS14">
            <v>13.327523934974986</v>
          </cell>
          <cell r="AT14">
            <v>52.920153914709097</v>
          </cell>
          <cell r="AU14">
            <v>15.465656698789473</v>
          </cell>
          <cell r="AV14">
            <v>15.560539810799259</v>
          </cell>
          <cell r="AW14" t="str">
            <v>mstag:stockBasedCompensationChargePreTax</v>
          </cell>
          <cell r="AX14">
            <v>6</v>
          </cell>
          <cell r="AY14" t="str">
            <v>ISO4217:USD</v>
          </cell>
          <cell r="AZ14" t="b">
            <v>0</v>
          </cell>
          <cell r="BB14" t="str">
            <v>mstag:stockBasedCompensationChargePreTax</v>
          </cell>
          <cell r="BC14">
            <v>6</v>
          </cell>
          <cell r="BD14" t="str">
            <v>ISO4217:USD</v>
          </cell>
          <cell r="BE14" t="b">
            <v>0</v>
          </cell>
        </row>
        <row r="15">
          <cell r="A15" t="str">
            <v>Other Non-Cash Charge</v>
          </cell>
          <cell r="K15">
            <v>0</v>
          </cell>
          <cell r="P15">
            <v>0</v>
          </cell>
          <cell r="Q15">
            <v>0</v>
          </cell>
          <cell r="R15">
            <v>0</v>
          </cell>
          <cell r="S15">
            <v>0</v>
          </cell>
          <cell r="T15">
            <v>0</v>
          </cell>
          <cell r="U15">
            <v>0</v>
          </cell>
          <cell r="V15">
            <v>0</v>
          </cell>
          <cell r="W15">
            <v>0</v>
          </cell>
          <cell r="X15">
            <v>-0.76899999999999991</v>
          </cell>
          <cell r="Y15">
            <v>0.76899999999999991</v>
          </cell>
          <cell r="Z15">
            <v>0</v>
          </cell>
          <cell r="AA15">
            <v>0</v>
          </cell>
          <cell r="AB15">
            <v>0</v>
          </cell>
          <cell r="AC15">
            <v>0</v>
          </cell>
          <cell r="AD15">
            <v>-0.46200000000000002</v>
          </cell>
          <cell r="AE15">
            <v>-0.46200000000000002</v>
          </cell>
          <cell r="AF15">
            <v>-0.111</v>
          </cell>
          <cell r="AG15">
            <v>-0.157</v>
          </cell>
          <cell r="AH15">
            <v>0</v>
          </cell>
          <cell r="AI15">
            <v>0</v>
          </cell>
          <cell r="AJ15">
            <v>-0.26800000000000002</v>
          </cell>
          <cell r="AK15">
            <v>0</v>
          </cell>
          <cell r="AL15">
            <v>0</v>
          </cell>
          <cell r="AM15">
            <v>0</v>
          </cell>
          <cell r="AN15">
            <v>0</v>
          </cell>
          <cell r="AO15">
            <v>0</v>
          </cell>
          <cell r="AP15">
            <v>0</v>
          </cell>
          <cell r="AQ15">
            <v>0</v>
          </cell>
          <cell r="AR15">
            <v>0</v>
          </cell>
          <cell r="AS15">
            <v>0</v>
          </cell>
          <cell r="AT15">
            <v>0</v>
          </cell>
          <cell r="AU15">
            <v>0</v>
          </cell>
          <cell r="AV15">
            <v>0</v>
          </cell>
          <cell r="AW15" t="str">
            <v>mstag:otherCashFlow</v>
          </cell>
          <cell r="AX15">
            <v>6</v>
          </cell>
          <cell r="AY15" t="str">
            <v>ISO4217:USD</v>
          </cell>
          <cell r="AZ15" t="b">
            <v>0</v>
          </cell>
          <cell r="BB15" t="str">
            <v>mstag:otherCashFlow</v>
          </cell>
          <cell r="BC15">
            <v>6</v>
          </cell>
          <cell r="BD15" t="str">
            <v>ISO4217:USD</v>
          </cell>
          <cell r="BE15" t="b">
            <v>0</v>
          </cell>
        </row>
        <row r="17">
          <cell r="A17" t="str">
            <v>Changes in Working Capital</v>
          </cell>
          <cell r="K17">
            <v>1.2950000000000004</v>
          </cell>
          <cell r="P17">
            <v>5.7089999999999996</v>
          </cell>
          <cell r="Q17">
            <v>-1.4429999999999998</v>
          </cell>
          <cell r="R17">
            <v>0.77</v>
          </cell>
          <cell r="S17">
            <v>2.61</v>
          </cell>
          <cell r="T17">
            <v>7.1159999999999997</v>
          </cell>
          <cell r="U17">
            <v>9.0530000000000008</v>
          </cell>
          <cell r="V17">
            <v>-1.6960000000000002</v>
          </cell>
          <cell r="W17">
            <v>2.8149999999999995</v>
          </cell>
          <cell r="X17">
            <v>8.5359999999999996</v>
          </cell>
          <cell r="Y17">
            <v>7.7979999999999983</v>
          </cell>
          <cell r="Z17">
            <v>17.452999999999996</v>
          </cell>
          <cell r="AA17">
            <v>14.366000000000001</v>
          </cell>
          <cell r="AB17">
            <v>3.2969999999999997</v>
          </cell>
          <cell r="AC17">
            <v>6.0610000000000008</v>
          </cell>
          <cell r="AD17">
            <v>21.826000000000001</v>
          </cell>
          <cell r="AE17">
            <v>45.55</v>
          </cell>
          <cell r="AF17">
            <v>24.835999999999999</v>
          </cell>
          <cell r="AG17">
            <v>6.6890000000000009</v>
          </cell>
          <cell r="AH17">
            <v>7.869541735382434</v>
          </cell>
          <cell r="AI17">
            <v>20.540285047122026</v>
          </cell>
          <cell r="AJ17">
            <v>59.934826782504459</v>
          </cell>
          <cell r="AK17">
            <v>30.758959062178981</v>
          </cell>
          <cell r="AL17">
            <v>5.7828835164955272</v>
          </cell>
          <cell r="AM17">
            <v>2.2080214015776818</v>
          </cell>
          <cell r="AN17">
            <v>25.66463241699747</v>
          </cell>
          <cell r="AO17">
            <v>64.41449639724965</v>
          </cell>
          <cell r="AP17">
            <v>47.288828259696679</v>
          </cell>
          <cell r="AQ17">
            <v>3.7739431040969222</v>
          </cell>
          <cell r="AR17">
            <v>-3.9874951844107347</v>
          </cell>
          <cell r="AS17">
            <v>35.49850660923984</v>
          </cell>
          <cell r="AT17">
            <v>82.573782788622708</v>
          </cell>
          <cell r="AU17">
            <v>22.083658693889561</v>
          </cell>
          <cell r="AV17">
            <v>13.294798972840283</v>
          </cell>
          <cell r="AW17">
            <v>17.360497196482243</v>
          </cell>
          <cell r="AX17">
            <v>34.093470216512728</v>
          </cell>
          <cell r="AY17">
            <v>86.832425079724814</v>
          </cell>
        </row>
        <row r="18">
          <cell r="A18" t="str">
            <v xml:space="preserve">   Accounts Receivable</v>
          </cell>
          <cell r="K18">
            <v>-2.9409999999999998</v>
          </cell>
          <cell r="P18">
            <v>-2.16</v>
          </cell>
          <cell r="Q18">
            <v>-1.7729999999999999</v>
          </cell>
          <cell r="R18">
            <v>-3.4009999999999998</v>
          </cell>
          <cell r="S18">
            <v>-0.76700000000000002</v>
          </cell>
          <cell r="T18">
            <v>-2.06</v>
          </cell>
          <cell r="U18">
            <v>-8.0009999999999994</v>
          </cell>
          <cell r="V18">
            <v>-1.764</v>
          </cell>
          <cell r="W18">
            <v>-6.5149999999999997</v>
          </cell>
          <cell r="X18">
            <v>0.67200000000000004</v>
          </cell>
          <cell r="Y18">
            <v>-12.987000000000002</v>
          </cell>
          <cell r="Z18">
            <v>-20.594000000000001</v>
          </cell>
          <cell r="AA18">
            <v>11.015000000000001</v>
          </cell>
          <cell r="AB18">
            <v>-10.201000000000001</v>
          </cell>
          <cell r="AC18">
            <v>-6.4969999999999999</v>
          </cell>
          <cell r="AD18">
            <v>-23.77</v>
          </cell>
          <cell r="AE18">
            <v>-29.452999999999999</v>
          </cell>
          <cell r="AF18">
            <v>26.032</v>
          </cell>
          <cell r="AG18">
            <v>-2.83</v>
          </cell>
          <cell r="AH18">
            <v>-13.115606692633904</v>
          </cell>
          <cell r="AI18">
            <v>-29.142757115825894</v>
          </cell>
          <cell r="AJ18">
            <v>-19.0563638084598</v>
          </cell>
          <cell r="AK18">
            <v>26.789304338662213</v>
          </cell>
          <cell r="AL18">
            <v>-13.898038605285016</v>
          </cell>
          <cell r="AM18">
            <v>-10.230466806875583</v>
          </cell>
          <cell r="AN18">
            <v>-33.713617662214062</v>
          </cell>
          <cell r="AO18">
            <v>-31.052818735712449</v>
          </cell>
          <cell r="AP18">
            <v>35.804908633535717</v>
          </cell>
          <cell r="AQ18">
            <v>-13.987975004796198</v>
          </cell>
          <cell r="AR18">
            <v>-10.186724781828872</v>
          </cell>
          <cell r="AS18">
            <v>-34.831571078980559</v>
          </cell>
          <cell r="AT18">
            <v>-23.201362232069911</v>
          </cell>
          <cell r="AU18">
            <v>57.901657995847941</v>
          </cell>
          <cell r="AV18">
            <v>-0.13162102429330957</v>
          </cell>
          <cell r="AW18" t="str">
            <v>mstag:netDecreaseInTradeReceivables</v>
          </cell>
          <cell r="AX18">
            <v>6</v>
          </cell>
          <cell r="AY18" t="str">
            <v>ISO4217:USD</v>
          </cell>
          <cell r="AZ18" t="b">
            <v>0</v>
          </cell>
          <cell r="BB18" t="str">
            <v>mstag:netDecreaseInTradeReceivables</v>
          </cell>
          <cell r="BC18">
            <v>6</v>
          </cell>
          <cell r="BD18" t="str">
            <v>ISO4217:USD</v>
          </cell>
          <cell r="BE18" t="b">
            <v>0</v>
          </cell>
        </row>
        <row r="19">
          <cell r="A19" t="str">
            <v xml:space="preserve">   Prepaid Expenses, Other Assets</v>
          </cell>
          <cell r="K19">
            <v>-0.53200000000000003</v>
          </cell>
          <cell r="P19">
            <v>-0.20100000000000001</v>
          </cell>
          <cell r="Q19">
            <v>-0.20699999999999999</v>
          </cell>
          <cell r="R19">
            <v>-0.42499999999999999</v>
          </cell>
          <cell r="S19">
            <v>-6.8000000000000005E-2</v>
          </cell>
          <cell r="T19">
            <v>-0.192</v>
          </cell>
          <cell r="U19">
            <v>-0.8919999999999999</v>
          </cell>
          <cell r="V19">
            <v>-1.3740000000000001</v>
          </cell>
          <cell r="W19">
            <v>-1.2450000000000001</v>
          </cell>
          <cell r="X19">
            <v>0.39</v>
          </cell>
          <cell r="Y19">
            <v>-1.282</v>
          </cell>
          <cell r="Z19">
            <v>-3.5110000000000001</v>
          </cell>
          <cell r="AA19">
            <v>1.2E-2</v>
          </cell>
          <cell r="AB19">
            <v>-1.1839999999999999</v>
          </cell>
          <cell r="AC19">
            <v>-0.108</v>
          </cell>
          <cell r="AD19">
            <v>-1.3779999999999999</v>
          </cell>
          <cell r="AE19">
            <v>-2.6579999999999999</v>
          </cell>
          <cell r="AF19">
            <v>-0.29799999999999999</v>
          </cell>
          <cell r="AG19">
            <v>-3.2989999999999999</v>
          </cell>
          <cell r="AH19">
            <v>2.7298165436891373</v>
          </cell>
          <cell r="AI19">
            <v>-3.3753173901364573</v>
          </cell>
          <cell r="AJ19">
            <v>-4.24250084644732</v>
          </cell>
          <cell r="AK19">
            <v>-2.1938563825490558</v>
          </cell>
          <cell r="AL19">
            <v>-1.0268637531046907</v>
          </cell>
          <cell r="AM19">
            <v>-1.1615838749998955</v>
          </cell>
          <cell r="AN19">
            <v>-3.2680968552685741</v>
          </cell>
          <cell r="AO19">
            <v>-7.650400865922216</v>
          </cell>
          <cell r="AP19">
            <v>0.50118189743402919</v>
          </cell>
          <cell r="AQ19">
            <v>-1.233227922476442</v>
          </cell>
          <cell r="AR19">
            <v>-1.0753310730266055</v>
          </cell>
          <cell r="AS19">
            <v>-3.4543673943454514</v>
          </cell>
          <cell r="AT19">
            <v>-5.2617444924144694</v>
          </cell>
          <cell r="AU19">
            <v>-1.0150519575495058</v>
          </cell>
          <cell r="AV19">
            <v>-1.0926689935134188</v>
          </cell>
          <cell r="AW19" t="str">
            <v>mstag:netDecreaseInInventories</v>
          </cell>
          <cell r="AX19">
            <v>6</v>
          </cell>
          <cell r="AY19" t="str">
            <v>ISO4217:USD</v>
          </cell>
          <cell r="AZ19" t="b">
            <v>0</v>
          </cell>
          <cell r="BB19" t="str">
            <v>mstag:netDecreaseInInventories</v>
          </cell>
          <cell r="BC19">
            <v>6</v>
          </cell>
          <cell r="BD19" t="str">
            <v>ISO4217:USD</v>
          </cell>
          <cell r="BE19" t="b">
            <v>0</v>
          </cell>
        </row>
        <row r="20">
          <cell r="A20" t="str">
            <v xml:space="preserve">   Accounts Payable</v>
          </cell>
          <cell r="K20">
            <v>-4.8000000000000001E-2</v>
          </cell>
          <cell r="P20">
            <v>0.46200000000000002</v>
          </cell>
          <cell r="Q20">
            <v>-9.4E-2</v>
          </cell>
          <cell r="R20">
            <v>-5.0999999999999997E-2</v>
          </cell>
          <cell r="S20">
            <v>0.186</v>
          </cell>
          <cell r="T20">
            <v>6.9000000000000006E-2</v>
          </cell>
          <cell r="U20">
            <v>0.11000000000000001</v>
          </cell>
          <cell r="V20">
            <v>1.2549999999999999</v>
          </cell>
          <cell r="W20">
            <v>1.3759999999999999</v>
          </cell>
          <cell r="X20">
            <v>-2.427</v>
          </cell>
          <cell r="Y20">
            <v>-0.14899999999999974</v>
          </cell>
          <cell r="Z20">
            <v>5.4999999999999993E-2</v>
          </cell>
          <cell r="AA20">
            <v>1.006</v>
          </cell>
          <cell r="AB20">
            <v>-0.70599999999999996</v>
          </cell>
          <cell r="AC20">
            <v>-0.56799999999999995</v>
          </cell>
          <cell r="AD20">
            <v>0.45500000000000002</v>
          </cell>
          <cell r="AE20">
            <v>0.18700000000000011</v>
          </cell>
          <cell r="AF20">
            <v>0.91800000000000004</v>
          </cell>
          <cell r="AG20">
            <v>-1.0649999999999999</v>
          </cell>
          <cell r="AH20">
            <v>-0.24778535402607127</v>
          </cell>
          <cell r="AI20">
            <v>0.12779100577410696</v>
          </cell>
          <cell r="AJ20">
            <v>-0.26699434825196422</v>
          </cell>
          <cell r="AK20">
            <v>1.640359595232306</v>
          </cell>
          <cell r="AL20">
            <v>1.3528510719284021</v>
          </cell>
          <cell r="AM20">
            <v>-2.6784208949070614</v>
          </cell>
          <cell r="AN20">
            <v>0.2283004205046002</v>
          </cell>
          <cell r="AO20">
            <v>0.54309019275824721</v>
          </cell>
          <cell r="AP20">
            <v>5.5926613295384975</v>
          </cell>
          <cell r="AQ20">
            <v>2.7609550087118118</v>
          </cell>
          <cell r="AR20">
            <v>-8.1758825209516655</v>
          </cell>
          <cell r="AS20">
            <v>0.22040786708251092</v>
          </cell>
          <cell r="AT20">
            <v>0.39814168438115383</v>
          </cell>
          <cell r="AU20">
            <v>2.9653988241850087</v>
          </cell>
          <cell r="AV20">
            <v>-2.9516895270110721</v>
          </cell>
          <cell r="AW20" t="str">
            <v>mstag:netIncreaseInTradeAndOtherPayables</v>
          </cell>
          <cell r="AX20">
            <v>6</v>
          </cell>
          <cell r="AY20" t="str">
            <v>ISO4217:USD</v>
          </cell>
          <cell r="AZ20" t="b">
            <v>0</v>
          </cell>
          <cell r="BB20" t="str">
            <v>mstag:netIncreaseInTradeAndOtherPayables</v>
          </cell>
          <cell r="BC20">
            <v>6</v>
          </cell>
          <cell r="BD20" t="str">
            <v>ISO4217:USD</v>
          </cell>
          <cell r="BE20" t="b">
            <v>0</v>
          </cell>
        </row>
        <row r="21">
          <cell r="A21" t="str">
            <v xml:space="preserve">   Accrued Compensation</v>
          </cell>
          <cell r="K21">
            <v>0.76100000000000001</v>
          </cell>
          <cell r="P21">
            <v>0.52700000000000002</v>
          </cell>
          <cell r="Q21">
            <v>0.59699999999999998</v>
          </cell>
          <cell r="R21">
            <v>1.337</v>
          </cell>
          <cell r="S21">
            <v>1.4830000000000001</v>
          </cell>
          <cell r="T21">
            <v>2.2069999999999999</v>
          </cell>
          <cell r="U21">
            <v>5.6239999999999997</v>
          </cell>
          <cell r="V21">
            <v>-2.2440000000000002</v>
          </cell>
          <cell r="W21">
            <v>2.4550000000000001</v>
          </cell>
          <cell r="X21">
            <v>2.0390000000000001</v>
          </cell>
          <cell r="Y21">
            <v>6.4469999999999992</v>
          </cell>
          <cell r="Z21">
            <v>8.6969999999999992</v>
          </cell>
          <cell r="AA21">
            <v>-4.4569999999999999</v>
          </cell>
          <cell r="AB21">
            <v>7.02</v>
          </cell>
          <cell r="AC21">
            <v>7.01</v>
          </cell>
          <cell r="AD21">
            <v>2.4079999999999999</v>
          </cell>
          <cell r="AE21">
            <v>11.981</v>
          </cell>
          <cell r="AF21">
            <v>-6.9320000000000004</v>
          </cell>
          <cell r="AG21">
            <v>0.69699999999999995</v>
          </cell>
          <cell r="AH21">
            <v>6.3781461129674923</v>
          </cell>
          <cell r="AI21">
            <v>-4.4318182020433987</v>
          </cell>
          <cell r="AJ21">
            <v>-4.2886720890759067</v>
          </cell>
          <cell r="AK21">
            <v>3.4194691738050444</v>
          </cell>
          <cell r="AL21">
            <v>1.9659167493947614</v>
          </cell>
          <cell r="AM21">
            <v>3.323290910787172</v>
          </cell>
          <cell r="AN21">
            <v>-0.74727691657037099</v>
          </cell>
          <cell r="AO21">
            <v>7.9613999174166068</v>
          </cell>
          <cell r="AP21">
            <v>5.7004382532382181</v>
          </cell>
          <cell r="AQ21">
            <v>0.33304378056995887</v>
          </cell>
          <cell r="AR21">
            <v>3.4411070531930079</v>
          </cell>
          <cell r="AS21">
            <v>1.6517125882076229</v>
          </cell>
          <cell r="AT21">
            <v>11.126301675208808</v>
          </cell>
          <cell r="AU21">
            <v>-24.866103360436881</v>
          </cell>
          <cell r="AV21">
            <v>-0.7865287007884163</v>
          </cell>
          <cell r="AW21" t="str">
            <v>mstag:netIncreaseInAccruedExpenses</v>
          </cell>
          <cell r="AX21">
            <v>6</v>
          </cell>
          <cell r="AY21" t="str">
            <v>ISO4217:USD</v>
          </cell>
          <cell r="AZ21" t="b">
            <v>0</v>
          </cell>
          <cell r="BB21" t="str">
            <v>mstag:netIncreaseInAccruedExpenses</v>
          </cell>
          <cell r="BC21">
            <v>6</v>
          </cell>
          <cell r="BD21" t="str">
            <v>ISO4217:USD</v>
          </cell>
          <cell r="BE21" t="b">
            <v>0</v>
          </cell>
        </row>
        <row r="22">
          <cell r="A22" t="str">
            <v xml:space="preserve">   Accrued Expenses and Other Liabilities</v>
          </cell>
          <cell r="K22">
            <v>0.63600000000000001</v>
          </cell>
          <cell r="P22">
            <v>1.032</v>
          </cell>
          <cell r="Q22">
            <v>-0.189</v>
          </cell>
          <cell r="R22">
            <v>0.42</v>
          </cell>
          <cell r="S22">
            <v>9.1999999999999998E-2</v>
          </cell>
          <cell r="T22">
            <v>0.89800000000000002</v>
          </cell>
          <cell r="U22">
            <v>1.2210000000000001</v>
          </cell>
          <cell r="V22">
            <v>-0.14000000000000001</v>
          </cell>
          <cell r="W22">
            <v>1.34</v>
          </cell>
          <cell r="X22">
            <v>1.575</v>
          </cell>
          <cell r="Y22">
            <v>-0.3270000000000004</v>
          </cell>
          <cell r="Z22">
            <v>2.448</v>
          </cell>
          <cell r="AA22">
            <v>0.313</v>
          </cell>
          <cell r="AB22">
            <v>-0.158</v>
          </cell>
          <cell r="AC22">
            <v>-7.3999999999999996E-2</v>
          </cell>
          <cell r="AD22">
            <v>3.3650000000000002</v>
          </cell>
          <cell r="AE22">
            <v>3.4460000000000002</v>
          </cell>
          <cell r="AF22">
            <v>2.4910000000000001</v>
          </cell>
          <cell r="AG22">
            <v>2.8879999999999999</v>
          </cell>
          <cell r="AH22">
            <v>-0.34746801976155517</v>
          </cell>
          <cell r="AI22">
            <v>3.1767277529767721</v>
          </cell>
          <cell r="AJ22">
            <v>8.2082597332152165</v>
          </cell>
          <cell r="AK22">
            <v>-9.8121449092288433</v>
          </cell>
          <cell r="AL22">
            <v>0.31555061553385322</v>
          </cell>
          <cell r="AM22">
            <v>0.3602445140999686</v>
          </cell>
          <cell r="AN22">
            <v>0.44223561204794404</v>
          </cell>
          <cell r="AO22">
            <v>-8.6941141675470774</v>
          </cell>
          <cell r="AP22">
            <v>-1.2460320090891956</v>
          </cell>
          <cell r="AQ22">
            <v>0.28232591209603175</v>
          </cell>
          <cell r="AR22">
            <v>0.23233101978073556</v>
          </cell>
          <cell r="AS22">
            <v>2.1762348758260179</v>
          </cell>
          <cell r="AT22">
            <v>1.4448597986135896</v>
          </cell>
          <cell r="AU22">
            <v>-4.3381591494598624</v>
          </cell>
          <cell r="AV22">
            <v>5.1040307787512234</v>
          </cell>
          <cell r="AW22" t="str">
            <v>mstag:netIncreaseInAccruedExpenses</v>
          </cell>
          <cell r="AX22">
            <v>6</v>
          </cell>
          <cell r="AY22" t="str">
            <v>ISO4217:USD</v>
          </cell>
          <cell r="AZ22" t="b">
            <v>0</v>
          </cell>
          <cell r="BB22" t="str">
            <v>mstag:netIncreaseInAccruedExpenses</v>
          </cell>
          <cell r="BC22">
            <v>6</v>
          </cell>
          <cell r="BD22" t="str">
            <v>ISO4217:USD</v>
          </cell>
          <cell r="BE22" t="b">
            <v>0</v>
          </cell>
        </row>
        <row r="23">
          <cell r="A23" t="str">
            <v xml:space="preserve">   Deferred Revenue</v>
          </cell>
          <cell r="E23">
            <v>0</v>
          </cell>
          <cell r="K23">
            <v>3.419</v>
          </cell>
          <cell r="P23">
            <v>6.0490000000000004</v>
          </cell>
          <cell r="Q23">
            <v>0.223</v>
          </cell>
          <cell r="R23">
            <v>2.89</v>
          </cell>
          <cell r="S23">
            <v>1.6839999999999999</v>
          </cell>
          <cell r="T23">
            <v>6.194</v>
          </cell>
          <cell r="U23">
            <v>10.991</v>
          </cell>
          <cell r="V23">
            <v>2.5710000000000002</v>
          </cell>
          <cell r="W23">
            <v>5.4039999999999999</v>
          </cell>
          <cell r="X23">
            <v>6.2869999999999999</v>
          </cell>
          <cell r="Y23">
            <v>16.096</v>
          </cell>
          <cell r="Z23">
            <v>30.358000000000001</v>
          </cell>
          <cell r="AA23">
            <v>6.4770000000000003</v>
          </cell>
          <cell r="AB23">
            <v>8.5259999999999998</v>
          </cell>
          <cell r="AC23">
            <v>6.298</v>
          </cell>
          <cell r="AD23">
            <v>40.746000000000002</v>
          </cell>
          <cell r="AE23">
            <v>62.047000000000004</v>
          </cell>
          <cell r="AF23">
            <v>2.625</v>
          </cell>
          <cell r="AG23">
            <v>10.298</v>
          </cell>
          <cell r="AH23">
            <v>12.472439145147334</v>
          </cell>
          <cell r="AI23">
            <v>54.185658996376901</v>
          </cell>
          <cell r="AJ23">
            <v>79.581098141524237</v>
          </cell>
          <cell r="AK23">
            <v>10.915827246257322</v>
          </cell>
          <cell r="AL23">
            <v>17.073467438028217</v>
          </cell>
          <cell r="AM23">
            <v>12.59495755347308</v>
          </cell>
          <cell r="AN23">
            <v>62.72308781849793</v>
          </cell>
          <cell r="AO23">
            <v>103.30734005625655</v>
          </cell>
          <cell r="AP23">
            <v>0.93567015503941775</v>
          </cell>
          <cell r="AQ23">
            <v>15.618821329991761</v>
          </cell>
          <cell r="AR23">
            <v>11.777005118422665</v>
          </cell>
          <cell r="AS23">
            <v>69.736089751449697</v>
          </cell>
          <cell r="AT23">
            <v>98.06758635490354</v>
          </cell>
          <cell r="AU23">
            <v>-8.5640836586971432</v>
          </cell>
          <cell r="AV23">
            <v>13.153276439695276</v>
          </cell>
          <cell r="AW23" t="str">
            <v>mstag:netIncreaseInDeferredRevenue</v>
          </cell>
          <cell r="AX23">
            <v>6</v>
          </cell>
          <cell r="AY23" t="str">
            <v>ISO4217:USD</v>
          </cell>
          <cell r="AZ23" t="b">
            <v>0</v>
          </cell>
          <cell r="BB23" t="str">
            <v>mstag:netIncreaseInDeferredRevenue</v>
          </cell>
          <cell r="BC23">
            <v>6</v>
          </cell>
          <cell r="BD23" t="str">
            <v>ISO4217:USD</v>
          </cell>
          <cell r="BE23" t="b">
            <v>0</v>
          </cell>
        </row>
        <row r="24">
          <cell r="A24" t="str">
            <v>Net Cash Provided by (used in) Operating Activities</v>
          </cell>
          <cell r="G24">
            <v>0</v>
          </cell>
          <cell r="H24">
            <v>0</v>
          </cell>
          <cell r="I24">
            <v>0</v>
          </cell>
          <cell r="J24">
            <v>0</v>
          </cell>
          <cell r="K24">
            <v>-11.229999999999999</v>
          </cell>
          <cell r="L24">
            <v>0</v>
          </cell>
          <cell r="M24">
            <v>0</v>
          </cell>
          <cell r="N24">
            <v>0</v>
          </cell>
          <cell r="O24">
            <v>0</v>
          </cell>
          <cell r="P24">
            <v>0.89699999999999935</v>
          </cell>
          <cell r="Q24">
            <v>-1.601</v>
          </cell>
          <cell r="R24">
            <v>1.655</v>
          </cell>
          <cell r="S24">
            <v>1.913</v>
          </cell>
          <cell r="T24">
            <v>6.6319999999999997</v>
          </cell>
          <cell r="U24">
            <v>8.5990000000000002</v>
          </cell>
          <cell r="V24">
            <v>-2.2530000000000001</v>
          </cell>
          <cell r="W24">
            <v>0.56299999999999883</v>
          </cell>
          <cell r="X24">
            <v>6.3</v>
          </cell>
          <cell r="Y24">
            <v>10.011999999999997</v>
          </cell>
          <cell r="Z24">
            <v>14.621999999999996</v>
          </cell>
          <cell r="AA24">
            <v>11.586000000000004</v>
          </cell>
          <cell r="AB24">
            <v>3.8059999999999996</v>
          </cell>
          <cell r="AC24">
            <v>6.48</v>
          </cell>
          <cell r="AD24">
            <v>24.776</v>
          </cell>
          <cell r="AE24">
            <v>46.647999999999996</v>
          </cell>
          <cell r="AF24">
            <v>19.850999999999999</v>
          </cell>
          <cell r="AG24">
            <v>6.2510000000000021</v>
          </cell>
          <cell r="AH24">
            <v>8.387002430494876</v>
          </cell>
          <cell r="AI24">
            <v>29.034837730342741</v>
          </cell>
          <cell r="AJ24">
            <v>63.523840160837615</v>
          </cell>
          <cell r="AK24">
            <v>31.724863198038463</v>
          </cell>
          <cell r="AL24">
            <v>11.956015619900711</v>
          </cell>
          <cell r="AM24">
            <v>9.0048883829701065</v>
          </cell>
          <cell r="AN24">
            <v>41.18202699395836</v>
          </cell>
          <cell r="AO24">
            <v>93.867794194867628</v>
          </cell>
          <cell r="AP24">
            <v>52.329277202015227</v>
          </cell>
          <cell r="AQ24">
            <v>15.67631879731913</v>
          </cell>
          <cell r="AR24">
            <v>8.7171525200568585</v>
          </cell>
          <cell r="AS24">
            <v>57.599385812533598</v>
          </cell>
          <cell r="AT24">
            <v>134.32213433192481</v>
          </cell>
          <cell r="AU24">
            <v>30.70443578795102</v>
          </cell>
          <cell r="AV24">
            <v>34.849330721746313</v>
          </cell>
          <cell r="AW24">
            <v>43.925049871488582</v>
          </cell>
          <cell r="AX24">
            <v>76.696969163758069</v>
          </cell>
          <cell r="AY24">
            <v>186.17578554494401</v>
          </cell>
        </row>
        <row r="26">
          <cell r="A26" t="str">
            <v xml:space="preserve">   Change in Restricted Cash</v>
          </cell>
          <cell r="K26">
            <v>-1.004</v>
          </cell>
          <cell r="P26">
            <v>0.20100000000000001</v>
          </cell>
          <cell r="Q26">
            <v>0</v>
          </cell>
          <cell r="R26">
            <v>0</v>
          </cell>
          <cell r="S26">
            <v>0</v>
          </cell>
          <cell r="T26">
            <v>0.161</v>
          </cell>
          <cell r="U26">
            <v>0.161</v>
          </cell>
          <cell r="V26">
            <v>0</v>
          </cell>
          <cell r="W26">
            <v>0</v>
          </cell>
          <cell r="X26">
            <v>0</v>
          </cell>
          <cell r="Y26">
            <v>0.128</v>
          </cell>
          <cell r="Z26">
            <v>0.128</v>
          </cell>
          <cell r="AA26">
            <v>0</v>
          </cell>
          <cell r="AB26">
            <v>0</v>
          </cell>
          <cell r="AC26">
            <v>0.51400000000000001</v>
          </cell>
          <cell r="AD26">
            <v>0</v>
          </cell>
          <cell r="AE26">
            <v>0.51400000000000001</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v>
          </cell>
          <cell r="AU26">
            <v>0</v>
          </cell>
          <cell r="AV26">
            <v>0</v>
          </cell>
          <cell r="AW26" t="str">
            <v>mstag:proceedsFromSaleOfFundsUsedTopurchaseSecuritiesAndOtherInvestments</v>
          </cell>
          <cell r="AX26">
            <v>6</v>
          </cell>
          <cell r="AY26" t="str">
            <v>ISO4217:USD</v>
          </cell>
          <cell r="AZ26" t="b">
            <v>0</v>
          </cell>
          <cell r="BB26" t="str">
            <v>mstag:proceedsFromSaleOfFundsUsedTopurchaseSecuritiesAndOtherInvestments</v>
          </cell>
          <cell r="BC26">
            <v>6</v>
          </cell>
          <cell r="BD26" t="str">
            <v>ISO4217:USD</v>
          </cell>
          <cell r="BE26" t="b">
            <v>0</v>
          </cell>
        </row>
        <row r="27">
          <cell r="A27" t="str">
            <v xml:space="preserve">   Purchase of PP&amp;E</v>
          </cell>
          <cell r="K27">
            <v>-2.1589999999999998</v>
          </cell>
          <cell r="P27">
            <v>-0.35899999999999999</v>
          </cell>
          <cell r="Q27">
            <v>-0.22600000000000001</v>
          </cell>
          <cell r="R27">
            <v>-0.24299999999999999</v>
          </cell>
          <cell r="S27">
            <v>-0.311</v>
          </cell>
          <cell r="T27">
            <v>-0.83599999999999997</v>
          </cell>
          <cell r="U27">
            <v>-1.6160000000000001</v>
          </cell>
          <cell r="V27">
            <v>-1.496</v>
          </cell>
          <cell r="W27">
            <v>-2.71</v>
          </cell>
          <cell r="X27">
            <v>-1.9</v>
          </cell>
          <cell r="Y27">
            <v>-2.0739999999999998</v>
          </cell>
          <cell r="Z27">
            <v>-8.18</v>
          </cell>
          <cell r="AA27">
            <v>-1.877</v>
          </cell>
          <cell r="AB27">
            <v>-1.597</v>
          </cell>
          <cell r="AC27">
            <v>-2.246</v>
          </cell>
          <cell r="AD27">
            <v>-3.3570000000000002</v>
          </cell>
          <cell r="AE27">
            <v>-9.0770000000000017</v>
          </cell>
          <cell r="AF27">
            <v>-1.2629999999999999</v>
          </cell>
          <cell r="AG27">
            <v>-1.9670000000000001</v>
          </cell>
          <cell r="AH27">
            <v>-2.5955926959908773</v>
          </cell>
          <cell r="AI27">
            <v>-2.7827126670876612</v>
          </cell>
          <cell r="AJ27">
            <v>-8.6083053630785393</v>
          </cell>
          <cell r="AK27">
            <v>-3.545598615613744</v>
          </cell>
          <cell r="AL27">
            <v>-3.8096317130938733</v>
          </cell>
          <cell r="AM27">
            <v>-4.1083048209642268</v>
          </cell>
          <cell r="AN27">
            <v>-4.4697470461781528</v>
          </cell>
          <cell r="AO27">
            <v>-15.933282195849998</v>
          </cell>
          <cell r="AP27">
            <v>-6.0246873297099341</v>
          </cell>
          <cell r="AQ27">
            <v>-6.4210556250241355</v>
          </cell>
          <cell r="AR27">
            <v>-6.7666747409601751</v>
          </cell>
          <cell r="AS27">
            <v>-7.1146951744412243</v>
          </cell>
          <cell r="AT27">
            <v>-26.327112870135466</v>
          </cell>
          <cell r="AU27">
            <v>-8.3971269075006667</v>
          </cell>
          <cell r="AV27">
            <v>-8.9113471862970304</v>
          </cell>
          <cell r="AW27" t="str">
            <v>mstag:capitalExpenditures</v>
          </cell>
          <cell r="AX27">
            <v>6</v>
          </cell>
          <cell r="AY27" t="str">
            <v>ISO4217:USD</v>
          </cell>
          <cell r="AZ27" t="b">
            <v>1</v>
          </cell>
          <cell r="BB27" t="str">
            <v>mstag:capitalExpenditures</v>
          </cell>
          <cell r="BC27">
            <v>6</v>
          </cell>
          <cell r="BD27" t="str">
            <v>ISO4217:USD</v>
          </cell>
          <cell r="BE27" t="b">
            <v>1</v>
          </cell>
        </row>
        <row r="28">
          <cell r="A28" t="str">
            <v xml:space="preserve">   Proceeds from Sale of Marketable Securities</v>
          </cell>
          <cell r="K28">
            <v>5.44</v>
          </cell>
          <cell r="P28">
            <v>4.8769999999999998</v>
          </cell>
          <cell r="Q28">
            <v>0</v>
          </cell>
          <cell r="R28">
            <v>0</v>
          </cell>
          <cell r="S28">
            <v>0</v>
          </cell>
          <cell r="T28">
            <v>0</v>
          </cell>
          <cell r="U28">
            <v>0</v>
          </cell>
          <cell r="V28">
            <v>0</v>
          </cell>
          <cell r="W28">
            <v>0</v>
          </cell>
          <cell r="X28">
            <v>0</v>
          </cell>
          <cell r="Y28">
            <v>0</v>
          </cell>
          <cell r="Z28">
            <v>0</v>
          </cell>
          <cell r="AA28">
            <v>0</v>
          </cell>
          <cell r="AB28">
            <v>0</v>
          </cell>
          <cell r="AC28">
            <v>0</v>
          </cell>
          <cell r="AD28">
            <v>0</v>
          </cell>
          <cell r="AE28">
            <v>0</v>
          </cell>
          <cell r="AF28">
            <v>0</v>
          </cell>
          <cell r="AG28">
            <v>0</v>
          </cell>
          <cell r="AH28">
            <v>0</v>
          </cell>
          <cell r="AI28">
            <v>0</v>
          </cell>
          <cell r="AJ28">
            <v>0</v>
          </cell>
          <cell r="AK28">
            <v>0</v>
          </cell>
          <cell r="AL28">
            <v>0</v>
          </cell>
          <cell r="AM28">
            <v>0</v>
          </cell>
          <cell r="AN28">
            <v>0</v>
          </cell>
          <cell r="AO28">
            <v>0</v>
          </cell>
          <cell r="AP28">
            <v>0</v>
          </cell>
          <cell r="AQ28">
            <v>0</v>
          </cell>
          <cell r="AR28">
            <v>0</v>
          </cell>
          <cell r="AS28">
            <v>0</v>
          </cell>
          <cell r="AT28">
            <v>0</v>
          </cell>
          <cell r="AU28">
            <v>0</v>
          </cell>
          <cell r="AV28">
            <v>0</v>
          </cell>
          <cell r="AW28" t="str">
            <v>mstag:proceedsFromSaleOfFundsUsedTopurchaseSecuritiesAndOtherInvestments</v>
          </cell>
          <cell r="AX28">
            <v>6</v>
          </cell>
          <cell r="AY28" t="str">
            <v>ISO4217:USD</v>
          </cell>
          <cell r="AZ28" t="b">
            <v>0</v>
          </cell>
          <cell r="BB28" t="str">
            <v>mstag:proceedsFromSaleOfFundsUsedTopurchaseSecuritiesAndOtherInvestments</v>
          </cell>
          <cell r="BC28">
            <v>6</v>
          </cell>
          <cell r="BD28" t="str">
            <v>ISO4217:USD</v>
          </cell>
          <cell r="BE28" t="b">
            <v>0</v>
          </cell>
        </row>
        <row r="29">
          <cell r="A29" t="str">
            <v>Net Cash Provided by (used in) Investing Activities</v>
          </cell>
          <cell r="B29">
            <v>0</v>
          </cell>
          <cell r="C29">
            <v>0</v>
          </cell>
          <cell r="D29">
            <v>0</v>
          </cell>
          <cell r="E29">
            <v>0</v>
          </cell>
          <cell r="F29">
            <v>0</v>
          </cell>
          <cell r="G29">
            <v>0</v>
          </cell>
          <cell r="H29">
            <v>0</v>
          </cell>
          <cell r="I29">
            <v>0</v>
          </cell>
          <cell r="J29">
            <v>0</v>
          </cell>
          <cell r="K29">
            <v>2.2770000000000006</v>
          </cell>
          <cell r="L29">
            <v>0</v>
          </cell>
          <cell r="M29">
            <v>0</v>
          </cell>
          <cell r="N29">
            <v>0</v>
          </cell>
          <cell r="O29">
            <v>0</v>
          </cell>
          <cell r="P29">
            <v>4.7189999999999994</v>
          </cell>
          <cell r="Q29">
            <v>-0.22600000000000001</v>
          </cell>
          <cell r="R29">
            <v>-0.24299999999999999</v>
          </cell>
          <cell r="S29">
            <v>-0.311</v>
          </cell>
          <cell r="T29">
            <v>-0.67499999999999993</v>
          </cell>
          <cell r="U29">
            <v>-1.4550000000000001</v>
          </cell>
          <cell r="V29">
            <v>-1.496</v>
          </cell>
          <cell r="W29">
            <v>-2.71</v>
          </cell>
          <cell r="X29">
            <v>-1.9</v>
          </cell>
          <cell r="Y29">
            <v>-1.9459999999999997</v>
          </cell>
          <cell r="Z29">
            <v>-8.0519999999999996</v>
          </cell>
          <cell r="AA29">
            <v>-1.877</v>
          </cell>
          <cell r="AB29">
            <v>-1.597</v>
          </cell>
          <cell r="AC29">
            <v>-1.732</v>
          </cell>
          <cell r="AD29">
            <v>-3.3570000000000002</v>
          </cell>
          <cell r="AE29">
            <v>-8.5630000000000024</v>
          </cell>
          <cell r="AF29">
            <v>-1.2629999999999999</v>
          </cell>
          <cell r="AG29">
            <v>-1.9670000000000001</v>
          </cell>
          <cell r="AH29">
            <v>-2.5955926959908773</v>
          </cell>
          <cell r="AI29">
            <v>-2.7827126670876612</v>
          </cell>
          <cell r="AJ29">
            <v>-8.6083053630785393</v>
          </cell>
          <cell r="AK29">
            <v>-3.545598615613744</v>
          </cell>
          <cell r="AL29">
            <v>-3.8096317130938733</v>
          </cell>
          <cell r="AM29">
            <v>-4.1083048209642268</v>
          </cell>
          <cell r="AN29">
            <v>-4.4697470461781528</v>
          </cell>
          <cell r="AO29">
            <v>-15.933282195849998</v>
          </cell>
          <cell r="AP29">
            <v>-6.0246873297099341</v>
          </cell>
          <cell r="AQ29">
            <v>-6.4210556250241355</v>
          </cell>
          <cell r="AR29">
            <v>-6.7666747409601751</v>
          </cell>
          <cell r="AS29">
            <v>-7.1146951744412243</v>
          </cell>
          <cell r="AT29">
            <v>-26.327112870135466</v>
          </cell>
          <cell r="BB29" t="str">
            <v>mstag:netDisposalsAcquisitions</v>
          </cell>
          <cell r="BC29">
            <v>6</v>
          </cell>
          <cell r="BD29" t="str">
            <v>ISO4217:USD</v>
          </cell>
          <cell r="BE29" t="b">
            <v>0</v>
          </cell>
        </row>
        <row r="30">
          <cell r="A30" t="str">
            <v>Net Cash Provided by (used in) Investing Activities</v>
          </cell>
          <cell r="B30">
            <v>0</v>
          </cell>
          <cell r="C30">
            <v>0</v>
          </cell>
          <cell r="D30">
            <v>0</v>
          </cell>
          <cell r="E30">
            <v>0</v>
          </cell>
          <cell r="F30">
            <v>0</v>
          </cell>
          <cell r="G30">
            <v>0</v>
          </cell>
          <cell r="H30">
            <v>0</v>
          </cell>
          <cell r="I30">
            <v>0</v>
          </cell>
          <cell r="J30">
            <v>0</v>
          </cell>
          <cell r="K30">
            <v>2.2770000000000006</v>
          </cell>
          <cell r="L30">
            <v>0</v>
          </cell>
          <cell r="M30">
            <v>0</v>
          </cell>
          <cell r="N30">
            <v>0</v>
          </cell>
          <cell r="O30">
            <v>0</v>
          </cell>
          <cell r="P30">
            <v>4.7189999999999994</v>
          </cell>
          <cell r="Q30">
            <v>-0.22600000000000001</v>
          </cell>
          <cell r="R30">
            <v>-0.24299999999999999</v>
          </cell>
          <cell r="S30">
            <v>-0.311</v>
          </cell>
          <cell r="T30">
            <v>-0.67499999999999993</v>
          </cell>
          <cell r="U30">
            <v>-1.4550000000000001</v>
          </cell>
          <cell r="V30">
            <v>-1.496</v>
          </cell>
          <cell r="W30">
            <v>-2.71</v>
          </cell>
          <cell r="X30">
            <v>-1.9</v>
          </cell>
          <cell r="Y30">
            <v>-1.9459999999999997</v>
          </cell>
          <cell r="Z30">
            <v>-8.0519999999999996</v>
          </cell>
          <cell r="AA30">
            <v>-1.877</v>
          </cell>
          <cell r="AB30">
            <v>-1.597</v>
          </cell>
          <cell r="AC30">
            <v>-1.732</v>
          </cell>
          <cell r="AD30">
            <v>-3.3570000000000002</v>
          </cell>
          <cell r="AE30">
            <v>-8.5630000000000024</v>
          </cell>
          <cell r="AF30">
            <v>-1.2629999999999999</v>
          </cell>
          <cell r="AG30">
            <v>-1.9670000000000001</v>
          </cell>
          <cell r="AH30">
            <v>-12.993</v>
          </cell>
          <cell r="AI30">
            <v>-2.9270093676790192</v>
          </cell>
          <cell r="AJ30">
            <v>-19.150009367679019</v>
          </cell>
          <cell r="AK30">
            <v>-3.7992320261586281</v>
          </cell>
          <cell r="AL30">
            <v>-4.0961960122047545</v>
          </cell>
          <cell r="AM30">
            <v>-4.4248787620586549</v>
          </cell>
          <cell r="AN30">
            <v>-4.8374262239020851</v>
          </cell>
          <cell r="AO30">
            <v>-17.157733024324124</v>
          </cell>
          <cell r="AP30">
            <v>-6.4553112008419022</v>
          </cell>
          <cell r="AQ30">
            <v>-6.8792893987226948</v>
          </cell>
          <cell r="AR30">
            <v>-7.3358501711285751</v>
          </cell>
          <cell r="AS30">
            <v>-7.9194339339629387</v>
          </cell>
          <cell r="AT30">
            <v>-28.589884704656111</v>
          </cell>
          <cell r="AU30">
            <v>-8.3971269075006667</v>
          </cell>
          <cell r="AV30">
            <v>-8.9113471862970304</v>
          </cell>
          <cell r="AW30">
            <v>-9.4769831819886079</v>
          </cell>
          <cell r="AX30">
            <v>-10.109291718386464</v>
          </cell>
          <cell r="AY30">
            <v>-36.894748994172772</v>
          </cell>
        </row>
        <row r="31">
          <cell r="A31" t="str">
            <v xml:space="preserve">   Payment of Financing Obligation</v>
          </cell>
          <cell r="K31">
            <v>-0.01</v>
          </cell>
          <cell r="P31">
            <v>-0.14299999999999999</v>
          </cell>
          <cell r="Q31">
            <v>-4.5999999999999999E-2</v>
          </cell>
          <cell r="R31">
            <v>-5.8000000000000003E-2</v>
          </cell>
          <cell r="S31">
            <v>-0.03</v>
          </cell>
          <cell r="T31">
            <v>-4.4999999999999998E-2</v>
          </cell>
          <cell r="U31">
            <v>-0.17899999999999999</v>
          </cell>
          <cell r="V31">
            <v>-6.0999999999999999E-2</v>
          </cell>
          <cell r="W31">
            <v>-3.1E-2</v>
          </cell>
          <cell r="X31">
            <v>-0.05</v>
          </cell>
          <cell r="Y31">
            <v>-2.9999999999999971E-2</v>
          </cell>
          <cell r="Z31">
            <v>-0.17199999999999999</v>
          </cell>
          <cell r="AA31">
            <v>0</v>
          </cell>
          <cell r="AB31">
            <v>0</v>
          </cell>
          <cell r="AC31">
            <v>0</v>
          </cell>
          <cell r="AD31">
            <v>0</v>
          </cell>
          <cell r="AE31">
            <v>0</v>
          </cell>
          <cell r="AF31">
            <v>0</v>
          </cell>
          <cell r="AG31">
            <v>0</v>
          </cell>
          <cell r="AH31">
            <v>0</v>
          </cell>
          <cell r="AI31">
            <v>0</v>
          </cell>
          <cell r="AJ31">
            <v>0</v>
          </cell>
          <cell r="AK31">
            <v>0</v>
          </cell>
          <cell r="AL31">
            <v>0</v>
          </cell>
          <cell r="AM31">
            <v>0</v>
          </cell>
          <cell r="AN31">
            <v>0</v>
          </cell>
          <cell r="AO31">
            <v>0</v>
          </cell>
          <cell r="AP31">
            <v>0</v>
          </cell>
          <cell r="AQ31">
            <v>0</v>
          </cell>
          <cell r="AR31">
            <v>0</v>
          </cell>
          <cell r="AS31">
            <v>0</v>
          </cell>
          <cell r="AT31">
            <v>0</v>
          </cell>
          <cell r="AW31" t="str">
            <v>mstag:proceedsFromIssuanceAndCashUsedToRepayShortTermBorrowings</v>
          </cell>
          <cell r="AX31">
            <v>6</v>
          </cell>
          <cell r="AY31" t="str">
            <v>ISO4217:USD</v>
          </cell>
          <cell r="AZ31" t="b">
            <v>0</v>
          </cell>
        </row>
        <row r="32">
          <cell r="A32" t="str">
            <v xml:space="preserve">   Proceeds from Financing Obligation</v>
          </cell>
          <cell r="K32">
            <v>0.501</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cell r="AI32">
            <v>0</v>
          </cell>
          <cell r="AJ32">
            <v>0</v>
          </cell>
          <cell r="AK32">
            <v>0</v>
          </cell>
          <cell r="AL32">
            <v>0</v>
          </cell>
          <cell r="AM32">
            <v>0</v>
          </cell>
          <cell r="AN32">
            <v>0</v>
          </cell>
          <cell r="AO32">
            <v>0</v>
          </cell>
          <cell r="AP32">
            <v>0</v>
          </cell>
          <cell r="AQ32">
            <v>0</v>
          </cell>
          <cell r="AR32">
            <v>0</v>
          </cell>
          <cell r="AS32">
            <v>0</v>
          </cell>
          <cell r="AT32">
            <v>0</v>
          </cell>
          <cell r="AU32">
            <v>0</v>
          </cell>
          <cell r="AV32">
            <v>0</v>
          </cell>
          <cell r="AW32" t="str">
            <v>mstag:proceedsFromIssuanceAndCashUsedToRepayShortTermBorrowings</v>
          </cell>
          <cell r="AX32">
            <v>6</v>
          </cell>
          <cell r="AY32" t="str">
            <v>ISO4217:USD</v>
          </cell>
          <cell r="AZ32" t="b">
            <v>0</v>
          </cell>
          <cell r="BB32" t="str">
            <v>mstag:proceedsFromIssuanceAndCashUsedToRepayShortTermBorrowings</v>
          </cell>
          <cell r="BC32">
            <v>6</v>
          </cell>
          <cell r="BD32" t="str">
            <v>ISO4217:USD</v>
          </cell>
          <cell r="BE32" t="b">
            <v>0</v>
          </cell>
        </row>
        <row r="33">
          <cell r="A33" t="str">
            <v xml:space="preserve">   Proceeds from Issuance of Options</v>
          </cell>
          <cell r="K33">
            <v>0.1</v>
          </cell>
          <cell r="P33">
            <v>0.104</v>
          </cell>
          <cell r="Q33">
            <v>1E-3</v>
          </cell>
          <cell r="R33">
            <v>0.43099999999999999</v>
          </cell>
          <cell r="S33">
            <v>0.17199999999999999</v>
          </cell>
          <cell r="T33">
            <v>0.36199999999999999</v>
          </cell>
          <cell r="U33">
            <v>0.96599999999999997</v>
          </cell>
          <cell r="V33">
            <v>0.25700000000000001</v>
          </cell>
          <cell r="W33">
            <v>1.018</v>
          </cell>
          <cell r="X33">
            <v>1.0840000000000001</v>
          </cell>
          <cell r="Y33">
            <v>-1.22</v>
          </cell>
          <cell r="Z33">
            <v>1.139</v>
          </cell>
          <cell r="AA33">
            <v>0</v>
          </cell>
          <cell r="AB33">
            <v>1.153</v>
          </cell>
          <cell r="AC33">
            <v>0</v>
          </cell>
          <cell r="AD33">
            <v>5.8649999999999993</v>
          </cell>
          <cell r="AE33">
            <v>7.0179999999999989</v>
          </cell>
          <cell r="AF33">
            <v>0.111</v>
          </cell>
          <cell r="AG33">
            <v>5.9160000000000004</v>
          </cell>
          <cell r="AH33">
            <v>0</v>
          </cell>
          <cell r="AI33">
            <v>0</v>
          </cell>
          <cell r="AJ33">
            <v>6.0270000000000001</v>
          </cell>
          <cell r="AK33">
            <v>0</v>
          </cell>
          <cell r="AL33">
            <v>0</v>
          </cell>
          <cell r="AM33">
            <v>0</v>
          </cell>
          <cell r="AN33">
            <v>0</v>
          </cell>
          <cell r="AO33">
            <v>0</v>
          </cell>
          <cell r="AP33">
            <v>0</v>
          </cell>
          <cell r="AQ33">
            <v>0</v>
          </cell>
          <cell r="AR33">
            <v>0</v>
          </cell>
          <cell r="AS33">
            <v>0</v>
          </cell>
          <cell r="AT33">
            <v>0</v>
          </cell>
          <cell r="AU33">
            <v>0</v>
          </cell>
          <cell r="AV33">
            <v>0</v>
          </cell>
          <cell r="AW33" t="str">
            <v>mstag:proceedsFromIssuanceOfCommonStock</v>
          </cell>
          <cell r="AX33">
            <v>6</v>
          </cell>
          <cell r="AY33" t="str">
            <v>ISO4217:USD</v>
          </cell>
          <cell r="AZ33" t="b">
            <v>0</v>
          </cell>
          <cell r="BB33" t="str">
            <v>mstag:proceedsFromIssuanceAndCashUsedToRepayShortTermBorrowings</v>
          </cell>
          <cell r="BC33">
            <v>6</v>
          </cell>
          <cell r="BD33" t="str">
            <v>ISO4217:USD</v>
          </cell>
          <cell r="BE33" t="b">
            <v>0</v>
          </cell>
        </row>
        <row r="34">
          <cell r="A34" t="str">
            <v xml:space="preserve">   Proceeds from Issuance of Common Stock</v>
          </cell>
          <cell r="K34">
            <v>8.0000000000000002E-3</v>
          </cell>
          <cell r="P34">
            <v>1.492</v>
          </cell>
          <cell r="Q34">
            <v>0</v>
          </cell>
          <cell r="R34">
            <v>0</v>
          </cell>
          <cell r="S34">
            <v>0</v>
          </cell>
          <cell r="T34">
            <v>0</v>
          </cell>
          <cell r="U34">
            <v>0</v>
          </cell>
          <cell r="V34">
            <v>2</v>
          </cell>
          <cell r="W34">
            <v>1</v>
          </cell>
          <cell r="X34">
            <v>0</v>
          </cell>
          <cell r="Y34">
            <v>-0.96300000000000008</v>
          </cell>
          <cell r="Z34">
            <v>2.0369999999999999</v>
          </cell>
          <cell r="AA34">
            <v>227.05799999999999</v>
          </cell>
          <cell r="AB34">
            <v>-1.161</v>
          </cell>
          <cell r="AC34">
            <v>0.29799999999999999</v>
          </cell>
          <cell r="AD34">
            <v>5.3109999999999999</v>
          </cell>
          <cell r="AE34">
            <v>231.506</v>
          </cell>
          <cell r="AF34">
            <v>6.6070000000000002</v>
          </cell>
          <cell r="AG34">
            <v>5.72</v>
          </cell>
          <cell r="AH34">
            <v>0.75375000000004455</v>
          </cell>
          <cell r="AI34">
            <v>0.757518750000024</v>
          </cell>
          <cell r="AJ34">
            <v>13.838268750000069</v>
          </cell>
          <cell r="AK34">
            <v>0.76130634374999495</v>
          </cell>
          <cell r="AL34">
            <v>0.76511287546878393</v>
          </cell>
          <cell r="AM34">
            <v>0.76893843984609234</v>
          </cell>
          <cell r="AN34">
            <v>0.7727831320453511</v>
          </cell>
          <cell r="AO34">
            <v>3.0681407911102223</v>
          </cell>
          <cell r="AP34">
            <v>0.77664704770558757</v>
          </cell>
          <cell r="AQ34">
            <v>0.78053028294408833</v>
          </cell>
          <cell r="AR34">
            <v>0.78443293435878303</v>
          </cell>
          <cell r="AS34">
            <v>0.78835509903057321</v>
          </cell>
          <cell r="AT34">
            <v>3.1299653640390321</v>
          </cell>
          <cell r="AU34">
            <v>0</v>
          </cell>
          <cell r="AV34">
            <v>0</v>
          </cell>
          <cell r="AW34" t="str">
            <v>mstag:proceedsFromIssuanceOfCommonStock</v>
          </cell>
          <cell r="AX34">
            <v>6</v>
          </cell>
          <cell r="AY34" t="str">
            <v>ISO4217:USD</v>
          </cell>
          <cell r="AZ34" t="b">
            <v>0</v>
          </cell>
          <cell r="BB34" t="str">
            <v>mstag:proceedsFromIssuanceOfCommonStock</v>
          </cell>
          <cell r="BC34">
            <v>6</v>
          </cell>
          <cell r="BD34" t="str">
            <v>ISO4217:USD</v>
          </cell>
          <cell r="BE34" t="b">
            <v>0</v>
          </cell>
        </row>
        <row r="35">
          <cell r="A35" t="str">
            <v xml:space="preserve">   Proceeds from Term Debt</v>
          </cell>
          <cell r="K35">
            <v>0</v>
          </cell>
          <cell r="P35">
            <v>0</v>
          </cell>
          <cell r="Q35">
            <v>0</v>
          </cell>
          <cell r="R35">
            <v>0</v>
          </cell>
          <cell r="S35">
            <v>0</v>
          </cell>
          <cell r="T35">
            <v>0</v>
          </cell>
          <cell r="U35">
            <v>0</v>
          </cell>
          <cell r="V35">
            <v>0</v>
          </cell>
          <cell r="W35">
            <v>0</v>
          </cell>
          <cell r="X35">
            <v>0</v>
          </cell>
          <cell r="Y35">
            <v>3</v>
          </cell>
          <cell r="Z35">
            <v>3</v>
          </cell>
          <cell r="AA35">
            <v>0</v>
          </cell>
          <cell r="AB35">
            <v>0</v>
          </cell>
          <cell r="AC35">
            <v>0</v>
          </cell>
          <cell r="AD35">
            <v>0</v>
          </cell>
          <cell r="AE35">
            <v>0</v>
          </cell>
          <cell r="AF35">
            <v>0</v>
          </cell>
          <cell r="AG35">
            <v>0</v>
          </cell>
          <cell r="AH35">
            <v>0</v>
          </cell>
          <cell r="AI35">
            <v>0</v>
          </cell>
          <cell r="AJ35">
            <v>0</v>
          </cell>
          <cell r="AK35">
            <v>0</v>
          </cell>
          <cell r="AL35">
            <v>0</v>
          </cell>
          <cell r="AM35">
            <v>0</v>
          </cell>
          <cell r="AN35">
            <v>0</v>
          </cell>
          <cell r="AO35">
            <v>0</v>
          </cell>
          <cell r="AP35">
            <v>0</v>
          </cell>
          <cell r="AQ35">
            <v>0</v>
          </cell>
          <cell r="AR35">
            <v>0</v>
          </cell>
          <cell r="AS35">
            <v>0</v>
          </cell>
          <cell r="AT35">
            <v>0</v>
          </cell>
          <cell r="AU35">
            <v>0.79229687452578901</v>
          </cell>
          <cell r="AV35">
            <v>0.79625835889838115</v>
          </cell>
          <cell r="AW35" t="str">
            <v>mstag:proceedsFromIssuanceAndCashUsedToRepayLongTermDebt</v>
          </cell>
          <cell r="AX35">
            <v>6</v>
          </cell>
          <cell r="AY35" t="str">
            <v>ISO4217:USD</v>
          </cell>
          <cell r="AZ35" t="b">
            <v>0</v>
          </cell>
          <cell r="BB35" t="str">
            <v>mstag:proceedsFromIssuanceOfCommonStock</v>
          </cell>
          <cell r="BC35">
            <v>6</v>
          </cell>
          <cell r="BD35" t="str">
            <v>ISO4217:USD</v>
          </cell>
          <cell r="BE35" t="b">
            <v>0</v>
          </cell>
        </row>
        <row r="36">
          <cell r="A36" t="str">
            <v xml:space="preserve">   Repayment of Term Debt</v>
          </cell>
          <cell r="K36">
            <v>0</v>
          </cell>
          <cell r="P36">
            <v>0</v>
          </cell>
          <cell r="Q36">
            <v>0</v>
          </cell>
          <cell r="R36">
            <v>0</v>
          </cell>
          <cell r="S36">
            <v>0</v>
          </cell>
          <cell r="T36">
            <v>0</v>
          </cell>
          <cell r="U36">
            <v>0</v>
          </cell>
          <cell r="V36">
            <v>-5.8000000000000003E-2</v>
          </cell>
          <cell r="W36">
            <v>-0.183</v>
          </cell>
          <cell r="X36">
            <v>-0.23400000000000001</v>
          </cell>
          <cell r="Y36">
            <v>-0.23599999999999999</v>
          </cell>
          <cell r="Z36">
            <v>-0.71099999999999997</v>
          </cell>
          <cell r="AA36">
            <v>-2.2890000000000001</v>
          </cell>
          <cell r="AB36">
            <v>0</v>
          </cell>
          <cell r="AC36">
            <v>0</v>
          </cell>
          <cell r="AD36">
            <v>0</v>
          </cell>
          <cell r="AE36">
            <v>-2.2890000000000001</v>
          </cell>
          <cell r="AF36">
            <v>0</v>
          </cell>
          <cell r="AG36">
            <v>0</v>
          </cell>
          <cell r="AH36">
            <v>0</v>
          </cell>
          <cell r="AI36">
            <v>0</v>
          </cell>
          <cell r="AJ36">
            <v>0</v>
          </cell>
          <cell r="AK36">
            <v>0</v>
          </cell>
          <cell r="AL36">
            <v>0</v>
          </cell>
          <cell r="AM36">
            <v>0</v>
          </cell>
          <cell r="AN36">
            <v>0</v>
          </cell>
          <cell r="AO36">
            <v>0</v>
          </cell>
          <cell r="AP36">
            <v>0</v>
          </cell>
          <cell r="AQ36">
            <v>0</v>
          </cell>
          <cell r="AR36">
            <v>0</v>
          </cell>
          <cell r="AS36">
            <v>0</v>
          </cell>
          <cell r="AT36">
            <v>0</v>
          </cell>
          <cell r="AU36">
            <v>0</v>
          </cell>
          <cell r="AV36">
            <v>0</v>
          </cell>
          <cell r="AW36" t="str">
            <v>mstag:proceedsFromIssuanceAndCashUsedToRepayShortTermBorrowings</v>
          </cell>
          <cell r="AX36">
            <v>6</v>
          </cell>
          <cell r="AY36" t="str">
            <v>ISO4217:USD</v>
          </cell>
          <cell r="AZ36" t="b">
            <v>0</v>
          </cell>
          <cell r="BB36" t="str">
            <v>mstag:proceedsFromIssuanceAndCashUsedToRepayLongTermDebt</v>
          </cell>
          <cell r="BC36">
            <v>6</v>
          </cell>
          <cell r="BD36" t="str">
            <v>ISO4217:USD</v>
          </cell>
          <cell r="BE36" t="b">
            <v>0</v>
          </cell>
        </row>
        <row r="37">
          <cell r="A37" t="str">
            <v>Net Cash Provided by (used in) Financing Activities</v>
          </cell>
          <cell r="B37">
            <v>0</v>
          </cell>
          <cell r="C37">
            <v>0</v>
          </cell>
          <cell r="D37">
            <v>0</v>
          </cell>
          <cell r="E37">
            <v>0</v>
          </cell>
          <cell r="G37">
            <v>0</v>
          </cell>
          <cell r="H37">
            <v>0</v>
          </cell>
          <cell r="I37">
            <v>0</v>
          </cell>
          <cell r="J37">
            <v>0</v>
          </cell>
          <cell r="K37">
            <v>0.59899999999999998</v>
          </cell>
          <cell r="L37">
            <v>0</v>
          </cell>
          <cell r="M37">
            <v>0</v>
          </cell>
          <cell r="N37">
            <v>0</v>
          </cell>
          <cell r="O37">
            <v>0</v>
          </cell>
          <cell r="P37">
            <v>1.4530000000000001</v>
          </cell>
          <cell r="Q37">
            <v>-4.4999999999999998E-2</v>
          </cell>
          <cell r="R37">
            <v>0.373</v>
          </cell>
          <cell r="S37">
            <v>0.14199999999999999</v>
          </cell>
          <cell r="T37">
            <v>0.317</v>
          </cell>
          <cell r="U37">
            <v>0.78699999999999992</v>
          </cell>
          <cell r="V37">
            <v>2.1380000000000003</v>
          </cell>
          <cell r="W37">
            <v>1.804</v>
          </cell>
          <cell r="X37">
            <v>0.8</v>
          </cell>
          <cell r="Y37">
            <v>0.55099999999999993</v>
          </cell>
          <cell r="Z37">
            <v>5.2929999999999993</v>
          </cell>
          <cell r="AA37">
            <v>224.76900000000001</v>
          </cell>
          <cell r="AB37">
            <v>-8.0000000000000071E-3</v>
          </cell>
          <cell r="AC37">
            <v>0.29799999999999999</v>
          </cell>
          <cell r="AD37">
            <v>11.175999999999998</v>
          </cell>
          <cell r="AE37">
            <v>236.23500000000001</v>
          </cell>
          <cell r="AF37">
            <v>6.718</v>
          </cell>
          <cell r="AG37">
            <v>11.635999999999999</v>
          </cell>
          <cell r="AH37">
            <v>0.75375000000004455</v>
          </cell>
          <cell r="AI37">
            <v>0.757518750000024</v>
          </cell>
          <cell r="AJ37">
            <v>19.86526875000007</v>
          </cell>
          <cell r="AK37">
            <v>0.76130634374999495</v>
          </cell>
          <cell r="AL37">
            <v>0.76511287546878393</v>
          </cell>
          <cell r="AM37">
            <v>0.76893843984609234</v>
          </cell>
          <cell r="AN37">
            <v>0.7727831320453511</v>
          </cell>
          <cell r="AO37">
            <v>3.0681407911102223</v>
          </cell>
          <cell r="AP37">
            <v>0.77664704770558757</v>
          </cell>
          <cell r="AQ37">
            <v>0.78053028294408833</v>
          </cell>
          <cell r="AR37">
            <v>0.78443293435878303</v>
          </cell>
          <cell r="AS37">
            <v>0.78835509903057321</v>
          </cell>
          <cell r="AT37">
            <v>3.1299653640390321</v>
          </cell>
          <cell r="AU37">
            <v>0</v>
          </cell>
          <cell r="AV37">
            <v>0</v>
          </cell>
          <cell r="AW37">
            <v>0</v>
          </cell>
          <cell r="AX37">
            <v>0</v>
          </cell>
          <cell r="AY37">
            <v>0</v>
          </cell>
          <cell r="BB37" t="str">
            <v>mstag:proceedsFromIssuanceAndCashUsedToRepayShortTermBorrowings</v>
          </cell>
          <cell r="BC37">
            <v>6</v>
          </cell>
          <cell r="BD37" t="str">
            <v>ISO4217:USD</v>
          </cell>
          <cell r="BE37" t="b">
            <v>0</v>
          </cell>
        </row>
        <row r="38">
          <cell r="A38" t="str">
            <v xml:space="preserve">   Other financing items</v>
          </cell>
          <cell r="AA38">
            <v>0</v>
          </cell>
          <cell r="AB38">
            <v>0</v>
          </cell>
          <cell r="AC38">
            <v>0</v>
          </cell>
          <cell r="AD38">
            <v>0</v>
          </cell>
          <cell r="AE38">
            <v>0</v>
          </cell>
          <cell r="AF38">
            <v>0</v>
          </cell>
          <cell r="AG38">
            <v>0</v>
          </cell>
          <cell r="AH38">
            <v>-1.968</v>
          </cell>
          <cell r="AI38">
            <v>0</v>
          </cell>
          <cell r="AJ38">
            <v>-1.968</v>
          </cell>
          <cell r="BB38" t="str">
            <v>mstag:otherCashFlowsFromUsedInFinancingActivities</v>
          </cell>
          <cell r="BC38">
            <v>6</v>
          </cell>
          <cell r="BD38" t="str">
            <v>ISO4217:USD</v>
          </cell>
          <cell r="BE38" t="b">
            <v>0</v>
          </cell>
        </row>
        <row r="39">
          <cell r="A39" t="str">
            <v>Exchange Rate Impact</v>
          </cell>
          <cell r="B39">
            <v>0</v>
          </cell>
          <cell r="C39">
            <v>0</v>
          </cell>
          <cell r="D39">
            <v>0</v>
          </cell>
          <cell r="E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0.02</v>
          </cell>
          <cell r="AE39">
            <v>0.02</v>
          </cell>
          <cell r="AF39">
            <v>7.0000000000000001E-3</v>
          </cell>
          <cell r="AG39">
            <v>-5.8000000000000003E-2</v>
          </cell>
          <cell r="AH39">
            <v>0</v>
          </cell>
          <cell r="AI39">
            <v>0</v>
          </cell>
          <cell r="AJ39">
            <v>-5.1000000000000004E-2</v>
          </cell>
          <cell r="AK39">
            <v>0</v>
          </cell>
          <cell r="AL39">
            <v>0</v>
          </cell>
          <cell r="AM39">
            <v>0</v>
          </cell>
          <cell r="AN39">
            <v>0</v>
          </cell>
          <cell r="AO39">
            <v>0</v>
          </cell>
          <cell r="AP39">
            <v>0</v>
          </cell>
          <cell r="AQ39">
            <v>0</v>
          </cell>
          <cell r="AR39">
            <v>0</v>
          </cell>
          <cell r="AS39">
            <v>0</v>
          </cell>
          <cell r="AT39">
            <v>0</v>
          </cell>
          <cell r="AU39">
            <v>0.79229687452578901</v>
          </cell>
          <cell r="AV39">
            <v>0.79625835889838115</v>
          </cell>
          <cell r="AW39" t="str">
            <v>mstag:effectOfForeignExchangeRatesOnCash</v>
          </cell>
          <cell r="AX39">
            <v>6</v>
          </cell>
          <cell r="AY39" t="str">
            <v>ISO4217:USD</v>
          </cell>
          <cell r="AZ39" t="b">
            <v>0</v>
          </cell>
        </row>
        <row r="41">
          <cell r="A41" t="str">
            <v>Change in Cash and Cash Equivalents</v>
          </cell>
          <cell r="G41">
            <v>0</v>
          </cell>
          <cell r="H41">
            <v>0</v>
          </cell>
          <cell r="I41">
            <v>0</v>
          </cell>
          <cell r="J41">
            <v>0</v>
          </cell>
          <cell r="K41">
            <v>-8.3539999999999974</v>
          </cell>
          <cell r="L41">
            <v>0</v>
          </cell>
          <cell r="M41">
            <v>0</v>
          </cell>
          <cell r="N41">
            <v>0</v>
          </cell>
          <cell r="O41">
            <v>0</v>
          </cell>
          <cell r="P41">
            <v>7.0689999999999991</v>
          </cell>
          <cell r="Q41">
            <v>-1.8719999999999999</v>
          </cell>
          <cell r="R41">
            <v>1.7849999999999999</v>
          </cell>
          <cell r="S41">
            <v>1.744</v>
          </cell>
          <cell r="T41">
            <v>6.274</v>
          </cell>
          <cell r="U41">
            <v>7.931</v>
          </cell>
          <cell r="V41">
            <v>-1.6109999999999998</v>
          </cell>
          <cell r="W41">
            <v>-0.34300000000000108</v>
          </cell>
          <cell r="X41">
            <v>5.2</v>
          </cell>
          <cell r="Y41">
            <v>8.6169999999999973</v>
          </cell>
          <cell r="Z41">
            <v>11.862999999999996</v>
          </cell>
          <cell r="AA41">
            <v>234.47800000000001</v>
          </cell>
          <cell r="AB41">
            <v>2.2009999999999996</v>
          </cell>
          <cell r="AC41">
            <v>5.0460000000000003</v>
          </cell>
          <cell r="AD41">
            <v>32.615000000000002</v>
          </cell>
          <cell r="AE41">
            <v>274.33999999999997</v>
          </cell>
          <cell r="AF41">
            <v>25.313000000000002</v>
          </cell>
          <cell r="AG41">
            <v>15.862000000000002</v>
          </cell>
          <cell r="AH41">
            <v>6.5451597345040433</v>
          </cell>
          <cell r="AI41">
            <v>27.009643813255103</v>
          </cell>
          <cell r="AJ41">
            <v>74.729803547759147</v>
          </cell>
          <cell r="AK41">
            <v>28.940570926174715</v>
          </cell>
          <cell r="AL41">
            <v>8.9114967822756217</v>
          </cell>
          <cell r="AM41">
            <v>5.6655220018519721</v>
          </cell>
          <cell r="AN41">
            <v>37.485063079825551</v>
          </cell>
          <cell r="AO41">
            <v>81.002652790127854</v>
          </cell>
          <cell r="AP41">
            <v>47.08123692001088</v>
          </cell>
          <cell r="AQ41">
            <v>10.035793455239084</v>
          </cell>
          <cell r="AR41">
            <v>2.7349107134554664</v>
          </cell>
          <cell r="AS41">
            <v>51.273045737122949</v>
          </cell>
          <cell r="AT41">
            <v>111.12498682582839</v>
          </cell>
          <cell r="AU41">
            <v>0</v>
          </cell>
          <cell r="AV41">
            <v>0</v>
          </cell>
          <cell r="AW41">
            <v>0</v>
          </cell>
          <cell r="AX41">
            <v>0</v>
          </cell>
          <cell r="AY41">
            <v>0</v>
          </cell>
          <cell r="BB41" t="str">
            <v>mstag:effectOfForeignExchangeRatesOnCash</v>
          </cell>
          <cell r="BC41">
            <v>6</v>
          </cell>
          <cell r="BD41" t="str">
            <v>ISO4217:USD</v>
          </cell>
          <cell r="BE41" t="b">
            <v>0</v>
          </cell>
        </row>
        <row r="43">
          <cell r="A43" t="str">
            <v>Cash, beginning of Period</v>
          </cell>
          <cell r="G43">
            <v>0</v>
          </cell>
          <cell r="H43">
            <v>0</v>
          </cell>
          <cell r="I43">
            <v>0</v>
          </cell>
          <cell r="J43">
            <v>0</v>
          </cell>
          <cell r="K43">
            <v>13.09</v>
          </cell>
          <cell r="L43">
            <v>4.7360000000000024</v>
          </cell>
          <cell r="M43">
            <v>4.7360000000000024</v>
          </cell>
          <cell r="N43">
            <v>4.7360000000000024</v>
          </cell>
          <cell r="O43">
            <v>4.7360000000000024</v>
          </cell>
          <cell r="P43">
            <v>4.7360000000000024</v>
          </cell>
          <cell r="Q43">
            <v>11.805000000000001</v>
          </cell>
          <cell r="R43">
            <v>9.9330000000000016</v>
          </cell>
          <cell r="S43">
            <v>11.718000000000002</v>
          </cell>
          <cell r="T43">
            <v>13.462000000000002</v>
          </cell>
          <cell r="U43">
            <v>11.805000000000001</v>
          </cell>
          <cell r="V43">
            <v>19.736000000000001</v>
          </cell>
          <cell r="W43">
            <v>18.125</v>
          </cell>
          <cell r="X43">
            <v>17.782</v>
          </cell>
          <cell r="Y43">
            <v>22.981999999999999</v>
          </cell>
          <cell r="Z43">
            <v>19.736000000000001</v>
          </cell>
          <cell r="AA43">
            <v>31.598999999999997</v>
          </cell>
          <cell r="AB43">
            <v>266.077</v>
          </cell>
          <cell r="AC43">
            <v>268.27800000000002</v>
          </cell>
          <cell r="AD43">
            <v>273.32400000000001</v>
          </cell>
          <cell r="AE43">
            <v>31.598999999999997</v>
          </cell>
          <cell r="AF43">
            <v>305.93899999999996</v>
          </cell>
          <cell r="AG43">
            <v>331.25199999999995</v>
          </cell>
          <cell r="AH43">
            <v>347.11399999999998</v>
          </cell>
          <cell r="AI43">
            <v>353.65915973450404</v>
          </cell>
          <cell r="AJ43">
            <v>305.93899999999996</v>
          </cell>
          <cell r="AK43">
            <v>380.66880354775913</v>
          </cell>
          <cell r="AL43">
            <v>409.60937447393383</v>
          </cell>
          <cell r="AM43">
            <v>418.52087125620943</v>
          </cell>
          <cell r="AN43">
            <v>424.1863932580614</v>
          </cell>
          <cell r="AO43">
            <v>380.66880354775913</v>
          </cell>
          <cell r="AP43">
            <v>461.67145633788698</v>
          </cell>
          <cell r="AQ43">
            <v>508.75269325789787</v>
          </cell>
          <cell r="AR43">
            <v>518.78848671313699</v>
          </cell>
          <cell r="AS43">
            <v>521.52339742659251</v>
          </cell>
          <cell r="AT43">
            <v>461.67145633788698</v>
          </cell>
          <cell r="AU43">
            <v>23.099605754976142</v>
          </cell>
          <cell r="AV43">
            <v>26.734241894347665</v>
          </cell>
          <cell r="AW43">
            <v>35.248306340192926</v>
          </cell>
          <cell r="AX43">
            <v>67.391918294317847</v>
          </cell>
          <cell r="AY43">
            <v>152.4740722838346</v>
          </cell>
        </row>
        <row r="45">
          <cell r="A45" t="str">
            <v>Cash, end of Period</v>
          </cell>
          <cell r="G45">
            <v>0</v>
          </cell>
          <cell r="H45">
            <v>0</v>
          </cell>
          <cell r="I45">
            <v>0</v>
          </cell>
          <cell r="J45">
            <v>0</v>
          </cell>
          <cell r="K45">
            <v>4.7360000000000024</v>
          </cell>
          <cell r="L45">
            <v>4.7360000000000024</v>
          </cell>
          <cell r="M45">
            <v>4.7360000000000024</v>
          </cell>
          <cell r="N45">
            <v>4.7360000000000024</v>
          </cell>
          <cell r="O45">
            <v>4.7360000000000024</v>
          </cell>
          <cell r="P45">
            <v>11.805000000000001</v>
          </cell>
          <cell r="Q45">
            <v>9.9330000000000016</v>
          </cell>
          <cell r="R45">
            <v>11.718000000000002</v>
          </cell>
          <cell r="S45">
            <v>13.462000000000002</v>
          </cell>
          <cell r="T45">
            <v>19.736000000000001</v>
          </cell>
          <cell r="U45">
            <v>19.736000000000001</v>
          </cell>
          <cell r="V45">
            <v>18.125</v>
          </cell>
          <cell r="W45">
            <v>17.782</v>
          </cell>
          <cell r="X45">
            <v>22.981999999999999</v>
          </cell>
          <cell r="Y45">
            <v>31.598999999999997</v>
          </cell>
          <cell r="Z45">
            <v>31.598999999999997</v>
          </cell>
          <cell r="AA45">
            <v>266.077</v>
          </cell>
          <cell r="AB45">
            <v>268.27800000000002</v>
          </cell>
          <cell r="AC45">
            <v>273.32400000000001</v>
          </cell>
          <cell r="AD45">
            <v>305.93900000000002</v>
          </cell>
          <cell r="AE45">
            <v>305.93899999999996</v>
          </cell>
          <cell r="AF45">
            <v>331.25199999999995</v>
          </cell>
          <cell r="AG45">
            <v>347.11399999999998</v>
          </cell>
          <cell r="AH45">
            <v>353.65915973450404</v>
          </cell>
          <cell r="AI45">
            <v>380.66880354775913</v>
          </cell>
          <cell r="AJ45">
            <v>380.66880354775913</v>
          </cell>
          <cell r="AK45">
            <v>409.60937447393383</v>
          </cell>
          <cell r="AL45">
            <v>418.52087125620943</v>
          </cell>
          <cell r="AM45">
            <v>424.1863932580614</v>
          </cell>
          <cell r="AN45">
            <v>461.67145633788698</v>
          </cell>
          <cell r="AO45">
            <v>461.67145633788698</v>
          </cell>
          <cell r="AP45">
            <v>508.75269325789787</v>
          </cell>
          <cell r="AQ45">
            <v>518.78848671313699</v>
          </cell>
          <cell r="AR45">
            <v>521.52339742659251</v>
          </cell>
          <cell r="AS45">
            <v>572.79644316371548</v>
          </cell>
          <cell r="AT45">
            <v>572.79644316371537</v>
          </cell>
          <cell r="AU45">
            <v>569.33632077145808</v>
          </cell>
          <cell r="AV45">
            <v>592.43592652643417</v>
          </cell>
          <cell r="AW45">
            <v>619.17016842078181</v>
          </cell>
          <cell r="AX45">
            <v>654.41847476097473</v>
          </cell>
          <cell r="AY45">
            <v>569.33632077145808</v>
          </cell>
        </row>
        <row r="46">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cell r="AI46">
            <v>0</v>
          </cell>
          <cell r="AJ46">
            <v>0</v>
          </cell>
          <cell r="AK46">
            <v>0</v>
          </cell>
          <cell r="AL46">
            <v>0</v>
          </cell>
          <cell r="AM46">
            <v>0</v>
          </cell>
          <cell r="AN46">
            <v>0</v>
          </cell>
          <cell r="AO46">
            <v>0</v>
          </cell>
          <cell r="AP46">
            <v>0</v>
          </cell>
          <cell r="AQ46">
            <v>0</v>
          </cell>
          <cell r="AR46">
            <v>0</v>
          </cell>
          <cell r="AS46">
            <v>0</v>
          </cell>
          <cell r="AT46">
            <v>0</v>
          </cell>
        </row>
        <row r="47">
          <cell r="A47" t="str">
            <v>Cash, end of Period</v>
          </cell>
          <cell r="G47" t="str">
            <v>OK</v>
          </cell>
          <cell r="H47" t="str">
            <v>OK</v>
          </cell>
          <cell r="I47" t="str">
            <v>OK</v>
          </cell>
          <cell r="J47" t="str">
            <v>OK</v>
          </cell>
          <cell r="K47">
            <v>4.7360000000000024</v>
          </cell>
          <cell r="L47">
            <v>4.7360000000000024</v>
          </cell>
          <cell r="M47">
            <v>4.7360000000000024</v>
          </cell>
          <cell r="N47">
            <v>4.7360000000000024</v>
          </cell>
          <cell r="O47">
            <v>-7.0689999999999973</v>
          </cell>
          <cell r="P47" t="str">
            <v>OK</v>
          </cell>
          <cell r="Q47" t="str">
            <v>OK</v>
          </cell>
          <cell r="R47" t="str">
            <v>OK</v>
          </cell>
          <cell r="S47" t="str">
            <v>OK</v>
          </cell>
          <cell r="T47" t="str">
            <v>OK</v>
          </cell>
          <cell r="U47" t="str">
            <v>OK</v>
          </cell>
          <cell r="V47" t="str">
            <v>OK</v>
          </cell>
          <cell r="W47" t="str">
            <v>OK</v>
          </cell>
          <cell r="X47" t="str">
            <v>OK</v>
          </cell>
          <cell r="Y47" t="str">
            <v>OK</v>
          </cell>
          <cell r="Z47" t="str">
            <v>OK</v>
          </cell>
          <cell r="AA47" t="str">
            <v>OK</v>
          </cell>
          <cell r="AB47" t="str">
            <v>OK</v>
          </cell>
          <cell r="AC47" t="str">
            <v>OK</v>
          </cell>
          <cell r="AD47" t="str">
            <v>OK</v>
          </cell>
          <cell r="AE47" t="str">
            <v>OK</v>
          </cell>
          <cell r="AF47" t="str">
            <v>OK</v>
          </cell>
          <cell r="AG47" t="str">
            <v>OK</v>
          </cell>
          <cell r="AH47" t="str">
            <v>OK</v>
          </cell>
          <cell r="AI47" t="str">
            <v>OK</v>
          </cell>
          <cell r="AJ47" t="str">
            <v>OK</v>
          </cell>
          <cell r="AK47" t="str">
            <v>OK</v>
          </cell>
          <cell r="AL47" t="str">
            <v>OK</v>
          </cell>
          <cell r="AM47" t="str">
            <v>OK</v>
          </cell>
          <cell r="AN47" t="str">
            <v>OK</v>
          </cell>
          <cell r="AO47" t="str">
            <v>OK</v>
          </cell>
          <cell r="AP47" t="str">
            <v>OK</v>
          </cell>
          <cell r="AQ47" t="str">
            <v>OK</v>
          </cell>
          <cell r="AR47" t="str">
            <v>OK</v>
          </cell>
          <cell r="AS47" t="str">
            <v>OK</v>
          </cell>
          <cell r="AT47" t="str">
            <v>OK</v>
          </cell>
          <cell r="AU47">
            <v>592.43592652643417</v>
          </cell>
          <cell r="AV47">
            <v>619.17016842078181</v>
          </cell>
          <cell r="AW47">
            <v>654.41847476097473</v>
          </cell>
          <cell r="AX47">
            <v>721.81039305529259</v>
          </cell>
          <cell r="AY47">
            <v>721.81039305529271</v>
          </cell>
        </row>
        <row r="48">
          <cell r="K48">
            <v>0</v>
          </cell>
          <cell r="L48">
            <v>0</v>
          </cell>
          <cell r="M48">
            <v>0</v>
          </cell>
          <cell r="N48">
            <v>0</v>
          </cell>
          <cell r="O48">
            <v>0</v>
          </cell>
          <cell r="P48">
            <v>0</v>
          </cell>
          <cell r="Q48">
            <v>0</v>
          </cell>
          <cell r="R48">
            <v>0</v>
          </cell>
          <cell r="S48">
            <v>0</v>
          </cell>
          <cell r="T48">
            <v>0</v>
          </cell>
          <cell r="U48">
            <v>0</v>
          </cell>
          <cell r="V48">
            <v>0</v>
          </cell>
          <cell r="W48">
            <v>0</v>
          </cell>
          <cell r="X48">
            <v>0</v>
          </cell>
          <cell r="Y48">
            <v>0</v>
          </cell>
          <cell r="Z48">
            <v>0</v>
          </cell>
          <cell r="AA48">
            <v>0</v>
          </cell>
          <cell r="AB48">
            <v>0</v>
          </cell>
          <cell r="AC48">
            <v>0</v>
          </cell>
          <cell r="AD48">
            <v>0</v>
          </cell>
          <cell r="AE48">
            <v>0</v>
          </cell>
          <cell r="AF48">
            <v>0</v>
          </cell>
          <cell r="AG48">
            <v>0</v>
          </cell>
          <cell r="AH48">
            <v>0</v>
          </cell>
          <cell r="AI48">
            <v>0</v>
          </cell>
          <cell r="AJ48">
            <v>0</v>
          </cell>
          <cell r="AK48">
            <v>0</v>
          </cell>
          <cell r="AL48">
            <v>0</v>
          </cell>
          <cell r="AM48">
            <v>0</v>
          </cell>
          <cell r="AN48">
            <v>0</v>
          </cell>
          <cell r="AO48">
            <v>0</v>
          </cell>
          <cell r="AP48">
            <v>0</v>
          </cell>
          <cell r="AQ48">
            <v>0</v>
          </cell>
          <cell r="AR48">
            <v>0</v>
          </cell>
          <cell r="AS48">
            <v>0</v>
          </cell>
          <cell r="AT48">
            <v>0</v>
          </cell>
          <cell r="AU48">
            <v>0</v>
          </cell>
          <cell r="AV48">
            <v>0</v>
          </cell>
          <cell r="AW48">
            <v>0</v>
          </cell>
          <cell r="AX48">
            <v>0</v>
          </cell>
          <cell r="AY48">
            <v>0</v>
          </cell>
        </row>
        <row r="49">
          <cell r="A49" t="str">
            <v>Splunk Inc.</v>
          </cell>
          <cell r="G49" t="str">
            <v>OK</v>
          </cell>
          <cell r="H49" t="str">
            <v>OK</v>
          </cell>
          <cell r="I49" t="str">
            <v>OK</v>
          </cell>
          <cell r="J49" t="str">
            <v>OK</v>
          </cell>
          <cell r="K49">
            <v>4.7360000000000024</v>
          </cell>
          <cell r="L49">
            <v>4.7360000000000024</v>
          </cell>
          <cell r="M49">
            <v>4.7360000000000024</v>
          </cell>
          <cell r="N49">
            <v>4.7360000000000024</v>
          </cell>
          <cell r="O49">
            <v>-7.0689999999999973</v>
          </cell>
          <cell r="P49" t="str">
            <v>OK</v>
          </cell>
          <cell r="Q49" t="str">
            <v>OK</v>
          </cell>
          <cell r="R49" t="str">
            <v>OK</v>
          </cell>
          <cell r="S49" t="str">
            <v>OK</v>
          </cell>
          <cell r="T49" t="str">
            <v>OK</v>
          </cell>
          <cell r="U49" t="str">
            <v>OK</v>
          </cell>
          <cell r="V49" t="str">
            <v>OK</v>
          </cell>
          <cell r="W49" t="str">
            <v>OK</v>
          </cell>
          <cell r="X49" t="str">
            <v>OK</v>
          </cell>
          <cell r="Y49" t="str">
            <v>OK</v>
          </cell>
          <cell r="Z49" t="str">
            <v>OK</v>
          </cell>
          <cell r="AA49" t="str">
            <v>OK</v>
          </cell>
          <cell r="AB49" t="str">
            <v>OK</v>
          </cell>
          <cell r="AC49" t="str">
            <v>OK</v>
          </cell>
          <cell r="AD49" t="str">
            <v>OK</v>
          </cell>
          <cell r="AE49" t="str">
            <v>OK</v>
          </cell>
          <cell r="AF49" t="str">
            <v>OK</v>
          </cell>
          <cell r="AG49" t="str">
            <v>OK</v>
          </cell>
          <cell r="AH49" t="str">
            <v>OK</v>
          </cell>
          <cell r="AI49" t="str">
            <v>OK</v>
          </cell>
          <cell r="AJ49" t="str">
            <v>OK</v>
          </cell>
          <cell r="AK49" t="str">
            <v>OK</v>
          </cell>
          <cell r="AL49" t="str">
            <v>OK</v>
          </cell>
          <cell r="AM49" t="str">
            <v>OK</v>
          </cell>
          <cell r="AN49" t="str">
            <v>OK</v>
          </cell>
          <cell r="AO49" t="str">
            <v>OK</v>
          </cell>
          <cell r="AP49" t="str">
            <v>OK</v>
          </cell>
          <cell r="AQ49" t="str">
            <v>OK</v>
          </cell>
          <cell r="AR49" t="str">
            <v>OK</v>
          </cell>
          <cell r="AS49" t="str">
            <v>OK</v>
          </cell>
          <cell r="AT49" t="str">
            <v>OK</v>
          </cell>
          <cell r="AU49" t="str">
            <v>OK</v>
          </cell>
          <cell r="AV49" t="str">
            <v>OK</v>
          </cell>
          <cell r="AW49" t="str">
            <v>OK</v>
          </cell>
          <cell r="AX49" t="str">
            <v>OK</v>
          </cell>
          <cell r="AY49" t="str">
            <v>OK</v>
          </cell>
        </row>
        <row r="50">
          <cell r="A50" t="str">
            <v>Cash Flow Statement (Cumulative)</v>
          </cell>
        </row>
        <row r="51">
          <cell r="A51" t="str">
            <v>($ in millions, except EPS)</v>
          </cell>
        </row>
        <row r="52">
          <cell r="A52" t="str">
            <v>Cash Flow Statement (Cumulative)</v>
          </cell>
          <cell r="B52" t="str">
            <v>2008</v>
          </cell>
          <cell r="G52" t="str">
            <v>2009</v>
          </cell>
          <cell r="L52" t="str">
            <v>2010</v>
          </cell>
          <cell r="Q52" t="str">
            <v>2011</v>
          </cell>
          <cell r="V52" t="str">
            <v>2012</v>
          </cell>
          <cell r="AA52">
            <v>2013</v>
          </cell>
          <cell r="AF52" t="str">
            <v xml:space="preserve">  2014E</v>
          </cell>
          <cell r="AK52" t="str">
            <v xml:space="preserve">  2015E</v>
          </cell>
          <cell r="AP52" t="str">
            <v xml:space="preserve">  2016E</v>
          </cell>
        </row>
        <row r="53">
          <cell r="A53" t="str">
            <v>($ in millions, except EPS)</v>
          </cell>
          <cell r="B53" t="str">
            <v>4/07</v>
          </cell>
          <cell r="C53" t="str">
            <v>7/07</v>
          </cell>
          <cell r="D53" t="str">
            <v>10/07</v>
          </cell>
          <cell r="E53" t="str">
            <v>1/08</v>
          </cell>
          <cell r="G53" t="str">
            <v>4/08</v>
          </cell>
          <cell r="H53" t="str">
            <v>7/08</v>
          </cell>
          <cell r="I53" t="str">
            <v>10/08</v>
          </cell>
          <cell r="J53" t="str">
            <v>1/09</v>
          </cell>
          <cell r="K53" t="str">
            <v>FY09</v>
          </cell>
          <cell r="L53" t="str">
            <v>4/09</v>
          </cell>
          <cell r="M53" t="str">
            <v>7/09</v>
          </cell>
          <cell r="N53" t="str">
            <v>10/09</v>
          </cell>
          <cell r="O53" t="str">
            <v>1/10</v>
          </cell>
          <cell r="P53" t="str">
            <v>FY10</v>
          </cell>
          <cell r="Q53" t="str">
            <v>4/10</v>
          </cell>
          <cell r="R53" t="str">
            <v>7/10</v>
          </cell>
          <cell r="S53" t="str">
            <v>10/10</v>
          </cell>
          <cell r="T53" t="str">
            <v>1/11</v>
          </cell>
          <cell r="U53" t="str">
            <v>FY11</v>
          </cell>
          <cell r="V53" t="str">
            <v>4/11</v>
          </cell>
          <cell r="W53" t="str">
            <v>7/11</v>
          </cell>
          <cell r="X53" t="str">
            <v>10/11</v>
          </cell>
          <cell r="Y53" t="str">
            <v>1/12</v>
          </cell>
          <cell r="Z53" t="str">
            <v>FY12</v>
          </cell>
          <cell r="AA53" t="str">
            <v>4/12</v>
          </cell>
          <cell r="AB53" t="str">
            <v>7/12</v>
          </cell>
          <cell r="AC53" t="str">
            <v>10/12</v>
          </cell>
          <cell r="AD53" t="str">
            <v>1/13</v>
          </cell>
          <cell r="AE53" t="str">
            <v>FY13</v>
          </cell>
          <cell r="AF53" t="str">
            <v>4/13</v>
          </cell>
          <cell r="AG53" t="str">
            <v>7/13</v>
          </cell>
          <cell r="AH53" t="str">
            <v>10/13E</v>
          </cell>
          <cell r="AI53" t="str">
            <v>1/14E</v>
          </cell>
          <cell r="AJ53" t="str">
            <v>FY14E</v>
          </cell>
          <cell r="AK53" t="str">
            <v>4/14E</v>
          </cell>
          <cell r="AL53" t="str">
            <v>7/14E</v>
          </cell>
          <cell r="AM53" t="str">
            <v>10/14E</v>
          </cell>
          <cell r="AN53" t="str">
            <v>1/15E</v>
          </cell>
          <cell r="AO53" t="str">
            <v>FY15E</v>
          </cell>
          <cell r="AP53" t="str">
            <v>4/15E</v>
          </cell>
          <cell r="AQ53" t="str">
            <v>7/15E</v>
          </cell>
          <cell r="AR53" t="str">
            <v>10/15E</v>
          </cell>
          <cell r="AS53" t="str">
            <v>1/16E</v>
          </cell>
          <cell r="AT53" t="str">
            <v>FY16E</v>
          </cell>
        </row>
        <row r="54">
          <cell r="B54" t="str">
            <v>2008</v>
          </cell>
          <cell r="G54" t="str">
            <v>2009</v>
          </cell>
          <cell r="L54" t="str">
            <v>2010</v>
          </cell>
          <cell r="Q54" t="str">
            <v>2011</v>
          </cell>
          <cell r="V54" t="str">
            <v>2012</v>
          </cell>
          <cell r="AA54">
            <v>2013</v>
          </cell>
          <cell r="AF54" t="str">
            <v xml:space="preserve">  2014E</v>
          </cell>
          <cell r="AK54" t="str">
            <v xml:space="preserve">  2015E</v>
          </cell>
          <cell r="AP54" t="str">
            <v xml:space="preserve">  2016E</v>
          </cell>
          <cell r="AU54" t="str">
            <v xml:space="preserve">  2017E</v>
          </cell>
        </row>
        <row r="55">
          <cell r="A55" t="str">
            <v>Net Income</v>
          </cell>
          <cell r="B55" t="str">
            <v>4/07</v>
          </cell>
          <cell r="C55" t="str">
            <v>7/07</v>
          </cell>
          <cell r="D55" t="str">
            <v>10/07</v>
          </cell>
          <cell r="E55" t="str">
            <v>1/08</v>
          </cell>
          <cell r="G55" t="str">
            <v>4/08</v>
          </cell>
          <cell r="H55" t="str">
            <v>7/08</v>
          </cell>
          <cell r="I55" t="str">
            <v>10/08</v>
          </cell>
          <cell r="J55" t="str">
            <v>1/09</v>
          </cell>
          <cell r="K55">
            <v>-14.772</v>
          </cell>
          <cell r="L55" t="str">
            <v>4/09</v>
          </cell>
          <cell r="M55" t="str">
            <v>7/09</v>
          </cell>
          <cell r="N55" t="str">
            <v>10/09</v>
          </cell>
          <cell r="O55" t="str">
            <v>1/10</v>
          </cell>
          <cell r="P55">
            <v>-7.4509999999999996</v>
          </cell>
          <cell r="Q55">
            <v>-0.748</v>
          </cell>
          <cell r="R55">
            <v>-0.57899999999999996</v>
          </cell>
          <cell r="S55">
            <v>-2.0249999999999999</v>
          </cell>
          <cell r="T55">
            <v>-3.806</v>
          </cell>
          <cell r="U55">
            <v>-3.806</v>
          </cell>
          <cell r="V55">
            <v>-2.246</v>
          </cell>
          <cell r="W55">
            <v>-6.1560000000000006</v>
          </cell>
          <cell r="X55">
            <v>-9.7160000000000011</v>
          </cell>
          <cell r="Y55">
            <v>-10.992000000000001</v>
          </cell>
          <cell r="Z55">
            <v>-10.992000000000001</v>
          </cell>
          <cell r="AA55">
            <v>-20.47</v>
          </cell>
          <cell r="AB55">
            <v>-25.044999999999998</v>
          </cell>
          <cell r="AC55">
            <v>-30.518999999999998</v>
          </cell>
          <cell r="AD55">
            <v>-36.680999999999997</v>
          </cell>
          <cell r="AE55">
            <v>-36.680999999999997</v>
          </cell>
          <cell r="AF55">
            <v>-16.134</v>
          </cell>
          <cell r="AG55">
            <v>-29.826999999999998</v>
          </cell>
          <cell r="AH55">
            <v>-43.020089304887556</v>
          </cell>
          <cell r="AI55">
            <v>-48.685976683619558</v>
          </cell>
          <cell r="AJ55">
            <v>-48.685976683619558</v>
          </cell>
          <cell r="AK55">
            <v>-13.173599153514358</v>
          </cell>
          <cell r="AL55">
            <v>-21.383464038806899</v>
          </cell>
          <cell r="AM55">
            <v>-29.223357844233277</v>
          </cell>
          <cell r="AN55">
            <v>-28.609839179534688</v>
          </cell>
          <cell r="AO55">
            <v>-28.609839179534688</v>
          </cell>
          <cell r="AP55">
            <v>-10.717298996336996</v>
          </cell>
          <cell r="AQ55">
            <v>-15.007815582391316</v>
          </cell>
          <cell r="AR55">
            <v>-18.936676267762266</v>
          </cell>
          <cell r="AS55">
            <v>-13.909695887131235</v>
          </cell>
          <cell r="AT55">
            <v>-13.909695887131235</v>
          </cell>
          <cell r="AU55" t="str">
            <v>4/16E</v>
          </cell>
          <cell r="AV55" t="str">
            <v>7/16E</v>
          </cell>
          <cell r="AW55" t="str">
            <v>10/16E</v>
          </cell>
          <cell r="AX55" t="str">
            <v>1/17E</v>
          </cell>
          <cell r="AY55" t="str">
            <v>FY17E</v>
          </cell>
        </row>
        <row r="57">
          <cell r="A57" t="str">
            <v xml:space="preserve">Depreciation and Amortization </v>
          </cell>
          <cell r="K57">
            <v>0.75800000000000001</v>
          </cell>
          <cell r="P57">
            <v>0.93799999999999994</v>
          </cell>
          <cell r="Q57">
            <v>0.21199999999999999</v>
          </cell>
          <cell r="R57">
            <v>0.441</v>
          </cell>
          <cell r="S57">
            <v>0.68500000000000005</v>
          </cell>
          <cell r="T57">
            <v>0.95800000000000007</v>
          </cell>
          <cell r="U57">
            <v>0.95800000000000007</v>
          </cell>
          <cell r="V57">
            <v>0.34799999999999998</v>
          </cell>
          <cell r="W57">
            <v>0.84499999999999997</v>
          </cell>
          <cell r="X57">
            <v>1.4289999999999998</v>
          </cell>
          <cell r="Y57">
            <v>2.12</v>
          </cell>
          <cell r="Z57">
            <v>2.12</v>
          </cell>
          <cell r="AA57">
            <v>0.93100000000000005</v>
          </cell>
          <cell r="AB57">
            <v>2.149</v>
          </cell>
          <cell r="AC57">
            <v>3.3570000000000002</v>
          </cell>
          <cell r="AD57">
            <v>4.6740000000000004</v>
          </cell>
          <cell r="AE57">
            <v>4.6740000000000004</v>
          </cell>
          <cell r="AF57">
            <v>1.425</v>
          </cell>
          <cell r="AG57">
            <v>2.88</v>
          </cell>
          <cell r="AH57">
            <v>4.3129999999999997</v>
          </cell>
          <cell r="AI57">
            <v>5.8662450619527196</v>
          </cell>
          <cell r="AJ57">
            <v>5.8662450619527196</v>
          </cell>
          <cell r="AK57">
            <v>1.7871766331238403</v>
          </cell>
          <cell r="AL57">
            <v>3.7677796843215701</v>
          </cell>
          <cell r="AM57">
            <v>5.9495758883278755</v>
          </cell>
          <cell r="AN57">
            <v>8.3432880401995533</v>
          </cell>
          <cell r="AO57">
            <v>8.3432880401995533</v>
          </cell>
          <cell r="AP57">
            <v>2.622075990245389</v>
          </cell>
          <cell r="AQ57">
            <v>5.6184392278318782</v>
          </cell>
          <cell r="AR57">
            <v>8.9915186280365091</v>
          </cell>
          <cell r="AS57">
            <v>12.737893515724249</v>
          </cell>
          <cell r="AT57">
            <v>12.737893515724249</v>
          </cell>
          <cell r="AU57">
            <v>-10.837010114938282</v>
          </cell>
          <cell r="AV57">
            <v>-9.2756483267708258</v>
          </cell>
          <cell r="AW57">
            <v>-3.251764583749102</v>
          </cell>
          <cell r="AX57">
            <v>18.246808667679481</v>
          </cell>
          <cell r="AY57">
            <v>18.246808667679481</v>
          </cell>
        </row>
        <row r="58">
          <cell r="A58" t="str">
            <v>Provision for Doubtful Accounts</v>
          </cell>
          <cell r="K58">
            <v>0.17899999999999999</v>
          </cell>
          <cell r="P58">
            <v>0.379</v>
          </cell>
          <cell r="Q58">
            <v>7.2999999999999995E-2</v>
          </cell>
          <cell r="R58">
            <v>0.17599999999999999</v>
          </cell>
          <cell r="S58">
            <v>0.27600000000000002</v>
          </cell>
          <cell r="T58">
            <v>0.44300000000000006</v>
          </cell>
          <cell r="U58">
            <v>0.44300000000000006</v>
          </cell>
          <cell r="V58">
            <v>0.35799999999999998</v>
          </cell>
          <cell r="W58">
            <v>0.20099999999999998</v>
          </cell>
          <cell r="X58">
            <v>0.22899999999999998</v>
          </cell>
          <cell r="Y58">
            <v>0.247</v>
          </cell>
          <cell r="Z58">
            <v>0.247</v>
          </cell>
          <cell r="AA58">
            <v>0</v>
          </cell>
          <cell r="AB58">
            <v>0</v>
          </cell>
          <cell r="AC58">
            <v>0</v>
          </cell>
          <cell r="AD58">
            <v>0</v>
          </cell>
          <cell r="AE58">
            <v>0</v>
          </cell>
          <cell r="AF58">
            <v>0</v>
          </cell>
          <cell r="AG58">
            <v>0</v>
          </cell>
          <cell r="AH58">
            <v>0</v>
          </cell>
          <cell r="AI58">
            <v>0</v>
          </cell>
          <cell r="AJ58">
            <v>0</v>
          </cell>
          <cell r="AK58">
            <v>0</v>
          </cell>
          <cell r="AL58">
            <v>0</v>
          </cell>
          <cell r="AM58">
            <v>0</v>
          </cell>
          <cell r="AN58">
            <v>0</v>
          </cell>
          <cell r="AO58">
            <v>0</v>
          </cell>
          <cell r="AP58">
            <v>0</v>
          </cell>
          <cell r="AQ58">
            <v>0</v>
          </cell>
          <cell r="AR58">
            <v>0</v>
          </cell>
          <cell r="AS58">
            <v>0</v>
          </cell>
          <cell r="AT58">
            <v>0</v>
          </cell>
        </row>
        <row r="59">
          <cell r="A59" t="str">
            <v>Change in the Fair Value of Preferred Warrants</v>
          </cell>
          <cell r="K59">
            <v>2.1000000000000001E-2</v>
          </cell>
          <cell r="P59">
            <v>2.1999999999999999E-2</v>
          </cell>
          <cell r="Q59">
            <v>-1.9E-2</v>
          </cell>
          <cell r="R59">
            <v>-0.05</v>
          </cell>
          <cell r="S59">
            <v>-6.2E-2</v>
          </cell>
          <cell r="T59">
            <v>0.36599999999999999</v>
          </cell>
          <cell r="U59">
            <v>0.36599999999999999</v>
          </cell>
          <cell r="V59">
            <v>0.47299999999999998</v>
          </cell>
          <cell r="W59">
            <v>1.0760000000000001</v>
          </cell>
          <cell r="X59">
            <v>1.5150000000000001</v>
          </cell>
          <cell r="Y59">
            <v>2.0339999999999998</v>
          </cell>
          <cell r="Z59">
            <v>2.0339999999999998</v>
          </cell>
          <cell r="AA59">
            <v>14.087</v>
          </cell>
          <cell r="AB59">
            <v>14.087</v>
          </cell>
          <cell r="AC59">
            <v>14.087</v>
          </cell>
          <cell r="AD59">
            <v>14.087</v>
          </cell>
          <cell r="AE59">
            <v>14.087</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3.9921305102102695</v>
          </cell>
          <cell r="AV59">
            <v>8.4247606601495786</v>
          </cell>
          <cell r="AW59">
            <v>13.30526251372466</v>
          </cell>
          <cell r="AX59">
            <v>18.645412500141095</v>
          </cell>
          <cell r="AY59">
            <v>18.645412500141095</v>
          </cell>
        </row>
        <row r="60">
          <cell r="A60" t="str">
            <v>Issuance of Preferred Stock Warrants</v>
          </cell>
          <cell r="K60">
            <v>0.52200000000000002</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row>
        <row r="61">
          <cell r="A61" t="str">
            <v xml:space="preserve">Stock Compensation Expenses </v>
          </cell>
          <cell r="K61">
            <v>0.76700000000000002</v>
          </cell>
          <cell r="P61">
            <v>1.3</v>
          </cell>
          <cell r="Q61">
            <v>0.32400000000000001</v>
          </cell>
          <cell r="R61">
            <v>0.73899999999999999</v>
          </cell>
          <cell r="S61">
            <v>1.1559999999999999</v>
          </cell>
          <cell r="T61">
            <v>1.585</v>
          </cell>
          <cell r="U61">
            <v>1.585</v>
          </cell>
          <cell r="V61">
            <v>0.51</v>
          </cell>
          <cell r="W61">
            <v>1.2250000000000001</v>
          </cell>
          <cell r="X61">
            <v>2.2670000000000003</v>
          </cell>
          <cell r="Y61">
            <v>3.76</v>
          </cell>
          <cell r="Z61">
            <v>3.76</v>
          </cell>
          <cell r="AA61">
            <v>2.6720000000000002</v>
          </cell>
          <cell r="AB61">
            <v>6.5380000000000003</v>
          </cell>
          <cell r="AC61">
            <v>11.222999999999999</v>
          </cell>
          <cell r="AD61">
            <v>19.479999999999997</v>
          </cell>
          <cell r="AE61">
            <v>19.479999999999997</v>
          </cell>
          <cell r="AF61">
            <v>9.8350000000000009</v>
          </cell>
          <cell r="AG61">
            <v>21.792000000000002</v>
          </cell>
          <cell r="AH61">
            <v>34.06955</v>
          </cell>
          <cell r="AI61">
            <v>46.676744999999997</v>
          </cell>
          <cell r="AJ61">
            <v>46.676744999999997</v>
          </cell>
          <cell r="AK61">
            <v>12.352326656249998</v>
          </cell>
          <cell r="AL61">
            <v>24.754720593749994</v>
          </cell>
          <cell r="AM61">
            <v>37.209685176562488</v>
          </cell>
          <cell r="AN61">
            <v>49.719848936953113</v>
          </cell>
          <cell r="AO61">
            <v>49.719848936953113</v>
          </cell>
          <cell r="AP61">
            <v>13.135671948410156</v>
          </cell>
          <cell r="AQ61">
            <v>26.332200990100194</v>
          </cell>
          <cell r="AR61">
            <v>39.592629979734113</v>
          </cell>
          <cell r="AS61">
            <v>52.920153914709097</v>
          </cell>
          <cell r="AT61">
            <v>52.920153914709097</v>
          </cell>
          <cell r="AU61">
            <v>0</v>
          </cell>
          <cell r="AV61">
            <v>0</v>
          </cell>
          <cell r="AW61">
            <v>0</v>
          </cell>
          <cell r="AX61">
            <v>0</v>
          </cell>
          <cell r="AY61">
            <v>0</v>
          </cell>
        </row>
        <row r="62">
          <cell r="A62" t="str">
            <v>Other Non-Cash Charge</v>
          </cell>
          <cell r="K62">
            <v>0</v>
          </cell>
          <cell r="P62">
            <v>0</v>
          </cell>
          <cell r="Q62">
            <v>0</v>
          </cell>
          <cell r="R62">
            <v>0</v>
          </cell>
          <cell r="S62">
            <v>0</v>
          </cell>
          <cell r="T62">
            <v>0</v>
          </cell>
          <cell r="U62">
            <v>0</v>
          </cell>
          <cell r="V62">
            <v>0</v>
          </cell>
          <cell r="W62">
            <v>0</v>
          </cell>
          <cell r="X62">
            <v>-0.76899999999999991</v>
          </cell>
          <cell r="Y62">
            <v>0</v>
          </cell>
          <cell r="Z62">
            <v>0</v>
          </cell>
          <cell r="AA62">
            <v>0</v>
          </cell>
          <cell r="AB62">
            <v>0</v>
          </cell>
          <cell r="AC62">
            <v>0</v>
          </cell>
          <cell r="AD62">
            <v>-0.46200000000000002</v>
          </cell>
          <cell r="AE62">
            <v>-0.46200000000000002</v>
          </cell>
          <cell r="AF62">
            <v>-0.111</v>
          </cell>
          <cell r="AG62">
            <v>-0.26800000000000002</v>
          </cell>
          <cell r="AH62">
            <v>-0.26800000000000002</v>
          </cell>
          <cell r="AI62">
            <v>-0.26800000000000002</v>
          </cell>
          <cell r="AJ62">
            <v>-0.26800000000000002</v>
          </cell>
          <cell r="AK62">
            <v>0</v>
          </cell>
          <cell r="AL62">
            <v>0</v>
          </cell>
          <cell r="AM62">
            <v>0</v>
          </cell>
          <cell r="AN62">
            <v>0</v>
          </cell>
          <cell r="AO62">
            <v>0</v>
          </cell>
          <cell r="AP62">
            <v>0</v>
          </cell>
          <cell r="AQ62">
            <v>0</v>
          </cell>
          <cell r="AR62">
            <v>0</v>
          </cell>
          <cell r="AS62">
            <v>0</v>
          </cell>
          <cell r="AT62">
            <v>0</v>
          </cell>
          <cell r="AU62">
            <v>0</v>
          </cell>
          <cell r="AV62">
            <v>0</v>
          </cell>
          <cell r="AW62">
            <v>0</v>
          </cell>
          <cell r="AX62">
            <v>0</v>
          </cell>
          <cell r="AY62">
            <v>0</v>
          </cell>
        </row>
        <row r="63">
          <cell r="A63" t="str">
            <v xml:space="preserve">Stock Compensation Expenses </v>
          </cell>
          <cell r="K63">
            <v>0.76700000000000002</v>
          </cell>
          <cell r="P63">
            <v>1.3</v>
          </cell>
          <cell r="Q63">
            <v>0</v>
          </cell>
          <cell r="R63">
            <v>0</v>
          </cell>
          <cell r="S63">
            <v>0</v>
          </cell>
          <cell r="T63">
            <v>0</v>
          </cell>
          <cell r="U63">
            <v>1.585</v>
          </cell>
          <cell r="V63">
            <v>0</v>
          </cell>
          <cell r="W63">
            <v>0</v>
          </cell>
          <cell r="X63">
            <v>0</v>
          </cell>
          <cell r="Y63">
            <v>0</v>
          </cell>
          <cell r="Z63">
            <v>3.76</v>
          </cell>
          <cell r="AA63">
            <v>0</v>
          </cell>
          <cell r="AB63">
            <v>0</v>
          </cell>
          <cell r="AC63">
            <v>0</v>
          </cell>
          <cell r="AD63">
            <v>0</v>
          </cell>
          <cell r="AE63">
            <v>19.479999999999997</v>
          </cell>
          <cell r="AF63">
            <v>0</v>
          </cell>
          <cell r="AG63">
            <v>0</v>
          </cell>
          <cell r="AH63">
            <v>0</v>
          </cell>
          <cell r="AI63">
            <v>0</v>
          </cell>
          <cell r="AJ63">
            <v>50.843425000000003</v>
          </cell>
          <cell r="AK63">
            <v>0</v>
          </cell>
          <cell r="AL63">
            <v>0</v>
          </cell>
          <cell r="AM63">
            <v>0</v>
          </cell>
          <cell r="AN63">
            <v>0</v>
          </cell>
          <cell r="AO63">
            <v>54.762262176562508</v>
          </cell>
          <cell r="AP63">
            <v>0</v>
          </cell>
          <cell r="AQ63">
            <v>0</v>
          </cell>
          <cell r="AR63">
            <v>0</v>
          </cell>
          <cell r="AS63">
            <v>0</v>
          </cell>
          <cell r="AT63">
            <v>58.416614314851884</v>
          </cell>
          <cell r="AU63">
            <v>15.465656698789473</v>
          </cell>
          <cell r="AV63">
            <v>31.026196509588733</v>
          </cell>
          <cell r="AW63">
            <v>46.686363587998265</v>
          </cell>
          <cell r="AX63">
            <v>62.451139297398591</v>
          </cell>
          <cell r="AY63">
            <v>62.451139297398591</v>
          </cell>
        </row>
        <row r="64">
          <cell r="A64" t="str">
            <v>Changes in Working Capital</v>
          </cell>
          <cell r="K64">
            <v>0</v>
          </cell>
          <cell r="P64">
            <v>0</v>
          </cell>
          <cell r="Q64">
            <v>0</v>
          </cell>
          <cell r="R64">
            <v>0</v>
          </cell>
          <cell r="S64">
            <v>0</v>
          </cell>
          <cell r="T64">
            <v>0</v>
          </cell>
          <cell r="U64">
            <v>0</v>
          </cell>
          <cell r="V64">
            <v>0</v>
          </cell>
          <cell r="W64">
            <v>0</v>
          </cell>
          <cell r="X64">
            <v>-0.76899999999999991</v>
          </cell>
          <cell r="Y64">
            <v>0</v>
          </cell>
          <cell r="Z64">
            <v>0</v>
          </cell>
          <cell r="AA64">
            <v>0</v>
          </cell>
          <cell r="AB64">
            <v>0</v>
          </cell>
          <cell r="AC64">
            <v>0</v>
          </cell>
          <cell r="AD64">
            <v>-0.46200000000000002</v>
          </cell>
          <cell r="AE64">
            <v>-0.46200000000000002</v>
          </cell>
          <cell r="AF64">
            <v>-0.111</v>
          </cell>
          <cell r="AG64">
            <v>-0.26800000000000002</v>
          </cell>
          <cell r="AH64">
            <v>1.5890000000000002</v>
          </cell>
          <cell r="AI64">
            <v>1.5890000000000002</v>
          </cell>
          <cell r="AJ64">
            <v>1.5890000000000002</v>
          </cell>
          <cell r="AK64">
            <v>0</v>
          </cell>
          <cell r="AL64">
            <v>0</v>
          </cell>
          <cell r="AM64">
            <v>0</v>
          </cell>
          <cell r="AN64">
            <v>0</v>
          </cell>
          <cell r="AO64">
            <v>0</v>
          </cell>
          <cell r="AP64">
            <v>0</v>
          </cell>
          <cell r="AQ64">
            <v>0</v>
          </cell>
          <cell r="AR64">
            <v>0</v>
          </cell>
          <cell r="AS64">
            <v>0</v>
          </cell>
          <cell r="AT64">
            <v>0</v>
          </cell>
          <cell r="AU64">
            <v>0</v>
          </cell>
          <cell r="AV64">
            <v>0</v>
          </cell>
          <cell r="AW64">
            <v>0</v>
          </cell>
          <cell r="AX64">
            <v>0</v>
          </cell>
          <cell r="AY64">
            <v>0</v>
          </cell>
        </row>
        <row r="65">
          <cell r="A65" t="str">
            <v xml:space="preserve">   Accounts Receivable</v>
          </cell>
          <cell r="K65">
            <v>-2.9409999999999998</v>
          </cell>
          <cell r="P65">
            <v>-2.16</v>
          </cell>
          <cell r="Q65">
            <v>-1.7729999999999999</v>
          </cell>
          <cell r="R65">
            <v>-5.1739999999999995</v>
          </cell>
          <cell r="S65">
            <v>-5.9409999999999998</v>
          </cell>
          <cell r="T65">
            <v>-8.0009999999999994</v>
          </cell>
          <cell r="U65">
            <v>-8.0009999999999994</v>
          </cell>
          <cell r="V65">
            <v>-1.764</v>
          </cell>
          <cell r="W65">
            <v>-8.2789999999999999</v>
          </cell>
          <cell r="X65">
            <v>-7.6070000000000002</v>
          </cell>
          <cell r="Y65">
            <v>-20.594000000000001</v>
          </cell>
          <cell r="Z65">
            <v>-20.594000000000001</v>
          </cell>
          <cell r="AA65">
            <v>11.015000000000001</v>
          </cell>
          <cell r="AB65">
            <v>0.81400000000000006</v>
          </cell>
          <cell r="AC65">
            <v>-5.6829999999999998</v>
          </cell>
          <cell r="AD65">
            <v>-29.452999999999999</v>
          </cell>
          <cell r="AE65">
            <v>-29.452999999999999</v>
          </cell>
          <cell r="AF65">
            <v>26.032</v>
          </cell>
          <cell r="AG65">
            <v>23.201999999999998</v>
          </cell>
          <cell r="AH65">
            <v>10.086393307366095</v>
          </cell>
          <cell r="AI65">
            <v>-19.0563638084598</v>
          </cell>
          <cell r="AJ65">
            <v>-19.0563638084598</v>
          </cell>
          <cell r="AK65">
            <v>26.789304338662213</v>
          </cell>
          <cell r="AL65">
            <v>12.891265733377196</v>
          </cell>
          <cell r="AM65">
            <v>2.660798926501613</v>
          </cell>
          <cell r="AN65">
            <v>-31.052818735712449</v>
          </cell>
          <cell r="AO65">
            <v>-31.052818735712449</v>
          </cell>
          <cell r="AP65">
            <v>35.804908633535717</v>
          </cell>
          <cell r="AQ65">
            <v>21.81693362873952</v>
          </cell>
          <cell r="AR65">
            <v>11.630208846910648</v>
          </cell>
          <cell r="AS65">
            <v>-23.201362232069911</v>
          </cell>
          <cell r="AT65">
            <v>-23.201362232069911</v>
          </cell>
          <cell r="AU65">
            <v>0</v>
          </cell>
          <cell r="AV65">
            <v>0</v>
          </cell>
          <cell r="AW65">
            <v>0</v>
          </cell>
          <cell r="AX65">
            <v>0</v>
          </cell>
        </row>
        <row r="66">
          <cell r="A66" t="str">
            <v xml:space="preserve">   Prepaid Expenses, Other Assets</v>
          </cell>
          <cell r="K66">
            <v>-0.53200000000000003</v>
          </cell>
          <cell r="P66">
            <v>-0.20100000000000001</v>
          </cell>
          <cell r="Q66">
            <v>-0.20699999999999999</v>
          </cell>
          <cell r="R66">
            <v>-0.63200000000000001</v>
          </cell>
          <cell r="S66">
            <v>-0.7</v>
          </cell>
          <cell r="T66">
            <v>-0.8919999999999999</v>
          </cell>
          <cell r="U66">
            <v>-0.8919999999999999</v>
          </cell>
          <cell r="V66">
            <v>-1.3740000000000001</v>
          </cell>
          <cell r="W66">
            <v>-2.6190000000000002</v>
          </cell>
          <cell r="X66">
            <v>-2.2290000000000001</v>
          </cell>
          <cell r="Y66">
            <v>-3.5110000000000001</v>
          </cell>
          <cell r="Z66">
            <v>-3.5110000000000001</v>
          </cell>
          <cell r="AA66">
            <v>1.2E-2</v>
          </cell>
          <cell r="AB66">
            <v>-1.1719999999999999</v>
          </cell>
          <cell r="AC66">
            <v>-1.28</v>
          </cell>
          <cell r="AD66">
            <v>-2.6579999999999999</v>
          </cell>
          <cell r="AE66">
            <v>-2.6579999999999999</v>
          </cell>
          <cell r="AF66">
            <v>-0.29799999999999999</v>
          </cell>
          <cell r="AG66">
            <v>-3.597</v>
          </cell>
          <cell r="AH66">
            <v>-0.86718345631086269</v>
          </cell>
          <cell r="AI66">
            <v>-4.24250084644732</v>
          </cell>
          <cell r="AJ66">
            <v>-4.24250084644732</v>
          </cell>
          <cell r="AK66">
            <v>-2.1938563825490558</v>
          </cell>
          <cell r="AL66">
            <v>-3.2207201356537465</v>
          </cell>
          <cell r="AM66">
            <v>-4.3823040106536419</v>
          </cell>
          <cell r="AN66">
            <v>-7.650400865922216</v>
          </cell>
          <cell r="AO66">
            <v>-7.650400865922216</v>
          </cell>
          <cell r="AP66">
            <v>0.50118189743402919</v>
          </cell>
          <cell r="AQ66">
            <v>-0.73204602504241278</v>
          </cell>
          <cell r="AR66">
            <v>-1.8073770980690183</v>
          </cell>
          <cell r="AS66">
            <v>-5.2617444924144694</v>
          </cell>
          <cell r="AT66">
            <v>-5.2617444924144694</v>
          </cell>
        </row>
        <row r="67">
          <cell r="A67" t="str">
            <v xml:space="preserve">   Accounts Payable</v>
          </cell>
          <cell r="K67">
            <v>-4.8000000000000001E-2</v>
          </cell>
          <cell r="P67">
            <v>0.46200000000000002</v>
          </cell>
          <cell r="Q67">
            <v>-9.4E-2</v>
          </cell>
          <cell r="R67">
            <v>-0.14499999999999999</v>
          </cell>
          <cell r="S67">
            <v>4.1000000000000009E-2</v>
          </cell>
          <cell r="T67">
            <v>0.11000000000000001</v>
          </cell>
          <cell r="U67">
            <v>0.11000000000000001</v>
          </cell>
          <cell r="V67">
            <v>1.2549999999999999</v>
          </cell>
          <cell r="W67">
            <v>2.6309999999999998</v>
          </cell>
          <cell r="X67">
            <v>0.20399999999999974</v>
          </cell>
          <cell r="Y67">
            <v>5.4999999999999993E-2</v>
          </cell>
          <cell r="Z67">
            <v>5.4999999999999993E-2</v>
          </cell>
          <cell r="AA67">
            <v>1.006</v>
          </cell>
          <cell r="AB67">
            <v>0.30000000000000004</v>
          </cell>
          <cell r="AC67">
            <v>-0.2679999999999999</v>
          </cell>
          <cell r="AD67">
            <v>0.18700000000000011</v>
          </cell>
          <cell r="AE67">
            <v>0.18700000000000011</v>
          </cell>
          <cell r="AF67">
            <v>0.91800000000000004</v>
          </cell>
          <cell r="AG67">
            <v>-0.14699999999999991</v>
          </cell>
          <cell r="AH67">
            <v>-0.39478535402607118</v>
          </cell>
          <cell r="AI67">
            <v>-0.26699434825196422</v>
          </cell>
          <cell r="AJ67">
            <v>-0.26699434825196422</v>
          </cell>
          <cell r="AK67">
            <v>1.640359595232306</v>
          </cell>
          <cell r="AL67">
            <v>2.9932106671607084</v>
          </cell>
          <cell r="AM67">
            <v>0.31478977225364702</v>
          </cell>
          <cell r="AN67">
            <v>0.54309019275824721</v>
          </cell>
          <cell r="AO67">
            <v>0.54309019275824721</v>
          </cell>
          <cell r="AP67">
            <v>5.5926613295384975</v>
          </cell>
          <cell r="AQ67">
            <v>8.3536163382503084</v>
          </cell>
          <cell r="AR67">
            <v>0.1777338172986429</v>
          </cell>
          <cell r="AS67">
            <v>0.39814168438115383</v>
          </cell>
          <cell r="AT67">
            <v>0.39814168438115383</v>
          </cell>
          <cell r="AU67">
            <v>57.901657995847941</v>
          </cell>
          <cell r="AV67">
            <v>57.770036971554632</v>
          </cell>
          <cell r="AW67">
            <v>27.082750964644035</v>
          </cell>
          <cell r="AX67">
            <v>-39.752650807321061</v>
          </cell>
          <cell r="AY67">
            <v>-39.752650807321061</v>
          </cell>
        </row>
        <row r="68">
          <cell r="A68" t="str">
            <v xml:space="preserve">   Accrued Compensation</v>
          </cell>
          <cell r="K68">
            <v>0.76100000000000001</v>
          </cell>
          <cell r="P68">
            <v>0.52700000000000002</v>
          </cell>
          <cell r="Q68">
            <v>0.59699999999999998</v>
          </cell>
          <cell r="R68">
            <v>1.9339999999999999</v>
          </cell>
          <cell r="S68">
            <v>3.4169999999999998</v>
          </cell>
          <cell r="T68">
            <v>5.6239999999999997</v>
          </cell>
          <cell r="U68">
            <v>5.6239999999999997</v>
          </cell>
          <cell r="V68">
            <v>-2.2440000000000002</v>
          </cell>
          <cell r="W68">
            <v>0.21099999999999985</v>
          </cell>
          <cell r="X68">
            <v>2.25</v>
          </cell>
          <cell r="Y68">
            <v>8.6969999999999992</v>
          </cell>
          <cell r="Z68">
            <v>8.6969999999999992</v>
          </cell>
          <cell r="AA68">
            <v>-4.4569999999999999</v>
          </cell>
          <cell r="AB68">
            <v>2.5629999999999997</v>
          </cell>
          <cell r="AC68">
            <v>9.5730000000000004</v>
          </cell>
          <cell r="AD68">
            <v>11.981</v>
          </cell>
          <cell r="AE68">
            <v>11.981</v>
          </cell>
          <cell r="AF68">
            <v>-6.9320000000000004</v>
          </cell>
          <cell r="AG68">
            <v>-6.2350000000000003</v>
          </cell>
          <cell r="AH68">
            <v>0.14314611296749202</v>
          </cell>
          <cell r="AI68">
            <v>-4.2886720890759067</v>
          </cell>
          <cell r="AJ68">
            <v>-4.2886720890759067</v>
          </cell>
          <cell r="AK68">
            <v>3.4194691738050444</v>
          </cell>
          <cell r="AL68">
            <v>5.3853859231998058</v>
          </cell>
          <cell r="AM68">
            <v>8.7086768339869778</v>
          </cell>
          <cell r="AN68">
            <v>7.9613999174166068</v>
          </cell>
          <cell r="AO68">
            <v>7.9613999174166068</v>
          </cell>
          <cell r="AP68">
            <v>5.7004382532382181</v>
          </cell>
          <cell r="AQ68">
            <v>6.0334820338081769</v>
          </cell>
          <cell r="AR68">
            <v>9.4745890870011849</v>
          </cell>
          <cell r="AS68">
            <v>11.126301675208808</v>
          </cell>
          <cell r="AT68">
            <v>11.126301675208808</v>
          </cell>
          <cell r="AU68">
            <v>-1.0150519575495058</v>
          </cell>
          <cell r="AV68">
            <v>-2.1077209510629249</v>
          </cell>
          <cell r="AW68">
            <v>-3.3096434336883753</v>
          </cell>
          <cell r="AX68">
            <v>-4.6532386992679218</v>
          </cell>
          <cell r="AY68">
            <v>-4.6532386992679218</v>
          </cell>
        </row>
        <row r="69">
          <cell r="A69" t="str">
            <v xml:space="preserve">   Accrued Expenses and Other Liabilities</v>
          </cell>
          <cell r="K69">
            <v>0.63600000000000001</v>
          </cell>
          <cell r="P69">
            <v>1.032</v>
          </cell>
          <cell r="Q69">
            <v>-0.189</v>
          </cell>
          <cell r="R69">
            <v>0.23099999999999998</v>
          </cell>
          <cell r="S69">
            <v>0.32299999999999995</v>
          </cell>
          <cell r="T69">
            <v>1.2210000000000001</v>
          </cell>
          <cell r="U69">
            <v>1.2210000000000001</v>
          </cell>
          <cell r="V69">
            <v>-0.14000000000000001</v>
          </cell>
          <cell r="W69">
            <v>1.2000000000000002</v>
          </cell>
          <cell r="X69">
            <v>2.7750000000000004</v>
          </cell>
          <cell r="Y69">
            <v>2.448</v>
          </cell>
          <cell r="Z69">
            <v>2.448</v>
          </cell>
          <cell r="AA69">
            <v>0.313</v>
          </cell>
          <cell r="AB69">
            <v>0.155</v>
          </cell>
          <cell r="AC69">
            <v>8.1000000000000003E-2</v>
          </cell>
          <cell r="AD69">
            <v>3.4460000000000002</v>
          </cell>
          <cell r="AE69">
            <v>3.4460000000000002</v>
          </cell>
          <cell r="AF69">
            <v>2.4910000000000001</v>
          </cell>
          <cell r="AG69">
            <v>5.3789999999999996</v>
          </cell>
          <cell r="AH69">
            <v>5.0315319802384444</v>
          </cell>
          <cell r="AI69">
            <v>8.2082597332152165</v>
          </cell>
          <cell r="AJ69">
            <v>8.2082597332152165</v>
          </cell>
          <cell r="AK69">
            <v>-9.8121449092288433</v>
          </cell>
          <cell r="AL69">
            <v>-9.4965942936949901</v>
          </cell>
          <cell r="AM69">
            <v>-9.1363497795950224</v>
          </cell>
          <cell r="AN69">
            <v>-8.6941141675470774</v>
          </cell>
          <cell r="AO69">
            <v>-8.6941141675470774</v>
          </cell>
          <cell r="AP69">
            <v>-1.2460320090891956</v>
          </cell>
          <cell r="AQ69">
            <v>-0.9637060969931639</v>
          </cell>
          <cell r="AR69">
            <v>-0.73137507721242834</v>
          </cell>
          <cell r="AS69">
            <v>1.4448597986135896</v>
          </cell>
          <cell r="AT69">
            <v>1.4448597986135896</v>
          </cell>
          <cell r="AU69">
            <v>2.9653988241850087</v>
          </cell>
          <cell r="AV69">
            <v>1.3709297173936541E-2</v>
          </cell>
          <cell r="AW69">
            <v>0.35331336672627423</v>
          </cell>
          <cell r="AX69">
            <v>0.69847274534098203</v>
          </cell>
          <cell r="AY69">
            <v>0.69847274534098203</v>
          </cell>
        </row>
        <row r="70">
          <cell r="A70" t="str">
            <v xml:space="preserve">   Deferred Revenue</v>
          </cell>
          <cell r="K70">
            <v>3.419</v>
          </cell>
          <cell r="P70">
            <v>6.0490000000000004</v>
          </cell>
          <cell r="Q70">
            <v>0.223</v>
          </cell>
          <cell r="R70">
            <v>3.113</v>
          </cell>
          <cell r="S70">
            <v>4.7969999999999997</v>
          </cell>
          <cell r="T70">
            <v>10.991</v>
          </cell>
          <cell r="U70">
            <v>10.991</v>
          </cell>
          <cell r="V70">
            <v>2.5710000000000002</v>
          </cell>
          <cell r="W70">
            <v>7.9749999999999996</v>
          </cell>
          <cell r="X70">
            <v>14.262</v>
          </cell>
          <cell r="Y70">
            <v>30.358000000000001</v>
          </cell>
          <cell r="Z70">
            <v>30.358000000000001</v>
          </cell>
          <cell r="AA70">
            <v>6.4770000000000003</v>
          </cell>
          <cell r="AB70">
            <v>15.003</v>
          </cell>
          <cell r="AC70">
            <v>21.301000000000002</v>
          </cell>
          <cell r="AD70">
            <v>62.047000000000004</v>
          </cell>
          <cell r="AE70">
            <v>62.047000000000004</v>
          </cell>
          <cell r="AF70">
            <v>2.625</v>
          </cell>
          <cell r="AG70">
            <v>12.923</v>
          </cell>
          <cell r="AH70">
            <v>25.395439145147336</v>
          </cell>
          <cell r="AI70">
            <v>79.581098141524237</v>
          </cell>
          <cell r="AJ70">
            <v>79.581098141524237</v>
          </cell>
          <cell r="AK70">
            <v>10.915827246257322</v>
          </cell>
          <cell r="AL70">
            <v>27.989294684285539</v>
          </cell>
          <cell r="AM70">
            <v>40.584252237758619</v>
          </cell>
          <cell r="AN70">
            <v>103.30734005625655</v>
          </cell>
          <cell r="AO70">
            <v>103.30734005625655</v>
          </cell>
          <cell r="AP70">
            <v>0.93567015503941775</v>
          </cell>
          <cell r="AQ70">
            <v>16.554491485031178</v>
          </cell>
          <cell r="AR70">
            <v>28.331496603453843</v>
          </cell>
          <cell r="AS70">
            <v>98.06758635490354</v>
          </cell>
          <cell r="AT70">
            <v>98.06758635490354</v>
          </cell>
          <cell r="AU70">
            <v>-24.866103360436881</v>
          </cell>
          <cell r="AV70">
            <v>-25.652632061225297</v>
          </cell>
          <cell r="AW70">
            <v>-9.5910042628245904</v>
          </cell>
          <cell r="AX70">
            <v>11.12096822788655</v>
          </cell>
          <cell r="AY70">
            <v>11.12096822788655</v>
          </cell>
        </row>
        <row r="71">
          <cell r="A71" t="str">
            <v>Net Cash Provided by (used in) Operating Activities</v>
          </cell>
          <cell r="K71">
            <v>-11.229999999999999</v>
          </cell>
          <cell r="P71">
            <v>0.89699999999999935</v>
          </cell>
          <cell r="Q71">
            <v>-0.189</v>
          </cell>
          <cell r="R71">
            <v>0.23099999999999998</v>
          </cell>
          <cell r="S71">
            <v>0.32299999999999995</v>
          </cell>
          <cell r="T71">
            <v>1.2210000000000001</v>
          </cell>
          <cell r="U71">
            <v>8.5990000000000002</v>
          </cell>
          <cell r="V71">
            <v>-2.2530000000000001</v>
          </cell>
          <cell r="W71">
            <v>-1.6900000000000013</v>
          </cell>
          <cell r="X71">
            <v>4.6099999999999985</v>
          </cell>
          <cell r="Y71">
            <v>14.621999999999996</v>
          </cell>
          <cell r="Z71">
            <v>14.621999999999996</v>
          </cell>
          <cell r="AA71">
            <v>11.586000000000004</v>
          </cell>
          <cell r="AB71">
            <v>15.392000000000003</v>
          </cell>
          <cell r="AC71">
            <v>21.872000000000003</v>
          </cell>
          <cell r="AD71">
            <v>46.648000000000003</v>
          </cell>
          <cell r="AE71">
            <v>46.647999999999996</v>
          </cell>
          <cell r="AF71">
            <v>19.850999999999999</v>
          </cell>
          <cell r="AG71">
            <v>26.102</v>
          </cell>
          <cell r="AH71">
            <v>34.489002430494878</v>
          </cell>
          <cell r="AI71">
            <v>63.523840160837622</v>
          </cell>
          <cell r="AJ71">
            <v>63.523840160837615</v>
          </cell>
          <cell r="AK71">
            <v>31.724863198038463</v>
          </cell>
          <cell r="AL71">
            <v>43.680878817939174</v>
          </cell>
          <cell r="AM71">
            <v>52.685767200909282</v>
          </cell>
          <cell r="AN71">
            <v>93.867794194867642</v>
          </cell>
          <cell r="AO71">
            <v>93.867794194867628</v>
          </cell>
          <cell r="AP71">
            <v>52.329277202015227</v>
          </cell>
          <cell r="AQ71">
            <v>68.005595999334361</v>
          </cell>
          <cell r="AR71">
            <v>76.722748519391217</v>
          </cell>
          <cell r="AS71">
            <v>134.32213433192481</v>
          </cell>
          <cell r="AT71">
            <v>134.32213433192481</v>
          </cell>
          <cell r="AU71">
            <v>-4.3381591494598624</v>
          </cell>
          <cell r="AV71">
            <v>0.76587162929136099</v>
          </cell>
          <cell r="AW71">
            <v>0.92878873572274401</v>
          </cell>
          <cell r="AX71">
            <v>6.144677510904863</v>
          </cell>
          <cell r="AY71">
            <v>6.144677510904863</v>
          </cell>
        </row>
        <row r="72">
          <cell r="A72" t="str">
            <v xml:space="preserve">   Deferred Revenue</v>
          </cell>
          <cell r="K72">
            <v>3.419</v>
          </cell>
          <cell r="P72">
            <v>6.0490000000000004</v>
          </cell>
          <cell r="Q72">
            <v>0.223</v>
          </cell>
          <cell r="R72">
            <v>3.113</v>
          </cell>
          <cell r="S72">
            <v>4.7969999999999997</v>
          </cell>
          <cell r="T72">
            <v>10.991</v>
          </cell>
          <cell r="U72">
            <v>10.991</v>
          </cell>
          <cell r="V72">
            <v>2.5710000000000002</v>
          </cell>
          <cell r="W72">
            <v>7.9749999999999996</v>
          </cell>
          <cell r="X72">
            <v>14.262</v>
          </cell>
          <cell r="Y72">
            <v>30.358000000000001</v>
          </cell>
          <cell r="Z72">
            <v>30.358000000000001</v>
          </cell>
          <cell r="AA72">
            <v>6.4770000000000003</v>
          </cell>
          <cell r="AB72">
            <v>15.003</v>
          </cell>
          <cell r="AC72">
            <v>21.301000000000002</v>
          </cell>
          <cell r="AD72">
            <v>62.047000000000004</v>
          </cell>
          <cell r="AE72">
            <v>62.047000000000004</v>
          </cell>
          <cell r="AF72">
            <v>2.625</v>
          </cell>
          <cell r="AG72">
            <v>12.923</v>
          </cell>
          <cell r="AH72">
            <v>26.433</v>
          </cell>
          <cell r="AI72">
            <v>65.782510104979281</v>
          </cell>
          <cell r="AJ72">
            <v>65.782510104979281</v>
          </cell>
          <cell r="AK72">
            <v>-3.9512544213476417</v>
          </cell>
          <cell r="AL72">
            <v>4.3254991073783344</v>
          </cell>
          <cell r="AM72">
            <v>18.629794370323765</v>
          </cell>
          <cell r="AN72">
            <v>65.760549041285742</v>
          </cell>
          <cell r="AO72">
            <v>65.760549041285742</v>
          </cell>
          <cell r="AP72">
            <v>-5.5387399573164373</v>
          </cell>
          <cell r="AQ72">
            <v>6.1037871248208546</v>
          </cell>
          <cell r="AR72">
            <v>30.456940366749336</v>
          </cell>
          <cell r="AS72">
            <v>90.228559977322845</v>
          </cell>
          <cell r="AT72">
            <v>90.228559977322845</v>
          </cell>
          <cell r="AU72">
            <v>-8.5640836586971432</v>
          </cell>
          <cell r="AV72">
            <v>4.5891927809981325</v>
          </cell>
          <cell r="AW72">
            <v>37.274749492631997</v>
          </cell>
          <cell r="AX72">
            <v>113.27419610218141</v>
          </cell>
          <cell r="AY72">
            <v>113.27419610218141</v>
          </cell>
        </row>
        <row r="73">
          <cell r="A73" t="str">
            <v xml:space="preserve">   Change in Restricted Cash</v>
          </cell>
          <cell r="K73">
            <v>-1.004</v>
          </cell>
          <cell r="P73">
            <v>0.20100000000000001</v>
          </cell>
          <cell r="Q73">
            <v>0</v>
          </cell>
          <cell r="R73">
            <v>0</v>
          </cell>
          <cell r="S73">
            <v>0</v>
          </cell>
          <cell r="T73">
            <v>0.161</v>
          </cell>
          <cell r="U73">
            <v>0.161</v>
          </cell>
          <cell r="V73">
            <v>0</v>
          </cell>
          <cell r="W73">
            <v>0</v>
          </cell>
          <cell r="X73">
            <v>0</v>
          </cell>
          <cell r="Y73">
            <v>0.128</v>
          </cell>
          <cell r="Z73">
            <v>0.128</v>
          </cell>
          <cell r="AA73">
            <v>0</v>
          </cell>
          <cell r="AB73">
            <v>0</v>
          </cell>
          <cell r="AC73">
            <v>0.51400000000000001</v>
          </cell>
          <cell r="AD73">
            <v>0.51400000000000001</v>
          </cell>
          <cell r="AE73">
            <v>0.51400000000000001</v>
          </cell>
          <cell r="AF73">
            <v>0</v>
          </cell>
          <cell r="AG73">
            <v>0</v>
          </cell>
          <cell r="AH73">
            <v>0</v>
          </cell>
          <cell r="AI73">
            <v>0</v>
          </cell>
          <cell r="AJ73">
            <v>0</v>
          </cell>
          <cell r="AK73">
            <v>0</v>
          </cell>
          <cell r="AL73">
            <v>0</v>
          </cell>
          <cell r="AM73">
            <v>0</v>
          </cell>
          <cell r="AN73">
            <v>0</v>
          </cell>
          <cell r="AO73">
            <v>0</v>
          </cell>
          <cell r="AP73">
            <v>0</v>
          </cell>
          <cell r="AQ73">
            <v>0</v>
          </cell>
          <cell r="AR73">
            <v>0</v>
          </cell>
          <cell r="AS73">
            <v>0</v>
          </cell>
          <cell r="AT73">
            <v>0</v>
          </cell>
          <cell r="AU73">
            <v>30.70443578795102</v>
          </cell>
          <cell r="AV73">
            <v>65.55376650969734</v>
          </cell>
          <cell r="AW73">
            <v>109.47881638118592</v>
          </cell>
          <cell r="AX73">
            <v>186.17578554494401</v>
          </cell>
          <cell r="AY73">
            <v>186.17578554494401</v>
          </cell>
        </row>
        <row r="74">
          <cell r="A74" t="str">
            <v xml:space="preserve">   Purchase of PP&amp;E</v>
          </cell>
          <cell r="K74">
            <v>-2.1589999999999998</v>
          </cell>
          <cell r="P74">
            <v>-0.35899999999999999</v>
          </cell>
          <cell r="Q74">
            <v>-0.22600000000000001</v>
          </cell>
          <cell r="R74">
            <v>-0.46899999999999997</v>
          </cell>
          <cell r="S74">
            <v>-0.78</v>
          </cell>
          <cell r="T74">
            <v>-1.6160000000000001</v>
          </cell>
          <cell r="U74">
            <v>-1.6160000000000001</v>
          </cell>
          <cell r="V74">
            <v>-1.496</v>
          </cell>
          <cell r="W74">
            <v>-4.2059999999999995</v>
          </cell>
          <cell r="X74">
            <v>-6.1059999999999999</v>
          </cell>
          <cell r="Y74">
            <v>-8.18</v>
          </cell>
          <cell r="Z74">
            <v>-8.18</v>
          </cell>
          <cell r="AA74">
            <v>-1.877</v>
          </cell>
          <cell r="AB74">
            <v>-3.4740000000000002</v>
          </cell>
          <cell r="AC74">
            <v>-5.7200000000000006</v>
          </cell>
          <cell r="AD74">
            <v>-9.0770000000000017</v>
          </cell>
          <cell r="AE74">
            <v>-9.0770000000000017</v>
          </cell>
          <cell r="AF74">
            <v>-1.2629999999999999</v>
          </cell>
          <cell r="AG74">
            <v>-3.23</v>
          </cell>
          <cell r="AH74">
            <v>-5.8255926959908777</v>
          </cell>
          <cell r="AI74">
            <v>-8.6083053630785393</v>
          </cell>
          <cell r="AJ74">
            <v>-8.6083053630785393</v>
          </cell>
          <cell r="AK74">
            <v>-3.545598615613744</v>
          </cell>
          <cell r="AL74">
            <v>-7.3552303287076173</v>
          </cell>
          <cell r="AM74">
            <v>-11.463535149671845</v>
          </cell>
          <cell r="AN74">
            <v>-15.933282195849998</v>
          </cell>
          <cell r="AO74">
            <v>-15.933282195849998</v>
          </cell>
          <cell r="AP74">
            <v>-6.0246873297099341</v>
          </cell>
          <cell r="AQ74">
            <v>-12.445742954734069</v>
          </cell>
          <cell r="AR74">
            <v>-19.212417695694242</v>
          </cell>
          <cell r="AS74">
            <v>-26.327112870135466</v>
          </cell>
          <cell r="AT74">
            <v>-26.327112870135466</v>
          </cell>
        </row>
        <row r="75">
          <cell r="A75" t="str">
            <v xml:space="preserve">   Proceeds from Sale of Marketable Securities</v>
          </cell>
          <cell r="K75">
            <v>5.44</v>
          </cell>
          <cell r="P75">
            <v>4.8769999999999998</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row>
        <row r="76">
          <cell r="A76" t="str">
            <v>Net Cash Provided by (used in) Investing Activities</v>
          </cell>
          <cell r="G76">
            <v>0</v>
          </cell>
          <cell r="H76">
            <v>0</v>
          </cell>
          <cell r="I76">
            <v>0</v>
          </cell>
          <cell r="J76">
            <v>0</v>
          </cell>
          <cell r="K76">
            <v>2.2770000000000006</v>
          </cell>
          <cell r="P76">
            <v>4.7189999999999994</v>
          </cell>
          <cell r="Q76">
            <v>0</v>
          </cell>
          <cell r="R76">
            <v>0</v>
          </cell>
          <cell r="S76">
            <v>0</v>
          </cell>
          <cell r="T76">
            <v>0.161</v>
          </cell>
          <cell r="U76">
            <v>-1.4550000000000001</v>
          </cell>
          <cell r="V76">
            <v>-1.496</v>
          </cell>
          <cell r="W76">
            <v>-4.2059999999999995</v>
          </cell>
          <cell r="X76">
            <v>-6.1059999999999999</v>
          </cell>
          <cell r="Y76">
            <v>-8.0519999999999996</v>
          </cell>
          <cell r="Z76">
            <v>-8.0519999999999996</v>
          </cell>
          <cell r="AA76">
            <v>-1.877</v>
          </cell>
          <cell r="AB76">
            <v>-3.4740000000000002</v>
          </cell>
          <cell r="AC76">
            <v>-5.2060000000000004</v>
          </cell>
          <cell r="AD76">
            <v>-8.5630000000000006</v>
          </cell>
          <cell r="AE76">
            <v>-8.5630000000000024</v>
          </cell>
          <cell r="AF76">
            <v>-1.2629999999999999</v>
          </cell>
          <cell r="AG76">
            <v>-3.23</v>
          </cell>
          <cell r="AH76">
            <v>-5.8255926959908777</v>
          </cell>
          <cell r="AI76">
            <v>-8.6083053630785393</v>
          </cell>
          <cell r="AJ76">
            <v>-8.6083053630785393</v>
          </cell>
          <cell r="AK76">
            <v>-3.545598615613744</v>
          </cell>
          <cell r="AL76">
            <v>-7.3552303287076173</v>
          </cell>
          <cell r="AM76">
            <v>-11.463535149671845</v>
          </cell>
          <cell r="AN76">
            <v>-15.933282195849998</v>
          </cell>
          <cell r="AO76">
            <v>-15.933282195849998</v>
          </cell>
          <cell r="AP76">
            <v>-6.0246873297099341</v>
          </cell>
          <cell r="AQ76">
            <v>-12.445742954734069</v>
          </cell>
          <cell r="AR76">
            <v>-19.212417695694242</v>
          </cell>
          <cell r="AS76">
            <v>-26.327112870135466</v>
          </cell>
          <cell r="AT76">
            <v>-26.327112870135466</v>
          </cell>
          <cell r="AU76">
            <v>-8.3971269075006667</v>
          </cell>
          <cell r="AV76">
            <v>-17.308474093797699</v>
          </cell>
          <cell r="AW76">
            <v>-26.785457275786307</v>
          </cell>
          <cell r="AX76">
            <v>-36.894748994172772</v>
          </cell>
          <cell r="AY76">
            <v>-36.894748994172772</v>
          </cell>
        </row>
        <row r="77">
          <cell r="A77" t="str">
            <v xml:space="preserve">   Proceeds from Sale of Marketable Securities</v>
          </cell>
          <cell r="K77">
            <v>5.44</v>
          </cell>
          <cell r="P77">
            <v>4.8769999999999998</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row>
        <row r="78">
          <cell r="A78" t="str">
            <v xml:space="preserve">   Payment of Financing Obligation</v>
          </cell>
          <cell r="G78">
            <v>0</v>
          </cell>
          <cell r="H78">
            <v>0</v>
          </cell>
          <cell r="I78">
            <v>0</v>
          </cell>
          <cell r="J78">
            <v>0</v>
          </cell>
          <cell r="K78">
            <v>-0.01</v>
          </cell>
          <cell r="P78">
            <v>-0.14299999999999999</v>
          </cell>
          <cell r="Q78">
            <v>-4.5999999999999999E-2</v>
          </cell>
          <cell r="R78">
            <v>-0.10400000000000001</v>
          </cell>
          <cell r="S78">
            <v>-0.13400000000000001</v>
          </cell>
          <cell r="T78">
            <v>-0.17899999999999999</v>
          </cell>
          <cell r="U78">
            <v>-0.17899999999999999</v>
          </cell>
          <cell r="V78">
            <v>-6.0999999999999999E-2</v>
          </cell>
          <cell r="W78">
            <v>-9.1999999999999998E-2</v>
          </cell>
          <cell r="X78">
            <v>-0.14200000000000002</v>
          </cell>
          <cell r="Y78">
            <v>-0.17199999999999999</v>
          </cell>
          <cell r="Z78">
            <v>-0.17199999999999999</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-8.3971269075006667</v>
          </cell>
          <cell r="AV78">
            <v>-17.308474093797699</v>
          </cell>
          <cell r="AW78">
            <v>-26.785457275786307</v>
          </cell>
          <cell r="AX78">
            <v>-36.894748994172772</v>
          </cell>
          <cell r="AY78">
            <v>-36.894748994172772</v>
          </cell>
        </row>
        <row r="79">
          <cell r="A79" t="str">
            <v xml:space="preserve">   Proceeds from Financing Obligation</v>
          </cell>
          <cell r="K79">
            <v>0.501</v>
          </cell>
          <cell r="P79">
            <v>0</v>
          </cell>
          <cell r="Q79">
            <v>0</v>
          </cell>
          <cell r="R79">
            <v>0</v>
          </cell>
          <cell r="S79">
            <v>0</v>
          </cell>
          <cell r="T79">
            <v>0</v>
          </cell>
          <cell r="U79">
            <v>0</v>
          </cell>
          <cell r="V79">
            <v>0</v>
          </cell>
          <cell r="W79">
            <v>0</v>
          </cell>
          <cell r="X79">
            <v>0</v>
          </cell>
          <cell r="Y79">
            <v>0</v>
          </cell>
          <cell r="Z79">
            <v>0</v>
          </cell>
          <cell r="AA79">
            <v>0</v>
          </cell>
          <cell r="AB79">
            <v>0</v>
          </cell>
          <cell r="AC79">
            <v>0</v>
          </cell>
          <cell r="AD79">
            <v>0</v>
          </cell>
          <cell r="AE79">
            <v>0</v>
          </cell>
          <cell r="AF79">
            <v>0</v>
          </cell>
          <cell r="AG79">
            <v>0</v>
          </cell>
          <cell r="AH79">
            <v>0</v>
          </cell>
          <cell r="AI79">
            <v>0</v>
          </cell>
          <cell r="AJ79">
            <v>0</v>
          </cell>
          <cell r="AK79">
            <v>0</v>
          </cell>
          <cell r="AL79">
            <v>0</v>
          </cell>
          <cell r="AM79">
            <v>0</v>
          </cell>
          <cell r="AN79">
            <v>0</v>
          </cell>
          <cell r="AO79">
            <v>0</v>
          </cell>
          <cell r="AP79">
            <v>0</v>
          </cell>
          <cell r="AQ79">
            <v>0</v>
          </cell>
          <cell r="AR79">
            <v>0</v>
          </cell>
          <cell r="AS79">
            <v>0</v>
          </cell>
          <cell r="AT79">
            <v>0</v>
          </cell>
        </row>
        <row r="80">
          <cell r="A80" t="str">
            <v xml:space="preserve">   Proceeds from Issuance of Options</v>
          </cell>
          <cell r="K80">
            <v>0.1</v>
          </cell>
          <cell r="P80">
            <v>0.104</v>
          </cell>
          <cell r="Q80">
            <v>1E-3</v>
          </cell>
          <cell r="R80">
            <v>0.432</v>
          </cell>
          <cell r="S80">
            <v>0.60399999999999998</v>
          </cell>
          <cell r="T80">
            <v>0.96599999999999997</v>
          </cell>
          <cell r="U80">
            <v>0.96599999999999997</v>
          </cell>
          <cell r="V80">
            <v>0.25700000000000001</v>
          </cell>
          <cell r="W80">
            <v>1.2749999999999999</v>
          </cell>
          <cell r="X80">
            <v>2.359</v>
          </cell>
          <cell r="Y80">
            <v>1.139</v>
          </cell>
          <cell r="Z80">
            <v>1.139</v>
          </cell>
          <cell r="AA80">
            <v>0</v>
          </cell>
          <cell r="AB80">
            <v>1.153</v>
          </cell>
          <cell r="AC80">
            <v>1.153</v>
          </cell>
          <cell r="AD80">
            <v>7.0179999999999989</v>
          </cell>
          <cell r="AE80">
            <v>7.0179999999999989</v>
          </cell>
          <cell r="AF80">
            <v>0.111</v>
          </cell>
          <cell r="AG80">
            <v>6.0270000000000001</v>
          </cell>
          <cell r="AH80">
            <v>6.0270000000000001</v>
          </cell>
          <cell r="AI80">
            <v>6.0270000000000001</v>
          </cell>
          <cell r="AJ80">
            <v>6.0270000000000001</v>
          </cell>
          <cell r="AK80">
            <v>0</v>
          </cell>
          <cell r="AL80">
            <v>0</v>
          </cell>
          <cell r="AM80">
            <v>0</v>
          </cell>
          <cell r="AN80">
            <v>0</v>
          </cell>
          <cell r="AO80">
            <v>0</v>
          </cell>
          <cell r="AP80">
            <v>0</v>
          </cell>
          <cell r="AQ80">
            <v>0</v>
          </cell>
          <cell r="AR80">
            <v>0</v>
          </cell>
          <cell r="AS80">
            <v>0</v>
          </cell>
          <cell r="AT80">
            <v>0</v>
          </cell>
          <cell r="AU80">
            <v>0</v>
          </cell>
          <cell r="AV80">
            <v>0</v>
          </cell>
          <cell r="AW80">
            <v>0</v>
          </cell>
          <cell r="AX80">
            <v>0</v>
          </cell>
          <cell r="AY80">
            <v>0</v>
          </cell>
        </row>
        <row r="81">
          <cell r="A81" t="str">
            <v xml:space="preserve">   Proceeds from Issuance of Common Stock</v>
          </cell>
          <cell r="K81">
            <v>8.0000000000000002E-3</v>
          </cell>
          <cell r="P81">
            <v>1.492</v>
          </cell>
          <cell r="Q81">
            <v>0</v>
          </cell>
          <cell r="R81">
            <v>0</v>
          </cell>
          <cell r="S81">
            <v>0</v>
          </cell>
          <cell r="T81">
            <v>0</v>
          </cell>
          <cell r="U81">
            <v>0</v>
          </cell>
          <cell r="V81">
            <v>2</v>
          </cell>
          <cell r="W81">
            <v>3</v>
          </cell>
          <cell r="X81">
            <v>3</v>
          </cell>
          <cell r="Y81">
            <v>2.0369999999999999</v>
          </cell>
          <cell r="Z81">
            <v>2.0369999999999999</v>
          </cell>
          <cell r="AA81">
            <v>227.05799999999999</v>
          </cell>
          <cell r="AB81">
            <v>225.89699999999999</v>
          </cell>
          <cell r="AC81">
            <v>226.19499999999999</v>
          </cell>
          <cell r="AD81">
            <v>231.506</v>
          </cell>
          <cell r="AE81">
            <v>231.506</v>
          </cell>
          <cell r="AF81">
            <v>6.6070000000000002</v>
          </cell>
          <cell r="AG81">
            <v>12.327</v>
          </cell>
          <cell r="AH81">
            <v>13.080750000000045</v>
          </cell>
          <cell r="AI81">
            <v>13.838268750000069</v>
          </cell>
          <cell r="AJ81">
            <v>13.838268750000069</v>
          </cell>
          <cell r="AK81">
            <v>0.76130634374999495</v>
          </cell>
          <cell r="AL81">
            <v>1.5264192192187789</v>
          </cell>
          <cell r="AM81">
            <v>2.2953576590648712</v>
          </cell>
          <cell r="AN81">
            <v>3.0681407911102223</v>
          </cell>
          <cell r="AO81">
            <v>3.0681407911102223</v>
          </cell>
          <cell r="AP81">
            <v>0.77664704770558757</v>
          </cell>
          <cell r="AQ81">
            <v>1.5571773306496759</v>
          </cell>
          <cell r="AR81">
            <v>2.3416102650084589</v>
          </cell>
          <cell r="AS81">
            <v>3.1299653640390321</v>
          </cell>
          <cell r="AT81">
            <v>3.1299653640390321</v>
          </cell>
          <cell r="AU81">
            <v>0</v>
          </cell>
          <cell r="AV81">
            <v>0</v>
          </cell>
          <cell r="AW81">
            <v>0</v>
          </cell>
          <cell r="AX81">
            <v>0</v>
          </cell>
          <cell r="AY81">
            <v>0</v>
          </cell>
        </row>
        <row r="82">
          <cell r="A82" t="str">
            <v xml:space="preserve">   Repayment of Term Debt</v>
          </cell>
          <cell r="K82">
            <v>0</v>
          </cell>
          <cell r="P82">
            <v>0</v>
          </cell>
          <cell r="Q82">
            <v>0</v>
          </cell>
          <cell r="R82">
            <v>0</v>
          </cell>
          <cell r="S82">
            <v>0</v>
          </cell>
          <cell r="T82">
            <v>0</v>
          </cell>
          <cell r="U82">
            <v>0</v>
          </cell>
          <cell r="V82">
            <v>0</v>
          </cell>
          <cell r="W82">
            <v>0</v>
          </cell>
          <cell r="X82">
            <v>0</v>
          </cell>
          <cell r="Y82">
            <v>3</v>
          </cell>
          <cell r="Z82">
            <v>-0.71099999999999997</v>
          </cell>
          <cell r="AA82">
            <v>0</v>
          </cell>
          <cell r="AB82">
            <v>0</v>
          </cell>
          <cell r="AC82">
            <v>0</v>
          </cell>
          <cell r="AD82">
            <v>0</v>
          </cell>
          <cell r="AE82">
            <v>-2.2890000000000001</v>
          </cell>
          <cell r="AF82">
            <v>0</v>
          </cell>
          <cell r="AG82">
            <v>0</v>
          </cell>
          <cell r="AH82">
            <v>0</v>
          </cell>
          <cell r="AI82">
            <v>0</v>
          </cell>
          <cell r="AJ82">
            <v>0</v>
          </cell>
          <cell r="AK82">
            <v>0</v>
          </cell>
          <cell r="AL82">
            <v>0</v>
          </cell>
          <cell r="AM82">
            <v>0</v>
          </cell>
          <cell r="AN82">
            <v>0</v>
          </cell>
          <cell r="AO82">
            <v>0</v>
          </cell>
          <cell r="AP82">
            <v>0</v>
          </cell>
          <cell r="AQ82">
            <v>0</v>
          </cell>
          <cell r="AR82">
            <v>0</v>
          </cell>
          <cell r="AS82">
            <v>0</v>
          </cell>
          <cell r="AT82">
            <v>0</v>
          </cell>
          <cell r="AU82">
            <v>0</v>
          </cell>
          <cell r="AV82">
            <v>0</v>
          </cell>
          <cell r="AW82">
            <v>0</v>
          </cell>
          <cell r="AX82">
            <v>0</v>
          </cell>
          <cell r="AY82">
            <v>0</v>
          </cell>
        </row>
        <row r="83">
          <cell r="A83" t="str">
            <v xml:space="preserve">   Proceeds from Term Debt</v>
          </cell>
          <cell r="K83">
            <v>0</v>
          </cell>
          <cell r="P83">
            <v>0</v>
          </cell>
          <cell r="Q83">
            <v>0</v>
          </cell>
          <cell r="R83">
            <v>0</v>
          </cell>
          <cell r="S83">
            <v>0</v>
          </cell>
          <cell r="T83">
            <v>0</v>
          </cell>
          <cell r="U83">
            <v>0</v>
          </cell>
          <cell r="V83">
            <v>-5.8000000000000003E-2</v>
          </cell>
          <cell r="W83">
            <v>-0.24099999999999999</v>
          </cell>
          <cell r="X83">
            <v>-0.47499999999999998</v>
          </cell>
          <cell r="Y83">
            <v>-0.71099999999999997</v>
          </cell>
          <cell r="Z83">
            <v>3</v>
          </cell>
          <cell r="AA83">
            <v>-2.2890000000000001</v>
          </cell>
          <cell r="AB83">
            <v>-2.2890000000000001</v>
          </cell>
          <cell r="AC83">
            <v>-2.2890000000000001</v>
          </cell>
          <cell r="AD83">
            <v>-2.2890000000000001</v>
          </cell>
          <cell r="AE83">
            <v>0</v>
          </cell>
          <cell r="AF83">
            <v>0</v>
          </cell>
          <cell r="AG83">
            <v>0</v>
          </cell>
          <cell r="AH83">
            <v>0</v>
          </cell>
          <cell r="AI83">
            <v>0</v>
          </cell>
          <cell r="AJ83">
            <v>0</v>
          </cell>
          <cell r="AK83">
            <v>0</v>
          </cell>
          <cell r="AL83">
            <v>0</v>
          </cell>
          <cell r="AM83">
            <v>0</v>
          </cell>
          <cell r="AN83">
            <v>0</v>
          </cell>
          <cell r="AO83">
            <v>0</v>
          </cell>
          <cell r="AP83">
            <v>0</v>
          </cell>
          <cell r="AQ83">
            <v>0</v>
          </cell>
          <cell r="AR83">
            <v>0</v>
          </cell>
          <cell r="AS83">
            <v>0</v>
          </cell>
          <cell r="AT83">
            <v>0</v>
          </cell>
          <cell r="AU83">
            <v>0.79229687452578901</v>
          </cell>
          <cell r="AV83">
            <v>1.5885552334241702</v>
          </cell>
          <cell r="AW83">
            <v>2.3887948841171234</v>
          </cell>
          <cell r="AX83">
            <v>3.1930357330633612</v>
          </cell>
          <cell r="AY83">
            <v>3.1930357330633612</v>
          </cell>
        </row>
        <row r="84">
          <cell r="A84" t="str">
            <v>Net Cash Provided by (used in) Financing Activities</v>
          </cell>
          <cell r="G84">
            <v>0</v>
          </cell>
          <cell r="H84">
            <v>0</v>
          </cell>
          <cell r="I84">
            <v>0</v>
          </cell>
          <cell r="J84">
            <v>0</v>
          </cell>
          <cell r="K84">
            <v>0.59899999999999998</v>
          </cell>
          <cell r="L84">
            <v>0</v>
          </cell>
          <cell r="M84">
            <v>0</v>
          </cell>
          <cell r="N84">
            <v>0</v>
          </cell>
          <cell r="O84">
            <v>0</v>
          </cell>
          <cell r="P84">
            <v>1.4530000000000001</v>
          </cell>
          <cell r="Q84">
            <v>-4.4999999999999998E-2</v>
          </cell>
          <cell r="R84">
            <v>0.32799999999999996</v>
          </cell>
          <cell r="S84">
            <v>0.47</v>
          </cell>
          <cell r="T84">
            <v>0.78699999999999992</v>
          </cell>
          <cell r="U84">
            <v>0.78699999999999992</v>
          </cell>
          <cell r="V84">
            <v>2.1380000000000003</v>
          </cell>
          <cell r="W84">
            <v>3.9420000000000002</v>
          </cell>
          <cell r="X84">
            <v>4.742</v>
          </cell>
          <cell r="Y84">
            <v>5.2930000000000001</v>
          </cell>
          <cell r="Z84">
            <v>5.2929999999999993</v>
          </cell>
          <cell r="AA84">
            <v>224.76900000000001</v>
          </cell>
          <cell r="AB84">
            <v>224.761</v>
          </cell>
          <cell r="AC84">
            <v>225.059</v>
          </cell>
          <cell r="AD84">
            <v>236.23499999999999</v>
          </cell>
          <cell r="AE84">
            <v>236.23500000000001</v>
          </cell>
          <cell r="AF84">
            <v>6.718</v>
          </cell>
          <cell r="AG84">
            <v>18.353999999999999</v>
          </cell>
          <cell r="AH84">
            <v>19.107750000000046</v>
          </cell>
          <cell r="AI84">
            <v>19.86526875000007</v>
          </cell>
          <cell r="AJ84">
            <v>19.86526875000007</v>
          </cell>
          <cell r="AK84">
            <v>0.76130634374999495</v>
          </cell>
          <cell r="AL84">
            <v>1.5264192192187789</v>
          </cell>
          <cell r="AM84">
            <v>2.2953576590648712</v>
          </cell>
          <cell r="AN84">
            <v>3.0681407911102223</v>
          </cell>
          <cell r="AO84">
            <v>3.0681407911102223</v>
          </cell>
          <cell r="AP84">
            <v>0.77664704770558757</v>
          </cell>
          <cell r="AQ84">
            <v>1.5571773306496759</v>
          </cell>
          <cell r="AR84">
            <v>2.3416102650084589</v>
          </cell>
          <cell r="AS84">
            <v>3.1299653640390321</v>
          </cell>
          <cell r="AT84">
            <v>3.1299653640390321</v>
          </cell>
          <cell r="AU84">
            <v>0</v>
          </cell>
          <cell r="AV84">
            <v>0</v>
          </cell>
          <cell r="AW84">
            <v>0</v>
          </cell>
          <cell r="AX84">
            <v>0</v>
          </cell>
          <cell r="AY84">
            <v>0</v>
          </cell>
        </row>
        <row r="85">
          <cell r="A85" t="str">
            <v xml:space="preserve">   Proceeds from Term Debt</v>
          </cell>
          <cell r="K85">
            <v>0</v>
          </cell>
          <cell r="P85">
            <v>0</v>
          </cell>
          <cell r="Q85">
            <v>0</v>
          </cell>
          <cell r="R85">
            <v>0</v>
          </cell>
          <cell r="S85">
            <v>0</v>
          </cell>
          <cell r="T85">
            <v>0</v>
          </cell>
          <cell r="U85">
            <v>0</v>
          </cell>
          <cell r="V85">
            <v>-5.8000000000000003E-2</v>
          </cell>
          <cell r="W85">
            <v>-0.24099999999999999</v>
          </cell>
          <cell r="X85">
            <v>-0.47499999999999998</v>
          </cell>
          <cell r="Y85">
            <v>-0.71099999999999997</v>
          </cell>
          <cell r="Z85">
            <v>3</v>
          </cell>
          <cell r="AA85">
            <v>-2.2890000000000001</v>
          </cell>
          <cell r="AB85">
            <v>-2.2890000000000001</v>
          </cell>
          <cell r="AC85">
            <v>-2.2890000000000001</v>
          </cell>
          <cell r="AD85">
            <v>-2.2890000000000001</v>
          </cell>
          <cell r="AE85">
            <v>0</v>
          </cell>
          <cell r="AF85">
            <v>0</v>
          </cell>
          <cell r="AG85">
            <v>0</v>
          </cell>
          <cell r="AH85">
            <v>0</v>
          </cell>
          <cell r="AI85">
            <v>0</v>
          </cell>
          <cell r="AJ85">
            <v>0</v>
          </cell>
          <cell r="AK85">
            <v>0</v>
          </cell>
          <cell r="AL85">
            <v>0</v>
          </cell>
          <cell r="AM85">
            <v>0</v>
          </cell>
          <cell r="AN85">
            <v>0</v>
          </cell>
          <cell r="AO85">
            <v>0</v>
          </cell>
          <cell r="AP85">
            <v>0</v>
          </cell>
          <cell r="AQ85">
            <v>0</v>
          </cell>
          <cell r="AR85">
            <v>0</v>
          </cell>
          <cell r="AS85">
            <v>0</v>
          </cell>
          <cell r="AT85">
            <v>0</v>
          </cell>
          <cell r="AU85">
            <v>0</v>
          </cell>
          <cell r="AV85">
            <v>0</v>
          </cell>
          <cell r="AW85">
            <v>0</v>
          </cell>
          <cell r="AX85">
            <v>0</v>
          </cell>
          <cell r="AY85">
            <v>0</v>
          </cell>
        </row>
        <row r="86">
          <cell r="A86" t="str">
            <v>Exchange Rate Impact</v>
          </cell>
          <cell r="G86">
            <v>0</v>
          </cell>
          <cell r="H86">
            <v>0</v>
          </cell>
          <cell r="I86">
            <v>0</v>
          </cell>
          <cell r="J86">
            <v>0</v>
          </cell>
          <cell r="K86">
            <v>0</v>
          </cell>
          <cell r="L86">
            <v>0</v>
          </cell>
          <cell r="M86">
            <v>0</v>
          </cell>
          <cell r="N86">
            <v>0</v>
          </cell>
          <cell r="O86">
            <v>0</v>
          </cell>
          <cell r="P86">
            <v>0</v>
          </cell>
          <cell r="Q86">
            <v>0</v>
          </cell>
          <cell r="R86">
            <v>0</v>
          </cell>
          <cell r="S86">
            <v>0</v>
          </cell>
          <cell r="T86">
            <v>0</v>
          </cell>
          <cell r="U86">
            <v>0</v>
          </cell>
          <cell r="V86">
            <v>0</v>
          </cell>
          <cell r="W86">
            <v>0</v>
          </cell>
          <cell r="X86">
            <v>0</v>
          </cell>
          <cell r="Y86">
            <v>0</v>
          </cell>
          <cell r="Z86">
            <v>0</v>
          </cell>
          <cell r="AA86">
            <v>0</v>
          </cell>
          <cell r="AB86">
            <v>0</v>
          </cell>
          <cell r="AC86">
            <v>0</v>
          </cell>
          <cell r="AD86">
            <v>0.02</v>
          </cell>
          <cell r="AE86">
            <v>0.02</v>
          </cell>
          <cell r="AF86">
            <v>7.0000000000000001E-3</v>
          </cell>
          <cell r="AG86">
            <v>-5.1000000000000004E-2</v>
          </cell>
          <cell r="AH86">
            <v>-5.1000000000000004E-2</v>
          </cell>
          <cell r="AI86">
            <v>-5.1000000000000004E-2</v>
          </cell>
          <cell r="AJ86">
            <v>-5.1000000000000004E-2</v>
          </cell>
          <cell r="AK86">
            <v>0</v>
          </cell>
          <cell r="AL86">
            <v>0</v>
          </cell>
          <cell r="AM86">
            <v>0</v>
          </cell>
          <cell r="AN86">
            <v>0</v>
          </cell>
          <cell r="AO86">
            <v>0</v>
          </cell>
          <cell r="AP86">
            <v>0</v>
          </cell>
          <cell r="AQ86">
            <v>0</v>
          </cell>
          <cell r="AR86">
            <v>0</v>
          </cell>
          <cell r="AS86">
            <v>0</v>
          </cell>
          <cell r="AT86">
            <v>0</v>
          </cell>
          <cell r="AU86">
            <v>0.79229687452578901</v>
          </cell>
          <cell r="AV86">
            <v>1.5885552334241702</v>
          </cell>
          <cell r="AW86">
            <v>2.3887948841171234</v>
          </cell>
          <cell r="AX86">
            <v>3.1930357330633612</v>
          </cell>
          <cell r="AY86">
            <v>3.1930357330633612</v>
          </cell>
        </row>
        <row r="88">
          <cell r="A88" t="str">
            <v>Change in Cash and Cash Equivalents</v>
          </cell>
          <cell r="K88">
            <v>-8.3539999999999992</v>
          </cell>
          <cell r="L88">
            <v>0</v>
          </cell>
          <cell r="M88">
            <v>0</v>
          </cell>
          <cell r="N88">
            <v>0</v>
          </cell>
          <cell r="O88">
            <v>0</v>
          </cell>
          <cell r="P88">
            <v>7.0689999999999991</v>
          </cell>
          <cell r="Q88">
            <v>-4.4999999999999998E-2</v>
          </cell>
          <cell r="R88">
            <v>0.32799999999999996</v>
          </cell>
          <cell r="S88">
            <v>0.47</v>
          </cell>
          <cell r="T88">
            <v>0.94799999999999995</v>
          </cell>
          <cell r="U88">
            <v>7.931</v>
          </cell>
          <cell r="V88">
            <v>-1.6109999999999998</v>
          </cell>
          <cell r="W88">
            <v>-1.9540000000000006</v>
          </cell>
          <cell r="X88">
            <v>3.2459999999999987</v>
          </cell>
          <cell r="Y88">
            <v>11.862999999999996</v>
          </cell>
          <cell r="Z88">
            <v>11.862999999999996</v>
          </cell>
          <cell r="AA88">
            <v>234.47800000000001</v>
          </cell>
          <cell r="AB88">
            <v>236.679</v>
          </cell>
          <cell r="AC88">
            <v>241.72500000000002</v>
          </cell>
          <cell r="AD88">
            <v>274.34000000000003</v>
          </cell>
          <cell r="AE88">
            <v>274.34000000000003</v>
          </cell>
          <cell r="AF88">
            <v>25.312999999999999</v>
          </cell>
          <cell r="AG88">
            <v>41.174999999999997</v>
          </cell>
          <cell r="AH88">
            <v>47.720159734504051</v>
          </cell>
          <cell r="AI88">
            <v>74.729803547759161</v>
          </cell>
          <cell r="AJ88">
            <v>74.729803547759147</v>
          </cell>
          <cell r="AK88">
            <v>28.940570926174715</v>
          </cell>
          <cell r="AL88">
            <v>37.852067708450335</v>
          </cell>
          <cell r="AM88">
            <v>43.51758971030231</v>
          </cell>
          <cell r="AN88">
            <v>81.002652790127868</v>
          </cell>
          <cell r="AO88">
            <v>81.002652790127854</v>
          </cell>
          <cell r="AP88">
            <v>47.08123692001088</v>
          </cell>
          <cell r="AQ88">
            <v>57.117030375249968</v>
          </cell>
          <cell r="AR88">
            <v>59.851941088705431</v>
          </cell>
          <cell r="AS88">
            <v>111.12498682582839</v>
          </cell>
          <cell r="AT88">
            <v>111.12498682582839</v>
          </cell>
          <cell r="AU88">
            <v>0</v>
          </cell>
          <cell r="AV88">
            <v>0</v>
          </cell>
          <cell r="AW88">
            <v>0</v>
          </cell>
          <cell r="AX88">
            <v>0</v>
          </cell>
          <cell r="AY88">
            <v>0</v>
          </cell>
        </row>
        <row r="90">
          <cell r="A90" t="str">
            <v>Cash, beginning of Period</v>
          </cell>
          <cell r="K90">
            <v>13.09</v>
          </cell>
          <cell r="L90">
            <v>4.7360000000000007</v>
          </cell>
          <cell r="M90">
            <v>4.7360000000000007</v>
          </cell>
          <cell r="N90">
            <v>4.7360000000000007</v>
          </cell>
          <cell r="O90">
            <v>4.7360000000000007</v>
          </cell>
          <cell r="P90">
            <v>4.7360000000000007</v>
          </cell>
          <cell r="Q90">
            <v>11.805</v>
          </cell>
          <cell r="R90">
            <v>11.805</v>
          </cell>
          <cell r="S90">
            <v>11.805</v>
          </cell>
          <cell r="T90">
            <v>11.805</v>
          </cell>
          <cell r="U90">
            <v>11.805</v>
          </cell>
          <cell r="V90">
            <v>19.736000000000001</v>
          </cell>
          <cell r="W90">
            <v>19.736000000000001</v>
          </cell>
          <cell r="X90">
            <v>19.736000000000001</v>
          </cell>
          <cell r="Y90">
            <v>19.736000000000001</v>
          </cell>
          <cell r="Z90">
            <v>19.736000000000001</v>
          </cell>
          <cell r="AA90">
            <v>10.149000000000001</v>
          </cell>
          <cell r="AB90">
            <v>10.149000000000001</v>
          </cell>
          <cell r="AC90">
            <v>10.149000000000001</v>
          </cell>
          <cell r="AD90">
            <v>10.149000000000001</v>
          </cell>
          <cell r="AE90">
            <v>31.598999999999997</v>
          </cell>
          <cell r="AF90">
            <v>305.93900000000002</v>
          </cell>
          <cell r="AG90">
            <v>305.93900000000002</v>
          </cell>
          <cell r="AH90">
            <v>305.93900000000002</v>
          </cell>
          <cell r="AI90">
            <v>305.93900000000002</v>
          </cell>
          <cell r="AJ90">
            <v>305.93900000000002</v>
          </cell>
          <cell r="AK90">
            <v>269.94</v>
          </cell>
          <cell r="AL90">
            <v>269.94</v>
          </cell>
          <cell r="AM90">
            <v>269.94</v>
          </cell>
          <cell r="AN90">
            <v>269.94</v>
          </cell>
          <cell r="AO90">
            <v>380.66880354775918</v>
          </cell>
          <cell r="AP90">
            <v>298.8805709261747</v>
          </cell>
          <cell r="AQ90">
            <v>298.8805709261747</v>
          </cell>
          <cell r="AR90">
            <v>298.8805709261747</v>
          </cell>
          <cell r="AS90">
            <v>298.8805709261747</v>
          </cell>
          <cell r="AT90">
            <v>461.67145633788704</v>
          </cell>
          <cell r="AU90">
            <v>23.099605754976142</v>
          </cell>
          <cell r="AV90">
            <v>49.833847649323815</v>
          </cell>
          <cell r="AW90">
            <v>85.08215398951674</v>
          </cell>
          <cell r="AX90">
            <v>152.4740722838346</v>
          </cell>
          <cell r="AY90">
            <v>152.4740722838346</v>
          </cell>
        </row>
        <row r="92">
          <cell r="A92" t="str">
            <v>Cash, end of Period</v>
          </cell>
          <cell r="F92">
            <v>13.09</v>
          </cell>
          <cell r="G92">
            <v>0</v>
          </cell>
          <cell r="H92">
            <v>0</v>
          </cell>
          <cell r="I92">
            <v>0</v>
          </cell>
          <cell r="J92">
            <v>0</v>
          </cell>
          <cell r="K92">
            <v>4.7360000000000007</v>
          </cell>
          <cell r="L92">
            <v>4.7360000000000007</v>
          </cell>
          <cell r="M92">
            <v>4.7360000000000007</v>
          </cell>
          <cell r="N92">
            <v>4.7360000000000007</v>
          </cell>
          <cell r="O92">
            <v>4.7360000000000007</v>
          </cell>
          <cell r="P92">
            <v>11.805</v>
          </cell>
          <cell r="Q92">
            <v>11.76</v>
          </cell>
          <cell r="R92">
            <v>12.132999999999999</v>
          </cell>
          <cell r="S92">
            <v>12.275</v>
          </cell>
          <cell r="T92">
            <v>12.753</v>
          </cell>
          <cell r="U92">
            <v>19.736000000000001</v>
          </cell>
          <cell r="V92">
            <v>10.149000000000001</v>
          </cell>
          <cell r="W92">
            <v>17.782</v>
          </cell>
          <cell r="X92">
            <v>22.981999999999999</v>
          </cell>
          <cell r="Y92">
            <v>31.598999999999997</v>
          </cell>
          <cell r="Z92">
            <v>31.598999999999997</v>
          </cell>
          <cell r="AA92">
            <v>244.62700000000001</v>
          </cell>
          <cell r="AB92">
            <v>246.828</v>
          </cell>
          <cell r="AC92">
            <v>251.87400000000002</v>
          </cell>
          <cell r="AD92">
            <v>284.48900000000003</v>
          </cell>
          <cell r="AE92">
            <v>305.93900000000002</v>
          </cell>
          <cell r="AF92">
            <v>269.94</v>
          </cell>
          <cell r="AG92">
            <v>347.11400000000003</v>
          </cell>
          <cell r="AH92">
            <v>353.6591597345041</v>
          </cell>
          <cell r="AI92">
            <v>380.66880354775918</v>
          </cell>
          <cell r="AJ92">
            <v>380.66880354775918</v>
          </cell>
          <cell r="AK92">
            <v>298.8805709261747</v>
          </cell>
          <cell r="AL92">
            <v>307.7920677084503</v>
          </cell>
          <cell r="AM92">
            <v>313.45758971030233</v>
          </cell>
          <cell r="AN92">
            <v>350.94265279012785</v>
          </cell>
          <cell r="AO92">
            <v>461.67145633788704</v>
          </cell>
          <cell r="AP92">
            <v>345.96180784618559</v>
          </cell>
          <cell r="AQ92">
            <v>355.99760130142465</v>
          </cell>
          <cell r="AR92">
            <v>358.73251201488011</v>
          </cell>
          <cell r="AS92">
            <v>410.00555775200309</v>
          </cell>
          <cell r="AT92">
            <v>572.79644316371537</v>
          </cell>
          <cell r="AU92">
            <v>296.82755083706598</v>
          </cell>
          <cell r="AV92">
            <v>296.82755083706598</v>
          </cell>
          <cell r="AW92">
            <v>296.82755083706598</v>
          </cell>
          <cell r="AX92">
            <v>296.82755083706598</v>
          </cell>
          <cell r="AY92">
            <v>569.33632077145808</v>
          </cell>
        </row>
        <row r="93">
          <cell r="K93">
            <v>0</v>
          </cell>
          <cell r="L93">
            <v>0</v>
          </cell>
          <cell r="M93">
            <v>0</v>
          </cell>
          <cell r="N93">
            <v>0</v>
          </cell>
          <cell r="O93">
            <v>0</v>
          </cell>
          <cell r="P93">
            <v>0</v>
          </cell>
          <cell r="Q93">
            <v>0</v>
          </cell>
          <cell r="R93">
            <v>0</v>
          </cell>
          <cell r="S93">
            <v>0</v>
          </cell>
          <cell r="T93">
            <v>0</v>
          </cell>
          <cell r="U93">
            <v>0</v>
          </cell>
          <cell r="V93">
            <v>0</v>
          </cell>
          <cell r="W93">
            <v>0</v>
          </cell>
          <cell r="X93">
            <v>0</v>
          </cell>
          <cell r="Y93">
            <v>0</v>
          </cell>
          <cell r="Z93">
            <v>0</v>
          </cell>
          <cell r="AA93">
            <v>0</v>
          </cell>
          <cell r="AB93">
            <v>0</v>
          </cell>
          <cell r="AC93">
            <v>0</v>
          </cell>
          <cell r="AD93">
            <v>0</v>
          </cell>
          <cell r="AE93">
            <v>0</v>
          </cell>
          <cell r="AF93">
            <v>0</v>
          </cell>
          <cell r="AG93">
            <v>0</v>
          </cell>
          <cell r="AH93">
            <v>0</v>
          </cell>
          <cell r="AI93">
            <v>0</v>
          </cell>
          <cell r="AJ93">
            <v>0</v>
          </cell>
          <cell r="AK93">
            <v>0</v>
          </cell>
          <cell r="AL93">
            <v>0</v>
          </cell>
          <cell r="AM93">
            <v>0</v>
          </cell>
          <cell r="AN93">
            <v>0</v>
          </cell>
          <cell r="AO93">
            <v>0</v>
          </cell>
          <cell r="AP93">
            <v>0</v>
          </cell>
          <cell r="AQ93">
            <v>0</v>
          </cell>
          <cell r="AR93">
            <v>0</v>
          </cell>
          <cell r="AS93">
            <v>0</v>
          </cell>
          <cell r="AT93">
            <v>0</v>
          </cell>
        </row>
        <row r="94">
          <cell r="A94" t="str">
            <v>Cash, end of Period</v>
          </cell>
          <cell r="F94">
            <v>13.09</v>
          </cell>
          <cell r="G94" t="str">
            <v>OK</v>
          </cell>
          <cell r="H94" t="str">
            <v>OK</v>
          </cell>
          <cell r="I94" t="str">
            <v>OK</v>
          </cell>
          <cell r="J94" t="str">
            <v>OK</v>
          </cell>
          <cell r="K94" t="str">
            <v>OK</v>
          </cell>
          <cell r="L94" t="str">
            <v>OK</v>
          </cell>
          <cell r="M94" t="str">
            <v>OK</v>
          </cell>
          <cell r="N94" t="str">
            <v>OK</v>
          </cell>
          <cell r="O94" t="str">
            <v>OK</v>
          </cell>
          <cell r="P94" t="str">
            <v>OK</v>
          </cell>
          <cell r="Q94">
            <v>11.76</v>
          </cell>
          <cell r="R94">
            <v>12.132999999999999</v>
          </cell>
          <cell r="S94">
            <v>12.275</v>
          </cell>
          <cell r="T94">
            <v>12.753</v>
          </cell>
          <cell r="U94" t="str">
            <v>OK</v>
          </cell>
          <cell r="V94">
            <v>10.149000000000001</v>
          </cell>
          <cell r="W94">
            <v>17.782</v>
          </cell>
          <cell r="X94">
            <v>22.981999999999999</v>
          </cell>
          <cell r="Y94">
            <v>31.598999999999997</v>
          </cell>
          <cell r="Z94" t="str">
            <v>OK</v>
          </cell>
          <cell r="AA94">
            <v>244.62700000000001</v>
          </cell>
          <cell r="AB94">
            <v>246.828</v>
          </cell>
          <cell r="AC94">
            <v>251.87400000000002</v>
          </cell>
          <cell r="AD94">
            <v>284.48900000000003</v>
          </cell>
          <cell r="AE94" t="str">
            <v>OK</v>
          </cell>
          <cell r="AF94">
            <v>269.94</v>
          </cell>
          <cell r="AG94">
            <v>347.11400000000003</v>
          </cell>
          <cell r="AH94">
            <v>351.89500000000004</v>
          </cell>
          <cell r="AI94">
            <v>379.12696371732716</v>
          </cell>
          <cell r="AJ94" t="str">
            <v>OK</v>
          </cell>
          <cell r="AK94">
            <v>284.02251320579427</v>
          </cell>
          <cell r="AL94">
            <v>295.24047440045194</v>
          </cell>
          <cell r="AM94">
            <v>308.89444569052267</v>
          </cell>
          <cell r="AN94">
            <v>352.08680617344135</v>
          </cell>
          <cell r="AO94" t="str">
            <v>OK</v>
          </cell>
          <cell r="AP94">
            <v>296.82755083706598</v>
          </cell>
          <cell r="AQ94">
            <v>317.29320793964462</v>
          </cell>
          <cell r="AR94">
            <v>341.77901391847865</v>
          </cell>
          <cell r="AS94">
            <v>392.08506408648384</v>
          </cell>
          <cell r="AT94" t="str">
            <v>OK</v>
          </cell>
          <cell r="AU94">
            <v>319.92715659204214</v>
          </cell>
          <cell r="AV94">
            <v>346.66139848638977</v>
          </cell>
          <cell r="AW94">
            <v>381.9097048265827</v>
          </cell>
          <cell r="AX94">
            <v>449.30162312090056</v>
          </cell>
          <cell r="AY94">
            <v>721.81039305529271</v>
          </cell>
        </row>
        <row r="95">
          <cell r="K95">
            <v>0</v>
          </cell>
          <cell r="L95">
            <v>0</v>
          </cell>
          <cell r="M95">
            <v>0</v>
          </cell>
          <cell r="N95">
            <v>0</v>
          </cell>
          <cell r="O95">
            <v>0</v>
          </cell>
          <cell r="P95">
            <v>0</v>
          </cell>
          <cell r="Q95">
            <v>0</v>
          </cell>
          <cell r="R95">
            <v>0</v>
          </cell>
          <cell r="S95">
            <v>0</v>
          </cell>
          <cell r="T95">
            <v>0</v>
          </cell>
          <cell r="U95">
            <v>0</v>
          </cell>
          <cell r="V95">
            <v>0</v>
          </cell>
          <cell r="W95">
            <v>0</v>
          </cell>
          <cell r="X95">
            <v>0</v>
          </cell>
          <cell r="Y95">
            <v>0</v>
          </cell>
          <cell r="Z95">
            <v>0</v>
          </cell>
          <cell r="AA95">
            <v>0</v>
          </cell>
          <cell r="AB95">
            <v>0</v>
          </cell>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row>
        <row r="96">
          <cell r="A96" t="str">
            <v>Net Cash Provided by (used in) Operating Activities</v>
          </cell>
          <cell r="G96">
            <v>0</v>
          </cell>
          <cell r="H96">
            <v>0</v>
          </cell>
          <cell r="I96">
            <v>0</v>
          </cell>
          <cell r="J96">
            <v>0</v>
          </cell>
          <cell r="K96">
            <v>-11.229999999999999</v>
          </cell>
          <cell r="L96">
            <v>0</v>
          </cell>
          <cell r="M96">
            <v>0</v>
          </cell>
          <cell r="N96">
            <v>0</v>
          </cell>
          <cell r="O96">
            <v>0</v>
          </cell>
          <cell r="P96">
            <v>0.89699999999999935</v>
          </cell>
          <cell r="Q96">
            <v>-1.601</v>
          </cell>
          <cell r="R96">
            <v>1.655</v>
          </cell>
          <cell r="S96">
            <v>1.913</v>
          </cell>
          <cell r="T96">
            <v>6.6319999999999997</v>
          </cell>
          <cell r="U96">
            <v>8.5990000000000002</v>
          </cell>
          <cell r="V96">
            <v>-2.2530000000000001</v>
          </cell>
          <cell r="W96">
            <v>0.56299999999999883</v>
          </cell>
          <cell r="X96">
            <v>6.3</v>
          </cell>
          <cell r="Y96">
            <v>10.011999999999997</v>
          </cell>
          <cell r="Z96">
            <v>14.621999999999996</v>
          </cell>
          <cell r="AA96">
            <v>11.586000000000004</v>
          </cell>
          <cell r="AB96">
            <v>3.8059999999999996</v>
          </cell>
          <cell r="AC96">
            <v>6.48</v>
          </cell>
          <cell r="AD96">
            <v>24.776</v>
          </cell>
          <cell r="AE96">
            <v>46.647999999999996</v>
          </cell>
          <cell r="AF96">
            <v>19.850999999999999</v>
          </cell>
          <cell r="AG96">
            <v>6.2510000000000021</v>
          </cell>
          <cell r="AH96">
            <v>8.387002430494876</v>
          </cell>
          <cell r="AI96">
            <v>29.034837730342741</v>
          </cell>
          <cell r="AJ96">
            <v>63.523840160837615</v>
          </cell>
          <cell r="AK96">
            <v>31.724863198038463</v>
          </cell>
          <cell r="AL96">
            <v>11.956015619900711</v>
          </cell>
          <cell r="AM96">
            <v>9.0048883829701065</v>
          </cell>
          <cell r="AN96">
            <v>41.18202699395836</v>
          </cell>
          <cell r="AO96">
            <v>93.867794194867628</v>
          </cell>
          <cell r="AP96">
            <v>52.329277202015227</v>
          </cell>
          <cell r="AQ96">
            <v>15.67631879731913</v>
          </cell>
          <cell r="AR96">
            <v>8.7171525200568585</v>
          </cell>
          <cell r="AS96">
            <v>57.599385812533598</v>
          </cell>
          <cell r="AT96">
            <v>134.32213433192481</v>
          </cell>
          <cell r="AY96" t="str">
            <v>OK</v>
          </cell>
        </row>
        <row r="97">
          <cell r="A97" t="str">
            <v xml:space="preserve">  YoY % change</v>
          </cell>
          <cell r="L97" t="str">
            <v/>
          </cell>
          <cell r="M97" t="str">
            <v/>
          </cell>
          <cell r="N97" t="str">
            <v/>
          </cell>
          <cell r="O97" t="str">
            <v/>
          </cell>
          <cell r="P97">
            <v>-1.0798753339269813</v>
          </cell>
          <cell r="Q97" t="str">
            <v/>
          </cell>
          <cell r="R97" t="str">
            <v/>
          </cell>
          <cell r="S97" t="str">
            <v/>
          </cell>
          <cell r="T97" t="str">
            <v/>
          </cell>
          <cell r="U97">
            <v>8.5863991081382451</v>
          </cell>
          <cell r="V97">
            <v>0.40724547158026247</v>
          </cell>
          <cell r="W97">
            <v>-0.65981873111782541</v>
          </cell>
          <cell r="X97">
            <v>2.2932566649242028</v>
          </cell>
          <cell r="Y97">
            <v>0.50965018094089221</v>
          </cell>
          <cell r="Z97">
            <v>0.70043028259099849</v>
          </cell>
          <cell r="AA97">
            <v>-6.1424766977363534</v>
          </cell>
          <cell r="AB97">
            <v>5.7602131438721269</v>
          </cell>
          <cell r="AC97">
            <v>2.8571428571428692E-2</v>
          </cell>
          <cell r="AD97">
            <v>1.4746304434678392</v>
          </cell>
          <cell r="AE97">
            <v>2.1902612501709759</v>
          </cell>
          <cell r="AF97">
            <v>0.71336095287415779</v>
          </cell>
          <cell r="AG97">
            <v>0.64240672622175587</v>
          </cell>
          <cell r="AH97">
            <v>0.29429049853315981</v>
          </cell>
          <cell r="AI97">
            <v>0.17189367655564824</v>
          </cell>
          <cell r="AJ97">
            <v>0.36176985424536134</v>
          </cell>
          <cell r="AK97">
            <v>0.59814937272875235</v>
          </cell>
          <cell r="AL97">
            <v>0.91265647414824946</v>
          </cell>
          <cell r="AM97">
            <v>7.367184612092359E-2</v>
          </cell>
          <cell r="AN97">
            <v>0.41836601176941479</v>
          </cell>
          <cell r="AO97">
            <v>0.4776782064371643</v>
          </cell>
          <cell r="AP97">
            <v>0.64947211514692138</v>
          </cell>
          <cell r="AQ97">
            <v>0.31116580102371216</v>
          </cell>
          <cell r="AR97">
            <v>-3.1953295885089439E-2</v>
          </cell>
          <cell r="AS97">
            <v>0.39865349078091183</v>
          </cell>
          <cell r="AT97">
            <v>0.43097145814542959</v>
          </cell>
        </row>
        <row r="98">
          <cell r="A98" t="str">
            <v>Net Cash Provided by (used in) Operating Activities</v>
          </cell>
          <cell r="G98">
            <v>0</v>
          </cell>
          <cell r="H98">
            <v>0</v>
          </cell>
          <cell r="I98">
            <v>0</v>
          </cell>
          <cell r="J98">
            <v>0</v>
          </cell>
          <cell r="K98">
            <v>-11.229999999999999</v>
          </cell>
          <cell r="L98">
            <v>0</v>
          </cell>
          <cell r="M98">
            <v>0</v>
          </cell>
          <cell r="N98">
            <v>0</v>
          </cell>
          <cell r="O98">
            <v>0</v>
          </cell>
          <cell r="P98">
            <v>0.89699999999999935</v>
          </cell>
          <cell r="Q98">
            <v>-1.601</v>
          </cell>
          <cell r="R98">
            <v>1.655</v>
          </cell>
          <cell r="S98">
            <v>1.913</v>
          </cell>
          <cell r="T98">
            <v>6.6319999999999997</v>
          </cell>
          <cell r="U98">
            <v>8.5990000000000002</v>
          </cell>
          <cell r="V98">
            <v>-2.2530000000000001</v>
          </cell>
          <cell r="W98">
            <v>0.56299999999999883</v>
          </cell>
          <cell r="X98">
            <v>6.3</v>
          </cell>
          <cell r="Y98">
            <v>10.011999999999997</v>
          </cell>
          <cell r="Z98">
            <v>14.621999999999996</v>
          </cell>
          <cell r="AA98">
            <v>11.586000000000004</v>
          </cell>
          <cell r="AB98">
            <v>3.8059999999999996</v>
          </cell>
          <cell r="AC98">
            <v>6.48</v>
          </cell>
          <cell r="AD98">
            <v>24.776</v>
          </cell>
          <cell r="AE98">
            <v>46.647999999999996</v>
          </cell>
          <cell r="AF98">
            <v>19.850999999999999</v>
          </cell>
          <cell r="AG98">
            <v>6.2510000000000021</v>
          </cell>
          <cell r="AH98">
            <v>13.317</v>
          </cell>
          <cell r="AI98">
            <v>29.401454335006118</v>
          </cell>
          <cell r="AJ98">
            <v>68.820454335006133</v>
          </cell>
          <cell r="AK98">
            <v>17.120438888202859</v>
          </cell>
          <cell r="AL98">
            <v>14.549044331393675</v>
          </cell>
          <cell r="AM98">
            <v>17.309911612283315</v>
          </cell>
          <cell r="AN98">
            <v>47.257003574775453</v>
          </cell>
          <cell r="AO98">
            <v>96.236398406655297</v>
          </cell>
          <cell r="AP98">
            <v>18.483701784408037</v>
          </cell>
          <cell r="AQ98">
            <v>26.564416218357227</v>
          </cell>
          <cell r="AR98">
            <v>31.037223215603788</v>
          </cell>
          <cell r="AS98">
            <v>57.437129002937631</v>
          </cell>
          <cell r="AT98">
            <v>133.52247022130666</v>
          </cell>
          <cell r="AU98">
            <v>30.70443578795102</v>
          </cell>
          <cell r="AV98">
            <v>34.849330721746313</v>
          </cell>
          <cell r="AW98">
            <v>43.925049871488582</v>
          </cell>
          <cell r="AX98">
            <v>76.696969163758069</v>
          </cell>
          <cell r="AY98">
            <v>186.17578554494401</v>
          </cell>
        </row>
        <row r="99">
          <cell r="A99" t="str">
            <v>Free Cash Flow</v>
          </cell>
          <cell r="G99">
            <v>0</v>
          </cell>
          <cell r="H99">
            <v>0</v>
          </cell>
          <cell r="I99">
            <v>0</v>
          </cell>
          <cell r="J99">
            <v>0</v>
          </cell>
          <cell r="K99">
            <v>-13.388999999999999</v>
          </cell>
          <cell r="L99">
            <v>0</v>
          </cell>
          <cell r="M99">
            <v>0</v>
          </cell>
          <cell r="N99">
            <v>0</v>
          </cell>
          <cell r="O99">
            <v>0</v>
          </cell>
          <cell r="P99">
            <v>0.53799999999999937</v>
          </cell>
          <cell r="Q99">
            <v>-1.827</v>
          </cell>
          <cell r="R99">
            <v>1.4119999999999999</v>
          </cell>
          <cell r="S99">
            <v>1.6020000000000001</v>
          </cell>
          <cell r="T99">
            <v>5.7959999999999994</v>
          </cell>
          <cell r="U99">
            <v>6.9830000000000005</v>
          </cell>
          <cell r="V99">
            <v>-3.7490000000000001</v>
          </cell>
          <cell r="W99">
            <v>-2.1470000000000011</v>
          </cell>
          <cell r="X99">
            <v>4.4000000000000004</v>
          </cell>
          <cell r="Y99">
            <v>7.9379999999999971</v>
          </cell>
          <cell r="Z99">
            <v>6.4419999999999966</v>
          </cell>
          <cell r="AA99">
            <v>9.7090000000000032</v>
          </cell>
          <cell r="AB99">
            <v>2.2089999999999996</v>
          </cell>
          <cell r="AC99">
            <v>4.234</v>
          </cell>
          <cell r="AD99">
            <v>21.419</v>
          </cell>
          <cell r="AE99">
            <v>37.570999999999998</v>
          </cell>
          <cell r="AF99">
            <v>18.588000000000001</v>
          </cell>
          <cell r="AG99">
            <v>4.2840000000000025</v>
          </cell>
          <cell r="AH99">
            <v>5.7914097345039988</v>
          </cell>
          <cell r="AI99">
            <v>26.252125063255079</v>
          </cell>
          <cell r="AJ99">
            <v>54.915534797759079</v>
          </cell>
          <cell r="AK99">
            <v>28.179264582424718</v>
          </cell>
          <cell r="AL99">
            <v>8.1463839068068378</v>
          </cell>
          <cell r="AM99">
            <v>4.8965835620058797</v>
          </cell>
          <cell r="AN99">
            <v>36.712279947780203</v>
          </cell>
          <cell r="AO99">
            <v>77.93451199901763</v>
          </cell>
          <cell r="AP99">
            <v>46.304589872305293</v>
          </cell>
          <cell r="AQ99">
            <v>9.2552631722949954</v>
          </cell>
          <cell r="AR99">
            <v>1.9504777790966834</v>
          </cell>
          <cell r="AS99">
            <v>50.484690638092374</v>
          </cell>
          <cell r="AT99">
            <v>107.99502146178935</v>
          </cell>
          <cell r="AU99">
            <v>0.66116269057380084</v>
          </cell>
          <cell r="AV99">
            <v>0.31188016462653634</v>
          </cell>
          <cell r="AW99">
            <v>0.41523774747366926</v>
          </cell>
          <cell r="AX99">
            <v>0.33532038413402221</v>
          </cell>
          <cell r="AY99">
            <v>0.39434048243990061</v>
          </cell>
        </row>
        <row r="100">
          <cell r="A100" t="str">
            <v>YoY Growth</v>
          </cell>
          <cell r="L100" t="str">
            <v/>
          </cell>
          <cell r="M100" t="str">
            <v/>
          </cell>
          <cell r="N100" t="str">
            <v/>
          </cell>
          <cell r="O100" t="str">
            <v/>
          </cell>
          <cell r="P100">
            <v>-1.0401822391515423</v>
          </cell>
          <cell r="Q100" t="str">
            <v/>
          </cell>
          <cell r="R100" t="str">
            <v/>
          </cell>
          <cell r="S100" t="str">
            <v/>
          </cell>
          <cell r="T100" t="str">
            <v/>
          </cell>
          <cell r="U100">
            <v>11.979553903345741</v>
          </cell>
          <cell r="V100">
            <v>1.0519978106185004</v>
          </cell>
          <cell r="W100">
            <v>-2.5205382436260635</v>
          </cell>
          <cell r="X100">
            <v>1.7465667915106118</v>
          </cell>
          <cell r="Y100">
            <v>0.36956521739130399</v>
          </cell>
          <cell r="Z100">
            <v>-7.7473865100959993E-2</v>
          </cell>
          <cell r="AA100">
            <v>-3.5897572686049619</v>
          </cell>
          <cell r="AB100">
            <v>-2.0288775034932458</v>
          </cell>
          <cell r="AC100">
            <v>-3.7727272727272831E-2</v>
          </cell>
          <cell r="AD100">
            <v>1.6982867220962468</v>
          </cell>
          <cell r="AE100">
            <v>4.8321949705060572</v>
          </cell>
          <cell r="AF100">
            <v>0.91451230816767892</v>
          </cell>
          <cell r="AG100">
            <v>0.93933906745133688</v>
          </cell>
          <cell r="AH100">
            <v>0.36783413663297093</v>
          </cell>
          <cell r="AI100">
            <v>0.22564662511111999</v>
          </cell>
          <cell r="AJ100">
            <v>0.46164687652069625</v>
          </cell>
          <cell r="AK100">
            <v>0.51599228439986633</v>
          </cell>
          <cell r="AL100">
            <v>0.90158354500626348</v>
          </cell>
          <cell r="AM100">
            <v>-0.15450921511681914</v>
          </cell>
          <cell r="AN100">
            <v>0.39844983441611492</v>
          </cell>
          <cell r="AO100">
            <v>0.41917059145525948</v>
          </cell>
          <cell r="AP100">
            <v>0.64321498656800502</v>
          </cell>
          <cell r="AQ100">
            <v>0.13611920063841043</v>
          </cell>
          <cell r="AR100">
            <v>-0.60166557878618687</v>
          </cell>
          <cell r="AS100">
            <v>0.37514452139453458</v>
          </cell>
          <cell r="AT100">
            <v>0.38571498931244519</v>
          </cell>
        </row>
        <row r="101">
          <cell r="A101" t="str">
            <v>Free Cash Flow</v>
          </cell>
          <cell r="G101">
            <v>0</v>
          </cell>
          <cell r="H101">
            <v>0</v>
          </cell>
          <cell r="I101">
            <v>0</v>
          </cell>
          <cell r="J101">
            <v>0</v>
          </cell>
          <cell r="K101">
            <v>-13.388999999999999</v>
          </cell>
          <cell r="L101">
            <v>0</v>
          </cell>
          <cell r="M101">
            <v>0</v>
          </cell>
          <cell r="N101">
            <v>0</v>
          </cell>
          <cell r="O101">
            <v>0</v>
          </cell>
          <cell r="P101">
            <v>0.53799999999999937</v>
          </cell>
          <cell r="Q101">
            <v>-1.827</v>
          </cell>
          <cell r="R101">
            <v>1.4119999999999999</v>
          </cell>
          <cell r="S101">
            <v>1.6020000000000001</v>
          </cell>
          <cell r="T101">
            <v>5.7959999999999994</v>
          </cell>
          <cell r="U101">
            <v>6.9830000000000005</v>
          </cell>
          <cell r="V101">
            <v>-3.7490000000000001</v>
          </cell>
          <cell r="W101">
            <v>-2.1470000000000011</v>
          </cell>
          <cell r="X101">
            <v>4.4000000000000004</v>
          </cell>
          <cell r="Y101">
            <v>7.9379999999999971</v>
          </cell>
          <cell r="Z101">
            <v>6.4419999999999966</v>
          </cell>
          <cell r="AA101">
            <v>9.7090000000000032</v>
          </cell>
          <cell r="AB101">
            <v>2.2089999999999996</v>
          </cell>
          <cell r="AC101">
            <v>4.234</v>
          </cell>
          <cell r="AD101">
            <v>21.419</v>
          </cell>
          <cell r="AE101">
            <v>37.570999999999998</v>
          </cell>
          <cell r="AF101">
            <v>18.588000000000001</v>
          </cell>
          <cell r="AG101">
            <v>4.2840000000000025</v>
          </cell>
          <cell r="AH101">
            <v>9.282</v>
          </cell>
          <cell r="AI101">
            <v>26.474444967327099</v>
          </cell>
          <cell r="AJ101">
            <v>58.628444967327113</v>
          </cell>
          <cell r="AK101">
            <v>13.321206862044232</v>
          </cell>
          <cell r="AL101">
            <v>10.45284831918892</v>
          </cell>
          <cell r="AM101">
            <v>12.885032850224661</v>
          </cell>
          <cell r="AN101">
            <v>42.419577350873368</v>
          </cell>
          <cell r="AO101">
            <v>79.078665382331167</v>
          </cell>
          <cell r="AP101">
            <v>12.028390583566136</v>
          </cell>
          <cell r="AQ101">
            <v>19.685126819634533</v>
          </cell>
          <cell r="AR101">
            <v>23.701373044475211</v>
          </cell>
          <cell r="AS101">
            <v>49.517695068974689</v>
          </cell>
          <cell r="AT101">
            <v>104.93258551665055</v>
          </cell>
          <cell r="AU101">
            <v>22.307308880450353</v>
          </cell>
          <cell r="AV101">
            <v>25.937983535449284</v>
          </cell>
          <cell r="AW101">
            <v>34.448066689499974</v>
          </cell>
          <cell r="AX101">
            <v>66.587677445371611</v>
          </cell>
          <cell r="AY101">
            <v>149.28103655077123</v>
          </cell>
        </row>
        <row r="102">
          <cell r="A102" t="str">
            <v xml:space="preserve">Adjusted FCF </v>
          </cell>
          <cell r="K102">
            <v>72.680000000000007</v>
          </cell>
          <cell r="L102">
            <v>1.7250000000000001E-2</v>
          </cell>
          <cell r="M102">
            <v>1.7250000000000001E-2</v>
          </cell>
          <cell r="N102">
            <v>1.7250000000000001E-2</v>
          </cell>
          <cell r="O102">
            <v>1.7250000000000001E-2</v>
          </cell>
          <cell r="P102">
            <v>0.60789772727272662</v>
          </cell>
          <cell r="Q102">
            <v>-1.8399137055837562</v>
          </cell>
          <cell r="R102">
            <v>1.3901256117455139</v>
          </cell>
          <cell r="S102">
            <v>1.6050594648166503</v>
          </cell>
          <cell r="T102">
            <v>6.2294372128637052</v>
          </cell>
          <cell r="U102">
            <v>7.393079675572519</v>
          </cell>
          <cell r="V102">
            <v>-3.266</v>
          </cell>
          <cell r="W102">
            <v>-1.511000000000001</v>
          </cell>
          <cell r="X102">
            <v>4.8754370190360472</v>
          </cell>
          <cell r="Y102">
            <v>8.4379999999999971</v>
          </cell>
          <cell r="Z102">
            <v>8.5421108856355961</v>
          </cell>
          <cell r="AA102">
            <v>9.7268514431239428</v>
          </cell>
          <cell r="AB102">
            <v>2.0840279232111691</v>
          </cell>
          <cell r="AC102">
            <v>4.1971641566265063</v>
          </cell>
          <cell r="AD102">
            <v>21.385118296046585</v>
          </cell>
          <cell r="AE102">
            <v>37.347132625994689</v>
          </cell>
          <cell r="AF102">
            <v>18.623506957502823</v>
          </cell>
          <cell r="AG102">
            <v>4.319159235668792</v>
          </cell>
          <cell r="AH102">
            <v>5.3871222756917998</v>
          </cell>
          <cell r="AI102">
            <v>26.004431690661388</v>
          </cell>
          <cell r="AJ102">
            <v>55.477905201626989</v>
          </cell>
          <cell r="AK102">
            <v>27.281246004501185</v>
          </cell>
          <cell r="AL102">
            <v>7.3508829701493426</v>
          </cell>
          <cell r="AM102">
            <v>4.0816153755072699</v>
          </cell>
          <cell r="AN102">
            <v>35.863907161264081</v>
          </cell>
          <cell r="AO102">
            <v>74.744107273372137</v>
          </cell>
          <cell r="AP102">
            <v>45.426626802169082</v>
          </cell>
          <cell r="AQ102">
            <v>8.2518412757466066</v>
          </cell>
          <cell r="AR102">
            <v>0.92661583606043108</v>
          </cell>
          <cell r="AS102">
            <v>49.441643843239191</v>
          </cell>
          <cell r="AT102">
            <v>104.0244406300598</v>
          </cell>
          <cell r="AU102">
            <v>0.85455474907240325</v>
          </cell>
          <cell r="AV102">
            <v>0.31764371005108116</v>
          </cell>
          <cell r="AW102">
            <v>0.45342072059955263</v>
          </cell>
          <cell r="AX102">
            <v>0.34472489788992866</v>
          </cell>
          <cell r="AY102">
            <v>0.42263755167915451</v>
          </cell>
        </row>
        <row r="103">
          <cell r="A103" t="str">
            <v>YoY Growth</v>
          </cell>
          <cell r="L103" t="str">
            <v/>
          </cell>
          <cell r="M103" t="str">
            <v/>
          </cell>
          <cell r="N103" t="str">
            <v/>
          </cell>
          <cell r="O103" t="str">
            <v/>
          </cell>
          <cell r="P103">
            <v>-0.99163596963025968</v>
          </cell>
          <cell r="Q103">
            <v>-107.66166409181194</v>
          </cell>
          <cell r="R103">
            <v>79.586991985247167</v>
          </cell>
          <cell r="S103">
            <v>92.046925496617405</v>
          </cell>
          <cell r="T103">
            <v>360.12679494862056</v>
          </cell>
          <cell r="U103">
            <v>11.16171626227465</v>
          </cell>
          <cell r="V103">
            <v>0.7750832498765392</v>
          </cell>
          <cell r="W103">
            <v>-2.0869521338454522</v>
          </cell>
          <cell r="X103">
            <v>2.0375429234286844</v>
          </cell>
          <cell r="Y103">
            <v>0.3545364872729817</v>
          </cell>
          <cell r="Z103">
            <v>0.15541983320693697</v>
          </cell>
          <cell r="AA103">
            <v>-3.9782153836876737</v>
          </cell>
          <cell r="AB103">
            <v>-2.3792375401794628</v>
          </cell>
          <cell r="AC103">
            <v>-0.13912042341255526</v>
          </cell>
          <cell r="AD103">
            <v>1.5343823531697787</v>
          </cell>
          <cell r="AE103">
            <v>3.3721198572588875</v>
          </cell>
          <cell r="AF103">
            <v>0.91464905847493538</v>
          </cell>
          <cell r="AG103">
            <v>1.0725054532924041</v>
          </cell>
          <cell r="AH103">
            <v>0.28351479109688404</v>
          </cell>
          <cell r="AI103">
            <v>0.21600597811370359</v>
          </cell>
          <cell r="AJ103">
            <v>0.48546625405487642</v>
          </cell>
          <cell r="AK103">
            <v>0.46488231602965802</v>
          </cell>
          <cell r="AL103">
            <v>0.70192451101217834</v>
          </cell>
          <cell r="AM103">
            <v>-0.24233845704140433</v>
          </cell>
          <cell r="AN103">
            <v>0.37914596972882086</v>
          </cell>
          <cell r="AO103">
            <v>0.34727702860669885</v>
          </cell>
          <cell r="AP103">
            <v>0.66512287579071927</v>
          </cell>
          <cell r="AQ103">
            <v>0.1225646373715783</v>
          </cell>
          <cell r="AR103">
            <v>-0.77297815918157897</v>
          </cell>
          <cell r="AS103">
            <v>0.37859055960975052</v>
          </cell>
          <cell r="AT103">
            <v>0.39174102715009473</v>
          </cell>
        </row>
        <row r="104">
          <cell r="A104" t="str">
            <v xml:space="preserve">Adjusted FCF </v>
          </cell>
          <cell r="K104">
            <v>72.680000000000007</v>
          </cell>
          <cell r="L104">
            <v>1.7250000000000001E-2</v>
          </cell>
          <cell r="M104">
            <v>1.7250000000000001E-2</v>
          </cell>
          <cell r="N104">
            <v>1.7250000000000001E-2</v>
          </cell>
          <cell r="O104">
            <v>1.7250000000000001E-2</v>
          </cell>
          <cell r="P104">
            <v>0.60789772727272662</v>
          </cell>
          <cell r="Q104">
            <v>-1.8399137055837562</v>
          </cell>
          <cell r="R104">
            <v>1.3901256117455139</v>
          </cell>
          <cell r="S104">
            <v>1.6050594648166503</v>
          </cell>
          <cell r="T104">
            <v>6.2294372128637052</v>
          </cell>
          <cell r="U104">
            <v>7.393079675572519</v>
          </cell>
          <cell r="V104">
            <v>-3.266</v>
          </cell>
          <cell r="W104">
            <v>-1.511000000000001</v>
          </cell>
          <cell r="X104">
            <v>4.8754370190360472</v>
          </cell>
          <cell r="Y104">
            <v>8.4379999999999971</v>
          </cell>
          <cell r="Z104">
            <v>8.5421108856355961</v>
          </cell>
          <cell r="AA104">
            <v>9.7268514431239428</v>
          </cell>
          <cell r="AB104">
            <v>2.0840279232111691</v>
          </cell>
          <cell r="AC104">
            <v>4.1971641566265063</v>
          </cell>
          <cell r="AD104">
            <v>21.385118296046585</v>
          </cell>
          <cell r="AE104">
            <v>37.347132625994689</v>
          </cell>
          <cell r="AF104">
            <v>18.623506957502823</v>
          </cell>
          <cell r="AG104">
            <v>4.319159235668792</v>
          </cell>
          <cell r="AH104">
            <v>5.4775882352945642</v>
          </cell>
          <cell r="AI104">
            <v>26.251414781278712</v>
          </cell>
          <cell r="AJ104">
            <v>60.662400429890596</v>
          </cell>
          <cell r="AK104">
            <v>12.534189581710777</v>
          </cell>
          <cell r="AL104">
            <v>9.6850583804737127</v>
          </cell>
          <cell r="AM104">
            <v>12.08886003409107</v>
          </cell>
          <cell r="AN104">
            <v>41.583414532057667</v>
          </cell>
          <cell r="AO104">
            <v>75.950269365912106</v>
          </cell>
          <cell r="AP104">
            <v>11.154692405593419</v>
          </cell>
          <cell r="AQ104">
            <v>18.746930221323687</v>
          </cell>
          <cell r="AR104">
            <v>22.720399340660389</v>
          </cell>
          <cell r="AS104">
            <v>48.479634527767786</v>
          </cell>
          <cell r="AT104">
            <v>101.06910313194355</v>
          </cell>
          <cell r="AU104">
            <v>21.279647265201227</v>
          </cell>
          <cell r="AV104">
            <v>24.786730978429777</v>
          </cell>
          <cell r="AW104">
            <v>33.237636952638766</v>
          </cell>
          <cell r="AX104">
            <v>65.278840495849664</v>
          </cell>
          <cell r="AY104">
            <v>144.52811023876399</v>
          </cell>
        </row>
        <row r="105">
          <cell r="A105" t="str">
            <v>Adj. FCF / Share</v>
          </cell>
          <cell r="L105" t="str">
            <v/>
          </cell>
          <cell r="M105" t="str">
            <v/>
          </cell>
          <cell r="N105" t="str">
            <v/>
          </cell>
          <cell r="O105" t="str">
            <v/>
          </cell>
          <cell r="P105">
            <v>-0.99163596963025968</v>
          </cell>
          <cell r="Q105">
            <v>-2.4641261391543313E-2</v>
          </cell>
          <cell r="R105">
            <v>1.8617421274783223E-2</v>
          </cell>
          <cell r="S105">
            <v>2.1495948261861176E-2</v>
          </cell>
          <cell r="T105">
            <v>8.3428472878123217E-2</v>
          </cell>
          <cell r="U105">
            <v>9.9012691856920215E-2</v>
          </cell>
          <cell r="V105">
            <v>-4.3021800698149246E-2</v>
          </cell>
          <cell r="W105">
            <v>-2.0079333966764798E-2</v>
          </cell>
          <cell r="X105">
            <v>6.3800841690420884E-2</v>
          </cell>
          <cell r="Y105">
            <v>0.10958583877712695</v>
          </cell>
          <cell r="Z105">
            <v>0.11218142747287228</v>
          </cell>
          <cell r="AA105">
            <v>0.10283932041829867</v>
          </cell>
          <cell r="AB105">
            <v>2.1818169593282619E-2</v>
          </cell>
          <cell r="AC105">
            <v>4.3416993272299927E-2</v>
          </cell>
          <cell r="AD105">
            <v>0.18496837171687572</v>
          </cell>
          <cell r="AE105">
            <v>0.46540802813840804</v>
          </cell>
          <cell r="AF105">
            <v>0.18255655499194062</v>
          </cell>
          <cell r="AG105">
            <v>4.1490482571266016E-2</v>
          </cell>
          <cell r="AH105">
            <v>5.1736758129344237E-2</v>
          </cell>
          <cell r="AI105">
            <v>0.21477438006526595</v>
          </cell>
          <cell r="AJ105">
            <v>0.53521929156847081</v>
          </cell>
          <cell r="AK105">
            <v>0.26073859280097617</v>
          </cell>
          <cell r="AL105">
            <v>6.0418224042987273E-2</v>
          </cell>
          <cell r="AM105">
            <v>3.3465949022974457E-2</v>
          </cell>
          <cell r="AN105">
            <v>0.29333817878628721</v>
          </cell>
          <cell r="AO105">
            <v>0.63541458151057262</v>
          </cell>
          <cell r="AP105">
            <v>0.3706454735528959</v>
          </cell>
          <cell r="AQ105">
            <v>6.7163543232770712E-2</v>
          </cell>
          <cell r="AR105">
            <v>7.5234020928510916E-3</v>
          </cell>
          <cell r="AS105">
            <v>0.40043919407265022</v>
          </cell>
          <cell r="AT105">
            <v>0.84563128450385228</v>
          </cell>
          <cell r="AU105">
            <v>0.9076857067372599</v>
          </cell>
          <cell r="AV105">
            <v>0.32217545410374027</v>
          </cell>
          <cell r="AW105">
            <v>0.46289844884710041</v>
          </cell>
          <cell r="AX105">
            <v>0.34652088720800411</v>
          </cell>
          <cell r="AY105">
            <v>0.42999300241227667</v>
          </cell>
        </row>
        <row r="107">
          <cell r="A107" t="str">
            <v>Supplemental cash flow disclosures:</v>
          </cell>
          <cell r="Q107">
            <v>-2.4641261391543313E-2</v>
          </cell>
          <cell r="R107">
            <v>1.8617421274783223E-2</v>
          </cell>
          <cell r="S107">
            <v>2.1495948261861176E-2</v>
          </cell>
          <cell r="T107">
            <v>8.3428472878123217E-2</v>
          </cell>
          <cell r="U107">
            <v>9.9012691856920215E-2</v>
          </cell>
          <cell r="V107">
            <v>-4.3021800698149246E-2</v>
          </cell>
          <cell r="W107">
            <v>-2.0079333966764798E-2</v>
          </cell>
          <cell r="X107">
            <v>6.3800841690420884E-2</v>
          </cell>
          <cell r="Y107">
            <v>0.10958583877712695</v>
          </cell>
          <cell r="Z107">
            <v>0.11218142747287228</v>
          </cell>
          <cell r="AA107">
            <v>0.10283932041829867</v>
          </cell>
          <cell r="AB107">
            <v>2.1818169593282619E-2</v>
          </cell>
          <cell r="AC107">
            <v>4.3416993272299927E-2</v>
          </cell>
          <cell r="AD107">
            <v>0.18496837171687572</v>
          </cell>
          <cell r="AE107">
            <v>0.46540802813840804</v>
          </cell>
          <cell r="AF107">
            <v>0.18255655499194062</v>
          </cell>
          <cell r="AG107">
            <v>4.1490482571266016E-2</v>
          </cell>
          <cell r="AH107">
            <v>5.1671460977422125E-2</v>
          </cell>
          <cell r="AI107">
            <v>0.21681424930005444</v>
          </cell>
          <cell r="AJ107">
            <v>0.56013179956247694</v>
          </cell>
          <cell r="AK107">
            <v>0.11979463668546173</v>
          </cell>
          <cell r="AL107">
            <v>7.9603229908173062E-2</v>
          </cell>
          <cell r="AM107">
            <v>9.9118887113777837E-2</v>
          </cell>
          <cell r="AN107">
            <v>0.34011919090968018</v>
          </cell>
          <cell r="AO107">
            <v>0.64566840631661504</v>
          </cell>
          <cell r="AP107">
            <v>9.1013498911406046E-2</v>
          </cell>
          <cell r="AQ107">
            <v>0.15258537050419549</v>
          </cell>
          <cell r="AR107">
            <v>0.18447202529656431</v>
          </cell>
          <cell r="AS107">
            <v>0.3926476603566767</v>
          </cell>
          <cell r="AT107">
            <v>0.82160687418703027</v>
          </cell>
          <cell r="AU107">
            <v>0.17192321437884989</v>
          </cell>
          <cell r="AV107">
            <v>0.19976208900033815</v>
          </cell>
          <cell r="AW107">
            <v>0.2672052439287016</v>
          </cell>
          <cell r="AX107">
            <v>0.52348662191087236</v>
          </cell>
          <cell r="AY107">
            <v>1.1633318695727386</v>
          </cell>
        </row>
        <row r="108">
          <cell r="A108" t="str">
            <v>Income Taxes Paid</v>
          </cell>
          <cell r="Q108">
            <v>0</v>
          </cell>
          <cell r="R108">
            <v>0</v>
          </cell>
          <cell r="S108">
            <v>0</v>
          </cell>
          <cell r="T108">
            <v>0</v>
          </cell>
          <cell r="V108">
            <v>0</v>
          </cell>
          <cell r="W108">
            <v>0</v>
          </cell>
        </row>
        <row r="109">
          <cell r="A109" t="str">
            <v>Interest paid</v>
          </cell>
          <cell r="Q109">
            <v>0</v>
          </cell>
          <cell r="R109">
            <v>0</v>
          </cell>
          <cell r="S109">
            <v>0</v>
          </cell>
          <cell r="T109">
            <v>0</v>
          </cell>
          <cell r="V109">
            <v>0</v>
          </cell>
          <cell r="W109">
            <v>0</v>
          </cell>
        </row>
        <row r="110">
          <cell r="A110" t="str">
            <v>Income Taxes Paid</v>
          </cell>
          <cell r="Q110">
            <v>0</v>
          </cell>
          <cell r="R110">
            <v>0</v>
          </cell>
          <cell r="S110">
            <v>0</v>
          </cell>
          <cell r="T110">
            <v>0</v>
          </cell>
          <cell r="V110">
            <v>0</v>
          </cell>
          <cell r="W110">
            <v>0</v>
          </cell>
        </row>
        <row r="111">
          <cell r="A111" t="str">
            <v>Interest paid</v>
          </cell>
          <cell r="Q111">
            <v>0</v>
          </cell>
          <cell r="R111">
            <v>0</v>
          </cell>
          <cell r="S111">
            <v>0</v>
          </cell>
          <cell r="T111">
            <v>0</v>
          </cell>
          <cell r="V111">
            <v>0</v>
          </cell>
          <cell r="W111">
            <v>0</v>
          </cell>
        </row>
      </sheetData>
      <sheetData sheetId="8" refreshError="1"/>
      <sheetData sheetId="9" refreshError="1">
        <row r="1">
          <cell r="A1" t="str">
            <v>Splunk Inc.</v>
          </cell>
          <cell r="AE1" t="str">
            <v xml:space="preserve"> </v>
          </cell>
        </row>
        <row r="2">
          <cell r="A2" t="str">
            <v>Discounted Cash Flow Analysis</v>
          </cell>
          <cell r="AE2" t="str">
            <v xml:space="preserve"> </v>
          </cell>
        </row>
        <row r="3">
          <cell r="AE3" t="str">
            <v xml:space="preserve"> </v>
          </cell>
        </row>
        <row r="4">
          <cell r="A4" t="str">
            <v>($ Millions, Except Per-Share Data)</v>
          </cell>
          <cell r="AE4" t="str">
            <v xml:space="preserve"> </v>
          </cell>
        </row>
        <row r="5">
          <cell r="A5" t="str">
            <v>Latest Calendar Year</v>
          </cell>
          <cell r="B5">
            <v>41639</v>
          </cell>
          <cell r="AE5" t="str">
            <v xml:space="preserve"> </v>
          </cell>
        </row>
        <row r="6">
          <cell r="A6" t="str">
            <v>Current Valuation Date</v>
          </cell>
          <cell r="B6">
            <v>42012</v>
          </cell>
          <cell r="AE6" t="str">
            <v xml:space="preserve"> </v>
          </cell>
        </row>
        <row r="7">
          <cell r="A7" t="str">
            <v>Implied Days Before Valuation Date</v>
          </cell>
          <cell r="B7">
            <v>373</v>
          </cell>
          <cell r="AE7" t="str">
            <v xml:space="preserve"> </v>
          </cell>
        </row>
        <row r="8">
          <cell r="A8" t="str">
            <v>Implied Days Left After Valuation Date</v>
          </cell>
          <cell r="B8">
            <v>-8</v>
          </cell>
          <cell r="D8" t="str">
            <v>One Year Price Target:</v>
          </cell>
          <cell r="G8">
            <v>76.376677523057964</v>
          </cell>
          <cell r="AE8" t="str">
            <v xml:space="preserve"> </v>
          </cell>
        </row>
        <row r="9">
          <cell r="D9" t="str">
            <v>% Undervalued (Overvalued)</v>
          </cell>
          <cell r="AE9" t="str">
            <v xml:space="preserve"> </v>
          </cell>
        </row>
        <row r="10">
          <cell r="AE10" t="str">
            <v xml:space="preserve"> </v>
          </cell>
        </row>
        <row r="11">
          <cell r="A11" t="str">
            <v>DCF Assumptions</v>
          </cell>
          <cell r="D11" t="str">
            <v>DCF Valuation</v>
          </cell>
          <cell r="G11" t="str">
            <v>Per Share</v>
          </cell>
          <cell r="H11" t="str">
            <v>% of Total</v>
          </cell>
          <cell r="U11" t="str">
            <v xml:space="preserve"> </v>
          </cell>
        </row>
        <row r="12">
          <cell r="A12" t="str">
            <v>Adjusted Beta (Raw Beta * 0.67 + 1.00 * 0.33)</v>
          </cell>
          <cell r="B12">
            <v>1.5</v>
          </cell>
          <cell r="D12" t="str">
            <v>Current Intrinsic Value</v>
          </cell>
          <cell r="G12">
            <v>68.254403505860552</v>
          </cell>
          <cell r="U12" t="str">
            <v xml:space="preserve"> </v>
          </cell>
        </row>
        <row r="13">
          <cell r="A13" t="str">
            <v>Estimated Beta (Used for WACC)</v>
          </cell>
          <cell r="B13">
            <v>1.5</v>
          </cell>
          <cell r="D13" t="str">
            <v>Current Stock Price</v>
          </cell>
          <cell r="G13">
            <v>65</v>
          </cell>
          <cell r="U13" t="str">
            <v xml:space="preserve"> </v>
          </cell>
        </row>
        <row r="14">
          <cell r="A14" t="str">
            <v>Expected Return on Market</v>
          </cell>
          <cell r="B14">
            <v>0.09</v>
          </cell>
          <cell r="D14" t="str">
            <v>Implied One-year Valuation</v>
          </cell>
          <cell r="G14">
            <v>76.376677523057964</v>
          </cell>
          <cell r="U14" t="str">
            <v xml:space="preserve"> </v>
          </cell>
        </row>
        <row r="15">
          <cell r="A15" t="str">
            <v>10 Year Treasury Yield</v>
          </cell>
          <cell r="B15">
            <v>3.2000000000000001E-2</v>
          </cell>
          <cell r="D15" t="str">
            <v>% Undervalued (Overvalued)</v>
          </cell>
          <cell r="U15" t="str">
            <v xml:space="preserve"> </v>
          </cell>
        </row>
        <row r="16">
          <cell r="A16" t="str">
            <v>Current Equity Risk Premium</v>
          </cell>
          <cell r="B16">
            <v>5.7999999999999996E-2</v>
          </cell>
          <cell r="U16" t="str">
            <v xml:space="preserve"> </v>
          </cell>
        </row>
        <row r="17">
          <cell r="A17" t="str">
            <v>LR Average Equity Risk Premium (Used for WACC)</v>
          </cell>
          <cell r="B17">
            <v>5.7999999999999996E-2</v>
          </cell>
          <cell r="D17" t="str">
            <v>Current Year for DCF</v>
          </cell>
          <cell r="G17">
            <v>2014</v>
          </cell>
          <cell r="U17" t="str">
            <v xml:space="preserve"> </v>
          </cell>
        </row>
        <row r="18">
          <cell r="A18" t="str">
            <v>Cost of Equity</v>
          </cell>
          <cell r="B18">
            <v>0.11899999999999999</v>
          </cell>
          <cell r="D18" t="str">
            <v>Sum of NPV of FCF</v>
          </cell>
          <cell r="G18">
            <v>8330.0196815955405</v>
          </cell>
          <cell r="H18">
            <v>0.9619435032053707</v>
          </cell>
          <cell r="U18" t="str">
            <v xml:space="preserve"> </v>
          </cell>
        </row>
        <row r="19">
          <cell r="A19" t="str">
            <v>Cost of LT Debt</v>
          </cell>
          <cell r="B19">
            <v>0</v>
          </cell>
          <cell r="D19" t="str">
            <v xml:space="preserve">     Excluding Terminal Value</v>
          </cell>
          <cell r="G19">
            <v>4417.1077269469051</v>
          </cell>
          <cell r="H19">
            <v>0.51008379851522256</v>
          </cell>
          <cell r="U19" t="str">
            <v xml:space="preserve"> </v>
          </cell>
        </row>
        <row r="20">
          <cell r="A20" t="str">
            <v>Tax Rate</v>
          </cell>
          <cell r="B20">
            <v>0.3</v>
          </cell>
          <cell r="D20" t="str">
            <v xml:space="preserve">     Terminal Value Only</v>
          </cell>
          <cell r="G20">
            <v>3912.9119546486354</v>
          </cell>
          <cell r="H20">
            <v>0.45185970469014819</v>
          </cell>
          <cell r="U20" t="str">
            <v xml:space="preserve"> </v>
          </cell>
        </row>
        <row r="21">
          <cell r="A21" t="str">
            <v>After-Tax Cost of Debt</v>
          </cell>
          <cell r="B21">
            <v>0</v>
          </cell>
          <cell r="D21" t="str">
            <v>Cash Market Value</v>
          </cell>
          <cell r="G21">
            <v>329.553</v>
          </cell>
          <cell r="H21">
            <v>3.8056496794629281E-2</v>
          </cell>
          <cell r="U21" t="str">
            <v xml:space="preserve"> </v>
          </cell>
        </row>
        <row r="22">
          <cell r="A22" t="str">
            <v>Debt/Capital Ratio</v>
          </cell>
          <cell r="B22">
            <v>0</v>
          </cell>
          <cell r="D22" t="str">
            <v>Debt Market Value</v>
          </cell>
          <cell r="G22">
            <v>0</v>
          </cell>
          <cell r="H22">
            <v>0</v>
          </cell>
          <cell r="U22" t="str">
            <v xml:space="preserve"> </v>
          </cell>
        </row>
        <row r="23">
          <cell r="A23" t="str">
            <v>WACC</v>
          </cell>
          <cell r="B23">
            <v>0.11899999999999999</v>
          </cell>
          <cell r="D23" t="str">
            <v>Total Equity Value</v>
          </cell>
          <cell r="G23">
            <v>8659.5726815955404</v>
          </cell>
          <cell r="H23">
            <v>1</v>
          </cell>
          <cell r="U23" t="str">
            <v xml:space="preserve"> </v>
          </cell>
        </row>
        <row r="24">
          <cell r="A24" t="str">
            <v>Terminal Growth Rate</v>
          </cell>
          <cell r="B24">
            <v>0.03</v>
          </cell>
          <cell r="D24" t="str">
            <v>FD Shares Outstanding</v>
          </cell>
          <cell r="G24">
            <v>126.872</v>
          </cell>
          <cell r="U24" t="str">
            <v xml:space="preserve"> </v>
          </cell>
        </row>
        <row r="25">
          <cell r="A25" t="str">
            <v>Terminal Value Multiple</v>
          </cell>
          <cell r="B25">
            <v>11.235955056179776</v>
          </cell>
          <cell r="U25" t="str">
            <v xml:space="preserve"> </v>
          </cell>
        </row>
        <row r="26">
          <cell r="AE26" t="str">
            <v xml:space="preserve"> </v>
          </cell>
        </row>
        <row r="27">
          <cell r="B27">
            <v>2010</v>
          </cell>
          <cell r="C27">
            <v>2011</v>
          </cell>
          <cell r="D27">
            <v>2012</v>
          </cell>
          <cell r="E27">
            <v>2013</v>
          </cell>
          <cell r="F27">
            <v>2014</v>
          </cell>
          <cell r="G27">
            <v>2015</v>
          </cell>
          <cell r="H27">
            <v>2016</v>
          </cell>
          <cell r="I27">
            <v>2017</v>
          </cell>
          <cell r="J27">
            <v>2018</v>
          </cell>
          <cell r="K27">
            <v>2019</v>
          </cell>
          <cell r="L27">
            <v>2020</v>
          </cell>
          <cell r="M27">
            <v>2021</v>
          </cell>
          <cell r="N27">
            <v>2022</v>
          </cell>
          <cell r="O27">
            <v>2023</v>
          </cell>
          <cell r="P27">
            <v>2024</v>
          </cell>
          <cell r="Q27">
            <v>2025</v>
          </cell>
          <cell r="R27">
            <v>2026</v>
          </cell>
          <cell r="S27">
            <v>2027</v>
          </cell>
          <cell r="T27">
            <v>2028</v>
          </cell>
          <cell r="U27">
            <v>2029</v>
          </cell>
          <cell r="AC27" t="str">
            <v xml:space="preserve"> </v>
          </cell>
        </row>
        <row r="28">
          <cell r="A28" t="str">
            <v>Fiscal year</v>
          </cell>
          <cell r="B28" t="str">
            <v>FY2010</v>
          </cell>
          <cell r="C28" t="str">
            <v>FY2011</v>
          </cell>
          <cell r="D28" t="str">
            <v>FY2012</v>
          </cell>
          <cell r="E28" t="str">
            <v>FY2013</v>
          </cell>
          <cell r="F28" t="str">
            <v>FY2014</v>
          </cell>
          <cell r="G28">
            <v>2015</v>
          </cell>
          <cell r="H28">
            <v>2016</v>
          </cell>
          <cell r="I28">
            <v>2017</v>
          </cell>
          <cell r="J28">
            <v>2018</v>
          </cell>
          <cell r="K28">
            <v>2019</v>
          </cell>
          <cell r="L28">
            <v>2020</v>
          </cell>
          <cell r="M28">
            <v>2021</v>
          </cell>
          <cell r="N28">
            <v>2022</v>
          </cell>
          <cell r="O28">
            <v>2023</v>
          </cell>
          <cell r="P28">
            <v>2024</v>
          </cell>
          <cell r="Q28">
            <v>2025</v>
          </cell>
          <cell r="R28">
            <v>2026</v>
          </cell>
          <cell r="S28">
            <v>2027</v>
          </cell>
          <cell r="T28">
            <v>2028</v>
          </cell>
          <cell r="AA28" t="str">
            <v xml:space="preserve"> </v>
          </cell>
        </row>
        <row r="29">
          <cell r="A29" t="str">
            <v>Free Cash Flow Analysis</v>
          </cell>
          <cell r="AA29" t="str">
            <v xml:space="preserve"> </v>
          </cell>
        </row>
        <row r="30">
          <cell r="A30" t="str">
            <v>Revenue</v>
          </cell>
          <cell r="B30">
            <v>35</v>
          </cell>
          <cell r="C30">
            <v>66.24499999999999</v>
          </cell>
          <cell r="D30">
            <v>120.761</v>
          </cell>
          <cell r="E30">
            <v>198.94400000000002</v>
          </cell>
          <cell r="F30">
            <v>302.62299999999999</v>
          </cell>
          <cell r="G30">
            <v>443.87398991029943</v>
          </cell>
          <cell r="H30">
            <v>591.87917414748972</v>
          </cell>
          <cell r="I30">
            <v>771.47877878923873</v>
          </cell>
          <cell r="J30">
            <v>987.44627184439139</v>
          </cell>
          <cell r="K30">
            <v>1234.2482394085976</v>
          </cell>
          <cell r="L30">
            <v>1505.7083551797421</v>
          </cell>
          <cell r="M30">
            <v>1791.7020609439144</v>
          </cell>
          <cell r="N30">
            <v>2078.2662469336155</v>
          </cell>
          <cell r="O30">
            <v>2348.3154187992018</v>
          </cell>
          <cell r="P30">
            <v>2594.7467978780192</v>
          </cell>
          <cell r="Q30">
            <v>2841.0911296474997</v>
          </cell>
          <cell r="R30">
            <v>3082.4123927587852</v>
          </cell>
          <cell r="S30">
            <v>3313.4072736100834</v>
          </cell>
          <cell r="T30">
            <v>3528.5787553732507</v>
          </cell>
          <cell r="AA30" t="str">
            <v xml:space="preserve"> </v>
          </cell>
        </row>
        <row r="31">
          <cell r="A31" t="str">
            <v>Operating Income (EBIT)</v>
          </cell>
          <cell r="B31">
            <v>-6.0030000000000001</v>
          </cell>
          <cell r="C31">
            <v>-1.7090000000000174</v>
          </cell>
          <cell r="D31">
            <v>-4.8139999999999965</v>
          </cell>
          <cell r="E31">
            <v>-1.6599999999999895</v>
          </cell>
          <cell r="F31">
            <v>-1.2150000000000389</v>
          </cell>
          <cell r="G31">
            <v>7.3200498686170912</v>
          </cell>
          <cell r="H31">
            <v>21.596909728442029</v>
          </cell>
          <cell r="I31">
            <v>51.294631645912766</v>
          </cell>
          <cell r="J31">
            <v>105.15188333320282</v>
          </cell>
          <cell r="K31">
            <v>180.80343697324662</v>
          </cell>
          <cell r="L31">
            <v>280.79761435967873</v>
          </cell>
          <cell r="M31">
            <v>412.09147401710032</v>
          </cell>
          <cell r="N31">
            <v>519.56656173340389</v>
          </cell>
          <cell r="O31">
            <v>610.56200888779244</v>
          </cell>
          <cell r="P31">
            <v>700.58163542706518</v>
          </cell>
          <cell r="Q31">
            <v>795.50551630129996</v>
          </cell>
          <cell r="R31">
            <v>893.89959390004788</v>
          </cell>
          <cell r="S31">
            <v>994.0221820830252</v>
          </cell>
          <cell r="T31">
            <v>1093.8594141657079</v>
          </cell>
          <cell r="AA31" t="str">
            <v xml:space="preserve"> </v>
          </cell>
        </row>
        <row r="32">
          <cell r="A32" t="str">
            <v>EBIT (1-t)</v>
          </cell>
          <cell r="B32">
            <v>-6.0811022727272723</v>
          </cell>
          <cell r="C32">
            <v>-1.8109203244274985</v>
          </cell>
          <cell r="D32">
            <v>-4.8488891143643968</v>
          </cell>
          <cell r="E32">
            <v>-2.4448673740052951</v>
          </cell>
          <cell r="F32">
            <v>-1.7894661803714143</v>
          </cell>
          <cell r="G32">
            <v>10.78105487944204</v>
          </cell>
          <cell r="H32">
            <v>31.80818070747338</v>
          </cell>
          <cell r="I32">
            <v>75.547332152236422</v>
          </cell>
          <cell r="J32">
            <v>154.86892100997613</v>
          </cell>
          <cell r="K32">
            <v>266.28941214693742</v>
          </cell>
          <cell r="L32">
            <v>413.56200364247206</v>
          </cell>
          <cell r="M32">
            <v>606.93313248805168</v>
          </cell>
          <cell r="N32">
            <v>765.22369602778031</v>
          </cell>
          <cell r="O32">
            <v>899.24285261259297</v>
          </cell>
          <cell r="P32">
            <v>1031.8248092065751</v>
          </cell>
          <cell r="Q32">
            <v>1171.629808823071</v>
          </cell>
          <cell r="R32">
            <v>1316.5457546763998</v>
          </cell>
          <cell r="S32">
            <v>1464.00747109178</v>
          </cell>
          <cell r="T32">
            <v>1611.0489117122299</v>
          </cell>
          <cell r="AA32" t="str">
            <v xml:space="preserve"> </v>
          </cell>
        </row>
        <row r="33">
          <cell r="A33" t="str">
            <v>+ Depreciation &amp; Amortization</v>
          </cell>
          <cell r="B33">
            <v>9.9420000000000002</v>
          </cell>
          <cell r="C33">
            <v>0.95800000000000007</v>
          </cell>
          <cell r="D33">
            <v>2.12</v>
          </cell>
          <cell r="E33">
            <v>4.6740000000000004</v>
          </cell>
          <cell r="F33">
            <v>6.6920000000000002</v>
          </cell>
          <cell r="G33">
            <v>12.216000000000001</v>
          </cell>
          <cell r="H33">
            <v>15.905411631091207</v>
          </cell>
          <cell r="I33">
            <v>19.118538662893776</v>
          </cell>
          <cell r="J33">
            <v>21.068910736499301</v>
          </cell>
          <cell r="K33">
            <v>21.111358367355574</v>
          </cell>
          <cell r="L33">
            <v>19.042755680912386</v>
          </cell>
          <cell r="M33">
            <v>16.224707855771154</v>
          </cell>
          <cell r="N33">
            <v>13.823689670554533</v>
          </cell>
          <cell r="O33">
            <v>11.777986870797399</v>
          </cell>
          <cell r="P33">
            <v>11.777986870797399</v>
          </cell>
          <cell r="Q33">
            <v>11.777986870797399</v>
          </cell>
          <cell r="R33">
            <v>11.777986870797399</v>
          </cell>
          <cell r="S33">
            <v>11.777986870797399</v>
          </cell>
          <cell r="T33">
            <v>11.777986870797399</v>
          </cell>
          <cell r="AA33" t="str">
            <v xml:space="preserve"> </v>
          </cell>
        </row>
        <row r="34">
          <cell r="A34" t="str">
            <v>- Capital Expenditures</v>
          </cell>
          <cell r="B34">
            <v>0.35899999999999999</v>
          </cell>
          <cell r="C34">
            <v>1.6160000000000001</v>
          </cell>
          <cell r="D34">
            <v>8.18</v>
          </cell>
          <cell r="E34">
            <v>9.0770000000000017</v>
          </cell>
          <cell r="F34">
            <v>9.3079999999999998</v>
          </cell>
          <cell r="G34">
            <v>14.101852988904136</v>
          </cell>
          <cell r="H34">
            <v>26.377721587990031</v>
          </cell>
          <cell r="I34">
            <v>39.566582381985043</v>
          </cell>
          <cell r="J34">
            <v>53.414886215679815</v>
          </cell>
          <cell r="K34">
            <v>66.768607769599768</v>
          </cell>
          <cell r="L34">
            <v>80.122329323519722</v>
          </cell>
          <cell r="M34">
            <v>92.140678722047667</v>
          </cell>
          <cell r="N34">
            <v>101.35474659425242</v>
          </cell>
          <cell r="O34">
            <v>111.49022125367765</v>
          </cell>
          <cell r="P34">
            <v>122.6392433790454</v>
          </cell>
          <cell r="Q34">
            <v>134.90316771694992</v>
          </cell>
          <cell r="R34">
            <v>148.3934844886449</v>
          </cell>
          <cell r="S34">
            <v>163.23283293750939</v>
          </cell>
          <cell r="T34">
            <v>171.39447458438485</v>
          </cell>
          <cell r="AA34" t="str">
            <v xml:space="preserve"> </v>
          </cell>
        </row>
        <row r="35">
          <cell r="A35" t="str">
            <v>- (Increase)/Decrease in Working Capital Needs</v>
          </cell>
          <cell r="B35">
            <v>5.7089999999999996</v>
          </cell>
          <cell r="C35">
            <v>9.0530000000000008</v>
          </cell>
          <cell r="D35">
            <v>17.452999999999999</v>
          </cell>
          <cell r="E35">
            <v>45.550000000000011</v>
          </cell>
          <cell r="F35">
            <v>75.018999999999991</v>
          </cell>
          <cell r="G35">
            <v>87.837351175775126</v>
          </cell>
          <cell r="H35">
            <v>105.81283471456277</v>
          </cell>
          <cell r="I35">
            <v>127.4669128845412</v>
          </cell>
          <cell r="J35">
            <v>152.27772292401647</v>
          </cell>
          <cell r="K35">
            <v>180.39505834215666</v>
          </cell>
          <cell r="L35">
            <v>211.90017139447338</v>
          </cell>
          <cell r="M35">
            <v>246.78849636087412</v>
          </cell>
          <cell r="N35">
            <v>284.95312812599957</v>
          </cell>
          <cell r="O35">
            <v>326.17020191593741</v>
          </cell>
          <cell r="P35">
            <v>370.08742145788335</v>
          </cell>
          <cell r="Q35">
            <v>370.08742145788335</v>
          </cell>
          <cell r="R35">
            <v>370.08742145788335</v>
          </cell>
          <cell r="S35">
            <v>370.08742145788335</v>
          </cell>
          <cell r="T35">
            <v>370.08742145788335</v>
          </cell>
          <cell r="AA35" t="str">
            <v xml:space="preserve"> </v>
          </cell>
        </row>
        <row r="36">
          <cell r="A36" t="str">
            <v>Free Cash Flow</v>
          </cell>
          <cell r="B36">
            <v>9.2108977272727266</v>
          </cell>
          <cell r="C36">
            <v>6.584079675572502</v>
          </cell>
          <cell r="D36">
            <v>6.5441108856356038</v>
          </cell>
          <cell r="E36">
            <v>38.702132625994714</v>
          </cell>
          <cell r="F36">
            <v>70.613533819628572</v>
          </cell>
          <cell r="G36">
            <v>96.732553066313031</v>
          </cell>
          <cell r="H36">
            <v>127.14870546513733</v>
          </cell>
          <cell r="I36">
            <v>182.56620131768636</v>
          </cell>
          <cell r="J36">
            <v>274.80066845481213</v>
          </cell>
          <cell r="K36">
            <v>401.02722108684986</v>
          </cell>
          <cell r="L36">
            <v>564.38260139433805</v>
          </cell>
          <cell r="M36">
            <v>777.80565798264922</v>
          </cell>
          <cell r="N36">
            <v>962.64576723008201</v>
          </cell>
          <cell r="O36">
            <v>1125.7008201456501</v>
          </cell>
          <cell r="P36">
            <v>1291.0509741562105</v>
          </cell>
          <cell r="Q36">
            <v>1418.592049434802</v>
          </cell>
          <cell r="R36">
            <v>1550.0176785164358</v>
          </cell>
          <cell r="S36">
            <v>1682.6400464829512</v>
          </cell>
          <cell r="T36">
            <v>1821.5198454565257</v>
          </cell>
          <cell r="AA36" t="str">
            <v xml:space="preserve"> </v>
          </cell>
        </row>
        <row r="37">
          <cell r="A37" t="str">
            <v>Net Present Value of Free Cash Flow</v>
          </cell>
          <cell r="B37">
            <v>0</v>
          </cell>
          <cell r="C37">
            <v>0</v>
          </cell>
          <cell r="D37">
            <v>0</v>
          </cell>
          <cell r="E37">
            <v>0</v>
          </cell>
          <cell r="F37">
            <v>0</v>
          </cell>
          <cell r="G37">
            <v>91.670131741163303</v>
          </cell>
          <cell r="H37">
            <v>107.68049952215236</v>
          </cell>
          <cell r="I37">
            <v>138.17052614905239</v>
          </cell>
          <cell r="J37">
            <v>185.85862952038843</v>
          </cell>
          <cell r="K37">
            <v>242.38665867360669</v>
          </cell>
          <cell r="L37">
            <v>304.84451801839896</v>
          </cell>
          <cell r="M37">
            <v>375.44453237049072</v>
          </cell>
          <cell r="N37">
            <v>415.25139975951845</v>
          </cell>
          <cell r="O37">
            <v>433.94780452629249</v>
          </cell>
          <cell r="P37">
            <v>444.76214509068143</v>
          </cell>
          <cell r="Q37">
            <v>436.72882924785586</v>
          </cell>
          <cell r="R37">
            <v>426.44291649495733</v>
          </cell>
          <cell r="S37">
            <v>413.69987310962745</v>
          </cell>
          <cell r="T37">
            <v>400.21926272271912</v>
          </cell>
          <cell r="AA37" t="str">
            <v xml:space="preserve"> </v>
          </cell>
        </row>
        <row r="38">
          <cell r="AA38" t="str">
            <v xml:space="preserve"> </v>
          </cell>
        </row>
        <row r="39">
          <cell r="A39" t="str">
            <v>Note: Free Cash Flow is calculated by the following equation: FCF = EBIT (1 - t) + Depreciation Expense - Capital Expenditures - Change in Working Capital Need</v>
          </cell>
          <cell r="AA39" t="str">
            <v xml:space="preserve"> </v>
          </cell>
        </row>
        <row r="40">
          <cell r="AA40" t="str">
            <v xml:space="preserve"> </v>
          </cell>
        </row>
        <row r="41">
          <cell r="A41" t="str">
            <v>Growth Y/Y %</v>
          </cell>
          <cell r="E41" t="str">
            <v>Near Term</v>
          </cell>
          <cell r="F41" t="str">
            <v>Near Term</v>
          </cell>
          <cell r="H41" t="str">
            <v>Transition</v>
          </cell>
          <cell r="I41" t="str">
            <v>Transition</v>
          </cell>
          <cell r="J41" t="str">
            <v>Transition</v>
          </cell>
          <cell r="AA41" t="str">
            <v xml:space="preserve"> </v>
          </cell>
        </row>
        <row r="42">
          <cell r="A42" t="str">
            <v>Revenue</v>
          </cell>
          <cell r="C42">
            <v>0.89271428571428535</v>
          </cell>
          <cell r="D42">
            <v>0.82294512793418395</v>
          </cell>
          <cell r="E42">
            <v>0.64741928271544635</v>
          </cell>
          <cell r="F42">
            <v>0.52114665433488794</v>
          </cell>
          <cell r="G42">
            <v>0.46675563295023648</v>
          </cell>
          <cell r="H42">
            <v>0.33343964188372466</v>
          </cell>
          <cell r="I42">
            <v>0.30343964188372463</v>
          </cell>
          <cell r="J42">
            <v>0.27993964188372461</v>
          </cell>
          <cell r="K42">
            <v>0.24993964188372461</v>
          </cell>
          <cell r="L42">
            <v>0.21993964188372461</v>
          </cell>
          <cell r="M42">
            <v>0.18993964188372461</v>
          </cell>
          <cell r="N42">
            <v>0.15993964188372461</v>
          </cell>
          <cell r="O42">
            <v>0.12993964188372462</v>
          </cell>
          <cell r="P42">
            <v>0.10493964188372462</v>
          </cell>
          <cell r="Q42">
            <v>9.4939641883724626E-2</v>
          </cell>
          <cell r="R42">
            <v>8.4939641883724631E-2</v>
          </cell>
          <cell r="S42">
            <v>7.4939641883724636E-2</v>
          </cell>
          <cell r="T42">
            <v>6.4939641883724641E-2</v>
          </cell>
          <cell r="AA42" t="str">
            <v xml:space="preserve"> </v>
          </cell>
        </row>
        <row r="43">
          <cell r="A43" t="str">
            <v>EBIT</v>
          </cell>
          <cell r="C43">
            <v>-0.7153090121605834</v>
          </cell>
          <cell r="D43">
            <v>1.8168519602106188</v>
          </cell>
          <cell r="E43">
            <v>-0.65517241379310542</v>
          </cell>
          <cell r="F43">
            <v>-0.26807228915659842</v>
          </cell>
          <cell r="G43">
            <v>-7.0247324021537914</v>
          </cell>
          <cell r="H43">
            <v>1.950377403989207</v>
          </cell>
          <cell r="I43">
            <v>1.3750912649489084</v>
          </cell>
          <cell r="J43">
            <v>1.0499588350505578</v>
          </cell>
          <cell r="K43">
            <v>0.71945029648514169</v>
          </cell>
          <cell r="L43">
            <v>0.553054626949532</v>
          </cell>
          <cell r="M43">
            <v>0.46757469772960714</v>
          </cell>
          <cell r="N43">
            <v>0.26080395856926586</v>
          </cell>
          <cell r="O43">
            <v>0.17513722755907346</v>
          </cell>
          <cell r="P43">
            <v>0.14743732041771418</v>
          </cell>
          <cell r="Q43">
            <v>0.13549296195349236</v>
          </cell>
          <cell r="R43">
            <v>0.12368748623671499</v>
          </cell>
          <cell r="S43">
            <v>0.11200652608661166</v>
          </cell>
          <cell r="T43">
            <v>0.10043762994651551</v>
          </cell>
          <cell r="AA43" t="str">
            <v xml:space="preserve"> </v>
          </cell>
        </row>
        <row r="44">
          <cell r="A44" t="str">
            <v>EBIT (1-t)</v>
          </cell>
          <cell r="C44">
            <v>-0.70220525108594645</v>
          </cell>
          <cell r="D44">
            <v>1.6775828008321221</v>
          </cell>
          <cell r="E44">
            <v>-0.49578814521400461</v>
          </cell>
          <cell r="F44">
            <v>-0.26807228915659842</v>
          </cell>
          <cell r="G44">
            <v>-7.0247324021537914</v>
          </cell>
          <cell r="H44">
            <v>1.950377403989207</v>
          </cell>
          <cell r="I44">
            <v>1.3750912649489089</v>
          </cell>
          <cell r="J44">
            <v>1.0499588350505578</v>
          </cell>
          <cell r="K44">
            <v>0.71945029648514147</v>
          </cell>
          <cell r="L44">
            <v>0.553054626949532</v>
          </cell>
          <cell r="M44">
            <v>0.46757469772960736</v>
          </cell>
          <cell r="N44">
            <v>0.26080395856926586</v>
          </cell>
          <cell r="O44">
            <v>0.17513722755907346</v>
          </cell>
          <cell r="P44">
            <v>0.14743732041771418</v>
          </cell>
          <cell r="Q44">
            <v>0.13549296195349236</v>
          </cell>
          <cell r="R44">
            <v>0.12368748623671522</v>
          </cell>
          <cell r="S44">
            <v>0.11200652608661166</v>
          </cell>
          <cell r="T44">
            <v>0.10043762994651528</v>
          </cell>
          <cell r="AA44" t="str">
            <v xml:space="preserve"> </v>
          </cell>
        </row>
        <row r="45">
          <cell r="A45" t="str">
            <v>Depreciation &amp; Amortization</v>
          </cell>
          <cell r="C45">
            <v>-0.90364111848722595</v>
          </cell>
          <cell r="D45">
            <v>1.2129436325678498</v>
          </cell>
          <cell r="E45">
            <v>1.2047169811320755</v>
          </cell>
          <cell r="F45">
            <v>0.4317501069747538</v>
          </cell>
          <cell r="G45">
            <v>0.82546323968918123</v>
          </cell>
          <cell r="H45">
            <v>0.30201470457524593</v>
          </cell>
          <cell r="I45">
            <v>0.20201470457524592</v>
          </cell>
          <cell r="J45">
            <v>0.10201470457524592</v>
          </cell>
          <cell r="K45">
            <v>2.0147045752459125E-3</v>
          </cell>
          <cell r="L45">
            <v>-9.7985295424754093E-2</v>
          </cell>
          <cell r="M45">
            <v>-0.14798529542475408</v>
          </cell>
          <cell r="N45">
            <v>-0.14798529542475408</v>
          </cell>
          <cell r="O45">
            <v>-0.14798529542475408</v>
          </cell>
          <cell r="P45">
            <v>0</v>
          </cell>
          <cell r="Q45">
            <v>0</v>
          </cell>
          <cell r="R45">
            <v>0</v>
          </cell>
          <cell r="S45">
            <v>0</v>
          </cell>
          <cell r="T45">
            <v>0</v>
          </cell>
          <cell r="AA45" t="str">
            <v xml:space="preserve"> </v>
          </cell>
        </row>
        <row r="46">
          <cell r="A46" t="str">
            <v>Capital Expenditures</v>
          </cell>
          <cell r="C46">
            <v>3.5013927576601676</v>
          </cell>
          <cell r="D46">
            <v>4.0618811881188117</v>
          </cell>
          <cell r="E46">
            <v>0.1096577017114917</v>
          </cell>
          <cell r="F46">
            <v>2.5448936873416095E-2</v>
          </cell>
          <cell r="G46">
            <v>0.51502503103826136</v>
          </cell>
          <cell r="H46">
            <v>0.87051457767606899</v>
          </cell>
          <cell r="I46">
            <v>0.5</v>
          </cell>
          <cell r="J46">
            <v>0.35</v>
          </cell>
          <cell r="K46">
            <v>0.24999999999999997</v>
          </cell>
          <cell r="L46">
            <v>0.19999999999999996</v>
          </cell>
          <cell r="M46">
            <v>0.14999999999999997</v>
          </cell>
          <cell r="N46">
            <v>9.9999999999999964E-2</v>
          </cell>
          <cell r="O46">
            <v>9.9999999999999964E-2</v>
          </cell>
          <cell r="P46">
            <v>9.9999999999999964E-2</v>
          </cell>
          <cell r="Q46">
            <v>9.9999999999999964E-2</v>
          </cell>
          <cell r="R46">
            <v>9.9999999999999964E-2</v>
          </cell>
          <cell r="S46">
            <v>9.9999999999999964E-2</v>
          </cell>
          <cell r="T46">
            <v>0.05</v>
          </cell>
          <cell r="AA46" t="str">
            <v xml:space="preserve"> </v>
          </cell>
        </row>
        <row r="47">
          <cell r="A47" t="str">
            <v>Change in Working Capital</v>
          </cell>
          <cell r="C47">
            <v>0.58574181117533741</v>
          </cell>
          <cell r="D47">
            <v>0.92786921462498606</v>
          </cell>
          <cell r="E47">
            <v>1.6098664985962308</v>
          </cell>
          <cell r="F47">
            <v>0.64695938529088859</v>
          </cell>
          <cell r="G47">
            <v>0.17086806243451846</v>
          </cell>
          <cell r="H47">
            <v>0.20464510026965788</v>
          </cell>
          <cell r="I47">
            <v>0.20464510026965788</v>
          </cell>
          <cell r="J47">
            <v>0.19464510026965787</v>
          </cell>
          <cell r="K47">
            <v>0.18464510026965786</v>
          </cell>
          <cell r="L47">
            <v>0.17464510026965785</v>
          </cell>
          <cell r="M47">
            <v>0.16464510026965784</v>
          </cell>
          <cell r="N47">
            <v>0.15464510026965783</v>
          </cell>
          <cell r="O47">
            <v>0.14464510026965782</v>
          </cell>
          <cell r="P47">
            <v>0.13464510026965781</v>
          </cell>
          <cell r="Q47">
            <v>0</v>
          </cell>
          <cell r="R47">
            <v>0</v>
          </cell>
          <cell r="S47">
            <v>0</v>
          </cell>
          <cell r="T47">
            <v>0</v>
          </cell>
          <cell r="AA47" t="str">
            <v xml:space="preserve"> </v>
          </cell>
        </row>
        <row r="48">
          <cell r="A48" t="str">
            <v>Free Cash Flow</v>
          </cell>
          <cell r="C48">
            <v>-0.28518588844195147</v>
          </cell>
          <cell r="D48">
            <v>-6.0705203925744966E-3</v>
          </cell>
          <cell r="E48">
            <v>4.9140398600131192</v>
          </cell>
          <cell r="F48">
            <v>0.82453857264186547</v>
          </cell>
          <cell r="G48">
            <v>0.36988687343422688</v>
          </cell>
          <cell r="H48">
            <v>0.31443553834429583</v>
          </cell>
          <cell r="I48">
            <v>0.43584789675852309</v>
          </cell>
          <cell r="J48">
            <v>0.50521107670212784</v>
          </cell>
          <cell r="K48">
            <v>0.45933859383167497</v>
          </cell>
          <cell r="L48">
            <v>0.40734237407816898</v>
          </cell>
          <cell r="M48">
            <v>0.37815314657297705</v>
          </cell>
          <cell r="N48">
            <v>0.23764305048492718</v>
          </cell>
          <cell r="O48">
            <v>0.16938219484903883</v>
          </cell>
          <cell r="P48">
            <v>0.14688641160372096</v>
          </cell>
          <cell r="Q48">
            <v>9.8788566703919889E-2</v>
          </cell>
          <cell r="R48">
            <v>9.2645118893762701E-2</v>
          </cell>
          <cell r="S48">
            <v>8.5561842167795055E-2</v>
          </cell>
          <cell r="T48">
            <v>8.2536843969606366E-2</v>
          </cell>
          <cell r="AA48" t="str">
            <v xml:space="preserve"> </v>
          </cell>
        </row>
        <row r="49">
          <cell r="AA49" t="str">
            <v xml:space="preserve"> </v>
          </cell>
        </row>
        <row r="50">
          <cell r="A50" t="str">
            <v>Selected Ratios</v>
          </cell>
          <cell r="E50" t="str">
            <v>Near Term</v>
          </cell>
          <cell r="F50" t="str">
            <v>Near Term</v>
          </cell>
          <cell r="H50" t="str">
            <v>Transition</v>
          </cell>
          <cell r="I50" t="str">
            <v>Transition</v>
          </cell>
          <cell r="AA50" t="str">
            <v xml:space="preserve"> </v>
          </cell>
        </row>
        <row r="51">
          <cell r="A51" t="str">
            <v>Operating Margin</v>
          </cell>
          <cell r="B51">
            <v>-0.17151428571428573</v>
          </cell>
          <cell r="C51">
            <v>-2.5798173447052875E-2</v>
          </cell>
          <cell r="D51">
            <v>-3.9863863333360908E-2</v>
          </cell>
          <cell r="E51">
            <v>-8.3440566189479926E-3</v>
          </cell>
          <cell r="F51">
            <v>-4.0148964222813171E-3</v>
          </cell>
          <cell r="G51">
            <v>1.6491279135541076E-2</v>
          </cell>
          <cell r="H51">
            <v>3.6488713696590243E-2</v>
          </cell>
          <cell r="I51">
            <v>6.6488713696590235E-2</v>
          </cell>
          <cell r="J51">
            <v>0.10648871369659024</v>
          </cell>
          <cell r="K51">
            <v>0.14648871369659025</v>
          </cell>
          <cell r="L51">
            <v>0.18648871369659026</v>
          </cell>
          <cell r="M51">
            <v>0.23</v>
          </cell>
          <cell r="N51">
            <v>0.25</v>
          </cell>
          <cell r="O51">
            <v>0.26</v>
          </cell>
          <cell r="P51">
            <v>0.27</v>
          </cell>
          <cell r="Q51">
            <v>0.28000000000000003</v>
          </cell>
          <cell r="R51">
            <v>0.29000000000000004</v>
          </cell>
          <cell r="S51">
            <v>0.30000000000000004</v>
          </cell>
          <cell r="T51">
            <v>0.31000000000000005</v>
          </cell>
          <cell r="AA51" t="str">
            <v xml:space="preserve"> </v>
          </cell>
        </row>
        <row r="52">
          <cell r="A52" t="str">
            <v>Tax Rate</v>
          </cell>
          <cell r="B52">
            <v>-1.3010540184453228E-2</v>
          </cell>
          <cell r="C52">
            <v>-5.9637404580152174E-2</v>
          </cell>
          <cell r="D52">
            <v>-7.2474271633570127E-3</v>
          </cell>
          <cell r="E52">
            <v>-0.47281167108753647</v>
          </cell>
          <cell r="F52">
            <v>-0.47281167108753647</v>
          </cell>
          <cell r="G52">
            <v>-0.47281167108753647</v>
          </cell>
          <cell r="H52">
            <v>-0.47281167108753647</v>
          </cell>
          <cell r="I52">
            <v>-0.47281167108753647</v>
          </cell>
          <cell r="J52">
            <v>-0.47281167108753647</v>
          </cell>
          <cell r="K52">
            <v>-0.47281167108753647</v>
          </cell>
          <cell r="L52">
            <v>-0.47281167108753647</v>
          </cell>
          <cell r="M52">
            <v>-0.47281167108753647</v>
          </cell>
          <cell r="N52">
            <v>-0.47281167108753647</v>
          </cell>
          <cell r="O52">
            <v>-0.47281167108753647</v>
          </cell>
          <cell r="P52">
            <v>-0.47281167108753647</v>
          </cell>
          <cell r="Q52">
            <v>-0.47281167108753647</v>
          </cell>
          <cell r="R52">
            <v>-0.47281167108753647</v>
          </cell>
          <cell r="S52">
            <v>-0.47281167108753647</v>
          </cell>
          <cell r="T52">
            <v>-0.47281167108753647</v>
          </cell>
          <cell r="AA52" t="str">
            <v xml:space="preserve"> </v>
          </cell>
        </row>
        <row r="53">
          <cell r="A53" t="str">
            <v>Free Cash Flow to EBIT (1-T)</v>
          </cell>
          <cell r="B53">
            <v>-1.5146756811807069</v>
          </cell>
          <cell r="C53">
            <v>-3.6357644158938811</v>
          </cell>
          <cell r="D53">
            <v>-1.3496103398713049</v>
          </cell>
          <cell r="E53" t="str">
            <v>NM</v>
          </cell>
          <cell r="F53" t="str">
            <v>NM</v>
          </cell>
          <cell r="G53">
            <v>8.9724571619395466</v>
          </cell>
          <cell r="H53">
            <v>3.9973586240115755</v>
          </cell>
          <cell r="I53">
            <v>2.4165803889645607</v>
          </cell>
          <cell r="J53">
            <v>1.7744081037221819</v>
          </cell>
          <cell r="K53">
            <v>1.5059825993590938</v>
          </cell>
          <cell r="L53">
            <v>1.3646867855932232</v>
          </cell>
          <cell r="M53">
            <v>1.2815343508997861</v>
          </cell>
          <cell r="N53">
            <v>1.2579926265053019</v>
          </cell>
          <cell r="O53">
            <v>1.2518318237116071</v>
          </cell>
          <cell r="P53">
            <v>1.251230792898814</v>
          </cell>
          <cell r="Q53">
            <v>1.2107852145378668</v>
          </cell>
          <cell r="R53">
            <v>1.177336733653759</v>
          </cell>
          <cell r="S53">
            <v>1.1493384287363824</v>
          </cell>
          <cell r="T53">
            <v>1.1306421749297519</v>
          </cell>
          <cell r="AA53" t="str">
            <v xml:space="preserve"> </v>
          </cell>
        </row>
        <row r="54">
          <cell r="A54" t="str">
            <v>Capital Expenditure to Depreciation</v>
          </cell>
          <cell r="B54">
            <v>3.6109434721384025E-2</v>
          </cell>
          <cell r="C54">
            <v>1.686847599164927</v>
          </cell>
          <cell r="D54">
            <v>3.8584905660377355</v>
          </cell>
          <cell r="E54">
            <v>1.9420196833547285</v>
          </cell>
          <cell r="F54">
            <v>1.3909145248057382</v>
          </cell>
          <cell r="G54">
            <v>1.1543756539705414</v>
          </cell>
          <cell r="H54">
            <v>1.6584117531688403</v>
          </cell>
          <cell r="I54">
            <v>2.0695400982072893</v>
          </cell>
          <cell r="J54">
            <v>2.5352466904302311</v>
          </cell>
          <cell r="K54">
            <v>3.1626864841081876</v>
          </cell>
          <cell r="L54">
            <v>4.2074965759199863</v>
          </cell>
          <cell r="M54">
            <v>5.6790346883979845</v>
          </cell>
          <cell r="N54">
            <v>7.3319604975034576</v>
          </cell>
          <cell r="O54">
            <v>9.4659828098559835</v>
          </cell>
          <cell r="P54">
            <v>10.412581090841581</v>
          </cell>
          <cell r="Q54">
            <v>11.453839199925739</v>
          </cell>
          <cell r="R54">
            <v>12.59922311991831</v>
          </cell>
          <cell r="S54">
            <v>13.859145431910141</v>
          </cell>
          <cell r="T54">
            <v>14.552102703505648</v>
          </cell>
          <cell r="AA54" t="str">
            <v xml:space="preserve"> </v>
          </cell>
        </row>
        <row r="55">
          <cell r="A55" t="str">
            <v>Capital Expenditure to Revenue</v>
          </cell>
          <cell r="B55">
            <v>1.0257142857142857E-2</v>
          </cell>
          <cell r="C55">
            <v>2.4394293908974268E-2</v>
          </cell>
          <cell r="D55">
            <v>6.7737100553986795E-2</v>
          </cell>
          <cell r="E55">
            <v>4.5625904777223746E-2</v>
          </cell>
          <cell r="F55">
            <v>3.0757741480323703E-2</v>
          </cell>
          <cell r="G55">
            <v>3.1769946672824685E-2</v>
          </cell>
          <cell r="H55">
            <v>4.4566057972867612E-2</v>
          </cell>
          <cell r="I55">
            <v>5.1286676276541224E-2</v>
          </cell>
          <cell r="J55">
            <v>5.4093967174446228E-2</v>
          </cell>
          <cell r="K55">
            <v>5.4096579308545431E-2</v>
          </cell>
          <cell r="L55">
            <v>5.321238276183652E-2</v>
          </cell>
          <cell r="M55">
            <v>5.1426339641260227E-2</v>
          </cell>
          <cell r="N55">
            <v>4.8768894141352964E-2</v>
          </cell>
          <cell r="O55">
            <v>4.7476680671239453E-2</v>
          </cell>
          <cell r="P55">
            <v>4.7264435774365197E-2</v>
          </cell>
          <cell r="Q55">
            <v>4.7482872446153339E-2</v>
          </cell>
          <cell r="R55">
            <v>4.8141995807326574E-2</v>
          </cell>
          <cell r="S55">
            <v>4.9264343154429367E-2</v>
          </cell>
          <cell r="T55">
            <v>4.8573232019659102E-2</v>
          </cell>
          <cell r="AA55" t="str">
            <v xml:space="preserve"> </v>
          </cell>
        </row>
        <row r="56">
          <cell r="AA56" t="str">
            <v xml:space="preserve"> </v>
          </cell>
        </row>
        <row r="57">
          <cell r="A57" t="str">
            <v>E = Morgan Stanley Research Estimates</v>
          </cell>
          <cell r="AA57" t="str">
            <v xml:space="preserve"> </v>
          </cell>
        </row>
        <row r="58">
          <cell r="B58">
            <v>0.26316850649350648</v>
          </cell>
          <cell r="C58">
            <v>9.9389835845309124E-2</v>
          </cell>
          <cell r="D58">
            <v>5.4190598667082951E-2</v>
          </cell>
          <cell r="E58">
            <v>0.19453782283453994</v>
          </cell>
          <cell r="F58">
            <v>0.23333829160251723</v>
          </cell>
          <cell r="G58">
            <v>0.21792795988307695</v>
          </cell>
          <cell r="H58">
            <v>0.21482206338527682</v>
          </cell>
          <cell r="I58">
            <v>0.23664448891803136</v>
          </cell>
          <cell r="J58">
            <v>0.2782942994372023</v>
          </cell>
          <cell r="K58">
            <v>0.32491617835242453</v>
          </cell>
          <cell r="L58">
            <v>0.3748286309581948</v>
          </cell>
          <cell r="M58">
            <v>0.43411551224810296</v>
          </cell>
          <cell r="N58">
            <v>0.46319655561476819</v>
          </cell>
          <cell r="O58">
            <v>0.47936525525232515</v>
          </cell>
          <cell r="P58">
            <v>0.49756337505148113</v>
          </cell>
          <cell r="Q58">
            <v>0.49931240664244719</v>
          </cell>
          <cell r="R58">
            <v>0.50285863181634716</v>
          </cell>
          <cell r="S58">
            <v>0.50782771556170658</v>
          </cell>
          <cell r="T58">
            <v>0.51621912722870389</v>
          </cell>
          <cell r="AA58" t="str">
            <v xml:space="preserve"> </v>
          </cell>
        </row>
        <row r="59">
          <cell r="AA59" t="str">
            <v xml:space="preserve"> </v>
          </cell>
        </row>
        <row r="60">
          <cell r="A60" t="str">
            <v xml:space="preserve"> </v>
          </cell>
          <cell r="B60" t="str">
            <v xml:space="preserve"> </v>
          </cell>
          <cell r="C60" t="str">
            <v xml:space="preserve"> </v>
          </cell>
          <cell r="D60" t="str">
            <v xml:space="preserve"> </v>
          </cell>
          <cell r="E60" t="str">
            <v xml:space="preserve"> </v>
          </cell>
          <cell r="F60" t="str">
            <v xml:space="preserve"> </v>
          </cell>
          <cell r="G60" t="str">
            <v xml:space="preserve"> </v>
          </cell>
          <cell r="H60" t="str">
            <v xml:space="preserve"> </v>
          </cell>
          <cell r="I60" t="str">
            <v xml:space="preserve"> </v>
          </cell>
          <cell r="J60" t="str">
            <v xml:space="preserve"> </v>
          </cell>
          <cell r="K60" t="str">
            <v xml:space="preserve"> </v>
          </cell>
          <cell r="L60" t="str">
            <v xml:space="preserve"> </v>
          </cell>
          <cell r="M60" t="str">
            <v xml:space="preserve"> </v>
          </cell>
          <cell r="N60" t="str">
            <v xml:space="preserve"> </v>
          </cell>
          <cell r="O60" t="str">
            <v xml:space="preserve"> </v>
          </cell>
          <cell r="P60" t="str">
            <v xml:space="preserve"> </v>
          </cell>
          <cell r="Q60" t="str">
            <v xml:space="preserve"> </v>
          </cell>
          <cell r="R60" t="str">
            <v xml:space="preserve"> </v>
          </cell>
          <cell r="S60" t="str">
            <v xml:space="preserve"> </v>
          </cell>
          <cell r="T60" t="str">
            <v xml:space="preserve"> </v>
          </cell>
          <cell r="U60" t="str">
            <v xml:space="preserve"> </v>
          </cell>
          <cell r="V60" t="str">
            <v xml:space="preserve"> </v>
          </cell>
          <cell r="W60" t="str">
            <v xml:space="preserve"> </v>
          </cell>
          <cell r="X60" t="str">
            <v xml:space="preserve"> </v>
          </cell>
          <cell r="Y60" t="str">
            <v xml:space="preserve"> </v>
          </cell>
          <cell r="Z60" t="str">
            <v xml:space="preserve"> </v>
          </cell>
          <cell r="AA60" t="str">
            <v xml:space="preserve"> </v>
          </cell>
        </row>
        <row r="335">
          <cell r="B335" t="str">
            <v>English</v>
          </cell>
        </row>
      </sheetData>
      <sheetData sheetId="10" refreshError="1"/>
      <sheetData sheetId="11" refreshError="1">
        <row r="3">
          <cell r="C3" t="str">
            <v>4/09</v>
          </cell>
          <cell r="D3" t="str">
            <v>7/09</v>
          </cell>
          <cell r="E3" t="str">
            <v>10/09</v>
          </cell>
          <cell r="F3" t="str">
            <v>1/10</v>
          </cell>
          <cell r="G3" t="str">
            <v>4/10</v>
          </cell>
          <cell r="H3" t="str">
            <v>7/10</v>
          </cell>
          <cell r="I3" t="str">
            <v>10/10</v>
          </cell>
          <cell r="J3" t="str">
            <v>1/11</v>
          </cell>
          <cell r="K3" t="str">
            <v>4/11</v>
          </cell>
          <cell r="L3" t="str">
            <v>7/11</v>
          </cell>
          <cell r="M3" t="str">
            <v>10/11</v>
          </cell>
          <cell r="N3" t="str">
            <v>1/12</v>
          </cell>
          <cell r="O3" t="str">
            <v>4/12</v>
          </cell>
          <cell r="P3" t="str">
            <v>7/12</v>
          </cell>
          <cell r="Q3" t="str">
            <v>10/12</v>
          </cell>
          <cell r="R3" t="str">
            <v>1/13</v>
          </cell>
          <cell r="S3" t="str">
            <v>4/13</v>
          </cell>
          <cell r="T3" t="str">
            <v>7/13</v>
          </cell>
          <cell r="U3" t="str">
            <v>10/13</v>
          </cell>
          <cell r="V3" t="str">
            <v>1/14</v>
          </cell>
          <cell r="W3" t="str">
            <v>4/14</v>
          </cell>
          <cell r="X3" t="str">
            <v>7/14</v>
          </cell>
          <cell r="Y3" t="str">
            <v>10/14</v>
          </cell>
          <cell r="Z3" t="str">
            <v>1/15E</v>
          </cell>
          <cell r="AB3" t="str">
            <v>FY11</v>
          </cell>
          <cell r="AC3" t="str">
            <v>FY12</v>
          </cell>
          <cell r="AD3" t="str">
            <v>FY13</v>
          </cell>
          <cell r="AE3" t="str">
            <v>FY14</v>
          </cell>
          <cell r="AF3" t="str">
            <v>FY15e</v>
          </cell>
          <cell r="AG3" t="str">
            <v>FY16e</v>
          </cell>
          <cell r="AH3" t="str">
            <v>FY17e</v>
          </cell>
          <cell r="CG3" t="str">
            <v>CY</v>
          </cell>
          <cell r="CH3">
            <v>2013</v>
          </cell>
          <cell r="CI3">
            <v>2014</v>
          </cell>
          <cell r="CJ3">
            <v>2015</v>
          </cell>
          <cell r="CK3">
            <v>2016</v>
          </cell>
        </row>
        <row r="4">
          <cell r="B4" t="str">
            <v>License Revenue</v>
          </cell>
          <cell r="G4">
            <v>9.1790000000000003</v>
          </cell>
          <cell r="H4">
            <v>11.547000000000001</v>
          </cell>
          <cell r="I4">
            <v>11.529</v>
          </cell>
          <cell r="J4">
            <v>17.670999999999999</v>
          </cell>
          <cell r="K4">
            <v>14.545999999999999</v>
          </cell>
          <cell r="L4">
            <v>18.765999999999998</v>
          </cell>
          <cell r="M4">
            <v>22.181999999999999</v>
          </cell>
          <cell r="N4">
            <v>33</v>
          </cell>
          <cell r="O4">
            <v>24.385999999999999</v>
          </cell>
          <cell r="P4">
            <v>30.202999999999999</v>
          </cell>
          <cell r="Q4">
            <v>34.557000000000002</v>
          </cell>
          <cell r="R4">
            <v>46.776000000000003</v>
          </cell>
          <cell r="S4">
            <v>36.171999999999997</v>
          </cell>
          <cell r="T4">
            <v>43.185000000000002</v>
          </cell>
          <cell r="U4">
            <v>50.872999999999998</v>
          </cell>
          <cell r="V4">
            <v>68.793999999999997</v>
          </cell>
          <cell r="W4">
            <v>51.274000000000001</v>
          </cell>
          <cell r="X4">
            <v>62.081000000000003</v>
          </cell>
          <cell r="Y4">
            <v>71.754000000000005</v>
          </cell>
          <cell r="Z4">
            <v>94.510216842962976</v>
          </cell>
          <cell r="AB4">
            <v>49.925999999999995</v>
          </cell>
          <cell r="AC4">
            <v>88.494</v>
          </cell>
          <cell r="AD4">
            <v>135.922</v>
          </cell>
          <cell r="AE4">
            <v>199.024</v>
          </cell>
          <cell r="AF4">
            <v>279.619216842963</v>
          </cell>
          <cell r="CF4" t="str">
            <v>FCF-- Base Case</v>
          </cell>
          <cell r="CH4">
            <v>66.216996612721104</v>
          </cell>
          <cell r="CI4">
            <v>81.099062731699306</v>
          </cell>
          <cell r="CJ4">
            <v>116.44834944291516</v>
          </cell>
          <cell r="CK4">
            <v>185.26566603961274</v>
          </cell>
        </row>
        <row r="5">
          <cell r="B5" t="str">
            <v xml:space="preserve">   YoY Growth</v>
          </cell>
          <cell r="K5">
            <v>0.58470421614554957</v>
          </cell>
          <cell r="L5">
            <v>0.62518403048410809</v>
          </cell>
          <cell r="M5">
            <v>0.92401769450949778</v>
          </cell>
          <cell r="N5">
            <v>0.86746647048837078</v>
          </cell>
          <cell r="O5">
            <v>0.67647463220129245</v>
          </cell>
          <cell r="P5">
            <v>0.60945326654588095</v>
          </cell>
          <cell r="Q5">
            <v>0.5578847714363</v>
          </cell>
          <cell r="R5">
            <v>0.41745454545454552</v>
          </cell>
          <cell r="S5">
            <v>0.48331009595669649</v>
          </cell>
          <cell r="T5">
            <v>0.42982485183591046</v>
          </cell>
          <cell r="U5">
            <v>0.47214746650461548</v>
          </cell>
          <cell r="V5">
            <v>0.47071147597058305</v>
          </cell>
          <cell r="W5">
            <v>0.4175052526816323</v>
          </cell>
          <cell r="X5">
            <v>0.43755933773300915</v>
          </cell>
          <cell r="Y5">
            <v>0.4104534822007746</v>
          </cell>
          <cell r="Z5">
            <v>0.37381482168449254</v>
          </cell>
          <cell r="AC5">
            <v>0.77250330489123931</v>
          </cell>
          <cell r="AD5">
            <v>0.53594593983772909</v>
          </cell>
          <cell r="AE5">
            <v>0.46425155603949331</v>
          </cell>
          <cell r="AF5">
            <v>0.40495225120067424</v>
          </cell>
        </row>
        <row r="6">
          <cell r="B6" t="str">
            <v>Services Revenue</v>
          </cell>
          <cell r="G6">
            <v>3.0089999999999999</v>
          </cell>
          <cell r="H6">
            <v>3.746</v>
          </cell>
          <cell r="I6">
            <v>4.4539999999999997</v>
          </cell>
          <cell r="J6">
            <v>5.1100000000000003</v>
          </cell>
          <cell r="K6">
            <v>6.093</v>
          </cell>
          <cell r="L6">
            <v>7.1829999999999998</v>
          </cell>
          <cell r="M6">
            <v>8.9909999999999997</v>
          </cell>
          <cell r="N6">
            <v>10</v>
          </cell>
          <cell r="O6">
            <v>12.805</v>
          </cell>
          <cell r="P6">
            <v>14.28</v>
          </cell>
          <cell r="Q6">
            <v>17.488</v>
          </cell>
          <cell r="R6">
            <v>18.449000000000002</v>
          </cell>
          <cell r="S6">
            <v>21.035</v>
          </cell>
          <cell r="T6">
            <v>23.687999999999999</v>
          </cell>
          <cell r="U6">
            <v>27.76</v>
          </cell>
          <cell r="V6">
            <v>31.116</v>
          </cell>
          <cell r="W6">
            <v>34.633000000000003</v>
          </cell>
          <cell r="X6">
            <v>39.466000000000001</v>
          </cell>
          <cell r="Y6">
            <v>44.274999999999999</v>
          </cell>
          <cell r="Z6">
            <v>45.880773067336463</v>
          </cell>
          <cell r="AB6">
            <v>16.318999999999999</v>
          </cell>
          <cell r="AC6">
            <v>32.266999999999996</v>
          </cell>
          <cell r="AD6">
            <v>63.022000000000006</v>
          </cell>
          <cell r="AE6">
            <v>103.599</v>
          </cell>
          <cell r="AF6">
            <v>164.25477306733646</v>
          </cell>
          <cell r="CF6" t="str">
            <v>FCF/Revenue</v>
          </cell>
          <cell r="CH6">
            <v>0.21881019160050991</v>
          </cell>
          <cell r="CI6">
            <v>0.21881019160050991</v>
          </cell>
          <cell r="CJ6">
            <v>0.21881019160050991</v>
          </cell>
          <cell r="CK6">
            <v>0.21881019160050991</v>
          </cell>
        </row>
        <row r="7">
          <cell r="B7" t="str">
            <v xml:space="preserve">   YoY Growth</v>
          </cell>
          <cell r="K7">
            <v>1.0249252243270188</v>
          </cell>
          <cell r="L7">
            <v>0.91751201281366779</v>
          </cell>
          <cell r="M7">
            <v>1.0186349348899864</v>
          </cell>
          <cell r="N7">
            <v>0.95694716242661437</v>
          </cell>
          <cell r="O7">
            <v>1.1015919908091254</v>
          </cell>
          <cell r="P7">
            <v>0.9880272866490325</v>
          </cell>
          <cell r="Q7">
            <v>0.94505616727838948</v>
          </cell>
          <cell r="R7">
            <v>0.84490000000000021</v>
          </cell>
          <cell r="S7">
            <v>0.64271768840296772</v>
          </cell>
          <cell r="T7">
            <v>0.65882352941176481</v>
          </cell>
          <cell r="U7">
            <v>0.58737419945105218</v>
          </cell>
          <cell r="V7">
            <v>0.68659547942977928</v>
          </cell>
          <cell r="W7">
            <v>0.64644639885904454</v>
          </cell>
          <cell r="X7">
            <v>0.66607565011820347</v>
          </cell>
          <cell r="Y7">
            <v>0.59492074927953875</v>
          </cell>
          <cell r="Z7">
            <v>0.47450742599744378</v>
          </cell>
          <cell r="AC7">
            <v>0.977265763833568</v>
          </cell>
          <cell r="AD7">
            <v>0.95314097994855462</v>
          </cell>
          <cell r="AE7">
            <v>0.64385452699057466</v>
          </cell>
          <cell r="AF7">
            <v>0.58548608642300071</v>
          </cell>
          <cell r="CF7" t="str">
            <v>@ Base Revenue</v>
          </cell>
          <cell r="CI7">
            <v>97.124152778755416</v>
          </cell>
          <cell r="CJ7">
            <v>129.50919549956379</v>
          </cell>
          <cell r="CK7">
            <v>167.92312197311892</v>
          </cell>
        </row>
        <row r="8">
          <cell r="B8" t="str">
            <v>Total Revenue</v>
          </cell>
          <cell r="G8">
            <v>12.188000000000001</v>
          </cell>
          <cell r="H8">
            <v>15.293000000000001</v>
          </cell>
          <cell r="I8">
            <v>15.983000000000001</v>
          </cell>
          <cell r="J8">
            <v>22.780999999999999</v>
          </cell>
          <cell r="K8">
            <v>20.638999999999999</v>
          </cell>
          <cell r="L8">
            <v>25.948999999999998</v>
          </cell>
          <cell r="M8">
            <v>31.172999999999998</v>
          </cell>
          <cell r="N8">
            <v>43</v>
          </cell>
          <cell r="O8">
            <v>37.191000000000003</v>
          </cell>
          <cell r="P8">
            <v>44.482999999999997</v>
          </cell>
          <cell r="Q8">
            <v>52.045000000000002</v>
          </cell>
          <cell r="R8">
            <v>65.225000000000009</v>
          </cell>
          <cell r="S8">
            <v>57.206999999999994</v>
          </cell>
          <cell r="T8">
            <v>66.873000000000005</v>
          </cell>
          <cell r="U8">
            <v>78.632999999999996</v>
          </cell>
          <cell r="V8">
            <v>99.91</v>
          </cell>
          <cell r="W8">
            <v>85.907000000000011</v>
          </cell>
          <cell r="X8">
            <v>101.547</v>
          </cell>
          <cell r="Y8">
            <v>116.029</v>
          </cell>
          <cell r="Z8">
            <v>140.39098991029942</v>
          </cell>
          <cell r="AB8">
            <v>66.245000000000005</v>
          </cell>
          <cell r="AC8">
            <v>120.761</v>
          </cell>
          <cell r="AD8">
            <v>198.94400000000002</v>
          </cell>
          <cell r="AE8">
            <v>302.62299999999999</v>
          </cell>
          <cell r="AF8">
            <v>443.87398991029943</v>
          </cell>
          <cell r="CF8" t="str">
            <v>@ Bull Revenue</v>
          </cell>
          <cell r="CI8">
            <v>101.11999109191542</v>
          </cell>
          <cell r="CJ8">
            <v>149.28732769299424</v>
          </cell>
          <cell r="CK8">
            <v>213.6019522299674</v>
          </cell>
        </row>
        <row r="9">
          <cell r="B9" t="str">
            <v xml:space="preserve">   Total Revenue YoY Growth</v>
          </cell>
          <cell r="K9">
            <v>0.69338693797177542</v>
          </cell>
          <cell r="L9">
            <v>0.69678938076244012</v>
          </cell>
          <cell r="M9">
            <v>0.9503847838328221</v>
          </cell>
          <cell r="N9">
            <v>0.88753786049778327</v>
          </cell>
          <cell r="O9">
            <v>0.80197683996317659</v>
          </cell>
          <cell r="P9">
            <v>0.71424717715518904</v>
          </cell>
          <cell r="Q9">
            <v>0.66955378051518966</v>
          </cell>
          <cell r="R9">
            <v>0.51686046511627937</v>
          </cell>
          <cell r="S9">
            <v>0.53819472453012795</v>
          </cell>
          <cell r="T9">
            <v>0.50333835397792437</v>
          </cell>
          <cell r="U9">
            <v>0.51086559707945045</v>
          </cell>
          <cell r="V9">
            <v>0.53177462629359873</v>
          </cell>
          <cell r="W9">
            <v>0.50168685650357503</v>
          </cell>
          <cell r="X9">
            <v>0.51850522632452534</v>
          </cell>
          <cell r="Y9">
            <v>0.47557641193900779</v>
          </cell>
          <cell r="Z9">
            <v>0.40517455620357756</v>
          </cell>
          <cell r="AC9">
            <v>0.82294512793418351</v>
          </cell>
          <cell r="AD9">
            <v>0.64741928271544635</v>
          </cell>
          <cell r="AE9">
            <v>0.52114665433488794</v>
          </cell>
          <cell r="AF9">
            <v>0.46675563295023648</v>
          </cell>
        </row>
        <row r="10">
          <cell r="B10" t="str">
            <v>Operating Expenses</v>
          </cell>
          <cell r="CF10" t="str">
            <v>FCF/Revenue</v>
          </cell>
          <cell r="CH10">
            <v>0.21881019160050991</v>
          </cell>
          <cell r="CI10">
            <v>0.22</v>
          </cell>
          <cell r="CJ10">
            <v>0.25</v>
          </cell>
          <cell r="CK10">
            <v>0.27</v>
          </cell>
        </row>
        <row r="11">
          <cell r="B11" t="str">
            <v>Total Expense</v>
          </cell>
          <cell r="G11">
            <v>12.593999999999998</v>
          </cell>
          <cell r="H11">
            <v>14.703000000000001</v>
          </cell>
          <cell r="I11">
            <v>16.989000000000001</v>
          </cell>
          <cell r="J11">
            <v>23.668000000000003</v>
          </cell>
          <cell r="K11">
            <v>21.891999999999999</v>
          </cell>
          <cell r="L11">
            <v>28.506999999999998</v>
          </cell>
          <cell r="M11">
            <v>33.175999999999995</v>
          </cell>
          <cell r="N11">
            <v>42</v>
          </cell>
          <cell r="O11">
            <v>40.707999999999998</v>
          </cell>
          <cell r="P11">
            <v>45.157000000000004</v>
          </cell>
          <cell r="Q11">
            <v>52.74</v>
          </cell>
          <cell r="R11">
            <v>61.998999999999995</v>
          </cell>
          <cell r="S11">
            <v>62.492000000000004</v>
          </cell>
          <cell r="T11">
            <v>67.634000000000015</v>
          </cell>
          <cell r="U11">
            <v>77.759999999999991</v>
          </cell>
          <cell r="V11">
            <v>95.952000000000012</v>
          </cell>
          <cell r="W11">
            <v>89.47999999999999</v>
          </cell>
          <cell r="X11">
            <v>99.908999999999978</v>
          </cell>
          <cell r="Y11">
            <v>113.30799999999999</v>
          </cell>
          <cell r="Z11">
            <v>133.85694004168238</v>
          </cell>
          <cell r="AB11">
            <v>67.954000000000008</v>
          </cell>
          <cell r="AC11">
            <v>125.57499999999999</v>
          </cell>
          <cell r="AD11">
            <v>200.60400000000001</v>
          </cell>
          <cell r="AE11">
            <v>303.83800000000002</v>
          </cell>
          <cell r="AF11">
            <v>436.55394004168232</v>
          </cell>
          <cell r="CF11" t="str">
            <v>@ Base Revenue</v>
          </cell>
          <cell r="CI11">
            <v>97.652277780265877</v>
          </cell>
          <cell r="CJ11">
            <v>147.96979353687243</v>
          </cell>
          <cell r="CK11">
            <v>207.20809483828654</v>
          </cell>
        </row>
        <row r="12">
          <cell r="B12" t="str">
            <v>Operating Income</v>
          </cell>
          <cell r="G12">
            <v>-0.40599999999999881</v>
          </cell>
          <cell r="H12">
            <v>0.59000000000000163</v>
          </cell>
          <cell r="I12">
            <v>-1.0059999999999985</v>
          </cell>
          <cell r="J12">
            <v>-0.88700000000000401</v>
          </cell>
          <cell r="K12">
            <v>-1.2530000000000001</v>
          </cell>
          <cell r="L12">
            <v>-2.5579999999999998</v>
          </cell>
          <cell r="M12">
            <v>-2.0029999999999966</v>
          </cell>
          <cell r="N12">
            <v>1</v>
          </cell>
          <cell r="O12">
            <v>-3.5169999999999959</v>
          </cell>
          <cell r="P12">
            <v>-0.67400000000000659</v>
          </cell>
          <cell r="Q12">
            <v>-0.69499999999999318</v>
          </cell>
          <cell r="R12">
            <v>3.2260000000000062</v>
          </cell>
          <cell r="S12">
            <v>-5.2850000000000108</v>
          </cell>
          <cell r="T12">
            <v>-0.76100000000000279</v>
          </cell>
          <cell r="U12">
            <v>0.87299999999999045</v>
          </cell>
          <cell r="V12">
            <v>3.9579999999999842</v>
          </cell>
          <cell r="W12">
            <v>-3.5729999999999933</v>
          </cell>
          <cell r="X12">
            <v>1.6380000000000052</v>
          </cell>
          <cell r="Y12">
            <v>2.7210000000000036</v>
          </cell>
          <cell r="Z12">
            <v>6.5340498686170747</v>
          </cell>
          <cell r="AC12">
            <v>-4.8139999999999965</v>
          </cell>
          <cell r="AD12">
            <v>-1.6599999999999895</v>
          </cell>
          <cell r="AE12">
            <v>-1.2150000000000389</v>
          </cell>
          <cell r="AF12">
            <v>7.3200498686170903</v>
          </cell>
          <cell r="CF12" t="str">
            <v>@ Bull Revenue</v>
          </cell>
          <cell r="CI12">
            <v>101.66984397526367</v>
          </cell>
          <cell r="CJ12">
            <v>170.56715526024698</v>
          </cell>
          <cell r="CK12">
            <v>263.57331292587196</v>
          </cell>
        </row>
        <row r="13">
          <cell r="B13" t="str">
            <v>Operating Margin</v>
          </cell>
          <cell r="G13">
            <v>-3.331145388907112E-2</v>
          </cell>
          <cell r="H13">
            <v>3.8579742365788372E-2</v>
          </cell>
          <cell r="I13">
            <v>-6.2941875742976813E-2</v>
          </cell>
          <cell r="J13">
            <v>-3.8935955401431195E-2</v>
          </cell>
          <cell r="K13">
            <v>-6.0710305731866865E-2</v>
          </cell>
          <cell r="L13">
            <v>-9.8577979883617869E-2</v>
          </cell>
          <cell r="M13">
            <v>-6.4254322651011983E-2</v>
          </cell>
          <cell r="N13">
            <v>2.3255813953488372E-2</v>
          </cell>
          <cell r="O13">
            <v>-9.4565889596945382E-2</v>
          </cell>
          <cell r="P13">
            <v>-1.5151855765123904E-2</v>
          </cell>
          <cell r="Q13">
            <v>-1.3353828417715307E-2</v>
          </cell>
          <cell r="R13">
            <v>4.9459563050977477E-2</v>
          </cell>
          <cell r="S13">
            <v>-9.2383799185414575E-2</v>
          </cell>
          <cell r="T13">
            <v>-1.1379779582193153E-2</v>
          </cell>
          <cell r="U13">
            <v>1.1102208996222839E-2</v>
          </cell>
          <cell r="V13">
            <v>3.9615654088679654E-2</v>
          </cell>
          <cell r="W13">
            <v>-4.1591488470089664E-2</v>
          </cell>
          <cell r="X13">
            <v>1.6130461756625063E-2</v>
          </cell>
          <cell r="Y13">
            <v>2.3451033793275851E-2</v>
          </cell>
          <cell r="Z13">
            <v>4.6541803521664045E-2</v>
          </cell>
          <cell r="AC13">
            <v>-0.20028679431300839</v>
          </cell>
          <cell r="AD13">
            <v>-7.3612010728807103E-2</v>
          </cell>
          <cell r="AE13">
            <v>-5.3045715682705226E-2</v>
          </cell>
          <cell r="AF13">
            <v>4.4531810601475291E-2</v>
          </cell>
        </row>
        <row r="14">
          <cell r="B14" t="str">
            <v>TTM Operating Margin</v>
          </cell>
          <cell r="J14">
            <v>-2.57981734470526E-2</v>
          </cell>
          <cell r="K14">
            <v>-3.4218699796508531E-2</v>
          </cell>
          <cell r="L14">
            <v>-6.6829131127565874E-2</v>
          </cell>
          <cell r="M14">
            <v>-6.6648763700741978E-2</v>
          </cell>
          <cell r="N14">
            <v>-3.9863863333360908E-2</v>
          </cell>
          <cell r="O14">
            <v>-5.1546466831254092E-2</v>
          </cell>
          <cell r="P14">
            <v>-3.3327558438725154E-2</v>
          </cell>
          <cell r="Q14">
            <v>-2.1989712481396997E-2</v>
          </cell>
          <cell r="R14">
            <v>-8.3440566189479926E-3</v>
          </cell>
          <cell r="S14">
            <v>-1.5655827548410689E-2</v>
          </cell>
          <cell r="T14">
            <v>-1.4563911332090326E-2</v>
          </cell>
          <cell r="U14">
            <v>-7.2666064537318968E-3</v>
          </cell>
          <cell r="V14">
            <v>-4.0148964222813171E-3</v>
          </cell>
          <cell r="W14">
            <v>1.5000467821430405E-3</v>
          </cell>
          <cell r="X14">
            <v>7.9126331636597737E-3</v>
          </cell>
          <cell r="Y14">
            <v>1.1760243732538738E-2</v>
          </cell>
          <cell r="Z14">
            <v>1.6491279135541076E-2</v>
          </cell>
          <cell r="CJ14">
            <v>1.270690346791129</v>
          </cell>
        </row>
        <row r="15">
          <cell r="B15" t="str">
            <v xml:space="preserve">EBITDA </v>
          </cell>
          <cell r="G15">
            <v>2.0520000000000014</v>
          </cell>
          <cell r="H15">
            <v>3.1520000000000015</v>
          </cell>
          <cell r="I15">
            <v>1.9160000000000017</v>
          </cell>
          <cell r="J15">
            <v>-0.61400000000000399</v>
          </cell>
          <cell r="K15">
            <v>-0.90500000000000014</v>
          </cell>
          <cell r="L15">
            <v>-2.0609999999999999</v>
          </cell>
          <cell r="M15">
            <v>-1.4189999999999965</v>
          </cell>
          <cell r="N15">
            <v>1.6910000000000003</v>
          </cell>
          <cell r="O15">
            <v>-2.5859999999999959</v>
          </cell>
          <cell r="P15">
            <v>0.54399999999999338</v>
          </cell>
          <cell r="Q15">
            <v>0.51300000000000678</v>
          </cell>
          <cell r="R15">
            <v>4.5430000000000064</v>
          </cell>
          <cell r="S15">
            <v>-3.860000000000011</v>
          </cell>
          <cell r="T15">
            <v>0.69399999999999729</v>
          </cell>
          <cell r="U15">
            <v>2.3569999999999904</v>
          </cell>
          <cell r="V15">
            <v>5.3799999999999848</v>
          </cell>
          <cell r="W15">
            <v>-1.7449999999999934</v>
          </cell>
          <cell r="X15">
            <v>3.7250000000000059</v>
          </cell>
          <cell r="Y15">
            <v>5.653000000000004</v>
          </cell>
          <cell r="Z15">
            <v>9.4660498686170733</v>
          </cell>
          <cell r="AC15">
            <v>-2.693999999999996</v>
          </cell>
          <cell r="AD15">
            <v>3.0140000000000109</v>
          </cell>
          <cell r="AE15">
            <v>4.5709999999999615</v>
          </cell>
          <cell r="AF15">
            <v>17.09904986861709</v>
          </cell>
        </row>
        <row r="16">
          <cell r="B16" t="str">
            <v>EBITDA Margin</v>
          </cell>
          <cell r="G16">
            <v>0.16836232359698075</v>
          </cell>
          <cell r="H16">
            <v>0.20610736938468588</v>
          </cell>
          <cell r="I16">
            <v>0.119877369705312</v>
          </cell>
          <cell r="J16">
            <v>-2.6952284798735966E-2</v>
          </cell>
          <cell r="K16">
            <v>-4.3849023693008388E-2</v>
          </cell>
          <cell r="L16">
            <v>-7.9425026012563113E-2</v>
          </cell>
          <cell r="M16">
            <v>-4.5520161678375408E-2</v>
          </cell>
          <cell r="N16">
            <v>3.9325581395348842E-2</v>
          </cell>
          <cell r="O16">
            <v>-6.9532951520529046E-2</v>
          </cell>
          <cell r="P16">
            <v>1.2229391003304484E-2</v>
          </cell>
          <cell r="Q16">
            <v>9.8568546450188647E-3</v>
          </cell>
          <cell r="R16">
            <v>6.9651207359141529E-2</v>
          </cell>
          <cell r="S16">
            <v>-6.7474260142989698E-2</v>
          </cell>
          <cell r="T16">
            <v>1.0377880459976332E-2</v>
          </cell>
          <cell r="U16">
            <v>2.9974692559103563E-2</v>
          </cell>
          <cell r="V16">
            <v>5.3848463617255378E-2</v>
          </cell>
          <cell r="W16">
            <v>-2.031266369446021E-2</v>
          </cell>
          <cell r="X16">
            <v>3.6682521394034349E-2</v>
          </cell>
          <cell r="Y16">
            <v>4.8720578476070676E-2</v>
          </cell>
          <cell r="Z16">
            <v>6.7426334657696013E-2</v>
          </cell>
          <cell r="AC16">
            <v>-0.12946862998859807</v>
          </cell>
          <cell r="AD16">
            <v>2.2204501486935833E-2</v>
          </cell>
          <cell r="AE16">
            <v>2.6726776493345577E-2</v>
          </cell>
          <cell r="AF16">
            <v>0.13251677083334085</v>
          </cell>
        </row>
        <row r="18">
          <cell r="A18" t="str">
            <v>Sales Productivity</v>
          </cell>
        </row>
        <row r="19">
          <cell r="B19" t="str">
            <v>QCS</v>
          </cell>
          <cell r="C19">
            <v>25</v>
          </cell>
          <cell r="D19">
            <v>26.666666666666664</v>
          </cell>
          <cell r="E19">
            <v>28.333333333333332</v>
          </cell>
          <cell r="F19">
            <v>34.444444444444443</v>
          </cell>
          <cell r="G19">
            <v>45</v>
          </cell>
          <cell r="H19">
            <v>48</v>
          </cell>
          <cell r="I19">
            <v>51</v>
          </cell>
          <cell r="J19">
            <v>62</v>
          </cell>
          <cell r="K19">
            <v>74</v>
          </cell>
          <cell r="L19">
            <v>83</v>
          </cell>
          <cell r="M19">
            <v>90</v>
          </cell>
          <cell r="N19">
            <v>94</v>
          </cell>
          <cell r="O19">
            <v>101</v>
          </cell>
          <cell r="P19">
            <v>117</v>
          </cell>
          <cell r="Q19">
            <v>144</v>
          </cell>
          <cell r="R19">
            <v>163</v>
          </cell>
          <cell r="S19">
            <v>174</v>
          </cell>
          <cell r="T19">
            <v>189</v>
          </cell>
          <cell r="U19">
            <v>204</v>
          </cell>
          <cell r="V19">
            <v>220</v>
          </cell>
          <cell r="W19">
            <v>243</v>
          </cell>
          <cell r="X19">
            <v>266</v>
          </cell>
          <cell r="Y19">
            <v>280</v>
          </cell>
          <cell r="Z19">
            <v>304.7</v>
          </cell>
          <cell r="AB19">
            <v>0</v>
          </cell>
          <cell r="AC19">
            <v>0</v>
          </cell>
          <cell r="AD19">
            <v>0</v>
          </cell>
          <cell r="AE19">
            <v>0</v>
          </cell>
          <cell r="AF19">
            <v>0</v>
          </cell>
        </row>
        <row r="20">
          <cell r="B20" t="str">
            <v xml:space="preserve">   YoY Growth</v>
          </cell>
          <cell r="G20">
            <v>0.8</v>
          </cell>
          <cell r="H20">
            <v>0.8</v>
          </cell>
          <cell r="I20">
            <v>0.8</v>
          </cell>
          <cell r="J20">
            <v>0.8</v>
          </cell>
          <cell r="K20">
            <v>0.64444444444444438</v>
          </cell>
          <cell r="L20">
            <v>0.72916666666666674</v>
          </cell>
          <cell r="M20">
            <v>0.76470588235294112</v>
          </cell>
          <cell r="N20">
            <v>0.5161290322580645</v>
          </cell>
          <cell r="O20">
            <v>0.36486486486486491</v>
          </cell>
          <cell r="P20">
            <v>0.40963855421686746</v>
          </cell>
          <cell r="Q20">
            <v>0.60000000000000009</v>
          </cell>
          <cell r="R20">
            <v>0.73404255319148937</v>
          </cell>
          <cell r="S20">
            <v>0.72277227722772275</v>
          </cell>
          <cell r="T20">
            <v>0.61538461538461542</v>
          </cell>
          <cell r="U20">
            <v>0.41666666666666674</v>
          </cell>
          <cell r="V20">
            <v>0.34969325153374231</v>
          </cell>
          <cell r="W20">
            <v>0.39655172413793105</v>
          </cell>
          <cell r="X20">
            <v>0.40740740740740744</v>
          </cell>
          <cell r="Y20">
            <v>0.37254901960784315</v>
          </cell>
          <cell r="Z20">
            <v>0.38500000000000001</v>
          </cell>
        </row>
        <row r="22">
          <cell r="B22" t="str">
            <v>Productivity Ramp</v>
          </cell>
        </row>
        <row r="23">
          <cell r="B23" t="str">
            <v>1Q = 0%</v>
          </cell>
          <cell r="G23">
            <v>10.555555555555557</v>
          </cell>
          <cell r="H23">
            <v>3</v>
          </cell>
          <cell r="I23">
            <v>3</v>
          </cell>
          <cell r="J23">
            <v>11</v>
          </cell>
          <cell r="K23">
            <v>12</v>
          </cell>
          <cell r="L23">
            <v>9</v>
          </cell>
          <cell r="M23">
            <v>7</v>
          </cell>
          <cell r="N23">
            <v>4</v>
          </cell>
          <cell r="O23">
            <v>7</v>
          </cell>
          <cell r="P23">
            <v>16</v>
          </cell>
          <cell r="Q23">
            <v>27</v>
          </cell>
          <cell r="R23">
            <v>19</v>
          </cell>
          <cell r="S23">
            <v>11</v>
          </cell>
          <cell r="T23">
            <v>15</v>
          </cell>
          <cell r="U23">
            <v>15</v>
          </cell>
          <cell r="V23">
            <v>16</v>
          </cell>
          <cell r="W23">
            <v>23</v>
          </cell>
          <cell r="X23">
            <v>23</v>
          </cell>
          <cell r="Y23">
            <v>14</v>
          </cell>
          <cell r="Z23">
            <v>24.699999999999989</v>
          </cell>
        </row>
        <row r="24">
          <cell r="B24" t="str">
            <v>2Q = 25%</v>
          </cell>
          <cell r="G24">
            <v>6.1111111111111107</v>
          </cell>
          <cell r="H24">
            <v>10.555555555555557</v>
          </cell>
          <cell r="I24">
            <v>3</v>
          </cell>
          <cell r="J24">
            <v>3</v>
          </cell>
          <cell r="K24">
            <v>11</v>
          </cell>
          <cell r="L24">
            <v>12</v>
          </cell>
          <cell r="M24">
            <v>9</v>
          </cell>
          <cell r="N24">
            <v>7</v>
          </cell>
          <cell r="O24">
            <v>4</v>
          </cell>
          <cell r="P24">
            <v>7</v>
          </cell>
          <cell r="Q24">
            <v>16</v>
          </cell>
          <cell r="R24">
            <v>27</v>
          </cell>
          <cell r="S24">
            <v>19</v>
          </cell>
          <cell r="T24">
            <v>11</v>
          </cell>
          <cell r="U24">
            <v>15</v>
          </cell>
          <cell r="V24">
            <v>15</v>
          </cell>
          <cell r="W24">
            <v>16</v>
          </cell>
          <cell r="X24">
            <v>23</v>
          </cell>
          <cell r="Y24">
            <v>23</v>
          </cell>
          <cell r="Z24">
            <v>14</v>
          </cell>
        </row>
        <row r="25">
          <cell r="B25" t="str">
            <v>3Q = 50%</v>
          </cell>
          <cell r="G25">
            <v>1.6666666666666679</v>
          </cell>
          <cell r="H25">
            <v>6.1111111111111107</v>
          </cell>
          <cell r="I25">
            <v>10.555555555555557</v>
          </cell>
          <cell r="J25">
            <v>3</v>
          </cell>
          <cell r="K25">
            <v>3</v>
          </cell>
          <cell r="L25">
            <v>11</v>
          </cell>
          <cell r="M25">
            <v>12</v>
          </cell>
          <cell r="N25">
            <v>9</v>
          </cell>
          <cell r="O25">
            <v>7</v>
          </cell>
          <cell r="P25">
            <v>4</v>
          </cell>
          <cell r="Q25">
            <v>7</v>
          </cell>
          <cell r="R25">
            <v>16</v>
          </cell>
          <cell r="S25">
            <v>27</v>
          </cell>
          <cell r="T25">
            <v>19</v>
          </cell>
          <cell r="U25">
            <v>11</v>
          </cell>
          <cell r="V25">
            <v>15</v>
          </cell>
          <cell r="W25">
            <v>15</v>
          </cell>
          <cell r="X25">
            <v>16</v>
          </cell>
          <cell r="Y25">
            <v>23</v>
          </cell>
          <cell r="Z25">
            <v>23</v>
          </cell>
        </row>
        <row r="26">
          <cell r="B26" t="str">
            <v>4Q = 100%</v>
          </cell>
          <cell r="G26">
            <v>26.666666666666664</v>
          </cell>
          <cell r="H26">
            <v>28.333333333333332</v>
          </cell>
          <cell r="I26">
            <v>34.444444444444443</v>
          </cell>
          <cell r="J26">
            <v>45</v>
          </cell>
          <cell r="K26">
            <v>48</v>
          </cell>
          <cell r="L26">
            <v>51</v>
          </cell>
          <cell r="M26">
            <v>62</v>
          </cell>
          <cell r="N26">
            <v>74</v>
          </cell>
          <cell r="O26">
            <v>83</v>
          </cell>
          <cell r="P26">
            <v>90</v>
          </cell>
          <cell r="Q26">
            <v>94</v>
          </cell>
          <cell r="R26">
            <v>101</v>
          </cell>
          <cell r="S26">
            <v>117</v>
          </cell>
          <cell r="T26">
            <v>144</v>
          </cell>
          <cell r="U26">
            <v>163</v>
          </cell>
          <cell r="V26">
            <v>174</v>
          </cell>
          <cell r="W26">
            <v>189</v>
          </cell>
          <cell r="X26">
            <v>204</v>
          </cell>
          <cell r="Y26">
            <v>220</v>
          </cell>
          <cell r="Z26">
            <v>243</v>
          </cell>
        </row>
        <row r="28">
          <cell r="B28" t="str">
            <v>Productive Rep Equivalent</v>
          </cell>
          <cell r="G28">
            <v>29.027777777777779</v>
          </cell>
          <cell r="H28">
            <v>34.027777777777771</v>
          </cell>
          <cell r="I28">
            <v>40.472222222222221</v>
          </cell>
          <cell r="J28">
            <v>47.25</v>
          </cell>
          <cell r="K28">
            <v>52.25</v>
          </cell>
          <cell r="L28">
            <v>59.5</v>
          </cell>
          <cell r="M28">
            <v>70.25</v>
          </cell>
          <cell r="N28">
            <v>80.25</v>
          </cell>
          <cell r="O28">
            <v>87.5</v>
          </cell>
          <cell r="P28">
            <v>93.75</v>
          </cell>
          <cell r="Q28">
            <v>101.5</v>
          </cell>
          <cell r="R28">
            <v>115.75</v>
          </cell>
          <cell r="S28">
            <v>135.25</v>
          </cell>
          <cell r="T28">
            <v>156.25</v>
          </cell>
          <cell r="U28">
            <v>172.25</v>
          </cell>
          <cell r="V28">
            <v>185.25</v>
          </cell>
          <cell r="W28">
            <v>200.5</v>
          </cell>
          <cell r="X28">
            <v>217.75</v>
          </cell>
          <cell r="Y28">
            <v>237.25</v>
          </cell>
          <cell r="Z28">
            <v>258</v>
          </cell>
          <cell r="AB28">
            <v>31.298611111111114</v>
          </cell>
          <cell r="AC28">
            <v>52.487499999999997</v>
          </cell>
          <cell r="AD28">
            <v>78.599999999999994</v>
          </cell>
          <cell r="AE28">
            <v>128.83750000000001</v>
          </cell>
          <cell r="AF28">
            <v>185.92499999999998</v>
          </cell>
        </row>
        <row r="29">
          <cell r="B29" t="str">
            <v>% of reps fully ramped</v>
          </cell>
          <cell r="G29">
            <v>0.59259259259259256</v>
          </cell>
          <cell r="H29">
            <v>0.59027777777777779</v>
          </cell>
          <cell r="I29">
            <v>0.6753812636165577</v>
          </cell>
          <cell r="J29">
            <v>0.72580645161290325</v>
          </cell>
          <cell r="K29">
            <v>0.64864864864864868</v>
          </cell>
          <cell r="L29">
            <v>0.61445783132530118</v>
          </cell>
          <cell r="M29">
            <v>0.68888888888888888</v>
          </cell>
          <cell r="N29">
            <v>0.78723404255319152</v>
          </cell>
          <cell r="O29">
            <v>0.82178217821782173</v>
          </cell>
          <cell r="P29">
            <v>0.76923076923076927</v>
          </cell>
          <cell r="Q29">
            <v>0.65277777777777779</v>
          </cell>
          <cell r="R29">
            <v>0.61963190184049077</v>
          </cell>
          <cell r="S29">
            <v>0.67241379310344829</v>
          </cell>
          <cell r="T29">
            <v>0.76190476190476186</v>
          </cell>
          <cell r="U29">
            <v>0.7990196078431373</v>
          </cell>
          <cell r="V29">
            <v>0.79090909090909089</v>
          </cell>
          <cell r="W29">
            <v>0.77777777777777779</v>
          </cell>
          <cell r="X29">
            <v>0.76691729323308266</v>
          </cell>
          <cell r="Y29">
            <v>0.7857142857142857</v>
          </cell>
          <cell r="Z29">
            <v>0.79750574335411883</v>
          </cell>
          <cell r="AB29">
            <v>0.29978425026968714</v>
          </cell>
          <cell r="AC29">
            <v>0.26290322580645176</v>
          </cell>
          <cell r="AD29">
            <v>0.2280930419089634</v>
          </cell>
          <cell r="AE29">
            <v>6.2452978520165403E-2</v>
          </cell>
          <cell r="AF29">
            <v>0.10687506868306051</v>
          </cell>
        </row>
        <row r="30">
          <cell r="B30" t="str">
            <v>YoY Growth</v>
          </cell>
          <cell r="K30">
            <v>0.8</v>
          </cell>
          <cell r="L30">
            <v>0.74857142857142889</v>
          </cell>
          <cell r="M30">
            <v>0.73575840768702827</v>
          </cell>
          <cell r="N30">
            <v>0.69841269841269837</v>
          </cell>
          <cell r="O30">
            <v>0.67464114832535893</v>
          </cell>
          <cell r="P30">
            <v>0.57563025210084029</v>
          </cell>
          <cell r="Q30">
            <v>0.44483985765124556</v>
          </cell>
          <cell r="R30">
            <v>0.44236760124610597</v>
          </cell>
          <cell r="S30">
            <v>0.54571428571428582</v>
          </cell>
          <cell r="T30">
            <v>0.66666666666666674</v>
          </cell>
          <cell r="U30">
            <v>0.69704433497536944</v>
          </cell>
          <cell r="V30">
            <v>0.60043196544276456</v>
          </cell>
          <cell r="W30">
            <v>0.48243992606284669</v>
          </cell>
          <cell r="X30">
            <v>0.39359999999999995</v>
          </cell>
          <cell r="Y30">
            <v>0.37735849056603765</v>
          </cell>
          <cell r="Z30">
            <v>0.39271255060728749</v>
          </cell>
        </row>
        <row r="31">
          <cell r="B31" t="str">
            <v>Unproductive Rep</v>
          </cell>
          <cell r="AB31">
            <v>-31.298611111111114</v>
          </cell>
          <cell r="AC31">
            <v>-52.487499999999997</v>
          </cell>
          <cell r="AD31">
            <v>-78.599999999999994</v>
          </cell>
          <cell r="AE31">
            <v>-128.83750000000001</v>
          </cell>
          <cell r="AF31">
            <v>-185.92499999999998</v>
          </cell>
        </row>
        <row r="32">
          <cell r="B32" t="str">
            <v>License Billings</v>
          </cell>
          <cell r="G32">
            <v>9.7354532025798424</v>
          </cell>
          <cell r="H32">
            <v>13.853780060882073</v>
          </cell>
          <cell r="I32">
            <v>12.503835744583675</v>
          </cell>
          <cell r="J32">
            <v>21.562748780158493</v>
          </cell>
          <cell r="K32">
            <v>15.91018781643044</v>
          </cell>
          <cell r="L32">
            <v>21.384200801085942</v>
          </cell>
          <cell r="M32">
            <v>24.756122347787812</v>
          </cell>
          <cell r="N32">
            <v>42.748710675487786</v>
          </cell>
          <cell r="O32">
            <v>30.22504864219432</v>
          </cell>
          <cell r="P32">
            <v>36.699374092781618</v>
          </cell>
          <cell r="Q32">
            <v>37.039374873238366</v>
          </cell>
          <cell r="R32">
            <v>79.276604267719875</v>
          </cell>
          <cell r="S32">
            <v>39.369639362397464</v>
          </cell>
          <cell r="T32">
            <v>51.95226869216868</v>
          </cell>
          <cell r="U32">
            <v>63.760721843841701</v>
          </cell>
          <cell r="V32">
            <v>112.25404021771908</v>
          </cell>
          <cell r="W32">
            <v>53.660614141418058</v>
          </cell>
          <cell r="X32">
            <v>78.305648914043388</v>
          </cell>
          <cell r="Y32">
            <v>97.42682809716932</v>
          </cell>
          <cell r="Z32">
            <v>134.76279056232269</v>
          </cell>
          <cell r="AB32">
            <v>57.655817788204082</v>
          </cell>
          <cell r="AC32">
            <v>104.79922164079198</v>
          </cell>
          <cell r="AD32">
            <v>183.24040187593417</v>
          </cell>
          <cell r="AE32">
            <v>267.33667011612692</v>
          </cell>
          <cell r="AF32">
            <v>364.15588171495347</v>
          </cell>
        </row>
        <row r="34">
          <cell r="B34" t="str">
            <v>Lic Billings / QCS</v>
          </cell>
          <cell r="G34">
            <v>0.21634340450177428</v>
          </cell>
          <cell r="H34">
            <v>0.28862041793504317</v>
          </cell>
          <cell r="I34">
            <v>0.24517324989379755</v>
          </cell>
          <cell r="J34">
            <v>0.34778627064771761</v>
          </cell>
          <cell r="K34">
            <v>0.21500253805987082</v>
          </cell>
          <cell r="L34">
            <v>0.25764097350705956</v>
          </cell>
          <cell r="M34">
            <v>0.27506802608653125</v>
          </cell>
          <cell r="N34">
            <v>0.45477351782433817</v>
          </cell>
          <cell r="O34">
            <v>0.29925790734845864</v>
          </cell>
          <cell r="P34">
            <v>0.31366986404086855</v>
          </cell>
          <cell r="Q34">
            <v>0.25721788106415533</v>
          </cell>
          <cell r="R34">
            <v>0.48635953538478449</v>
          </cell>
          <cell r="S34">
            <v>0.22626229518619231</v>
          </cell>
          <cell r="T34">
            <v>0.27487972852999304</v>
          </cell>
          <cell r="U34">
            <v>0.31255255805804755</v>
          </cell>
          <cell r="V34">
            <v>0.51024563735326856</v>
          </cell>
          <cell r="W34">
            <v>0.22082557259842822</v>
          </cell>
          <cell r="X34">
            <v>0.29438213877459918</v>
          </cell>
          <cell r="Y34">
            <v>0.34795295748989041</v>
          </cell>
          <cell r="Z34">
            <v>0.44228024470732752</v>
          </cell>
          <cell r="AB34">
            <v>1.0979233429783326</v>
          </cell>
          <cell r="AC34">
            <v>1.2024850554777999</v>
          </cell>
          <cell r="AD34">
            <v>1.356505187838267</v>
          </cell>
          <cell r="AE34">
            <v>1.3239402191275014</v>
          </cell>
          <cell r="AF34">
            <v>1.3054409135702452</v>
          </cell>
        </row>
        <row r="35">
          <cell r="AC35">
            <v>9.5235895263710457E-2</v>
          </cell>
          <cell r="AD35">
            <v>0.12808486197715618</v>
          </cell>
          <cell r="AE35">
            <v>-2.4006519844322449E-2</v>
          </cell>
          <cell r="AF35">
            <v>-1.3972916065234098E-2</v>
          </cell>
        </row>
        <row r="37">
          <cell r="B37" t="str">
            <v>Lic Billings / PRE</v>
          </cell>
          <cell r="G37">
            <v>0.33538403377308545</v>
          </cell>
          <cell r="H37">
            <v>0.40713149566673856</v>
          </cell>
          <cell r="I37">
            <v>0.30894858394304209</v>
          </cell>
          <cell r="J37">
            <v>0.45635447153774589</v>
          </cell>
          <cell r="K37">
            <v>0.30450120222833377</v>
          </cell>
          <cell r="L37">
            <v>0.35939833279136035</v>
          </cell>
          <cell r="M37">
            <v>0.35240031811797595</v>
          </cell>
          <cell r="N37">
            <v>0.53269421402476991</v>
          </cell>
          <cell r="O37">
            <v>0.34542912733936365</v>
          </cell>
          <cell r="P37">
            <v>0.39145999032300394</v>
          </cell>
          <cell r="Q37">
            <v>0.36491994949003315</v>
          </cell>
          <cell r="R37">
            <v>0.68489506926755828</v>
          </cell>
          <cell r="S37">
            <v>0.29108790656116423</v>
          </cell>
          <cell r="T37">
            <v>0.33249451962987953</v>
          </cell>
          <cell r="U37">
            <v>0.37016384234450916</v>
          </cell>
          <cell r="V37">
            <v>0.60595973126973868</v>
          </cell>
          <cell r="W37">
            <v>0.26763398574273345</v>
          </cell>
          <cell r="X37">
            <v>0.35961262417471129</v>
          </cell>
          <cell r="Y37">
            <v>0.41065048723780534</v>
          </cell>
          <cell r="Z37">
            <v>0.52233639752838257</v>
          </cell>
          <cell r="AB37">
            <v>1.507818584920612</v>
          </cell>
          <cell r="AC37">
            <v>1.54899406716244</v>
          </cell>
          <cell r="AD37">
            <v>1.7867041364199592</v>
          </cell>
          <cell r="AE37">
            <v>1.5997059998052916</v>
          </cell>
          <cell r="AF37">
            <v>1.5602334946836327</v>
          </cell>
        </row>
        <row r="38">
          <cell r="K38">
            <v>-9.20819968598936E-2</v>
          </cell>
          <cell r="L38">
            <v>-0.11724261911304124</v>
          </cell>
          <cell r="M38">
            <v>0.14064390139086913</v>
          </cell>
          <cell r="N38">
            <v>0.16728167958952467</v>
          </cell>
          <cell r="O38">
            <v>0.13440973241327181</v>
          </cell>
          <cell r="P38">
            <v>8.9209255041970748E-2</v>
          </cell>
          <cell r="Q38">
            <v>3.5526731187188965E-2</v>
          </cell>
          <cell r="R38">
            <v>0.28571899456694894</v>
          </cell>
          <cell r="S38">
            <v>-0.15731510888140132</v>
          </cell>
          <cell r="T38">
            <v>-0.15062962282421366</v>
          </cell>
          <cell r="U38">
            <v>1.4369981311803448E-2</v>
          </cell>
          <cell r="V38">
            <v>-0.11525172473826506</v>
          </cell>
          <cell r="W38">
            <v>-8.0573326097635678E-2</v>
          </cell>
          <cell r="X38">
            <v>8.1559553447733801E-2</v>
          </cell>
          <cell r="Y38">
            <v>0.10937493148132904</v>
          </cell>
          <cell r="Z38">
            <v>-0.13800147010780783</v>
          </cell>
          <cell r="AC38">
            <v>2.730798164554793E-2</v>
          </cell>
          <cell r="AD38">
            <v>0.15346092944886069</v>
          </cell>
          <cell r="AE38">
            <v>-0.10466094122855618</v>
          </cell>
          <cell r="AF38">
            <v>-2.4674849707673308E-2</v>
          </cell>
        </row>
        <row r="40">
          <cell r="B40" t="str">
            <v>Unproductive Reps</v>
          </cell>
          <cell r="G40">
            <v>15.972222222222221</v>
          </cell>
          <cell r="H40">
            <v>13.972222222222229</v>
          </cell>
          <cell r="I40">
            <v>10.527777777777779</v>
          </cell>
          <cell r="J40">
            <v>14.75</v>
          </cell>
          <cell r="K40">
            <v>21.75</v>
          </cell>
          <cell r="L40">
            <v>23.5</v>
          </cell>
          <cell r="M40">
            <v>19.75</v>
          </cell>
          <cell r="N40">
            <v>13.75</v>
          </cell>
          <cell r="O40">
            <v>13.5</v>
          </cell>
          <cell r="P40">
            <v>23.25</v>
          </cell>
          <cell r="Q40">
            <v>42.5</v>
          </cell>
          <cell r="R40">
            <v>47.25</v>
          </cell>
          <cell r="S40">
            <v>38.75</v>
          </cell>
          <cell r="T40">
            <v>32.75</v>
          </cell>
          <cell r="U40">
            <v>31.75</v>
          </cell>
          <cell r="V40">
            <v>34.75</v>
          </cell>
          <cell r="W40">
            <v>42.5</v>
          </cell>
          <cell r="X40">
            <v>48.25</v>
          </cell>
          <cell r="Y40">
            <v>42.75</v>
          </cell>
          <cell r="Z40">
            <v>46.699999999999989</v>
          </cell>
        </row>
        <row r="41">
          <cell r="G41">
            <v>0.35493827160493824</v>
          </cell>
          <cell r="H41">
            <v>0.29108796296296308</v>
          </cell>
          <cell r="I41">
            <v>0.20642701525054469</v>
          </cell>
          <cell r="J41">
            <v>0.23790322580645162</v>
          </cell>
          <cell r="K41">
            <v>0.29391891891891891</v>
          </cell>
          <cell r="L41">
            <v>0.28313253012048195</v>
          </cell>
          <cell r="M41">
            <v>0.21944444444444444</v>
          </cell>
          <cell r="N41">
            <v>0.14627659574468085</v>
          </cell>
          <cell r="O41">
            <v>0.13366336633663367</v>
          </cell>
          <cell r="P41">
            <v>0.19871794871794871</v>
          </cell>
          <cell r="Q41">
            <v>0.2951388888888889</v>
          </cell>
          <cell r="R41">
            <v>0.28987730061349692</v>
          </cell>
          <cell r="S41">
            <v>0.22270114942528735</v>
          </cell>
          <cell r="T41">
            <v>0.17328042328042328</v>
          </cell>
          <cell r="U41">
            <v>0.15563725490196079</v>
          </cell>
          <cell r="V41">
            <v>0.15795454545454546</v>
          </cell>
          <cell r="W41">
            <v>0.17489711934156379</v>
          </cell>
          <cell r="X41">
            <v>0.18139097744360902</v>
          </cell>
          <cell r="Y41">
            <v>0.15267857142857144</v>
          </cell>
          <cell r="Z41">
            <v>0.15326550705612074</v>
          </cell>
        </row>
        <row r="43">
          <cell r="B43" t="str">
            <v>S&amp;M Expense</v>
          </cell>
          <cell r="G43">
            <v>7.5479999999999992</v>
          </cell>
          <cell r="H43">
            <v>8.5150000000000006</v>
          </cell>
          <cell r="I43">
            <v>9.2469999999999999</v>
          </cell>
          <cell r="J43">
            <v>14.103999999999999</v>
          </cell>
          <cell r="K43">
            <v>12.589</v>
          </cell>
          <cell r="L43">
            <v>16.145</v>
          </cell>
          <cell r="M43">
            <v>18.773999999999997</v>
          </cell>
          <cell r="N43">
            <v>26</v>
          </cell>
          <cell r="O43">
            <v>23.308</v>
          </cell>
          <cell r="P43">
            <v>26.234999999999999</v>
          </cell>
          <cell r="Q43">
            <v>30.754000000000001</v>
          </cell>
          <cell r="R43">
            <v>36.25</v>
          </cell>
          <cell r="S43">
            <v>36.713000000000001</v>
          </cell>
          <cell r="T43">
            <v>39.164000000000001</v>
          </cell>
          <cell r="U43">
            <v>46.747999999999998</v>
          </cell>
          <cell r="V43">
            <v>60.821999999999996</v>
          </cell>
          <cell r="W43">
            <v>50.930999999999997</v>
          </cell>
          <cell r="X43">
            <v>58.163999999999987</v>
          </cell>
          <cell r="Y43">
            <v>64.10799999999999</v>
          </cell>
          <cell r="Z43">
            <v>82.830684047076659</v>
          </cell>
          <cell r="AB43">
            <v>39.414000000000001</v>
          </cell>
          <cell r="AC43">
            <v>73.507999999999996</v>
          </cell>
          <cell r="AD43">
            <v>116.547</v>
          </cell>
          <cell r="AE43">
            <v>183.447</v>
          </cell>
          <cell r="AF43">
            <v>256.03368404707663</v>
          </cell>
        </row>
        <row r="44">
          <cell r="B44" t="str">
            <v xml:space="preserve">  ex-unproductive</v>
          </cell>
          <cell r="G44">
            <v>4.8689259259259252</v>
          </cell>
          <cell r="H44">
            <v>6.0363859953703702</v>
          </cell>
          <cell r="I44">
            <v>7.338169389978213</v>
          </cell>
          <cell r="J44">
            <v>10.748612903225805</v>
          </cell>
          <cell r="K44">
            <v>8.8888547297297311</v>
          </cell>
          <cell r="L44">
            <v>11.573825301204819</v>
          </cell>
          <cell r="M44">
            <v>14.654149999999998</v>
          </cell>
          <cell r="N44">
            <v>22.196808510638299</v>
          </cell>
          <cell r="O44">
            <v>20.192574257425743</v>
          </cell>
          <cell r="P44">
            <v>21.021634615384617</v>
          </cell>
          <cell r="Q44">
            <v>21.677298611111112</v>
          </cell>
          <cell r="R44">
            <v>25.741947852760738</v>
          </cell>
          <cell r="S44">
            <v>28.536972701149427</v>
          </cell>
          <cell r="T44">
            <v>32.377645502645507</v>
          </cell>
          <cell r="U44">
            <v>39.472269607843138</v>
          </cell>
          <cell r="V44">
            <v>51.214888636363632</v>
          </cell>
          <cell r="W44">
            <v>42.02331481481481</v>
          </cell>
          <cell r="X44">
            <v>47.613575187969914</v>
          </cell>
          <cell r="Y44">
            <v>54.320082142857132</v>
          </cell>
          <cell r="Z44">
            <v>70.135597256796117</v>
          </cell>
          <cell r="AB44">
            <v>28.992094214500312</v>
          </cell>
          <cell r="AC44">
            <v>57.31363854157285</v>
          </cell>
          <cell r="AD44">
            <v>88.633455336682204</v>
          </cell>
          <cell r="AE44">
            <v>151.60177644800171</v>
          </cell>
          <cell r="AF44">
            <v>214.09256940243796</v>
          </cell>
        </row>
        <row r="46">
          <cell r="B46" t="str">
            <v>Adjusted Total Expense</v>
          </cell>
          <cell r="G46">
            <v>9.9149259259259246</v>
          </cell>
          <cell r="H46">
            <v>12.224385995370371</v>
          </cell>
          <cell r="I46">
            <v>15.080169389978213</v>
          </cell>
          <cell r="J46">
            <v>20.312612903225808</v>
          </cell>
          <cell r="K46">
            <v>18.19185472972973</v>
          </cell>
          <cell r="L46">
            <v>23.935825301204815</v>
          </cell>
          <cell r="M46">
            <v>29.056149999999995</v>
          </cell>
          <cell r="N46">
            <v>38.196808510638299</v>
          </cell>
          <cell r="O46">
            <v>37.592574257425738</v>
          </cell>
          <cell r="P46">
            <v>39.943634615384624</v>
          </cell>
          <cell r="Q46">
            <v>43.663298611111117</v>
          </cell>
          <cell r="R46">
            <v>51.490947852760733</v>
          </cell>
          <cell r="S46">
            <v>54.315972701149434</v>
          </cell>
          <cell r="T46">
            <v>60.84764550264552</v>
          </cell>
          <cell r="U46">
            <v>70.484269607843132</v>
          </cell>
          <cell r="V46">
            <v>86.344888636363649</v>
          </cell>
          <cell r="W46">
            <v>80.572314814814803</v>
          </cell>
          <cell r="X46">
            <v>89.358575187969905</v>
          </cell>
          <cell r="Y46">
            <v>103.52008214285713</v>
          </cell>
          <cell r="Z46">
            <v>121.16185325140184</v>
          </cell>
          <cell r="AB46">
            <v>57.532094214500319</v>
          </cell>
          <cell r="AC46">
            <v>109.38063854157284</v>
          </cell>
          <cell r="AD46">
            <v>172.69045533668222</v>
          </cell>
          <cell r="AE46">
            <v>271.99277644800173</v>
          </cell>
          <cell r="AF46">
            <v>394.61282539704371</v>
          </cell>
        </row>
        <row r="48">
          <cell r="B48" t="str">
            <v>Adjusted Op Margin</v>
          </cell>
          <cell r="G48">
            <v>0.18650099065261536</v>
          </cell>
          <cell r="H48">
            <v>0.20065480969264565</v>
          </cell>
          <cell r="I48">
            <v>5.6486930490007352E-2</v>
          </cell>
          <cell r="J48">
            <v>0.10835288603547652</v>
          </cell>
          <cell r="K48">
            <v>0.11856898446001596</v>
          </cell>
          <cell r="L48">
            <v>7.7581976137623146E-2</v>
          </cell>
          <cell r="M48">
            <v>6.7906521669393483E-2</v>
          </cell>
          <cell r="N48">
            <v>0.11170212765957445</v>
          </cell>
          <cell r="O48">
            <v>-1.079761924728391E-2</v>
          </cell>
          <cell r="P48">
            <v>0.10204719521199948</v>
          </cell>
          <cell r="Q48">
            <v>0.1610471974039559</v>
          </cell>
          <cell r="R48">
            <v>0.21056423376372976</v>
          </cell>
          <cell r="S48">
            <v>5.0536250788374849E-2</v>
          </cell>
          <cell r="T48">
            <v>9.0101453461852832E-2</v>
          </cell>
          <cell r="AB48">
            <v>0.13152548547814455</v>
          </cell>
          <cell r="AC48">
            <v>9.4238714969461665E-2</v>
          </cell>
          <cell r="AD48">
            <v>0.1319644958547018</v>
          </cell>
          <cell r="AE48">
            <v>0.10121578185398419</v>
          </cell>
          <cell r="AF48">
            <v>0.11098006558845833</v>
          </cell>
        </row>
        <row r="50">
          <cell r="B50" t="str">
            <v>Revenue by geo</v>
          </cell>
          <cell r="AD50">
            <v>0.14030855247364979</v>
          </cell>
        </row>
        <row r="51">
          <cell r="B51" t="str">
            <v>United States</v>
          </cell>
          <cell r="AB51">
            <v>52.366</v>
          </cell>
          <cell r="AC51">
            <v>91.778359999999992</v>
          </cell>
          <cell r="AD51">
            <v>155.84650000000002</v>
          </cell>
        </row>
        <row r="52">
          <cell r="B52" t="str">
            <v>International</v>
          </cell>
          <cell r="AB52">
            <v>13.879</v>
          </cell>
          <cell r="AC52">
            <v>28.982639999999996</v>
          </cell>
          <cell r="AD52">
            <v>43.097499999999997</v>
          </cell>
        </row>
        <row r="54">
          <cell r="B54" t="str">
            <v>Customer Growth</v>
          </cell>
          <cell r="C54">
            <v>900</v>
          </cell>
          <cell r="D54">
            <v>1000</v>
          </cell>
          <cell r="E54">
            <v>1200</v>
          </cell>
          <cell r="F54">
            <v>1400</v>
          </cell>
          <cell r="G54">
            <v>1600</v>
          </cell>
          <cell r="H54">
            <v>1800</v>
          </cell>
          <cell r="I54">
            <v>2100</v>
          </cell>
          <cell r="J54">
            <v>2300</v>
          </cell>
          <cell r="K54">
            <v>2600</v>
          </cell>
          <cell r="L54">
            <v>2900</v>
          </cell>
          <cell r="M54">
            <v>3300</v>
          </cell>
          <cell r="N54">
            <v>3700</v>
          </cell>
          <cell r="O54">
            <v>4050</v>
          </cell>
          <cell r="P54">
            <v>4450</v>
          </cell>
          <cell r="Q54">
            <v>4800</v>
          </cell>
          <cell r="R54">
            <v>5200</v>
          </cell>
          <cell r="S54">
            <v>5560</v>
          </cell>
          <cell r="T54">
            <v>5960</v>
          </cell>
          <cell r="U54">
            <v>6410</v>
          </cell>
          <cell r="V54">
            <v>6910</v>
          </cell>
          <cell r="W54">
            <v>7310</v>
          </cell>
          <cell r="X54">
            <v>7810</v>
          </cell>
          <cell r="Y54">
            <v>8311</v>
          </cell>
        </row>
        <row r="55">
          <cell r="B55" t="str">
            <v>YoY Growth</v>
          </cell>
          <cell r="F55">
            <v>0.55555555555555558</v>
          </cell>
          <cell r="G55">
            <v>0.60000000000000009</v>
          </cell>
          <cell r="H55">
            <v>0.5</v>
          </cell>
          <cell r="I55">
            <v>0.5</v>
          </cell>
          <cell r="J55">
            <v>0.4375</v>
          </cell>
          <cell r="K55">
            <v>0.44444444444444442</v>
          </cell>
          <cell r="L55">
            <v>0.38095238095238093</v>
          </cell>
          <cell r="M55">
            <v>0.43478260869565211</v>
          </cell>
          <cell r="N55">
            <v>0.42307692307692313</v>
          </cell>
          <cell r="O55">
            <v>0.39655172413793105</v>
          </cell>
          <cell r="P55">
            <v>0.3484848484848484</v>
          </cell>
          <cell r="Q55">
            <v>0.29729729729729737</v>
          </cell>
          <cell r="R55">
            <v>0.28395061728395055</v>
          </cell>
          <cell r="S55">
            <v>0.24943820224719104</v>
          </cell>
          <cell r="T55">
            <v>0.2416666666666667</v>
          </cell>
          <cell r="U55">
            <v>0.23269230769230775</v>
          </cell>
          <cell r="V55">
            <v>0.2428057553956835</v>
          </cell>
          <cell r="W55">
            <v>0.22651006711409405</v>
          </cell>
          <cell r="X55">
            <v>0.21840873634945401</v>
          </cell>
          <cell r="Y55">
            <v>0.20274963820549918</v>
          </cell>
        </row>
        <row r="57">
          <cell r="B57" t="str">
            <v>New Customer License Bookings</v>
          </cell>
          <cell r="G57">
            <v>4.2835994091351308</v>
          </cell>
          <cell r="H57">
            <v>7.4810412328763203</v>
          </cell>
          <cell r="I57">
            <v>6.5019945871835114</v>
          </cell>
          <cell r="J57">
            <v>8.840726999864982</v>
          </cell>
          <cell r="K57">
            <v>7.1595845173936983</v>
          </cell>
          <cell r="L57">
            <v>6.6291022483366424</v>
          </cell>
          <cell r="M57">
            <v>8.9122040452036124</v>
          </cell>
          <cell r="N57">
            <v>10.687177668871946</v>
          </cell>
          <cell r="O57">
            <v>7.8585126469705235</v>
          </cell>
          <cell r="P57">
            <v>10.64281848690667</v>
          </cell>
          <cell r="Q57">
            <v>10.741418713239128</v>
          </cell>
          <cell r="R57">
            <v>22.990215237638768</v>
          </cell>
          <cell r="S57">
            <v>19.291123287574756</v>
          </cell>
          <cell r="T57">
            <v>15.585680607650605</v>
          </cell>
          <cell r="U57">
            <v>18.490609334714094</v>
          </cell>
          <cell r="V57">
            <v>32.553671663138537</v>
          </cell>
          <cell r="W57">
            <v>15.561578101011239</v>
          </cell>
          <cell r="X57">
            <v>22.708638185072587</v>
          </cell>
          <cell r="Y57">
            <v>27.279511867207411</v>
          </cell>
        </row>
        <row r="58">
          <cell r="B58" t="str">
            <v>YoY Growth</v>
          </cell>
          <cell r="K58">
            <v>0.67139450578065052</v>
          </cell>
          <cell r="L58">
            <v>-0.11387973385251926</v>
          </cell>
          <cell r="M58">
            <v>0.37068770601117018</v>
          </cell>
          <cell r="N58">
            <v>0.20885733368253123</v>
          </cell>
          <cell r="O58">
            <v>9.762132535468071E-2</v>
          </cell>
          <cell r="P58">
            <v>0.60546904968574577</v>
          </cell>
          <cell r="Q58">
            <v>0.20524829309983827</v>
          </cell>
          <cell r="R58">
            <v>1.1511961296012996</v>
          </cell>
          <cell r="S58">
            <v>1.4548059097431794</v>
          </cell>
          <cell r="T58">
            <v>0.46443168478583874</v>
          </cell>
          <cell r="U58">
            <v>0.72143083035426692</v>
          </cell>
          <cell r="V58">
            <v>0.41597942109923425</v>
          </cell>
          <cell r="W58">
            <v>-0.1933296019607984</v>
          </cell>
          <cell r="X58">
            <v>0.45701934722860327</v>
          </cell>
          <cell r="Y58">
            <v>0.47531708519703098</v>
          </cell>
        </row>
        <row r="59">
          <cell r="B59" t="str">
            <v>Existing Customer License Bookings</v>
          </cell>
          <cell r="G59">
            <v>5.4518537934447115</v>
          </cell>
          <cell r="H59">
            <v>6.3727388280057529</v>
          </cell>
          <cell r="I59">
            <v>6.0018411574001638</v>
          </cell>
          <cell r="J59">
            <v>12.722021780293511</v>
          </cell>
          <cell r="K59">
            <v>8.7506032990367419</v>
          </cell>
          <cell r="L59">
            <v>14.755098552749299</v>
          </cell>
          <cell r="M59">
            <v>15.8439183025842</v>
          </cell>
          <cell r="N59">
            <v>32.061533006615839</v>
          </cell>
          <cell r="O59">
            <v>22.366535995223796</v>
          </cell>
          <cell r="P59">
            <v>26.056555605874948</v>
          </cell>
          <cell r="Q59">
            <v>26.297956159999238</v>
          </cell>
          <cell r="R59">
            <v>56.286389030081111</v>
          </cell>
          <cell r="S59">
            <v>20.078516074822709</v>
          </cell>
          <cell r="T59">
            <v>36.366588084518071</v>
          </cell>
          <cell r="U59">
            <v>45.270112509127607</v>
          </cell>
          <cell r="V59">
            <v>79.700368554580535</v>
          </cell>
          <cell r="W59">
            <v>38.099036040406816</v>
          </cell>
          <cell r="X59">
            <v>55.597010728970801</v>
          </cell>
          <cell r="Y59">
            <v>70.147316229961916</v>
          </cell>
        </row>
        <row r="60">
          <cell r="B60" t="str">
            <v>YoY Growth</v>
          </cell>
          <cell r="K60">
            <v>0.60506932697983107</v>
          </cell>
          <cell r="L60">
            <v>1.3153465018692243</v>
          </cell>
          <cell r="M60">
            <v>1.6398429893548463</v>
          </cell>
          <cell r="N60">
            <v>1.5201602041178193</v>
          </cell>
          <cell r="O60">
            <v>1.5559993100916691</v>
          </cell>
          <cell r="P60">
            <v>0.76593572131850407</v>
          </cell>
          <cell r="Q60">
            <v>0.6598139208853373</v>
          </cell>
          <cell r="R60">
            <v>0.75557385289301404</v>
          </cell>
          <cell r="S60">
            <v>-0.10229657023732586</v>
          </cell>
          <cell r="T60">
            <v>0.39567902352828743</v>
          </cell>
          <cell r="U60">
            <v>0.72143083035426736</v>
          </cell>
          <cell r="V60">
            <v>0.41597942109923425</v>
          </cell>
          <cell r="W60">
            <v>0.89750257929572741</v>
          </cell>
          <cell r="X60">
            <v>0.52879369930883002</v>
          </cell>
          <cell r="Y60">
            <v>0.5495282061827973</v>
          </cell>
        </row>
        <row r="62">
          <cell r="B62" t="str">
            <v>New Customer Orders</v>
          </cell>
          <cell r="G62">
            <v>303.26</v>
          </cell>
          <cell r="H62">
            <v>398.04</v>
          </cell>
          <cell r="I62">
            <v>407.09999999999997</v>
          </cell>
          <cell r="J62">
            <v>447.44000000000005</v>
          </cell>
          <cell r="K62">
            <v>463.59000000000003</v>
          </cell>
          <cell r="L62">
            <v>556</v>
          </cell>
          <cell r="M62">
            <v>625.77</v>
          </cell>
          <cell r="N62">
            <v>684.48</v>
          </cell>
        </row>
        <row r="63">
          <cell r="B63" t="str">
            <v>YoY Growth</v>
          </cell>
          <cell r="K63">
            <v>0.52868825430323829</v>
          </cell>
          <cell r="L63">
            <v>0.3968445382373631</v>
          </cell>
          <cell r="M63">
            <v>0.53714075165806929</v>
          </cell>
          <cell r="N63">
            <v>0.52976935455033058</v>
          </cell>
        </row>
        <row r="64">
          <cell r="B64" t="str">
            <v>Existing Customer Orders</v>
          </cell>
          <cell r="G64">
            <v>210.74</v>
          </cell>
          <cell r="H64">
            <v>243.95999999999998</v>
          </cell>
          <cell r="I64">
            <v>282.90000000000003</v>
          </cell>
          <cell r="J64">
            <v>351.55999999999995</v>
          </cell>
          <cell r="K64">
            <v>445.40999999999997</v>
          </cell>
          <cell r="L64">
            <v>556</v>
          </cell>
          <cell r="M64">
            <v>601.23</v>
          </cell>
          <cell r="N64">
            <v>741.52</v>
          </cell>
        </row>
        <row r="65">
          <cell r="B65" t="str">
            <v>YoY Growth</v>
          </cell>
          <cell r="K65">
            <v>1.1135522444718609</v>
          </cell>
          <cell r="L65">
            <v>1.279062141334645</v>
          </cell>
          <cell r="M65">
            <v>1.1252386002120889</v>
          </cell>
          <cell r="N65">
            <v>1.1092274433951532</v>
          </cell>
        </row>
        <row r="67">
          <cell r="B67" t="str">
            <v>Total Billings</v>
          </cell>
          <cell r="C67">
            <v>7.1414999999999997</v>
          </cell>
          <cell r="D67">
            <v>8.9</v>
          </cell>
          <cell r="E67">
            <v>10.899999999999999</v>
          </cell>
          <cell r="F67">
            <v>13.717000000000001</v>
          </cell>
          <cell r="G67">
            <v>12.411000000000001</v>
          </cell>
          <cell r="H67">
            <v>18.183</v>
          </cell>
          <cell r="I67">
            <v>17.667000000000002</v>
          </cell>
          <cell r="J67">
            <v>28.974999999999998</v>
          </cell>
          <cell r="K67">
            <v>23.209999999999997</v>
          </cell>
          <cell r="L67">
            <v>31.352999999999998</v>
          </cell>
          <cell r="M67">
            <v>37.46</v>
          </cell>
          <cell r="N67">
            <v>59.095000000000006</v>
          </cell>
          <cell r="O67">
            <v>43.667999999999999</v>
          </cell>
          <cell r="P67">
            <v>53.009</v>
          </cell>
          <cell r="Q67">
            <v>58.342999999999989</v>
          </cell>
          <cell r="R67">
            <v>105.971</v>
          </cell>
          <cell r="S67">
            <v>59.832000000000022</v>
          </cell>
          <cell r="T67">
            <v>77.170999999999992</v>
          </cell>
          <cell r="U67">
            <v>92.143000000000001</v>
          </cell>
          <cell r="V67">
            <v>151.08599999999998</v>
          </cell>
          <cell r="W67">
            <v>87.598000000000013</v>
          </cell>
          <cell r="X67">
            <v>114.53</v>
          </cell>
          <cell r="Y67">
            <v>138.31099999999998</v>
          </cell>
          <cell r="Z67">
            <v>198.36799753845384</v>
          </cell>
        </row>
        <row r="69">
          <cell r="B69" t="str">
            <v>Revenue Upside vs. Midpoint of the Guide</v>
          </cell>
          <cell r="P69">
            <v>5.482999999999997</v>
          </cell>
          <cell r="Q69">
            <v>6.0450000000000017</v>
          </cell>
          <cell r="R69">
            <v>6.2250000000000085</v>
          </cell>
          <cell r="S69">
            <v>4.2069999999999936</v>
          </cell>
          <cell r="T69">
            <v>4.8730000000000047</v>
          </cell>
          <cell r="U69">
            <v>8.6329999999999956</v>
          </cell>
          <cell r="V69">
            <v>10.909999999999997</v>
          </cell>
          <cell r="W69">
            <v>6.9070000000000107</v>
          </cell>
          <cell r="X69">
            <v>8.546999999999997</v>
          </cell>
          <cell r="Y69">
            <v>10.028999999999996</v>
          </cell>
        </row>
        <row r="70">
          <cell r="B70" t="str">
            <v>Op. Income Upside vs. Midpoint of the Guide</v>
          </cell>
          <cell r="P70">
            <v>2.6359999999999935</v>
          </cell>
          <cell r="Q70">
            <v>1.3700000000000068</v>
          </cell>
          <cell r="R70">
            <v>1.1560000000000064</v>
          </cell>
          <cell r="S70">
            <v>0.53499999999998948</v>
          </cell>
          <cell r="T70">
            <v>2.3289999999999971</v>
          </cell>
          <cell r="U70">
            <v>1.5629999999999904</v>
          </cell>
          <cell r="V70">
            <v>-2.282000000000016</v>
          </cell>
          <cell r="W70">
            <v>3.5270000000000072</v>
          </cell>
          <cell r="X70">
            <v>4.4180000000000055</v>
          </cell>
          <cell r="Y70">
            <v>1.6610000000000036</v>
          </cell>
        </row>
        <row r="71">
          <cell r="P71">
            <v>0.48075870873609244</v>
          </cell>
          <cell r="Q71">
            <v>0.22663358147229221</v>
          </cell>
          <cell r="R71">
            <v>0.1857028112449807</v>
          </cell>
          <cell r="S71">
            <v>0.12716900404088194</v>
          </cell>
          <cell r="T71">
            <v>0.47793966755591932</v>
          </cell>
          <cell r="U71">
            <v>0.18104946136916381</v>
          </cell>
          <cell r="V71">
            <v>-0.20916590284143141</v>
          </cell>
          <cell r="W71">
            <v>0.51064137831185774</v>
          </cell>
          <cell r="X71">
            <v>0.51690651690651768</v>
          </cell>
          <cell r="Y71">
            <v>0.1656197028617015</v>
          </cell>
        </row>
        <row r="72">
          <cell r="B72" t="str">
            <v>FCF</v>
          </cell>
          <cell r="Y72">
            <v>0.27751502519958599</v>
          </cell>
          <cell r="AC72">
            <v>8.5421108856355961</v>
          </cell>
          <cell r="AD72">
            <v>37.347132625994689</v>
          </cell>
          <cell r="AE72">
            <v>66.216996612721104</v>
          </cell>
          <cell r="AF72">
            <v>81.099062731699306</v>
          </cell>
          <cell r="AG72">
            <v>116.44834944291516</v>
          </cell>
          <cell r="AH72">
            <v>185.26566603961274</v>
          </cell>
        </row>
        <row r="73">
          <cell r="B73" t="str">
            <v>YoY Growth</v>
          </cell>
          <cell r="AE73">
            <v>0.77301420368299301</v>
          </cell>
          <cell r="AF73">
            <v>0.22474692118728878</v>
          </cell>
          <cell r="AG73">
            <v>0.43587786986098953</v>
          </cell>
          <cell r="AH73">
            <v>0.59096858758339832</v>
          </cell>
        </row>
        <row r="83">
          <cell r="BH83">
            <v>0</v>
          </cell>
        </row>
        <row r="84">
          <cell r="BQ84">
            <v>0.11207499999999992</v>
          </cell>
          <cell r="BR84">
            <v>0.10734042553191503</v>
          </cell>
          <cell r="BS84">
            <v>8.7083333333333401E-2</v>
          </cell>
          <cell r="BT84">
            <v>5.9388888888888713E-2</v>
          </cell>
          <cell r="BU84">
            <v>6.1476190476190462E-2</v>
          </cell>
          <cell r="BV84">
            <v>0.10750704225352115</v>
          </cell>
          <cell r="BW84">
            <v>0.11011111111111105</v>
          </cell>
          <cell r="BX84">
            <v>7.3837500000000222E-2</v>
          </cell>
          <cell r="BY84">
            <v>8.0287234042553113E-2</v>
          </cell>
          <cell r="BZ84">
            <v>8.5878965704689142E-2</v>
          </cell>
        </row>
        <row r="88">
          <cell r="BQ88" t="str">
            <v>7/12</v>
          </cell>
          <cell r="BR88" t="str">
            <v>10/12</v>
          </cell>
          <cell r="BS88" t="str">
            <v>1/13</v>
          </cell>
          <cell r="BT88" t="str">
            <v>4/13</v>
          </cell>
          <cell r="BU88" t="str">
            <v>7/13</v>
          </cell>
          <cell r="BV88" t="str">
            <v>10/13</v>
          </cell>
          <cell r="BW88" t="str">
            <v>1/14</v>
          </cell>
          <cell r="BX88" t="str">
            <v>4/14</v>
          </cell>
          <cell r="BY88" t="str">
            <v>7/14</v>
          </cell>
          <cell r="BZ88" t="str">
            <v>10/14</v>
          </cell>
          <cell r="CA88" t="str">
            <v>1/15E</v>
          </cell>
        </row>
        <row r="89">
          <cell r="BP89" t="str">
            <v>High End of Revenue Guidance</v>
          </cell>
          <cell r="BQ89">
            <v>40</v>
          </cell>
          <cell r="BR89">
            <v>47</v>
          </cell>
          <cell r="BS89">
            <v>60</v>
          </cell>
          <cell r="BT89">
            <v>54</v>
          </cell>
          <cell r="BU89">
            <v>63</v>
          </cell>
          <cell r="BV89">
            <v>71</v>
          </cell>
          <cell r="BW89">
            <v>90</v>
          </cell>
          <cell r="BX89">
            <v>80</v>
          </cell>
          <cell r="BY89">
            <v>94</v>
          </cell>
          <cell r="BZ89" t="str">
            <v>$107.3M</v>
          </cell>
          <cell r="CA89">
            <v>137</v>
          </cell>
        </row>
        <row r="90">
          <cell r="BP90" t="str">
            <v>Actual / Implied Revenue Upside</v>
          </cell>
          <cell r="BQ90">
            <v>4.482999999999997</v>
          </cell>
          <cell r="BR90">
            <v>5.0450000000000017</v>
          </cell>
          <cell r="BS90">
            <v>5.2250000000000085</v>
          </cell>
          <cell r="BT90">
            <v>3.2069999999999936</v>
          </cell>
          <cell r="BU90">
            <v>3.8730000000000047</v>
          </cell>
          <cell r="BV90">
            <v>7.6329999999999956</v>
          </cell>
          <cell r="BW90">
            <v>9.9099999999999966</v>
          </cell>
          <cell r="BX90">
            <v>5.9070000000000107</v>
          </cell>
          <cell r="BY90">
            <v>7.546999999999997</v>
          </cell>
          <cell r="BZ90" t="e">
            <v>#VALUE!</v>
          </cell>
          <cell r="CA90">
            <v>0</v>
          </cell>
        </row>
        <row r="91">
          <cell r="BP91" t="str">
            <v>Revenue (Actual/Implied)</v>
          </cell>
          <cell r="BQ91">
            <v>44.482999999999997</v>
          </cell>
          <cell r="BR91">
            <v>52.045000000000002</v>
          </cell>
          <cell r="BS91">
            <v>65.225000000000009</v>
          </cell>
          <cell r="BT91">
            <v>57.206999999999994</v>
          </cell>
          <cell r="BU91">
            <v>66.873000000000005</v>
          </cell>
          <cell r="BV91">
            <v>78.632999999999996</v>
          </cell>
          <cell r="BW91">
            <v>99.91</v>
          </cell>
          <cell r="BX91">
            <v>85.907000000000011</v>
          </cell>
          <cell r="BY91">
            <v>101.547</v>
          </cell>
          <cell r="BZ91" t="e">
            <v>#VALUE!</v>
          </cell>
          <cell r="CA91">
            <v>137</v>
          </cell>
        </row>
        <row r="92">
          <cell r="BQ92" t="str">
            <v>10/12</v>
          </cell>
          <cell r="BR92" t="str">
            <v>1/13</v>
          </cell>
          <cell r="BS92" t="str">
            <v>4/13</v>
          </cell>
          <cell r="BT92" t="str">
            <v>7/13E</v>
          </cell>
        </row>
        <row r="93">
          <cell r="BP93" t="str">
            <v>Services</v>
          </cell>
          <cell r="BQ93">
            <v>17.488</v>
          </cell>
          <cell r="BR93">
            <v>18.449000000000002</v>
          </cell>
          <cell r="BS93">
            <v>21.035</v>
          </cell>
          <cell r="BT93">
            <v>22.328151666666667</v>
          </cell>
        </row>
        <row r="94">
          <cell r="BP94" t="str">
            <v>License</v>
          </cell>
          <cell r="BQ94">
            <v>34.557000000000002</v>
          </cell>
          <cell r="BR94">
            <v>46.776000000000003</v>
          </cell>
          <cell r="BS94">
            <v>36.171999999999997</v>
          </cell>
          <cell r="BT94">
            <v>44.544848333333334</v>
          </cell>
        </row>
        <row r="95">
          <cell r="BP95" t="str">
            <v>YoY License Growth</v>
          </cell>
          <cell r="BQ95">
            <v>0.5578847714363</v>
          </cell>
          <cell r="BR95">
            <v>0.41745454545454552</v>
          </cell>
          <cell r="BS95">
            <v>0.48331009595669649</v>
          </cell>
          <cell r="BT95">
            <v>0.47484846979880602</v>
          </cell>
        </row>
        <row r="97">
          <cell r="BP97" t="str">
            <v>Consensus Billings</v>
          </cell>
          <cell r="BQ97">
            <v>46.9</v>
          </cell>
          <cell r="BR97">
            <v>54.3</v>
          </cell>
          <cell r="BS97">
            <v>93.7</v>
          </cell>
          <cell r="BT97">
            <v>61.4</v>
          </cell>
          <cell r="BU97">
            <v>73.400000000000006</v>
          </cell>
          <cell r="BV97">
            <v>84.6</v>
          </cell>
          <cell r="BW97">
            <v>141.4</v>
          </cell>
          <cell r="BX97">
            <v>81.400000000000006</v>
          </cell>
          <cell r="BY97">
            <v>104.7</v>
          </cell>
          <cell r="BZ97">
            <v>126.93851865133564</v>
          </cell>
          <cell r="CA97">
            <v>198.36799753845384</v>
          </cell>
        </row>
        <row r="98">
          <cell r="BP98" t="str">
            <v>Billings (Actual / Implied)</v>
          </cell>
          <cell r="BQ98">
            <v>53.009</v>
          </cell>
          <cell r="BR98">
            <v>58.342999999999989</v>
          </cell>
          <cell r="BS98">
            <v>105.971</v>
          </cell>
          <cell r="BT98">
            <v>59.832000000000022</v>
          </cell>
          <cell r="BU98">
            <v>77.170999999999992</v>
          </cell>
          <cell r="BV98">
            <v>92.143000000000001</v>
          </cell>
          <cell r="BW98">
            <v>151.08599999999998</v>
          </cell>
          <cell r="BX98">
            <v>87.598000000000013</v>
          </cell>
          <cell r="BY98">
            <v>114.53</v>
          </cell>
          <cell r="BZ98">
            <v>135.80750768357132</v>
          </cell>
          <cell r="CA98">
            <v>212.11387630392102</v>
          </cell>
        </row>
        <row r="99">
          <cell r="BP99" t="str">
            <v xml:space="preserve">  % Upside</v>
          </cell>
          <cell r="BQ99">
            <v>0.13025586353944574</v>
          </cell>
          <cell r="BR99">
            <v>7.4456721915285407E-2</v>
          </cell>
          <cell r="BS99">
            <v>0.13096051227321248</v>
          </cell>
          <cell r="BT99">
            <v>-2.5537459283387243E-2</v>
          </cell>
          <cell r="BU99">
            <v>5.1376021798364979E-2</v>
          </cell>
          <cell r="BV99">
            <v>8.9160756501182048E-2</v>
          </cell>
          <cell r="BW99">
            <v>6.8500707213578371E-2</v>
          </cell>
          <cell r="BX99">
            <v>7.6142506142506283E-2</v>
          </cell>
          <cell r="BY99">
            <v>9.3887297039159545E-2</v>
          </cell>
          <cell r="BZ99">
            <v>6.9868382949987734E-2</v>
          </cell>
          <cell r="CA99">
            <v>6.9294840579325528E-2</v>
          </cell>
        </row>
        <row r="100">
          <cell r="BR100">
            <v>66.582462765957445</v>
          </cell>
        </row>
        <row r="101">
          <cell r="BQ101">
            <v>0.11207499999999992</v>
          </cell>
          <cell r="BR101">
            <v>0.10734042553191503</v>
          </cell>
          <cell r="BS101">
            <v>8.7083333333333401E-2</v>
          </cell>
          <cell r="BT101">
            <v>5.9388888888888713E-2</v>
          </cell>
          <cell r="BU101">
            <v>6.1476190476190462E-2</v>
          </cell>
          <cell r="BV101">
            <v>0.10750704225352115</v>
          </cell>
          <cell r="BW101">
            <v>0.11011111111111105</v>
          </cell>
        </row>
        <row r="102">
          <cell r="BS102">
            <v>0.34510025789813015</v>
          </cell>
          <cell r="BT102">
            <v>0.28449542815169981</v>
          </cell>
        </row>
        <row r="103">
          <cell r="BR103">
            <v>40</v>
          </cell>
        </row>
        <row r="104">
          <cell r="BR104">
            <v>46.582462765957445</v>
          </cell>
          <cell r="BS104">
            <v>0.41158978078658914</v>
          </cell>
        </row>
        <row r="115">
          <cell r="BP115" t="str">
            <v>Service Revenue</v>
          </cell>
          <cell r="BQ115">
            <v>18.449000000000002</v>
          </cell>
          <cell r="BR115">
            <v>18.449000000000002</v>
          </cell>
          <cell r="BT115">
            <v>18.449000000000002</v>
          </cell>
          <cell r="BU115">
            <v>18.449000000000002</v>
          </cell>
        </row>
        <row r="116">
          <cell r="BP116" t="str">
            <v>License Revenue</v>
          </cell>
          <cell r="BR116">
            <v>46.776000000000003</v>
          </cell>
          <cell r="BT116">
            <v>46.776000000000003</v>
          </cell>
          <cell r="BU116">
            <v>46.776000000000003</v>
          </cell>
          <cell r="CS116" t="str">
            <v>Popular Splunkbase Apps</v>
          </cell>
        </row>
        <row r="117">
          <cell r="BP117" t="str">
            <v>Change in License from Max Guide</v>
          </cell>
          <cell r="BT117">
            <v>-5.2250000000000085</v>
          </cell>
          <cell r="BU117">
            <v>-5.2250000000000085</v>
          </cell>
          <cell r="CT117" t="str">
            <v>Windows</v>
          </cell>
          <cell r="CV117" t="str">
            <v>VMWare</v>
          </cell>
        </row>
        <row r="118">
          <cell r="BP118" t="str">
            <v>Change in License from 11% Beat</v>
          </cell>
          <cell r="BU118">
            <v>5.2250000000000085</v>
          </cell>
          <cell r="CT118" t="str">
            <v>Unix and Linux</v>
          </cell>
          <cell r="CV118" t="str">
            <v>Hadoop Ops</v>
          </cell>
        </row>
        <row r="119">
          <cell r="BP119" t="str">
            <v>Total Revenue (Upside)</v>
          </cell>
          <cell r="BV119">
            <v>65.225000000000009</v>
          </cell>
          <cell r="CT119" t="str">
            <v>Google Maps</v>
          </cell>
          <cell r="CV119" t="str">
            <v>Sideview Utils</v>
          </cell>
        </row>
        <row r="120">
          <cell r="BP120" t="str">
            <v>Total Revenue (MS)</v>
          </cell>
          <cell r="BS120">
            <v>65.225000000000009</v>
          </cell>
          <cell r="CH120" t="str">
            <v>FY14</v>
          </cell>
          <cell r="CT120" t="str">
            <v>WebSphere App Server</v>
          </cell>
          <cell r="CV120" t="str">
            <v>Cisco IPS</v>
          </cell>
        </row>
        <row r="121">
          <cell r="CG121" t="str">
            <v>Quota Carrying Productive Reps</v>
          </cell>
          <cell r="CH121">
            <v>153.04999999999998</v>
          </cell>
          <cell r="CT121" t="str">
            <v>Microsoft Exchange</v>
          </cell>
          <cell r="CV121" t="str">
            <v>ServiceNow</v>
          </cell>
        </row>
        <row r="122">
          <cell r="BA122" t="str">
            <v>Q112e</v>
          </cell>
          <cell r="BC122" t="str">
            <v>Q212e</v>
          </cell>
          <cell r="BE122" t="str">
            <v>CY12e</v>
          </cell>
          <cell r="CG122" t="str">
            <v>Lic. Billings Per PRE</v>
          </cell>
          <cell r="CH122">
            <v>2.0749911331415691</v>
          </cell>
          <cell r="CT122" t="str">
            <v>Geo Location Lookup</v>
          </cell>
          <cell r="CV122" t="str">
            <v>Network Device Monitor</v>
          </cell>
        </row>
        <row r="123">
          <cell r="BA123" t="str">
            <v>MS</v>
          </cell>
          <cell r="BB123" t="str">
            <v>Cons.</v>
          </cell>
          <cell r="BC123" t="str">
            <v>MS</v>
          </cell>
          <cell r="BD123" t="str">
            <v>Cons.</v>
          </cell>
          <cell r="BE123" t="str">
            <v>MS</v>
          </cell>
          <cell r="BF123" t="str">
            <v>Cons.</v>
          </cell>
          <cell r="CG123" t="str">
            <v>License Billings</v>
          </cell>
          <cell r="CH123">
            <v>267.33667011612692</v>
          </cell>
        </row>
        <row r="124">
          <cell r="AZ124" t="str">
            <v>License Revenue</v>
          </cell>
          <cell r="BA124">
            <v>24.385999999999999</v>
          </cell>
          <cell r="BB124" t="str">
            <v>NA</v>
          </cell>
          <cell r="BC124">
            <v>30.202999999999999</v>
          </cell>
          <cell r="BD124" t="str">
            <v>NA</v>
          </cell>
          <cell r="BE124">
            <v>135.922</v>
          </cell>
          <cell r="BF124" t="str">
            <v>NA</v>
          </cell>
          <cell r="BU124">
            <v>65.225000000000009</v>
          </cell>
          <cell r="CG124" t="str">
            <v>Total billings (FY14)</v>
          </cell>
          <cell r="CH124">
            <v>380.23199999999997</v>
          </cell>
        </row>
        <row r="125">
          <cell r="AZ125" t="str">
            <v xml:space="preserve">   YoY </v>
          </cell>
          <cell r="BA125">
            <v>0.67647463220129245</v>
          </cell>
          <cell r="BC125">
            <v>0.60945326654588095</v>
          </cell>
          <cell r="BE125">
            <v>0.53594593983772909</v>
          </cell>
          <cell r="CG125" t="str">
            <v>Total billings (FY15)</v>
          </cell>
          <cell r="CH125">
            <v>538.80699753845386</v>
          </cell>
        </row>
        <row r="126">
          <cell r="AZ126" t="str">
            <v>Services Revenue</v>
          </cell>
          <cell r="BA126">
            <v>12.805</v>
          </cell>
          <cell r="BB126" t="str">
            <v>NA</v>
          </cell>
          <cell r="BC126">
            <v>14.28</v>
          </cell>
          <cell r="BD126" t="str">
            <v>NA</v>
          </cell>
          <cell r="BE126">
            <v>63.022000000000006</v>
          </cell>
          <cell r="BF126" t="str">
            <v>NA</v>
          </cell>
          <cell r="CG126" t="str">
            <v>Discount Rate</v>
          </cell>
          <cell r="CH126">
            <v>0.125</v>
          </cell>
        </row>
        <row r="127">
          <cell r="AZ127" t="str">
            <v xml:space="preserve">   YoY </v>
          </cell>
          <cell r="BA127">
            <v>1.1015919908091254</v>
          </cell>
          <cell r="BC127">
            <v>0.9880272866490325</v>
          </cell>
          <cell r="BE127">
            <v>0.95314097994855462</v>
          </cell>
          <cell r="CG127" t="str">
            <v>Shares Outstanding</v>
          </cell>
          <cell r="CH127">
            <v>126.56093660207365</v>
          </cell>
        </row>
        <row r="128">
          <cell r="AZ128" t="str">
            <v>Total Revenue</v>
          </cell>
          <cell r="BA128">
            <v>37.191000000000003</v>
          </cell>
          <cell r="BB128" t="str">
            <v>NA</v>
          </cell>
          <cell r="BC128">
            <v>44.482999999999997</v>
          </cell>
          <cell r="BD128" t="str">
            <v>NA</v>
          </cell>
          <cell r="BE128">
            <v>198.94400000000002</v>
          </cell>
          <cell r="BF128" t="str">
            <v>NA</v>
          </cell>
          <cell r="CG128" t="str">
            <v>Net Cash Balance</v>
          </cell>
          <cell r="CH128">
            <v>980.80099999999993</v>
          </cell>
        </row>
        <row r="129">
          <cell r="AZ129" t="str">
            <v xml:space="preserve">   YoY </v>
          </cell>
          <cell r="BA129">
            <v>0.80197683996317659</v>
          </cell>
          <cell r="BC129">
            <v>0.71424717715518904</v>
          </cell>
          <cell r="BE129">
            <v>0.64741928271544635</v>
          </cell>
          <cell r="CG129" t="str">
            <v>Current Enterprise Value</v>
          </cell>
          <cell r="CH129">
            <v>3693.7871334710007</v>
          </cell>
        </row>
        <row r="131">
          <cell r="AZ131" t="str">
            <v>Operating Income</v>
          </cell>
          <cell r="BA131">
            <v>-3.5169999999999959</v>
          </cell>
          <cell r="BB131" t="str">
            <v>NA</v>
          </cell>
          <cell r="BC131">
            <v>-0.67400000000000659</v>
          </cell>
          <cell r="BD131" t="str">
            <v>NA</v>
          </cell>
          <cell r="BE131">
            <v>-1.6599999999999895</v>
          </cell>
          <cell r="BF131" t="str">
            <v>NA</v>
          </cell>
          <cell r="CH131" t="str">
            <v>Sensitivity: YoY Growth in License Billings in FY15</v>
          </cell>
        </row>
        <row r="132">
          <cell r="AZ132" t="str">
            <v>Operating Margin</v>
          </cell>
          <cell r="BA132">
            <v>-9.4565889596945382E-2</v>
          </cell>
          <cell r="BC132">
            <v>-1.5151855765123904E-2</v>
          </cell>
          <cell r="BE132">
            <v>-2.6519035017049039E-2</v>
          </cell>
        </row>
        <row r="133">
          <cell r="AZ133" t="str">
            <v>Operating Margin</v>
          </cell>
          <cell r="BA133">
            <v>-9.4565889596945382E-2</v>
          </cell>
          <cell r="BB133" t="str">
            <v>NA</v>
          </cell>
          <cell r="BC133">
            <v>-1.5151855765123904E-2</v>
          </cell>
          <cell r="BD133" t="str">
            <v>NA</v>
          </cell>
          <cell r="BE133">
            <v>-8.3440566189479926E-3</v>
          </cell>
          <cell r="BF133" t="str">
            <v>NA</v>
          </cell>
          <cell r="CI133" t="str">
            <v>YoY Change in Quota Carrying Productive Reps (PRE)</v>
          </cell>
        </row>
        <row r="134">
          <cell r="AZ134" t="str">
            <v>Net Income</v>
          </cell>
          <cell r="BA134">
            <v>-3.7109999999999959</v>
          </cell>
          <cell r="BB134" t="str">
            <v>NA</v>
          </cell>
          <cell r="BC134">
            <v>-0.70900000000000662</v>
          </cell>
          <cell r="BD134" t="str">
            <v>NA</v>
          </cell>
          <cell r="BE134">
            <v>-2.2209999999999894</v>
          </cell>
          <cell r="BF134" t="str">
            <v>NA</v>
          </cell>
          <cell r="CJ134">
            <v>0.24594903626265943</v>
          </cell>
          <cell r="CK134">
            <v>0.34594903626265944</v>
          </cell>
          <cell r="CL134">
            <v>0.39594903626265943</v>
          </cell>
          <cell r="CM134">
            <v>0.44594903626265942</v>
          </cell>
          <cell r="CN134">
            <v>0.4959490362626594</v>
          </cell>
        </row>
        <row r="135">
          <cell r="AZ135" t="str">
            <v>FCF</v>
          </cell>
          <cell r="BA135">
            <v>9.7268514431239428</v>
          </cell>
          <cell r="BB135" t="str">
            <v>NA</v>
          </cell>
          <cell r="BC135">
            <v>2.0840279232111691</v>
          </cell>
          <cell r="BD135" t="str">
            <v>NA</v>
          </cell>
          <cell r="BE135">
            <v>16.563835977391033</v>
          </cell>
          <cell r="BF135" t="str">
            <v>NA</v>
          </cell>
          <cell r="CH135" t="str">
            <v>YoY Change in Lic. Billings Per PRE</v>
          </cell>
          <cell r="CI135">
            <v>-0.14608411779726821</v>
          </cell>
          <cell r="CJ135">
            <v>0.13913720825874654</v>
          </cell>
          <cell r="CK135">
            <v>0.18985684569781847</v>
          </cell>
          <cell r="CL135">
            <v>0.2152166644173541</v>
          </cell>
          <cell r="CM135">
            <v>0.24057648313688995</v>
          </cell>
          <cell r="CN135">
            <v>0.26593630185642581</v>
          </cell>
        </row>
        <row r="136">
          <cell r="CI136">
            <v>-9.6084117797268193E-2</v>
          </cell>
          <cell r="CJ136">
            <v>0.20583799413242487</v>
          </cell>
          <cell r="CK136">
            <v>0.25952745790311571</v>
          </cell>
          <cell r="CL136">
            <v>0.28637218978846124</v>
          </cell>
          <cell r="CM136">
            <v>0.31321692167380655</v>
          </cell>
          <cell r="CN136">
            <v>0.3400616535591523</v>
          </cell>
        </row>
        <row r="137">
          <cell r="CI137">
            <v>-5.6084117797268185E-2</v>
          </cell>
          <cell r="CJ137">
            <v>0.25919862283136719</v>
          </cell>
          <cell r="CK137">
            <v>0.31526394766735355</v>
          </cell>
          <cell r="CL137">
            <v>0.34329661008534673</v>
          </cell>
          <cell r="CM137">
            <v>0.37132927250333991</v>
          </cell>
          <cell r="CN137">
            <v>0.39936193492133309</v>
          </cell>
        </row>
        <row r="138">
          <cell r="CI138">
            <v>0</v>
          </cell>
          <cell r="CJ138">
            <v>0.33401571747356162</v>
          </cell>
          <cell r="CK138">
            <v>0.39341224410594733</v>
          </cell>
          <cell r="CL138">
            <v>0.42311050742214018</v>
          </cell>
          <cell r="CM138">
            <v>0.45280877073833281</v>
          </cell>
          <cell r="CN138">
            <v>0.48250703405452589</v>
          </cell>
        </row>
        <row r="139">
          <cell r="CI139">
            <v>0.05</v>
          </cell>
          <cell r="CJ139">
            <v>0.40071650334723996</v>
          </cell>
          <cell r="CK139">
            <v>0.46308285631124502</v>
          </cell>
          <cell r="CL139">
            <v>0.49426603279324732</v>
          </cell>
          <cell r="CM139">
            <v>0.52544920927524985</v>
          </cell>
          <cell r="CN139">
            <v>0.5566323857572526</v>
          </cell>
        </row>
        <row r="140">
          <cell r="CI140">
            <v>0.1</v>
          </cell>
          <cell r="CJ140">
            <v>0.46741728922091785</v>
          </cell>
          <cell r="CK140">
            <v>0.53275346851654226</v>
          </cell>
          <cell r="CL140">
            <v>0.56542155816435424</v>
          </cell>
          <cell r="CM140">
            <v>0.59808964781216645</v>
          </cell>
          <cell r="CN140">
            <v>0.63075773745997865</v>
          </cell>
        </row>
        <row r="143">
          <cell r="CH143" t="str">
            <v>Sensitivity: Total Billings ($M) in FY17</v>
          </cell>
          <cell r="CR143" t="str">
            <v>Popular Splunkbase Apps</v>
          </cell>
        </row>
        <row r="144">
          <cell r="CS144" t="str">
            <v>Windows</v>
          </cell>
          <cell r="CU144" t="str">
            <v>VMWare</v>
          </cell>
        </row>
        <row r="145">
          <cell r="CI145" t="str">
            <v>YoY Change in Billings in FY16</v>
          </cell>
          <cell r="CS145" t="str">
            <v>Unix and Linux</v>
          </cell>
          <cell r="CU145" t="str">
            <v>Hadoop Ops</v>
          </cell>
        </row>
        <row r="146">
          <cell r="CJ146">
            <v>0.23596324229179488</v>
          </cell>
          <cell r="CK146">
            <v>0.28596324229179487</v>
          </cell>
          <cell r="CL146">
            <v>0.35596324229179488</v>
          </cell>
          <cell r="CM146">
            <v>0.44596324229179485</v>
          </cell>
          <cell r="CN146">
            <v>0.49596324229179484</v>
          </cell>
          <cell r="CS146" t="str">
            <v>Google Maps</v>
          </cell>
          <cell r="CU146" t="str">
            <v>Sideview Utils</v>
          </cell>
        </row>
        <row r="147">
          <cell r="CH147" t="str">
            <v>YoY Change in Billings in FY17</v>
          </cell>
          <cell r="CI147">
            <v>0.16460722922257276</v>
          </cell>
          <cell r="CJ147">
            <v>775.56511086073226</v>
          </cell>
          <cell r="CK147">
            <v>806.94003708518176</v>
          </cell>
          <cell r="CL147">
            <v>850.86493379941123</v>
          </cell>
          <cell r="CM147">
            <v>907.33980100342058</v>
          </cell>
          <cell r="CN147">
            <v>938.71472722787007</v>
          </cell>
          <cell r="CR147" t="str">
            <v>Popular Splunkbase Apps</v>
          </cell>
          <cell r="CS147" t="str">
            <v>WebSphere App Server</v>
          </cell>
          <cell r="CU147" t="str">
            <v>Cisco IPS</v>
          </cell>
        </row>
        <row r="148">
          <cell r="CI148">
            <v>0.23460722922257277</v>
          </cell>
          <cell r="CJ148">
            <v>822.18130591603176</v>
          </cell>
          <cell r="CK148">
            <v>855.44205663186585</v>
          </cell>
          <cell r="CL148">
            <v>902.00710763403379</v>
          </cell>
          <cell r="CM148">
            <v>961.87645892253533</v>
          </cell>
          <cell r="CN148">
            <v>995.13720963836943</v>
          </cell>
          <cell r="CS148" t="str">
            <v>Microsoft Exchange</v>
          </cell>
          <cell r="CU148" t="str">
            <v>ServiceNow</v>
          </cell>
        </row>
        <row r="149">
          <cell r="CI149">
            <v>0.29460722922257276</v>
          </cell>
          <cell r="CJ149">
            <v>862.13804453485977</v>
          </cell>
          <cell r="CK149">
            <v>897.01521624330917</v>
          </cell>
          <cell r="CL149">
            <v>945.84325663513869</v>
          </cell>
          <cell r="CM149">
            <v>1008.622165710348</v>
          </cell>
          <cell r="CN149">
            <v>1043.4993374187973</v>
          </cell>
          <cell r="CS149" t="str">
            <v>Geo Location Lookup</v>
          </cell>
          <cell r="CU149" t="str">
            <v>Network Device Monitor</v>
          </cell>
        </row>
        <row r="150">
          <cell r="CI150">
            <v>0.33460722922257274</v>
          </cell>
          <cell r="CJ150">
            <v>888.77587028074527</v>
          </cell>
          <cell r="CK150">
            <v>924.73065598427161</v>
          </cell>
          <cell r="CL150">
            <v>975.06735596920873</v>
          </cell>
          <cell r="CM150">
            <v>1039.7859702355563</v>
          </cell>
          <cell r="CN150">
            <v>1075.7407559390829</v>
          </cell>
          <cell r="CS150" t="str">
            <v>Google Maps</v>
          </cell>
          <cell r="CU150" t="str">
            <v>Sideview Utils</v>
          </cell>
        </row>
        <row r="151">
          <cell r="CI151">
            <v>0.38460722922257273</v>
          </cell>
          <cell r="CJ151">
            <v>922.07315246310202</v>
          </cell>
          <cell r="CK151">
            <v>959.37495566047448</v>
          </cell>
          <cell r="CL151">
            <v>1011.5974801367962</v>
          </cell>
          <cell r="CM151">
            <v>1078.7407258920668</v>
          </cell>
          <cell r="CN151">
            <v>1116.0425290894393</v>
          </cell>
          <cell r="CS151" t="str">
            <v>WebSphere App Server</v>
          </cell>
          <cell r="CU151" t="str">
            <v>Cisco IPS</v>
          </cell>
        </row>
        <row r="152">
          <cell r="CI152">
            <v>0.43460722922257272</v>
          </cell>
          <cell r="CJ152">
            <v>955.37043464545854</v>
          </cell>
          <cell r="CK152">
            <v>994.01925533667725</v>
          </cell>
          <cell r="CL152">
            <v>1048.1276043043836</v>
          </cell>
          <cell r="CM152">
            <v>1117.6954815485774</v>
          </cell>
          <cell r="CN152">
            <v>1156.344302239796</v>
          </cell>
          <cell r="CS152" t="str">
            <v>Microsoft Exchange</v>
          </cell>
          <cell r="CU152" t="str">
            <v>ServiceNow</v>
          </cell>
        </row>
        <row r="153">
          <cell r="CS153" t="str">
            <v>Geo Location Lookup</v>
          </cell>
          <cell r="CU153" t="str">
            <v>Network Device Monitor</v>
          </cell>
        </row>
        <row r="154">
          <cell r="CL154" t="str">
            <v>Base Case</v>
          </cell>
          <cell r="CM154" t="str">
            <v>Bull Case</v>
          </cell>
          <cell r="CN154" t="str">
            <v>Bear Case</v>
          </cell>
        </row>
        <row r="155">
          <cell r="CH155" t="str">
            <v>FY17 Billings</v>
          </cell>
          <cell r="CL155">
            <v>945.84325663513869</v>
          </cell>
          <cell r="CM155">
            <v>1156.344302239796</v>
          </cell>
          <cell r="CN155">
            <v>775.56511086073226</v>
          </cell>
        </row>
        <row r="156">
          <cell r="CH156" t="str">
            <v xml:space="preserve">  FY14-FY17 Billings CAGR</v>
          </cell>
          <cell r="CL156">
            <v>0.35495072809468575</v>
          </cell>
          <cell r="CM156">
            <v>0.44881466612824172</v>
          </cell>
          <cell r="CN156">
            <v>0.26820618432733467</v>
          </cell>
        </row>
        <row r="157">
          <cell r="CH157" t="str">
            <v>FY17 FCF Margin (as a % of billings)</v>
          </cell>
          <cell r="CL157">
            <v>0.19587353902453145</v>
          </cell>
          <cell r="CM157">
            <v>0.22911959432130602</v>
          </cell>
          <cell r="CN157">
            <v>0.16076741016701104</v>
          </cell>
        </row>
        <row r="158">
          <cell r="CH158" t="str">
            <v>FY17 FCF</v>
          </cell>
          <cell r="CL158">
            <v>185.26566603961274</v>
          </cell>
          <cell r="CM158">
            <v>264.94113742493573</v>
          </cell>
          <cell r="CN158">
            <v>124.68559428897073</v>
          </cell>
        </row>
        <row r="159">
          <cell r="CH159" t="str">
            <v xml:space="preserve">  FY14-FY17 FCF CAGR</v>
          </cell>
          <cell r="CL159">
            <v>0.40910002022261716</v>
          </cell>
          <cell r="CM159">
            <v>0.58754717412562485</v>
          </cell>
          <cell r="CN159">
            <v>0.23485396429632743</v>
          </cell>
        </row>
        <row r="160">
          <cell r="CH160" t="str">
            <v>FCF Multiple @ $65</v>
          </cell>
          <cell r="CL160">
            <v>19.937785626621235</v>
          </cell>
          <cell r="CM160">
            <v>13.94191619078989</v>
          </cell>
          <cell r="CN160">
            <v>29.624810745259772</v>
          </cell>
        </row>
        <row r="161">
          <cell r="CH161" t="str">
            <v>FCF Multiple @ $82</v>
          </cell>
          <cell r="CL161">
            <v>42.404066095374155</v>
          </cell>
          <cell r="CM161">
            <v>28.682082673294644</v>
          </cell>
          <cell r="CN161">
            <v>59.944935359625084</v>
          </cell>
        </row>
        <row r="163">
          <cell r="CH163" t="str">
            <v>FY17 FCF Multiple</v>
          </cell>
          <cell r="CL163">
            <v>49.09200242671406</v>
          </cell>
          <cell r="CM163">
            <v>70.505660895074982</v>
          </cell>
          <cell r="CN163">
            <v>28.182475715559292</v>
          </cell>
        </row>
        <row r="164">
          <cell r="CH164" t="str">
            <v>FY17 Enterprise Value</v>
          </cell>
          <cell r="CL164">
            <v>9095.0625268034655</v>
          </cell>
          <cell r="CM164">
            <v>18679.849992437979</v>
          </cell>
          <cell r="CN164">
            <v>3513.9487331289961</v>
          </cell>
        </row>
        <row r="165">
          <cell r="CH165" t="str">
            <v xml:space="preserve">  % Probability</v>
          </cell>
          <cell r="CL165">
            <v>0.55000000000000004</v>
          </cell>
          <cell r="CM165">
            <v>0.27</v>
          </cell>
          <cell r="CN165">
            <v>0.17999999999999994</v>
          </cell>
        </row>
        <row r="167">
          <cell r="CH167" t="str">
            <v>Wtd Avg. Enterprise Value in FY17</v>
          </cell>
          <cell r="CL167">
            <v>10678.354659663381</v>
          </cell>
        </row>
        <row r="169">
          <cell r="CH169" t="str">
            <v>CY15 PT Based on Wtd Probability Scenarios</v>
          </cell>
          <cell r="CL169">
            <v>65</v>
          </cell>
        </row>
        <row r="172">
          <cell r="CM172" t="str">
            <v>Bull Case</v>
          </cell>
        </row>
        <row r="173">
          <cell r="CH173" t="str">
            <v>CY15 FCF</v>
          </cell>
          <cell r="CM173">
            <v>174.76573339950542</v>
          </cell>
        </row>
        <row r="174">
          <cell r="CH174" t="str">
            <v xml:space="preserve"> CY13-CY15 FCF CAGR</v>
          </cell>
          <cell r="CM174">
            <v>0.62458860440219599</v>
          </cell>
        </row>
        <row r="176">
          <cell r="CH176" t="str">
            <v>CY15 FCF Multiple</v>
          </cell>
          <cell r="CM176">
            <v>74.950632528263526</v>
          </cell>
        </row>
        <row r="177">
          <cell r="CH177" t="str">
            <v>CY15 Enterprise Value</v>
          </cell>
          <cell r="CM177">
            <v>13098.802262558802</v>
          </cell>
        </row>
        <row r="179">
          <cell r="CH179" t="str">
            <v>CY15 PT Based on Wtd Probability Scenarios</v>
          </cell>
          <cell r="CM179">
            <v>103.50188322660399</v>
          </cell>
        </row>
      </sheetData>
      <sheetData sheetId="12" refreshError="1">
        <row r="4">
          <cell r="C4" t="str">
            <v>Q412</v>
          </cell>
          <cell r="D4" t="str">
            <v>FY12</v>
          </cell>
          <cell r="E4" t="str">
            <v>Q113</v>
          </cell>
          <cell r="F4" t="str">
            <v>Q213</v>
          </cell>
          <cell r="G4" t="str">
            <v>Q313</v>
          </cell>
          <cell r="H4" t="str">
            <v>Q413</v>
          </cell>
          <cell r="I4" t="str">
            <v>FY13</v>
          </cell>
          <cell r="J4" t="str">
            <v>Q114</v>
          </cell>
          <cell r="K4" t="str">
            <v>Q214</v>
          </cell>
          <cell r="L4" t="str">
            <v>Q314</v>
          </cell>
          <cell r="M4" t="str">
            <v>Q414</v>
          </cell>
          <cell r="N4" t="str">
            <v>FY14</v>
          </cell>
          <cell r="O4" t="str">
            <v>Q115</v>
          </cell>
          <cell r="P4" t="str">
            <v>Q215</v>
          </cell>
          <cell r="Q4" t="str">
            <v>Q315</v>
          </cell>
          <cell r="R4" t="str">
            <v>Q415e</v>
          </cell>
          <cell r="S4" t="str">
            <v>FY15e</v>
          </cell>
          <cell r="T4" t="str">
            <v>Q116e</v>
          </cell>
          <cell r="U4" t="str">
            <v>Q216e</v>
          </cell>
          <cell r="V4" t="str">
            <v>Q316e</v>
          </cell>
          <cell r="W4" t="str">
            <v>Q416e</v>
          </cell>
          <cell r="X4" t="str">
            <v>FY16e</v>
          </cell>
        </row>
        <row r="5">
          <cell r="B5" t="str">
            <v>New License Rev.</v>
          </cell>
          <cell r="C5">
            <v>33</v>
          </cell>
          <cell r="D5">
            <v>88.494</v>
          </cell>
          <cell r="E5">
            <v>24.385999999999999</v>
          </cell>
          <cell r="F5">
            <v>30.202999999999999</v>
          </cell>
          <cell r="G5">
            <v>34.557000000000002</v>
          </cell>
          <cell r="H5">
            <v>46.776000000000003</v>
          </cell>
          <cell r="I5">
            <v>135.922</v>
          </cell>
          <cell r="J5">
            <v>36.171999999999997</v>
          </cell>
          <cell r="K5">
            <v>43.185000000000002</v>
          </cell>
          <cell r="L5">
            <v>50.872999999999998</v>
          </cell>
          <cell r="M5">
            <v>68.793999999999997</v>
          </cell>
          <cell r="N5">
            <v>199.024</v>
          </cell>
          <cell r="O5">
            <v>51.274000000000001</v>
          </cell>
          <cell r="P5">
            <v>62.081000000000003</v>
          </cell>
          <cell r="Q5">
            <v>71.754000000000005</v>
          </cell>
          <cell r="R5">
            <v>94.510216842962976</v>
          </cell>
          <cell r="S5">
            <v>279.619216842963</v>
          </cell>
          <cell r="T5">
            <v>65.313152988358084</v>
          </cell>
          <cell r="U5">
            <v>79.616953516224669</v>
          </cell>
          <cell r="V5">
            <v>95.816387975328752</v>
          </cell>
          <cell r="W5">
            <v>128.59577679638323</v>
          </cell>
          <cell r="X5">
            <v>369.3422712762947</v>
          </cell>
        </row>
        <row r="6">
          <cell r="B6" t="str">
            <v>YoY Change</v>
          </cell>
          <cell r="C6">
            <v>0.86746647048837078</v>
          </cell>
          <cell r="D6">
            <v>0.77250330489123931</v>
          </cell>
          <cell r="E6">
            <v>0.67647463220129245</v>
          </cell>
          <cell r="F6">
            <v>0.60945326654588095</v>
          </cell>
          <cell r="G6">
            <v>0.5578847714363</v>
          </cell>
          <cell r="H6">
            <v>0.41745454545454552</v>
          </cell>
          <cell r="I6">
            <v>0.53594593983772909</v>
          </cell>
          <cell r="J6">
            <v>0.48331009595669649</v>
          </cell>
          <cell r="K6">
            <v>0.42982485183591046</v>
          </cell>
          <cell r="L6">
            <v>0.47214746650461548</v>
          </cell>
          <cell r="M6">
            <v>0.47071147597058305</v>
          </cell>
          <cell r="N6">
            <v>0.46425155603949331</v>
          </cell>
          <cell r="O6">
            <v>0.4175052526816323</v>
          </cell>
          <cell r="P6">
            <v>0.43755933773300915</v>
          </cell>
          <cell r="Q6">
            <v>0.4104534822007746</v>
          </cell>
          <cell r="R6">
            <v>0.37381482168449254</v>
          </cell>
          <cell r="S6">
            <v>0.40495225120067424</v>
          </cell>
          <cell r="T6">
            <v>0.27380647088891208</v>
          </cell>
          <cell r="U6">
            <v>0.28246892795258871</v>
          </cell>
          <cell r="V6">
            <v>0.33534559711415035</v>
          </cell>
          <cell r="W6">
            <v>0.36065476402468111</v>
          </cell>
          <cell r="X6">
            <v>0.32087585197594293</v>
          </cell>
        </row>
        <row r="7">
          <cell r="B7" t="str">
            <v>Old License Rev.</v>
          </cell>
          <cell r="C7">
            <v>33</v>
          </cell>
          <cell r="D7">
            <v>88.494</v>
          </cell>
          <cell r="E7">
            <v>24.385999999999999</v>
          </cell>
          <cell r="F7">
            <v>30.202999999999999</v>
          </cell>
          <cell r="G7">
            <v>34.557000000000002</v>
          </cell>
          <cell r="H7">
            <v>46.776000000000003</v>
          </cell>
          <cell r="I7">
            <v>135.922</v>
          </cell>
          <cell r="J7">
            <v>36.171999999999997</v>
          </cell>
          <cell r="K7">
            <v>43.185000000000002</v>
          </cell>
          <cell r="L7">
            <v>50.872999999999998</v>
          </cell>
          <cell r="M7">
            <v>68.793999999999997</v>
          </cell>
          <cell r="N7">
            <v>199.024</v>
          </cell>
          <cell r="O7">
            <v>51.274000000000001</v>
          </cell>
          <cell r="P7">
            <v>57.95776704625392</v>
          </cell>
          <cell r="Q7">
            <v>64.355607863394098</v>
          </cell>
          <cell r="R7">
            <v>87.978521012406489</v>
          </cell>
          <cell r="S7">
            <v>265.68912887580058</v>
          </cell>
          <cell r="T7">
            <v>70.890565496020827</v>
          </cell>
          <cell r="U7">
            <v>86.997313474336622</v>
          </cell>
          <cell r="V7">
            <v>86.384665723374269</v>
          </cell>
          <cell r="W7">
            <v>116.14488426391259</v>
          </cell>
          <cell r="X7">
            <v>360.41742895764435</v>
          </cell>
        </row>
        <row r="8">
          <cell r="B8" t="str">
            <v>% Change</v>
          </cell>
          <cell r="C8">
            <v>0</v>
          </cell>
          <cell r="D8">
            <v>0</v>
          </cell>
          <cell r="E8">
            <v>0</v>
          </cell>
          <cell r="F8">
            <v>0</v>
          </cell>
          <cell r="G8">
            <v>0</v>
          </cell>
          <cell r="H8">
            <v>0</v>
          </cell>
          <cell r="I8">
            <v>0</v>
          </cell>
          <cell r="J8">
            <v>0</v>
          </cell>
          <cell r="K8">
            <v>0</v>
          </cell>
          <cell r="L8">
            <v>0</v>
          </cell>
          <cell r="M8">
            <v>0</v>
          </cell>
          <cell r="N8">
            <v>0</v>
          </cell>
          <cell r="O8">
            <v>0</v>
          </cell>
          <cell r="P8">
            <v>7.114202571771755E-2</v>
          </cell>
          <cell r="Q8">
            <v>0.11496111034038048</v>
          </cell>
          <cell r="R8">
            <v>7.4241937184138518E-2</v>
          </cell>
          <cell r="S8">
            <v>5.2430026121521145E-2</v>
          </cell>
          <cell r="T8">
            <v>-7.8676372076278756E-2</v>
          </cell>
          <cell r="U8">
            <v>-8.4834343307498616E-2</v>
          </cell>
          <cell r="V8">
            <v>0.10918282976468596</v>
          </cell>
          <cell r="W8">
            <v>0.10720138567772697</v>
          </cell>
          <cell r="X8">
            <v>2.4762515909571015E-2</v>
          </cell>
        </row>
        <row r="9">
          <cell r="B9" t="str">
            <v>Consensus</v>
          </cell>
          <cell r="G9">
            <v>31.6</v>
          </cell>
          <cell r="H9">
            <v>41</v>
          </cell>
          <cell r="J9">
            <v>34.1</v>
          </cell>
          <cell r="K9">
            <v>40</v>
          </cell>
        </row>
        <row r="10">
          <cell r="B10" t="str">
            <v>New Services Rev.</v>
          </cell>
          <cell r="C10">
            <v>10</v>
          </cell>
          <cell r="D10">
            <v>32.266999999999996</v>
          </cell>
          <cell r="E10">
            <v>12.805</v>
          </cell>
          <cell r="F10">
            <v>14.28</v>
          </cell>
          <cell r="G10">
            <v>17.488</v>
          </cell>
          <cell r="H10">
            <v>18.449000000000002</v>
          </cell>
          <cell r="I10">
            <v>63.022000000000006</v>
          </cell>
          <cell r="J10">
            <v>21.035</v>
          </cell>
          <cell r="K10">
            <v>23.687999999999999</v>
          </cell>
          <cell r="L10">
            <v>27.76</v>
          </cell>
          <cell r="M10">
            <v>31.116</v>
          </cell>
          <cell r="N10">
            <v>103.599</v>
          </cell>
          <cell r="O10">
            <v>34.633000000000003</v>
          </cell>
          <cell r="P10">
            <v>39.466000000000001</v>
          </cell>
          <cell r="Q10">
            <v>44.274999999999999</v>
          </cell>
          <cell r="R10">
            <v>45.880773067336463</v>
          </cell>
          <cell r="S10">
            <v>164.25477306733646</v>
          </cell>
          <cell r="T10">
            <v>50.266702579274671</v>
          </cell>
          <cell r="U10">
            <v>52.051643562313693</v>
          </cell>
          <cell r="V10">
            <v>57.667434325510392</v>
          </cell>
          <cell r="W10">
            <v>62.551122404096205</v>
          </cell>
          <cell r="X10">
            <v>222.53690287119497</v>
          </cell>
        </row>
        <row r="11">
          <cell r="B11" t="str">
            <v>YoY Change</v>
          </cell>
          <cell r="C11">
            <v>0.95694716242661437</v>
          </cell>
          <cell r="D11">
            <v>0.977265763833568</v>
          </cell>
          <cell r="E11">
            <v>1.1015919908091254</v>
          </cell>
          <cell r="F11">
            <v>0.9880272866490325</v>
          </cell>
          <cell r="G11">
            <v>0.94505616727838948</v>
          </cell>
          <cell r="H11">
            <v>0.84490000000000021</v>
          </cell>
          <cell r="I11">
            <v>0.95314097994855462</v>
          </cell>
          <cell r="J11">
            <v>0.64271768840296772</v>
          </cell>
          <cell r="K11">
            <v>0.65882352941176481</v>
          </cell>
          <cell r="L11">
            <v>0.58737419945105218</v>
          </cell>
          <cell r="M11">
            <v>0.68659547942977928</v>
          </cell>
          <cell r="N11">
            <v>0.64385452699057466</v>
          </cell>
          <cell r="O11">
            <v>0.64644639885904454</v>
          </cell>
          <cell r="P11">
            <v>0.66607565011820347</v>
          </cell>
          <cell r="Q11">
            <v>0.59492074927953875</v>
          </cell>
          <cell r="R11">
            <v>0.47450742599744378</v>
          </cell>
          <cell r="S11">
            <v>0.58548608642300071</v>
          </cell>
          <cell r="T11">
            <v>0.45141057890666891</v>
          </cell>
          <cell r="U11">
            <v>0.31889838246373303</v>
          </cell>
          <cell r="V11">
            <v>0.30248298871847301</v>
          </cell>
          <cell r="W11">
            <v>0.36334063753227674</v>
          </cell>
          <cell r="X11">
            <v>0.35482761758141224</v>
          </cell>
        </row>
        <row r="12">
          <cell r="B12" t="str">
            <v>Old Services Rev.</v>
          </cell>
          <cell r="C12">
            <v>10</v>
          </cell>
          <cell r="D12">
            <v>32.266999999999996</v>
          </cell>
          <cell r="E12">
            <v>12.805</v>
          </cell>
          <cell r="F12">
            <v>14.28</v>
          </cell>
          <cell r="G12">
            <v>17.488</v>
          </cell>
          <cell r="H12">
            <v>18.449000000000002</v>
          </cell>
          <cell r="I12">
            <v>63.022000000000006</v>
          </cell>
          <cell r="J12">
            <v>21.035</v>
          </cell>
          <cell r="K12">
            <v>23.687999999999999</v>
          </cell>
          <cell r="L12">
            <v>27.76</v>
          </cell>
          <cell r="M12">
            <v>31.116</v>
          </cell>
          <cell r="N12">
            <v>103.599</v>
          </cell>
          <cell r="O12">
            <v>34.633000000000003</v>
          </cell>
          <cell r="P12">
            <v>35.84445234836609</v>
          </cell>
          <cell r="Q12">
            <v>43.438634933016679</v>
          </cell>
          <cell r="R12">
            <v>47.139692663296692</v>
          </cell>
          <cell r="S12">
            <v>164.67732759631338</v>
          </cell>
          <cell r="T12">
            <v>51.380920017781122</v>
          </cell>
          <cell r="U12">
            <v>54.773969243412004</v>
          </cell>
          <cell r="V12">
            <v>60.348137034030458</v>
          </cell>
          <cell r="W12">
            <v>65.726059099573874</v>
          </cell>
          <cell r="X12">
            <v>232.22908539479744</v>
          </cell>
        </row>
        <row r="13">
          <cell r="B13" t="str">
            <v>% Change</v>
          </cell>
          <cell r="C13">
            <v>0</v>
          </cell>
          <cell r="D13">
            <v>0</v>
          </cell>
          <cell r="E13">
            <v>0</v>
          </cell>
          <cell r="F13">
            <v>0</v>
          </cell>
          <cell r="G13">
            <v>0</v>
          </cell>
          <cell r="H13">
            <v>0</v>
          </cell>
          <cell r="I13">
            <v>0</v>
          </cell>
          <cell r="J13">
            <v>0</v>
          </cell>
          <cell r="K13">
            <v>0</v>
          </cell>
          <cell r="L13">
            <v>0</v>
          </cell>
          <cell r="M13">
            <v>0</v>
          </cell>
          <cell r="N13">
            <v>0</v>
          </cell>
          <cell r="O13">
            <v>0</v>
          </cell>
          <cell r="P13">
            <v>0.10103509509468056</v>
          </cell>
          <cell r="Q13">
            <v>1.9253944519044275E-2</v>
          </cell>
          <cell r="R13">
            <v>-2.6706147724642082E-2</v>
          </cell>
          <cell r="S13">
            <v>-2.5659544950399349E-3</v>
          </cell>
          <cell r="T13">
            <v>-2.168543183191074E-2</v>
          </cell>
          <cell r="U13">
            <v>-4.9701084633842596E-2</v>
          </cell>
          <cell r="V13">
            <v>-4.4420637326524459E-2</v>
          </cell>
          <cell r="W13">
            <v>-4.8305599620200756E-2</v>
          </cell>
          <cell r="X13">
            <v>-4.1735437691301391E-2</v>
          </cell>
        </row>
        <row r="14">
          <cell r="B14" t="str">
            <v>Consensus</v>
          </cell>
          <cell r="C14">
            <v>0</v>
          </cell>
          <cell r="D14">
            <v>0</v>
          </cell>
          <cell r="E14">
            <v>0</v>
          </cell>
          <cell r="F14">
            <v>6.8160612516347197E-2</v>
          </cell>
          <cell r="G14">
            <v>15.1</v>
          </cell>
          <cell r="H14">
            <v>19.100000000000001</v>
          </cell>
          <cell r="I14">
            <v>-1.3928048771979173E-2</v>
          </cell>
          <cell r="J14">
            <v>20.2</v>
          </cell>
          <cell r="K14">
            <v>21.8</v>
          </cell>
          <cell r="L14">
            <v>0</v>
          </cell>
          <cell r="M14">
            <v>0</v>
          </cell>
          <cell r="N14">
            <v>0</v>
          </cell>
          <cell r="O14">
            <v>3.6585365853658347E-2</v>
          </cell>
          <cell r="P14">
            <v>3.7381784504304738E-2</v>
          </cell>
          <cell r="Q14">
            <v>5.2272183047242349E-2</v>
          </cell>
          <cell r="R14">
            <v>6.3437780694666435E-2</v>
          </cell>
          <cell r="S14">
            <v>4.8197733428493761E-2</v>
          </cell>
        </row>
        <row r="15">
          <cell r="B15" t="str">
            <v>New Total Rev.</v>
          </cell>
          <cell r="C15">
            <v>22.780999999999999</v>
          </cell>
          <cell r="D15">
            <v>66.24499999999999</v>
          </cell>
          <cell r="E15">
            <v>37.191000000000003</v>
          </cell>
          <cell r="F15">
            <v>44.482999999999997</v>
          </cell>
          <cell r="G15">
            <v>45.130163204053737</v>
          </cell>
          <cell r="H15">
            <v>56.681787961338955</v>
          </cell>
          <cell r="I15">
            <v>183.48595116539269</v>
          </cell>
          <cell r="J15">
            <v>242.93865342250098</v>
          </cell>
          <cell r="K15">
            <v>21.8</v>
          </cell>
          <cell r="L15">
            <v>0.32401773476116502</v>
          </cell>
        </row>
        <row r="16">
          <cell r="B16" t="str">
            <v>New Total Rev.</v>
          </cell>
          <cell r="C16">
            <v>22.780999999999999</v>
          </cell>
          <cell r="D16">
            <v>66.24499999999999</v>
          </cell>
          <cell r="E16">
            <v>37.191000000000003</v>
          </cell>
          <cell r="F16">
            <v>44.482999999999997</v>
          </cell>
          <cell r="G16">
            <v>52.045000000000002</v>
          </cell>
          <cell r="H16">
            <v>65.225000000000009</v>
          </cell>
          <cell r="I16">
            <v>198.94400000000002</v>
          </cell>
          <cell r="J16">
            <v>57.206999999999994</v>
          </cell>
          <cell r="K16">
            <v>66.873000000000005</v>
          </cell>
          <cell r="L16">
            <v>78.632999999999996</v>
          </cell>
          <cell r="M16">
            <v>99.91</v>
          </cell>
          <cell r="N16">
            <v>302.62299999999999</v>
          </cell>
          <cell r="O16">
            <v>85.907000000000011</v>
          </cell>
          <cell r="P16">
            <v>101.547</v>
          </cell>
          <cell r="Q16">
            <v>116.029</v>
          </cell>
          <cell r="R16">
            <v>140.39098991029942</v>
          </cell>
          <cell r="S16">
            <v>443.87398991029943</v>
          </cell>
          <cell r="T16">
            <v>115.57985556763276</v>
          </cell>
          <cell r="U16">
            <v>131.66859707853837</v>
          </cell>
          <cell r="V16">
            <v>153.48382230083914</v>
          </cell>
          <cell r="W16">
            <v>191.14689920047942</v>
          </cell>
          <cell r="X16">
            <v>591.87917414748972</v>
          </cell>
        </row>
        <row r="17">
          <cell r="B17" t="str">
            <v>YoY Change</v>
          </cell>
          <cell r="C17">
            <v>0.88753786049778327</v>
          </cell>
          <cell r="D17">
            <v>0.82294512793418395</v>
          </cell>
          <cell r="E17">
            <v>0.80197683996317659</v>
          </cell>
          <cell r="F17">
            <v>0.71424717715518904</v>
          </cell>
          <cell r="G17">
            <v>0.66955378051518966</v>
          </cell>
          <cell r="H17">
            <v>0.51686046511627937</v>
          </cell>
          <cell r="I17">
            <v>0.64741928271544635</v>
          </cell>
          <cell r="J17">
            <v>0.53819472453012795</v>
          </cell>
          <cell r="K17">
            <v>0.50333835397792437</v>
          </cell>
          <cell r="L17">
            <v>0.51086559707945045</v>
          </cell>
          <cell r="M17">
            <v>0.53177462629359873</v>
          </cell>
          <cell r="N17">
            <v>0.52114665433488794</v>
          </cell>
          <cell r="O17">
            <v>0.50168685650357503</v>
          </cell>
          <cell r="P17">
            <v>0.51850522632452534</v>
          </cell>
          <cell r="Q17">
            <v>0.47557641193900779</v>
          </cell>
          <cell r="R17">
            <v>0.40517455620357756</v>
          </cell>
          <cell r="S17">
            <v>0.46675563295023648</v>
          </cell>
          <cell r="T17">
            <v>0.34540672550121343</v>
          </cell>
          <cell r="U17">
            <v>0.29662714879354746</v>
          </cell>
          <cell r="V17">
            <v>0.32280569772073475</v>
          </cell>
          <cell r="W17">
            <v>0.36153252657175283</v>
          </cell>
          <cell r="X17">
            <v>0.33343964188372466</v>
          </cell>
        </row>
        <row r="18">
          <cell r="B18" t="str">
            <v>Old Total Rev.</v>
          </cell>
          <cell r="C18">
            <v>22.780999999999999</v>
          </cell>
          <cell r="D18">
            <v>66.24499999999999</v>
          </cell>
          <cell r="E18">
            <v>37.191000000000003</v>
          </cell>
          <cell r="F18">
            <v>44.482999999999997</v>
          </cell>
          <cell r="G18">
            <v>52.045000000000002</v>
          </cell>
          <cell r="H18">
            <v>65.225000000000009</v>
          </cell>
          <cell r="I18">
            <v>198.94400000000002</v>
          </cell>
          <cell r="J18">
            <v>57.206999999999994</v>
          </cell>
          <cell r="K18">
            <v>66.873000000000005</v>
          </cell>
          <cell r="L18">
            <v>78.632999999999996</v>
          </cell>
          <cell r="M18">
            <v>99.91</v>
          </cell>
          <cell r="N18">
            <v>302.62299999999999</v>
          </cell>
          <cell r="O18">
            <v>85.907000000000011</v>
          </cell>
          <cell r="P18">
            <v>93.80221939462001</v>
          </cell>
          <cell r="Q18">
            <v>107.79424279641077</v>
          </cell>
          <cell r="R18">
            <v>135.11821367570317</v>
          </cell>
          <cell r="S18">
            <v>430.36645647211395</v>
          </cell>
          <cell r="T18">
            <v>122.27148551380195</v>
          </cell>
          <cell r="U18">
            <v>141.77128271774862</v>
          </cell>
          <cell r="V18">
            <v>146.73280275740473</v>
          </cell>
          <cell r="W18">
            <v>181.87094336348645</v>
          </cell>
          <cell r="X18">
            <v>592.64651435244173</v>
          </cell>
        </row>
        <row r="19">
          <cell r="B19" t="str">
            <v>% Change</v>
          </cell>
          <cell r="C19">
            <v>0</v>
          </cell>
          <cell r="D19">
            <v>0</v>
          </cell>
          <cell r="E19">
            <v>0</v>
          </cell>
          <cell r="F19">
            <v>0</v>
          </cell>
          <cell r="G19">
            <v>0</v>
          </cell>
          <cell r="H19">
            <v>0</v>
          </cell>
          <cell r="I19">
            <v>0</v>
          </cell>
          <cell r="J19">
            <v>0</v>
          </cell>
          <cell r="K19">
            <v>0</v>
          </cell>
          <cell r="L19">
            <v>0</v>
          </cell>
          <cell r="M19">
            <v>0</v>
          </cell>
          <cell r="N19">
            <v>0</v>
          </cell>
          <cell r="O19">
            <v>0</v>
          </cell>
          <cell r="P19">
            <v>8.2565003849196517E-2</v>
          </cell>
          <cell r="Q19">
            <v>7.6393293277657426E-2</v>
          </cell>
          <cell r="R19">
            <v>3.9023430603156273E-2</v>
          </cell>
          <cell r="S19">
            <v>3.1386120444683696E-2</v>
          </cell>
          <cell r="T19">
            <v>-5.4727640856328974E-2</v>
          </cell>
          <cell r="U19">
            <v>-7.1260451662298996E-2</v>
          </cell>
          <cell r="V19">
            <v>4.6008931994544922E-2</v>
          </cell>
          <cell r="W19">
            <v>5.1002956632022922E-2</v>
          </cell>
          <cell r="X19">
            <v>-1.2947687809999886E-3</v>
          </cell>
        </row>
        <row r="20">
          <cell r="B20" t="str">
            <v>Consensus</v>
          </cell>
          <cell r="C20">
            <v>0</v>
          </cell>
          <cell r="D20">
            <v>0</v>
          </cell>
          <cell r="E20">
            <v>0</v>
          </cell>
          <cell r="F20">
            <v>39.840000000000003</v>
          </cell>
          <cell r="G20">
            <v>46.77</v>
          </cell>
          <cell r="H20">
            <v>60.09</v>
          </cell>
          <cell r="I20">
            <v>193.76</v>
          </cell>
          <cell r="J20">
            <v>54.03</v>
          </cell>
          <cell r="K20" t="str">
            <v>Manual Calculation</v>
          </cell>
          <cell r="L20" t="str">
            <v>Manual Calculation</v>
          </cell>
          <cell r="M20" t="str">
            <v>Manual Calculation</v>
          </cell>
          <cell r="N20" t="str">
            <v>Manual Calculation</v>
          </cell>
          <cell r="O20" t="str">
            <v>Manual Calculation</v>
          </cell>
          <cell r="P20" t="str">
            <v>Manual Calculation</v>
          </cell>
          <cell r="Q20" t="str">
            <v>$107.3M</v>
          </cell>
          <cell r="R20" t="str">
            <v>$133.3M</v>
          </cell>
          <cell r="S20" t="str">
            <v>$428.0M</v>
          </cell>
          <cell r="T20" t="str">
            <v>$115.3M</v>
          </cell>
          <cell r="U20" t="str">
            <v>$133.3M</v>
          </cell>
          <cell r="V20" t="str">
            <v>$143.2M</v>
          </cell>
          <cell r="W20" t="str">
            <v>$177.6M</v>
          </cell>
          <cell r="X20" t="str">
            <v>$570.3M</v>
          </cell>
        </row>
        <row r="21">
          <cell r="B21" t="str">
            <v>New Op. Income</v>
          </cell>
          <cell r="C21">
            <v>1</v>
          </cell>
          <cell r="D21">
            <v>-4.8139999999999965</v>
          </cell>
          <cell r="E21">
            <v>-3.5169999999999959</v>
          </cell>
          <cell r="F21">
            <v>-0.67400000000000659</v>
          </cell>
          <cell r="G21">
            <v>-2.2338952993876759</v>
          </cell>
          <cell r="H21">
            <v>1.5590249352960797</v>
          </cell>
          <cell r="I21">
            <v>-4.8658703640915988</v>
          </cell>
          <cell r="J21">
            <v>-0.74666407657782941</v>
          </cell>
          <cell r="K21">
            <v>61.65</v>
          </cell>
          <cell r="L21">
            <v>69.59</v>
          </cell>
          <cell r="M21">
            <v>85.65</v>
          </cell>
          <cell r="N21">
            <v>270.61</v>
          </cell>
          <cell r="O21">
            <v>73.510000000000005</v>
          </cell>
          <cell r="P21">
            <v>84</v>
          </cell>
          <cell r="Q21">
            <v>92.59</v>
          </cell>
          <cell r="R21">
            <v>111.78</v>
          </cell>
          <cell r="S21">
            <v>360.53</v>
          </cell>
        </row>
        <row r="22">
          <cell r="B22" t="str">
            <v>New Op. Income</v>
          </cell>
          <cell r="C22">
            <v>1</v>
          </cell>
          <cell r="D22">
            <v>-4.8139999999999965</v>
          </cell>
          <cell r="E22">
            <v>-3.5169999999999959</v>
          </cell>
          <cell r="F22">
            <v>-0.67400000000000659</v>
          </cell>
          <cell r="G22">
            <v>-0.69499999999999318</v>
          </cell>
          <cell r="H22">
            <v>3.2260000000000062</v>
          </cell>
          <cell r="I22">
            <v>-1.6599999999999895</v>
          </cell>
          <cell r="J22">
            <v>-5.2850000000000108</v>
          </cell>
          <cell r="K22">
            <v>-0.76100000000000279</v>
          </cell>
          <cell r="L22">
            <v>0.87299999999999045</v>
          </cell>
          <cell r="M22">
            <v>3.9579999999999842</v>
          </cell>
          <cell r="N22">
            <v>-1.2150000000000389</v>
          </cell>
          <cell r="O22">
            <v>-3.5729999999999933</v>
          </cell>
          <cell r="P22">
            <v>1.6380000000000052</v>
          </cell>
          <cell r="Q22">
            <v>2.7210000000000036</v>
          </cell>
          <cell r="R22">
            <v>6.5340498686170747</v>
          </cell>
          <cell r="S22">
            <v>7.3200498686170903</v>
          </cell>
          <cell r="T22">
            <v>-3.8281261333425647</v>
          </cell>
          <cell r="U22">
            <v>5.1151277369623784</v>
          </cell>
          <cell r="V22">
            <v>9.8188528217817179</v>
          </cell>
          <cell r="W22">
            <v>10.491055303040497</v>
          </cell>
          <cell r="X22">
            <v>21.596909728442029</v>
          </cell>
        </row>
        <row r="23">
          <cell r="B23" t="str">
            <v>New Op. Margin</v>
          </cell>
          <cell r="C23">
            <v>2.3255813953488372E-2</v>
          </cell>
          <cell r="D23">
            <v>-3.9863863333360908E-2</v>
          </cell>
          <cell r="E23">
            <v>-9.4565889596945382E-2</v>
          </cell>
          <cell r="F23">
            <v>-1.5151855765123904E-2</v>
          </cell>
          <cell r="G23">
            <v>-1.3353828417715307E-2</v>
          </cell>
          <cell r="H23">
            <v>4.9459563050977477E-2</v>
          </cell>
          <cell r="I23">
            <v>-8.3440566189479926E-3</v>
          </cell>
          <cell r="J23">
            <v>-9.2383799185414575E-2</v>
          </cell>
          <cell r="K23">
            <v>-1.1379779582193153E-2</v>
          </cell>
          <cell r="L23">
            <v>1.1102208996222839E-2</v>
          </cell>
          <cell r="M23">
            <v>3.9615654088679654E-2</v>
          </cell>
          <cell r="N23">
            <v>-4.0148964222813171E-3</v>
          </cell>
          <cell r="O23">
            <v>-4.1591488470089664E-2</v>
          </cell>
          <cell r="P23">
            <v>1.6130461756625063E-2</v>
          </cell>
          <cell r="Q23">
            <v>2.3451033793275851E-2</v>
          </cell>
          <cell r="R23">
            <v>4.6541803521664045E-2</v>
          </cell>
          <cell r="S23">
            <v>1.6491279135541076E-2</v>
          </cell>
          <cell r="T23">
            <v>-3.3121049637430088E-2</v>
          </cell>
          <cell r="U23">
            <v>3.8848501848252247E-2</v>
          </cell>
          <cell r="V23">
            <v>6.3973210170229361E-2</v>
          </cell>
          <cell r="W23">
            <v>5.4884778915703092E-2</v>
          </cell>
          <cell r="X23">
            <v>3.6488713696590243E-2</v>
          </cell>
        </row>
        <row r="24">
          <cell r="B24" t="str">
            <v>Old Op. Income</v>
          </cell>
          <cell r="C24">
            <v>1</v>
          </cell>
          <cell r="D24">
            <v>-4.8139999999999965</v>
          </cell>
          <cell r="E24">
            <v>-3.5169999999999959</v>
          </cell>
          <cell r="F24">
            <v>-0.67400000000000659</v>
          </cell>
          <cell r="G24">
            <v>-0.69499999999999318</v>
          </cell>
          <cell r="H24">
            <v>3.2260000000000062</v>
          </cell>
          <cell r="I24">
            <v>-1.6599999999999895</v>
          </cell>
          <cell r="J24">
            <v>-5.2850000000000108</v>
          </cell>
          <cell r="K24">
            <v>-0.76100000000000279</v>
          </cell>
          <cell r="L24">
            <v>0.87299999999999045</v>
          </cell>
          <cell r="M24">
            <v>3.9579999999999842</v>
          </cell>
          <cell r="N24">
            <v>-1.2150000000000389</v>
          </cell>
          <cell r="O24">
            <v>-3.5729999999999933</v>
          </cell>
          <cell r="P24">
            <v>-3.6828560277564577</v>
          </cell>
          <cell r="Q24">
            <v>0.99603075380005635</v>
          </cell>
          <cell r="R24">
            <v>5.1798819060684451</v>
          </cell>
          <cell r="S24">
            <v>4.2409126598685134</v>
          </cell>
          <cell r="T24">
            <v>-1.3419535842938757</v>
          </cell>
          <cell r="U24">
            <v>8.5237411514665951</v>
          </cell>
          <cell r="V24">
            <v>9.4048906283761085</v>
          </cell>
          <cell r="W24">
            <v>14.568121460799034</v>
          </cell>
          <cell r="X24">
            <v>31.154799656347862</v>
          </cell>
        </row>
        <row r="25">
          <cell r="B25" t="str">
            <v>Old Op. Margin</v>
          </cell>
          <cell r="C25">
            <v>2.3255813953488372E-2</v>
          </cell>
          <cell r="D25">
            <v>-3.9863863333360908E-2</v>
          </cell>
          <cell r="E25">
            <v>-9.4565889596945382E-2</v>
          </cell>
          <cell r="F25">
            <v>-1.5151855765123904E-2</v>
          </cell>
          <cell r="G25">
            <v>-1.3353828417715307E-2</v>
          </cell>
          <cell r="H25">
            <v>4.9459563050977477E-2</v>
          </cell>
          <cell r="I25">
            <v>-8.3440566189479926E-3</v>
          </cell>
          <cell r="J25">
            <v>-9.2383799185414575E-2</v>
          </cell>
          <cell r="K25">
            <v>-1.1379779582193153E-2</v>
          </cell>
          <cell r="L25">
            <v>1.1102208996222839E-2</v>
          </cell>
          <cell r="M25">
            <v>3.9615654088679654E-2</v>
          </cell>
          <cell r="N25">
            <v>-4.0148964222813171E-3</v>
          </cell>
          <cell r="O25">
            <v>-4.1591488470089664E-2</v>
          </cell>
          <cell r="P25">
            <v>-3.9261928465284118E-2</v>
          </cell>
          <cell r="Q25">
            <v>9.2401108627038955E-3</v>
          </cell>
          <cell r="R25">
            <v>3.833592648360986E-2</v>
          </cell>
          <cell r="S25">
            <v>9.8541896007253247E-3</v>
          </cell>
          <cell r="T25">
            <v>-1.0975196536255352E-2</v>
          </cell>
          <cell r="U25">
            <v>6.0123185655563599E-2</v>
          </cell>
          <cell r="V25">
            <v>6.4095351902500888E-2</v>
          </cell>
          <cell r="W25">
            <v>8.0101423522520865E-2</v>
          </cell>
          <cell r="X25">
            <v>5.2568941016027597E-2</v>
          </cell>
        </row>
        <row r="26">
          <cell r="B26" t="str">
            <v xml:space="preserve">% Change </v>
          </cell>
          <cell r="C26">
            <v>0</v>
          </cell>
          <cell r="D26">
            <v>0</v>
          </cell>
          <cell r="E26">
            <v>0</v>
          </cell>
          <cell r="F26">
            <v>0</v>
          </cell>
          <cell r="G26">
            <v>0</v>
          </cell>
          <cell r="H26">
            <v>0</v>
          </cell>
          <cell r="I26">
            <v>0</v>
          </cell>
          <cell r="J26" t="str">
            <v>NM</v>
          </cell>
          <cell r="K26" t="str">
            <v>NM</v>
          </cell>
          <cell r="L26">
            <v>0</v>
          </cell>
          <cell r="M26">
            <v>0</v>
          </cell>
          <cell r="N26" t="str">
            <v>NM</v>
          </cell>
          <cell r="O26" t="str">
            <v>NM</v>
          </cell>
          <cell r="P26">
            <v>-1.4447635171331559</v>
          </cell>
          <cell r="Q26">
            <v>1.731843358871044</v>
          </cell>
          <cell r="R26">
            <v>0.26142834665056092</v>
          </cell>
          <cell r="S26">
            <v>0.72605532245128646</v>
          </cell>
          <cell r="T26" t="str">
            <v>NM</v>
          </cell>
          <cell r="U26">
            <v>-0.39989640158391371</v>
          </cell>
          <cell r="V26">
            <v>4.4015630777950454E-2</v>
          </cell>
          <cell r="W26">
            <v>-0.27986217500515798</v>
          </cell>
          <cell r="X26">
            <v>-0.30678707721872289</v>
          </cell>
        </row>
        <row r="27">
          <cell r="B27" t="str">
            <v>Consensus Op. Inc.</v>
          </cell>
          <cell r="C27">
            <v>0</v>
          </cell>
          <cell r="D27">
            <v>0</v>
          </cell>
          <cell r="E27">
            <v>0</v>
          </cell>
          <cell r="F27">
            <v>-3.66</v>
          </cell>
          <cell r="G27">
            <v>-2.14</v>
          </cell>
          <cell r="H27">
            <v>2.2000000000000002</v>
          </cell>
          <cell r="I27">
            <v>-2.73</v>
          </cell>
          <cell r="J27">
            <v>-5.73</v>
          </cell>
          <cell r="K27">
            <v>-1.37</v>
          </cell>
          <cell r="L27" t="str">
            <v>Manual Calculation</v>
          </cell>
          <cell r="M27" t="str">
            <v>Manual Calculation</v>
          </cell>
          <cell r="N27" t="str">
            <v>Manual Calculation</v>
          </cell>
          <cell r="O27" t="str">
            <v>Manual Calculation</v>
          </cell>
          <cell r="P27" t="str">
            <v>Manual Calculation</v>
          </cell>
          <cell r="Q27" t="str">
            <v>$1.5M</v>
          </cell>
          <cell r="R27" t="str">
            <v>$6.6M</v>
          </cell>
          <cell r="S27" t="str">
            <v>$5.9M</v>
          </cell>
          <cell r="T27" t="str">
            <v>-$3.4M</v>
          </cell>
          <cell r="U27" t="str">
            <v>$2.5M</v>
          </cell>
          <cell r="V27" t="str">
            <v>$5.1M</v>
          </cell>
          <cell r="W27" t="str">
            <v>$14.5M</v>
          </cell>
          <cell r="X27" t="str">
            <v>$20.0M</v>
          </cell>
        </row>
        <row r="28">
          <cell r="B28" t="str">
            <v>Consensus Op. Margin</v>
          </cell>
          <cell r="F28">
            <v>-9.1867469879518063E-2</v>
          </cell>
          <cell r="G28">
            <v>-4.5755826384434463E-2</v>
          </cell>
          <cell r="H28">
            <v>3.6611749043102014E-2</v>
          </cell>
          <cell r="I28">
            <v>-1.4089595375722543E-2</v>
          </cell>
          <cell r="J28">
            <v>-0.10605219322598557</v>
          </cell>
          <cell r="K28" t="e">
            <v>#VALUE!</v>
          </cell>
          <cell r="L28" t="e">
            <v>#VALUE!</v>
          </cell>
          <cell r="M28" t="e">
            <v>#VALUE!</v>
          </cell>
          <cell r="N28" t="e">
            <v>#VALUE!</v>
          </cell>
          <cell r="O28" t="e">
            <v>#VALUE!</v>
          </cell>
          <cell r="P28" t="e">
            <v>#VALUE!</v>
          </cell>
          <cell r="Q28" t="e">
            <v>#VALUE!</v>
          </cell>
          <cell r="R28" t="e">
            <v>#VALUE!</v>
          </cell>
          <cell r="S28" t="e">
            <v>#VALUE!</v>
          </cell>
          <cell r="T28" t="e">
            <v>#VALUE!</v>
          </cell>
          <cell r="U28" t="e">
            <v>#VALUE!</v>
          </cell>
          <cell r="V28" t="e">
            <v>#VALUE!</v>
          </cell>
          <cell r="W28" t="e">
            <v>#VALUE!</v>
          </cell>
          <cell r="X28" t="e">
            <v>#VALUE!</v>
          </cell>
        </row>
        <row r="29">
          <cell r="B29" t="str">
            <v>New Adj. NI</v>
          </cell>
          <cell r="C29">
            <v>6.4935908258548815E-3</v>
          </cell>
          <cell r="D29">
            <v>-9.1259496621599392E-2</v>
          </cell>
          <cell r="E29">
            <v>-3.923538056521781E-2</v>
          </cell>
          <cell r="F29">
            <v>-7.4226847295798346E-3</v>
          </cell>
          <cell r="G29">
            <v>-2.0519437595560769E-2</v>
          </cell>
          <cell r="H29">
            <v>1.9096286889282832E-2</v>
          </cell>
          <cell r="I29">
            <v>-4.766236459337015E-2</v>
          </cell>
          <cell r="J29">
            <v>1.0974456495782667E-2</v>
          </cell>
          <cell r="K29">
            <v>-2.2222222222222223E-2</v>
          </cell>
          <cell r="L29">
            <v>8.6219284379939636E-4</v>
          </cell>
          <cell r="M29">
            <v>8.686514886164623E-2</v>
          </cell>
          <cell r="N29">
            <v>1.5520490743135876E-3</v>
          </cell>
          <cell r="O29">
            <v>-3.4281050197252069E-2</v>
          </cell>
          <cell r="P29">
            <v>2.011904761904762E-2</v>
          </cell>
          <cell r="Q29">
            <v>3.8881088670482775E-2</v>
          </cell>
          <cell r="R29">
            <v>0.10628019323671498</v>
          </cell>
          <cell r="S29">
            <v>4.2298837822095252E-2</v>
          </cell>
        </row>
        <row r="30">
          <cell r="B30" t="str">
            <v>New Adj. EPS</v>
          </cell>
          <cell r="C30">
            <v>6.4935908258548815E-3</v>
          </cell>
          <cell r="D30">
            <v>-9.1259496621599392E-2</v>
          </cell>
          <cell r="E30">
            <v>-3.923538056521781E-2</v>
          </cell>
          <cell r="F30">
            <v>-7.4226847295798346E-3</v>
          </cell>
          <cell r="G30">
            <v>-8.1617030960680365E-3</v>
          </cell>
          <cell r="H30">
            <v>2.5844397353284664E-2</v>
          </cell>
          <cell r="I30">
            <v>-2.7677392019539785E-2</v>
          </cell>
          <cell r="J30">
            <v>-5.6089790717051523E-2</v>
          </cell>
          <cell r="K30">
            <v>-1.1047070124879951E-2</v>
          </cell>
          <cell r="L30">
            <v>3.7544336276506538E-3</v>
          </cell>
          <cell r="M30">
            <v>2.850116228144042E-2</v>
          </cell>
          <cell r="N30">
            <v>-2.9416664683342829E-2</v>
          </cell>
          <cell r="O30">
            <v>-3.6021826242646375E-2</v>
          </cell>
          <cell r="P30">
            <v>9.6562594532631097E-3</v>
          </cell>
          <cell r="Q30">
            <v>1.908222460432565E-2</v>
          </cell>
          <cell r="R30">
            <v>4.9668168057110287E-2</v>
          </cell>
          <cell r="S30">
            <v>4.5896273699325543E-2</v>
          </cell>
          <cell r="T30">
            <v>-3.2083018837806648E-2</v>
          </cell>
          <cell r="U30">
            <v>4.0157015867008095E-2</v>
          </cell>
          <cell r="V30">
            <v>7.7071841945254113E-2</v>
          </cell>
          <cell r="W30">
            <v>8.2212246324720656E-2</v>
          </cell>
          <cell r="X30">
            <v>0.17200657332406982</v>
          </cell>
        </row>
        <row r="31">
          <cell r="B31" t="str">
            <v>YoY Change</v>
          </cell>
          <cell r="C31">
            <v>6.4935908258548815E-3</v>
          </cell>
          <cell r="D31">
            <v>-9.1634510302948335E-2</v>
          </cell>
          <cell r="E31">
            <v>-3.923538056521781E-2</v>
          </cell>
          <cell r="F31">
            <v>-3.457478500114352E-2</v>
          </cell>
          <cell r="G31">
            <v>-2.79453587078843E-2</v>
          </cell>
          <cell r="H31">
            <v>1.6742254478779257E-2</v>
          </cell>
          <cell r="I31">
            <v>-8.4756511871082033E-2</v>
          </cell>
          <cell r="J31">
            <v>6.9824821178742173E-3</v>
          </cell>
          <cell r="K31">
            <v>-1.1047070124879951E-2</v>
          </cell>
          <cell r="L31">
            <v>-8.7926416277218193E-3</v>
          </cell>
          <cell r="M31">
            <v>5.7329268292970144E-2</v>
          </cell>
          <cell r="N31">
            <v>-8.1639622217814303E-3</v>
          </cell>
          <cell r="O31">
            <v>-7.8492542168903893E-3</v>
          </cell>
          <cell r="P31">
            <v>3.4459147372040935E-2</v>
          </cell>
          <cell r="Q31">
            <v>3.7839852402611021E-2</v>
          </cell>
          <cell r="R31">
            <v>0.1073412632994778</v>
          </cell>
          <cell r="S31">
            <v>0.17946040838556865</v>
          </cell>
        </row>
        <row r="32">
          <cell r="B32" t="str">
            <v>Old Adj. EPS</v>
          </cell>
          <cell r="C32">
            <v>6.4935908258548815E-3</v>
          </cell>
          <cell r="D32">
            <v>-9.1259496621599392E-2</v>
          </cell>
          <cell r="E32">
            <v>-3.923538056521781E-2</v>
          </cell>
          <cell r="F32">
            <v>-7.4226847295798346E-3</v>
          </cell>
          <cell r="G32">
            <v>-8.1617030960680365E-3</v>
          </cell>
          <cell r="H32">
            <v>2.5844397353284664E-2</v>
          </cell>
          <cell r="I32">
            <v>-2.7677392019539785E-2</v>
          </cell>
          <cell r="J32">
            <v>-5.6089790717051523E-2</v>
          </cell>
          <cell r="K32">
            <v>-1.1047070124879951E-2</v>
          </cell>
          <cell r="L32">
            <v>3.7544336276506538E-3</v>
          </cell>
          <cell r="M32">
            <v>2.850116228144042E-2</v>
          </cell>
          <cell r="N32">
            <v>-2.9416664683342829E-2</v>
          </cell>
          <cell r="O32">
            <v>-3.6021826242646375E-2</v>
          </cell>
          <cell r="P32">
            <v>-3.5041667143832216E-2</v>
          </cell>
          <cell r="Q32">
            <v>4.6188692744190433E-3</v>
          </cell>
          <cell r="R32">
            <v>3.7634854140655698E-2</v>
          </cell>
          <cell r="S32">
            <v>1.8835118007476358E-2</v>
          </cell>
          <cell r="T32">
            <v>-1.1210900755395816E-2</v>
          </cell>
          <cell r="U32">
            <v>6.7062118517283595E-2</v>
          </cell>
          <cell r="V32">
            <v>7.386568577193528E-2</v>
          </cell>
          <cell r="W32">
            <v>0.11418678207827415</v>
          </cell>
          <cell r="X32">
            <v>0.24845652626631054</v>
          </cell>
        </row>
        <row r="33">
          <cell r="B33" t="str">
            <v>% Change</v>
          </cell>
          <cell r="C33">
            <v>0</v>
          </cell>
          <cell r="D33">
            <v>0</v>
          </cell>
          <cell r="E33">
            <v>0</v>
          </cell>
          <cell r="F33">
            <v>0</v>
          </cell>
          <cell r="G33">
            <v>0</v>
          </cell>
          <cell r="H33">
            <v>0</v>
          </cell>
          <cell r="I33">
            <v>0</v>
          </cell>
          <cell r="J33" t="str">
            <v>NM</v>
          </cell>
          <cell r="K33" t="str">
            <v>NM</v>
          </cell>
          <cell r="L33">
            <v>0</v>
          </cell>
          <cell r="M33">
            <v>0</v>
          </cell>
          <cell r="N33" t="str">
            <v>NM</v>
          </cell>
          <cell r="O33">
            <v>0</v>
          </cell>
          <cell r="P33">
            <v>-1.2755650698246739</v>
          </cell>
          <cell r="Q33">
            <v>3.1313627796330721</v>
          </cell>
          <cell r="R33">
            <v>0.31973855595351952</v>
          </cell>
          <cell r="S33">
            <v>1.4367393759416642</v>
          </cell>
          <cell r="T33">
            <v>1.8617699449676302</v>
          </cell>
          <cell r="U33">
            <v>-0.40119672991454003</v>
          </cell>
          <cell r="V33">
            <v>4.3405217724750145E-2</v>
          </cell>
          <cell r="W33">
            <v>-0.28001958870892074</v>
          </cell>
          <cell r="X33">
            <v>-0.30769951625378955</v>
          </cell>
        </row>
        <row r="34">
          <cell r="B34" t="str">
            <v>Consensus</v>
          </cell>
          <cell r="C34">
            <v>8.4379999999999971</v>
          </cell>
          <cell r="D34">
            <v>8.5421108856355961</v>
          </cell>
          <cell r="E34">
            <v>9.7268514431239428</v>
          </cell>
          <cell r="F34">
            <v>-6.21</v>
          </cell>
          <cell r="G34">
            <v>-0.02</v>
          </cell>
          <cell r="H34">
            <v>0.02</v>
          </cell>
          <cell r="I34">
            <v>-0.03</v>
          </cell>
          <cell r="J34">
            <v>-0.06</v>
          </cell>
          <cell r="K34">
            <v>-0.01</v>
          </cell>
          <cell r="L34" t="str">
            <v>Manual Calculation</v>
          </cell>
          <cell r="M34" t="str">
            <v>Manual Calculation</v>
          </cell>
          <cell r="N34" t="str">
            <v>Manual Calculation</v>
          </cell>
          <cell r="O34" t="str">
            <v>Manual Calculation</v>
          </cell>
          <cell r="P34" t="str">
            <v>Manual Calculation</v>
          </cell>
          <cell r="Q34" t="str">
            <v>$0.01M</v>
          </cell>
          <cell r="R34" t="str">
            <v>$0.04M</v>
          </cell>
          <cell r="S34" t="str">
            <v>$0.03M</v>
          </cell>
          <cell r="T34" t="str">
            <v>-$0.03M</v>
          </cell>
          <cell r="U34" t="str">
            <v>$0.02M</v>
          </cell>
          <cell r="V34" t="str">
            <v>$0.03M</v>
          </cell>
          <cell r="W34" t="str">
            <v>$0.10M</v>
          </cell>
          <cell r="X34" t="str">
            <v>$0.13M</v>
          </cell>
        </row>
        <row r="35">
          <cell r="B35" t="str">
            <v>YoY Change</v>
          </cell>
          <cell r="C35">
            <v>360.12679494862056</v>
          </cell>
          <cell r="D35">
            <v>0.15541983320693697</v>
          </cell>
          <cell r="E35">
            <v>-3.9782153836876737</v>
          </cell>
          <cell r="F35">
            <v>-2.3792375401794628</v>
          </cell>
          <cell r="G35">
            <v>-0.80610997683873764</v>
          </cell>
          <cell r="H35">
            <v>-0.5393085180205065</v>
          </cell>
          <cell r="I35">
            <v>0.93907995332216543</v>
          </cell>
          <cell r="J35">
            <v>0.16202402342481292</v>
          </cell>
          <cell r="K35">
            <v>-0.01</v>
          </cell>
          <cell r="L35">
            <v>0</v>
          </cell>
          <cell r="M35">
            <v>0.06</v>
          </cell>
          <cell r="N35">
            <v>0</v>
          </cell>
          <cell r="O35">
            <v>-0.02</v>
          </cell>
          <cell r="P35">
            <v>0.01</v>
          </cell>
          <cell r="Q35">
            <v>0.03</v>
          </cell>
          <cell r="R35">
            <v>0.09</v>
          </cell>
          <cell r="S35">
            <v>0.11</v>
          </cell>
        </row>
        <row r="36">
          <cell r="B36" t="str">
            <v>New Billings</v>
          </cell>
          <cell r="C36">
            <v>77.075998999999982</v>
          </cell>
          <cell r="D36">
            <v>76.202666749999992</v>
          </cell>
          <cell r="E36">
            <v>94.582999999999998</v>
          </cell>
          <cell r="F36">
            <v>95.518000000000001</v>
          </cell>
          <cell r="G36">
            <v>96.671000000000006</v>
          </cell>
          <cell r="H36">
            <v>115.61499999999999</v>
          </cell>
          <cell r="I36">
            <v>80.245999999999995</v>
          </cell>
          <cell r="J36">
            <v>59.832000000000022</v>
          </cell>
          <cell r="K36">
            <v>77.170999999999992</v>
          </cell>
          <cell r="L36">
            <v>92.143000000000001</v>
          </cell>
          <cell r="M36">
            <v>151.08599999999998</v>
          </cell>
          <cell r="N36">
            <v>380.23199999999997</v>
          </cell>
          <cell r="O36">
            <v>87.598000000000013</v>
          </cell>
          <cell r="P36">
            <v>114.53</v>
          </cell>
          <cell r="Q36">
            <v>138.31099999999998</v>
          </cell>
          <cell r="R36">
            <v>198.36799753845384</v>
          </cell>
          <cell r="S36">
            <v>538.80699753845386</v>
          </cell>
          <cell r="T36">
            <v>118.12051645312846</v>
          </cell>
          <cell r="U36">
            <v>146.85074734061155</v>
          </cell>
          <cell r="V36">
            <v>184.42375868919589</v>
          </cell>
          <cell r="W36">
            <v>281.20746086881326</v>
          </cell>
          <cell r="X36">
            <v>730.60248335174902</v>
          </cell>
        </row>
        <row r="37">
          <cell r="B37" t="str">
            <v>YoY Change</v>
          </cell>
          <cell r="C37">
            <v>0</v>
          </cell>
          <cell r="D37">
            <v>0</v>
          </cell>
          <cell r="E37">
            <v>0</v>
          </cell>
          <cell r="F37">
            <v>0.98114633512049965</v>
          </cell>
          <cell r="G37">
            <v>-1.9465690164105223</v>
          </cell>
          <cell r="H37">
            <v>0.73928402002951321</v>
          </cell>
          <cell r="I37">
            <v>0.38345119363958191</v>
          </cell>
          <cell r="J37">
            <v>9.9967152945022564E-2</v>
          </cell>
          <cell r="K37">
            <v>1.0725054532924041</v>
          </cell>
          <cell r="L37">
            <v>0.28351479109688404</v>
          </cell>
          <cell r="M37">
            <v>0.42572968076171769</v>
          </cell>
          <cell r="N37">
            <v>0.4568778233732198</v>
          </cell>
          <cell r="O37">
            <v>0.46406605161117764</v>
          </cell>
          <cell r="P37">
            <v>0.48410672402845645</v>
          </cell>
          <cell r="Q37">
            <v>0.50104728519800723</v>
          </cell>
          <cell r="R37">
            <v>0.31294757646938742</v>
          </cell>
          <cell r="S37">
            <v>0.41704800631838945</v>
          </cell>
          <cell r="T37">
            <v>0.3484385083349899</v>
          </cell>
          <cell r="U37">
            <v>0.28220332961330263</v>
          </cell>
          <cell r="V37">
            <v>0.33339906941021269</v>
          </cell>
          <cell r="W37">
            <v>0.41760497841543676</v>
          </cell>
          <cell r="X37">
            <v>0.35596324229179488</v>
          </cell>
        </row>
        <row r="38">
          <cell r="B38" t="str">
            <v>Old Billings</v>
          </cell>
          <cell r="C38">
            <v>77.075998999999982</v>
          </cell>
          <cell r="D38">
            <v>76.202666749999992</v>
          </cell>
          <cell r="E38">
            <v>94.582999999999998</v>
          </cell>
          <cell r="F38">
            <v>95.518000000000001</v>
          </cell>
          <cell r="G38">
            <v>96.671000000000006</v>
          </cell>
          <cell r="H38">
            <v>115.61499999999999</v>
          </cell>
          <cell r="I38">
            <v>80.245999999999995</v>
          </cell>
          <cell r="J38">
            <v>102.015</v>
          </cell>
          <cell r="K38">
            <v>104.1</v>
          </cell>
          <cell r="L38">
            <v>106.008</v>
          </cell>
          <cell r="M38">
            <v>151.08599999999998</v>
          </cell>
          <cell r="N38">
            <v>380.23199999999997</v>
          </cell>
          <cell r="O38">
            <v>87.598000000000013</v>
          </cell>
          <cell r="P38">
            <v>102.03926229792731</v>
          </cell>
          <cell r="Q38">
            <v>120.52466786202083</v>
          </cell>
          <cell r="R38">
            <v>196.46852532272928</v>
          </cell>
          <cell r="S38">
            <v>519.12119318475015</v>
          </cell>
          <cell r="T38">
            <v>114.93351703216817</v>
          </cell>
          <cell r="U38">
            <v>154.72288753565067</v>
          </cell>
          <cell r="V38">
            <v>165.32048987226634</v>
          </cell>
          <cell r="W38">
            <v>268.61795111098604</v>
          </cell>
          <cell r="X38">
            <v>703.5948455510711</v>
          </cell>
        </row>
        <row r="39">
          <cell r="B39" t="str">
            <v>% Change</v>
          </cell>
          <cell r="C39">
            <v>0</v>
          </cell>
          <cell r="D39">
            <v>0</v>
          </cell>
          <cell r="E39">
            <v>0</v>
          </cell>
          <cell r="F39">
            <v>0</v>
          </cell>
          <cell r="G39">
            <v>0</v>
          </cell>
          <cell r="H39">
            <v>0</v>
          </cell>
          <cell r="I39">
            <v>0</v>
          </cell>
          <cell r="J39" t="str">
            <v>NM</v>
          </cell>
          <cell r="K39" t="str">
            <v>NM</v>
          </cell>
          <cell r="L39">
            <v>-0.13079201569692844</v>
          </cell>
          <cell r="M39">
            <v>0</v>
          </cell>
          <cell r="N39">
            <v>0</v>
          </cell>
          <cell r="O39">
            <v>0</v>
          </cell>
          <cell r="P39">
            <v>0.12241109373765457</v>
          </cell>
          <cell r="Q39">
            <v>0.147574205791144</v>
          </cell>
          <cell r="R39">
            <v>9.6680738688519341E-3</v>
          </cell>
          <cell r="S39">
            <v>3.7921403734132886E-2</v>
          </cell>
          <cell r="T39">
            <v>2.7729068971832582E-2</v>
          </cell>
          <cell r="U39">
            <v>-5.0878963806988531E-2</v>
          </cell>
          <cell r="V39">
            <v>0.11555294102799696</v>
          </cell>
          <cell r="W39">
            <v>4.6867715674838051E-2</v>
          </cell>
          <cell r="X39">
            <v>3.8385212699397986E-2</v>
          </cell>
        </row>
        <row r="40">
          <cell r="E40">
            <v>-0.50449050213326829</v>
          </cell>
          <cell r="F40">
            <v>-0.92287091327863924</v>
          </cell>
          <cell r="G40">
            <v>-0.95850313448015034</v>
          </cell>
          <cell r="H40">
            <v>-0.86283293137110217</v>
          </cell>
          <cell r="I40">
            <v>-0.83058365574929904</v>
          </cell>
          <cell r="J40">
            <v>-0.83720227247063694</v>
          </cell>
        </row>
        <row r="41">
          <cell r="B41" t="str">
            <v>New FCF</v>
          </cell>
          <cell r="C41">
            <v>8.4379999999999971</v>
          </cell>
          <cell r="D41">
            <v>8.5421108856355961</v>
          </cell>
          <cell r="E41">
            <v>9.7268514431239428</v>
          </cell>
          <cell r="F41">
            <v>2.0840279232111691</v>
          </cell>
          <cell r="G41">
            <v>4.1971641566265063</v>
          </cell>
          <cell r="H41">
            <v>21.385118296046585</v>
          </cell>
          <cell r="I41">
            <v>37.347132625994689</v>
          </cell>
          <cell r="J41">
            <v>18.623506957502823</v>
          </cell>
          <cell r="K41">
            <v>4.319159235668792</v>
          </cell>
          <cell r="L41">
            <v>5.4775882352945642</v>
          </cell>
          <cell r="M41">
            <v>32.795999999999999</v>
          </cell>
          <cell r="N41">
            <v>66.216996612721104</v>
          </cell>
          <cell r="O41">
            <v>14.776808353808356</v>
          </cell>
          <cell r="P41">
            <v>6.3523176874642253</v>
          </cell>
          <cell r="Q41">
            <v>20.026911087866104</v>
          </cell>
          <cell r="R41">
            <v>39.918548055488053</v>
          </cell>
          <cell r="S41">
            <v>81.099062731699306</v>
          </cell>
          <cell r="T41">
            <v>30.948927784058569</v>
          </cell>
          <cell r="U41">
            <v>16.808662576958245</v>
          </cell>
          <cell r="V41">
            <v>22.893301904984522</v>
          </cell>
          <cell r="W41">
            <v>45.786987537978995</v>
          </cell>
          <cell r="X41">
            <v>116.44834944291516</v>
          </cell>
          <cell r="Z41" t="str">
            <v>FY14e</v>
          </cell>
        </row>
        <row r="42">
          <cell r="B42" t="str">
            <v>YoY Change</v>
          </cell>
          <cell r="C42">
            <v>360.12679494862056</v>
          </cell>
          <cell r="D42">
            <v>0.15541983320693697</v>
          </cell>
          <cell r="E42">
            <v>-3.9782153836876737</v>
          </cell>
          <cell r="F42">
            <v>-2.3792375401794628</v>
          </cell>
          <cell r="G42">
            <v>-0.13912042341255526</v>
          </cell>
          <cell r="H42">
            <v>1.5343823531697787</v>
          </cell>
          <cell r="I42">
            <v>3.3721198572588875</v>
          </cell>
          <cell r="J42">
            <v>0.91464905847493538</v>
          </cell>
          <cell r="K42">
            <v>1.0725054532924041</v>
          </cell>
          <cell r="L42">
            <v>0.30506885861171695</v>
          </cell>
          <cell r="M42">
            <v>0.53358983317211384</v>
          </cell>
          <cell r="N42">
            <v>0.77301420368299301</v>
          </cell>
          <cell r="O42">
            <v>-0.20655071101658184</v>
          </cell>
          <cell r="P42">
            <v>0.47073014465525098</v>
          </cell>
          <cell r="Q42">
            <v>2.6561549038724213</v>
          </cell>
          <cell r="R42">
            <v>0.21717734039175673</v>
          </cell>
          <cell r="S42">
            <v>0.22474692118728878</v>
          </cell>
          <cell r="T42">
            <v>1.0944257408659057</v>
          </cell>
          <cell r="U42">
            <v>1.6460676880390843</v>
          </cell>
          <cell r="V42">
            <v>0.14312695575180867</v>
          </cell>
          <cell r="W42">
            <v>0.14701034402187241</v>
          </cell>
          <cell r="X42">
            <v>0.43587786986098953</v>
          </cell>
          <cell r="Y42" t="str">
            <v>Cons.</v>
          </cell>
          <cell r="Z42" t="str">
            <v>MS</v>
          </cell>
          <cell r="AA42" t="str">
            <v>Cons.</v>
          </cell>
        </row>
        <row r="43">
          <cell r="B43" t="str">
            <v>Old FCF</v>
          </cell>
          <cell r="C43">
            <v>8.4379999999999971</v>
          </cell>
          <cell r="D43">
            <v>8.5421108856355961</v>
          </cell>
          <cell r="E43">
            <v>9.7268514431239428</v>
          </cell>
          <cell r="F43">
            <v>2.0840279232111691</v>
          </cell>
          <cell r="G43">
            <v>4.1971641566265063</v>
          </cell>
          <cell r="H43">
            <v>21.385118296046585</v>
          </cell>
          <cell r="I43">
            <v>37.347132625994689</v>
          </cell>
          <cell r="J43">
            <v>18.623506957502823</v>
          </cell>
          <cell r="K43">
            <v>4.319159235668792</v>
          </cell>
          <cell r="L43">
            <v>5.4775882352945642</v>
          </cell>
          <cell r="M43">
            <v>32.795999999999999</v>
          </cell>
          <cell r="N43">
            <v>66.216996612721104</v>
          </cell>
          <cell r="O43">
            <v>14.776808353808356</v>
          </cell>
          <cell r="P43">
            <v>-3.9477053766326637</v>
          </cell>
          <cell r="Q43">
            <v>8.2626621453224054</v>
          </cell>
          <cell r="R43">
            <v>35.652305012135031</v>
          </cell>
          <cell r="S43">
            <v>65.062876201134785</v>
          </cell>
          <cell r="T43">
            <v>19.007766061175936</v>
          </cell>
          <cell r="U43">
            <v>25.800057815388296</v>
          </cell>
          <cell r="V43">
            <v>3.3158606119427834</v>
          </cell>
          <cell r="W43">
            <v>51.561317308317136</v>
          </cell>
          <cell r="X43">
            <v>99.702517496146584</v>
          </cell>
          <cell r="Y43" t="str">
            <v>NA</v>
          </cell>
          <cell r="Z43">
            <v>190.06661419006784</v>
          </cell>
          <cell r="AA43" t="str">
            <v>NA</v>
          </cell>
        </row>
        <row r="44">
          <cell r="B44" t="str">
            <v>% Change</v>
          </cell>
          <cell r="C44">
            <v>0</v>
          </cell>
          <cell r="D44">
            <v>0</v>
          </cell>
          <cell r="E44">
            <v>0</v>
          </cell>
          <cell r="F44">
            <v>0</v>
          </cell>
          <cell r="G44">
            <v>0</v>
          </cell>
          <cell r="H44">
            <v>0</v>
          </cell>
          <cell r="I44">
            <v>0</v>
          </cell>
          <cell r="J44">
            <v>0</v>
          </cell>
          <cell r="K44">
            <v>0</v>
          </cell>
          <cell r="L44">
            <v>0</v>
          </cell>
          <cell r="M44">
            <v>0</v>
          </cell>
          <cell r="N44">
            <v>0</v>
          </cell>
          <cell r="O44">
            <v>0</v>
          </cell>
          <cell r="P44">
            <v>-2.6091164566294616</v>
          </cell>
          <cell r="Q44">
            <v>1.4237843367713618</v>
          </cell>
          <cell r="R44">
            <v>0.11966247461141477</v>
          </cell>
          <cell r="S44">
            <v>0.24647214305421117</v>
          </cell>
          <cell r="T44">
            <v>0.62822541504616347</v>
          </cell>
          <cell r="U44">
            <v>-0.34850291044957216</v>
          </cell>
          <cell r="V44">
            <v>5.9041810209178829</v>
          </cell>
          <cell r="W44">
            <v>-0.1119895703170235</v>
          </cell>
          <cell r="X44">
            <v>0.16795796502747073</v>
          </cell>
          <cell r="Z44">
            <v>0.3983506289641694</v>
          </cell>
        </row>
        <row r="45">
          <cell r="U45" t="str">
            <v xml:space="preserve">   QoQ</v>
          </cell>
          <cell r="V45">
            <v>0.17802477712168563</v>
          </cell>
          <cell r="X45">
            <v>0.17619590332922885</v>
          </cell>
        </row>
        <row r="46">
          <cell r="U46" t="str">
            <v>Services Revenue</v>
          </cell>
          <cell r="V46">
            <v>27.76</v>
          </cell>
          <cell r="W46" t="str">
            <v>NA</v>
          </cell>
          <cell r="X46">
            <v>30.151322577834033</v>
          </cell>
          <cell r="Y46" t="str">
            <v>NA</v>
          </cell>
          <cell r="Z46">
            <v>102.63432257783404</v>
          </cell>
          <cell r="AA46" t="str">
            <v>NA</v>
          </cell>
        </row>
        <row r="47">
          <cell r="E47">
            <v>-0.50449050213326829</v>
          </cell>
          <cell r="F47">
            <v>-0.92287091327863924</v>
          </cell>
          <cell r="G47">
            <v>-0.81575223193035529</v>
          </cell>
          <cell r="H47">
            <v>-0.24540866986427012</v>
          </cell>
          <cell r="I47">
            <v>-0.61801030350828789</v>
          </cell>
          <cell r="U47" t="str">
            <v xml:space="preserve">   YoY</v>
          </cell>
          <cell r="V47">
            <v>0.58737419945105218</v>
          </cell>
          <cell r="X47">
            <v>0.63430660620272272</v>
          </cell>
          <cell r="Z47">
            <v>0.62854753225594284</v>
          </cell>
          <cell r="AA47" t="str">
            <v>Q315e</v>
          </cell>
          <cell r="AC47" t="str">
            <v>Q415e</v>
          </cell>
          <cell r="AE47" t="str">
            <v>FY15e</v>
          </cell>
        </row>
        <row r="48">
          <cell r="U48" t="str">
            <v xml:space="preserve">   QoQ</v>
          </cell>
          <cell r="V48">
            <v>0.17190138466734228</v>
          </cell>
          <cell r="W48" t="str">
            <v>Cons.</v>
          </cell>
          <cell r="X48">
            <v>8.6142744158286488E-2</v>
          </cell>
          <cell r="Y48" t="str">
            <v>Cons.</v>
          </cell>
          <cell r="Z48" t="str">
            <v>MS</v>
          </cell>
          <cell r="AA48" t="str">
            <v>Actual</v>
          </cell>
          <cell r="AB48" t="str">
            <v>Cons.</v>
          </cell>
          <cell r="AC48" t="str">
            <v>MS</v>
          </cell>
          <cell r="AD48" t="str">
            <v>Cons.</v>
          </cell>
          <cell r="AE48" t="str">
            <v>MS</v>
          </cell>
          <cell r="AF48" t="str">
            <v>Cons.</v>
          </cell>
        </row>
        <row r="49">
          <cell r="U49" t="str">
            <v>Total Revenue</v>
          </cell>
          <cell r="V49">
            <v>78.632999999999996</v>
          </cell>
          <cell r="W49" t="str">
            <v>$71.1M</v>
          </cell>
          <cell r="X49">
            <v>89.987936767901886</v>
          </cell>
          <cell r="Y49" t="str">
            <v>$86.1M</v>
          </cell>
          <cell r="Z49" t="str">
            <v>License Revenue</v>
          </cell>
          <cell r="AA49">
            <v>71.754000000000005</v>
          </cell>
          <cell r="AB49">
            <v>66.950975491462145</v>
          </cell>
          <cell r="AC49">
            <v>94.510216842962976</v>
          </cell>
          <cell r="AD49">
            <v>89.7745325632754</v>
          </cell>
          <cell r="AE49">
            <v>279.619216842963</v>
          </cell>
          <cell r="AF49">
            <v>269.5349487574</v>
          </cell>
        </row>
        <row r="50">
          <cell r="U50" t="str">
            <v xml:space="preserve">   YoY</v>
          </cell>
          <cell r="V50">
            <v>0.51086559707945045</v>
          </cell>
          <cell r="W50" t="e">
            <v>#VALUE!</v>
          </cell>
          <cell r="X50">
            <v>0.37965407079956881</v>
          </cell>
          <cell r="Y50" t="e">
            <v>#VALUE!</v>
          </cell>
          <cell r="Z50" t="str">
            <v xml:space="preserve">   YoY</v>
          </cell>
          <cell r="AA50">
            <v>0.4104534822007746</v>
          </cell>
          <cell r="AB50">
            <v>0.31604142652216605</v>
          </cell>
          <cell r="AC50">
            <v>0.37381482168449254</v>
          </cell>
          <cell r="AD50">
            <v>0.30497619797184927</v>
          </cell>
          <cell r="AE50">
            <v>0.40495225120067424</v>
          </cell>
          <cell r="AF50">
            <v>0.35428364798918732</v>
          </cell>
        </row>
        <row r="51">
          <cell r="U51" t="str">
            <v xml:space="preserve">   QoQ</v>
          </cell>
          <cell r="V51">
            <v>0.17585572652640069</v>
          </cell>
          <cell r="W51" t="e">
            <v>#VALUE!</v>
          </cell>
          <cell r="X51">
            <v>0.14440421665079417</v>
          </cell>
          <cell r="Y51" t="e">
            <v>#VALUE!</v>
          </cell>
          <cell r="Z51" t="str">
            <v xml:space="preserve">   QoQ</v>
          </cell>
          <cell r="AA51">
            <v>0.15581256745219951</v>
          </cell>
          <cell r="AB51">
            <v>7.8445506539233323E-2</v>
          </cell>
          <cell r="AC51">
            <v>0.31714213622882315</v>
          </cell>
          <cell r="AD51">
            <v>0.3408995448426857</v>
          </cell>
        </row>
        <row r="52">
          <cell r="U52" t="str">
            <v>Services Revenue</v>
          </cell>
          <cell r="V52">
            <v>27.76</v>
          </cell>
          <cell r="W52" t="str">
            <v>NA</v>
          </cell>
          <cell r="X52">
            <v>31.116</v>
          </cell>
          <cell r="Y52" t="str">
            <v>NA</v>
          </cell>
          <cell r="Z52" t="str">
            <v>Services Revenue</v>
          </cell>
          <cell r="AA52">
            <v>44.274999999999999</v>
          </cell>
          <cell r="AB52" t="e">
            <v>#VALUE!</v>
          </cell>
          <cell r="AC52">
            <v>45.880773067336463</v>
          </cell>
          <cell r="AD52" t="e">
            <v>#VALUE!</v>
          </cell>
          <cell r="AE52">
            <v>164.25477306733646</v>
          </cell>
          <cell r="AF52" t="e">
            <v>#VALUE!</v>
          </cell>
        </row>
        <row r="53">
          <cell r="U53" t="str">
            <v>Total Billings</v>
          </cell>
          <cell r="V53">
            <v>92.143000000000001</v>
          </cell>
          <cell r="W53" t="str">
            <v>NA</v>
          </cell>
          <cell r="X53">
            <v>129.33744687288112</v>
          </cell>
          <cell r="Y53" t="str">
            <v>NA</v>
          </cell>
          <cell r="Z53" t="str">
            <v xml:space="preserve">   YoY</v>
          </cell>
          <cell r="AA53">
            <v>0.59492074927953875</v>
          </cell>
          <cell r="AB53" t="e">
            <v>#VALUE!</v>
          </cell>
          <cell r="AC53">
            <v>0.47450742599744378</v>
          </cell>
          <cell r="AD53" t="e">
            <v>#VALUE!</v>
          </cell>
          <cell r="AE53">
            <v>0.58548608642300071</v>
          </cell>
          <cell r="AF53" t="e">
            <v>#VALUE!</v>
          </cell>
        </row>
        <row r="54">
          <cell r="U54" t="str">
            <v xml:space="preserve">   YoY</v>
          </cell>
          <cell r="V54">
            <v>0.57933256774591668</v>
          </cell>
          <cell r="X54">
            <v>0.22049850310821939</v>
          </cell>
          <cell r="Z54" t="str">
            <v xml:space="preserve">   QoQ</v>
          </cell>
          <cell r="AA54">
            <v>0.12185172046825099</v>
          </cell>
          <cell r="AB54" t="e">
            <v>#VALUE!</v>
          </cell>
          <cell r="AC54">
            <v>3.6268166399468393E-2</v>
          </cell>
          <cell r="AD54" t="e">
            <v>#VALUE!</v>
          </cell>
        </row>
        <row r="55">
          <cell r="U55" t="str">
            <v xml:space="preserve">   QoQ</v>
          </cell>
          <cell r="V55">
            <v>0.19401070350261129</v>
          </cell>
          <cell r="W55" t="str">
            <v>Manual Calculation</v>
          </cell>
          <cell r="X55">
            <v>0.40366003790717819</v>
          </cell>
          <cell r="Y55" t="str">
            <v>$90.5M</v>
          </cell>
          <cell r="Z55" t="str">
            <v>Total Revenue</v>
          </cell>
          <cell r="AA55">
            <v>116.029</v>
          </cell>
          <cell r="AB55" t="str">
            <v>$107.3M</v>
          </cell>
          <cell r="AC55">
            <v>140.39098991029942</v>
          </cell>
          <cell r="AD55" t="str">
            <v>$133.3M</v>
          </cell>
          <cell r="AE55">
            <v>443.87398991029943</v>
          </cell>
          <cell r="AF55" t="str">
            <v>$428.0M</v>
          </cell>
        </row>
        <row r="56">
          <cell r="U56" t="str">
            <v xml:space="preserve">   YoY</v>
          </cell>
          <cell r="V56">
            <v>0.51086559707945045</v>
          </cell>
          <cell r="W56" t="e">
            <v>#VALUE!</v>
          </cell>
          <cell r="X56">
            <v>0.53177462629359873</v>
          </cell>
          <cell r="Y56" t="e">
            <v>#VALUE!</v>
          </cell>
          <cell r="Z56" t="str">
            <v xml:space="preserve">   YoY</v>
          </cell>
          <cell r="AA56">
            <v>0.47557641193900779</v>
          </cell>
          <cell r="AB56" t="e">
            <v>#VALUE!</v>
          </cell>
          <cell r="AC56">
            <v>0.40517455620357756</v>
          </cell>
          <cell r="AD56" t="e">
            <v>#VALUE!</v>
          </cell>
          <cell r="AE56">
            <v>0.46675563295023648</v>
          </cell>
          <cell r="AF56" t="e">
            <v>#VALUE!</v>
          </cell>
        </row>
        <row r="57">
          <cell r="U57" t="str">
            <v>Op. Income</v>
          </cell>
          <cell r="V57">
            <v>0.87299999999999045</v>
          </cell>
          <cell r="W57" t="str">
            <v>-$0.3M</v>
          </cell>
          <cell r="X57">
            <v>6.1345201946312642</v>
          </cell>
          <cell r="Y57" t="str">
            <v>$7.4M</v>
          </cell>
          <cell r="Z57" t="str">
            <v xml:space="preserve">   QoQ</v>
          </cell>
          <cell r="AA57">
            <v>0.14261376505460532</v>
          </cell>
          <cell r="AB57" t="e">
            <v>#VALUE!</v>
          </cell>
          <cell r="AC57">
            <v>0.20996466323332474</v>
          </cell>
          <cell r="AD57" t="e">
            <v>#VALUE!</v>
          </cell>
        </row>
        <row r="58">
          <cell r="U58" t="str">
            <v>Op. Margin</v>
          </cell>
          <cell r="V58">
            <v>1.1102208996222839E-2</v>
          </cell>
          <cell r="W58" t="e">
            <v>#VALUE!</v>
          </cell>
          <cell r="X58">
            <v>6.817047278740819E-2</v>
          </cell>
          <cell r="Y58" t="e">
            <v>#VALUE!</v>
          </cell>
          <cell r="Z58">
            <v>3.2849918597755681E-3</v>
          </cell>
          <cell r="AA58" t="e">
            <v>#VALUE!</v>
          </cell>
        </row>
        <row r="59">
          <cell r="U59" t="str">
            <v>Total Billings</v>
          </cell>
          <cell r="V59">
            <v>92.143000000000001</v>
          </cell>
          <cell r="W59" t="str">
            <v>NA</v>
          </cell>
          <cell r="X59">
            <v>151.08599999999998</v>
          </cell>
          <cell r="Y59" t="str">
            <v>NA</v>
          </cell>
          <cell r="Z59" t="str">
            <v>Total Billings</v>
          </cell>
          <cell r="AA59">
            <v>138.31099999999998</v>
          </cell>
          <cell r="AB59">
            <v>126.93851865133564</v>
          </cell>
          <cell r="AC59">
            <v>198.36799753845384</v>
          </cell>
          <cell r="AD59">
            <v>200.32716948030327</v>
          </cell>
          <cell r="AE59">
            <v>538.80699753845386</v>
          </cell>
          <cell r="AF59">
            <v>528.12756301679542</v>
          </cell>
        </row>
        <row r="60">
          <cell r="U60" t="str">
            <v>EPS</v>
          </cell>
          <cell r="V60">
            <v>3.7544336276506538E-3</v>
          </cell>
          <cell r="W60" t="str">
            <v>-$0.01M</v>
          </cell>
          <cell r="X60">
            <v>5.6637505072095709E-2</v>
          </cell>
          <cell r="Y60" t="str">
            <v>$0.06M</v>
          </cell>
          <cell r="Z60" t="str">
            <v xml:space="preserve">   YoY</v>
          </cell>
          <cell r="AA60">
            <v>0.50104728519800723</v>
          </cell>
          <cell r="AB60">
            <v>0.37762519834752117</v>
          </cell>
          <cell r="AC60">
            <v>0.31294757646938742</v>
          </cell>
          <cell r="AD60">
            <v>0.32591483976214408</v>
          </cell>
          <cell r="AE60">
            <v>0.41704800631838945</v>
          </cell>
          <cell r="AF60">
            <v>0.38896137888656268</v>
          </cell>
        </row>
        <row r="61">
          <cell r="U61" t="str">
            <v xml:space="preserve">   QoQ</v>
          </cell>
          <cell r="V61">
            <v>0.19401070350261129</v>
          </cell>
          <cell r="X61">
            <v>0.63969048110002902</v>
          </cell>
          <cell r="Z61" t="str">
            <v xml:space="preserve">   QoQ</v>
          </cell>
          <cell r="AA61">
            <v>0.20763991967170159</v>
          </cell>
          <cell r="AB61">
            <v>0.10834295513259096</v>
          </cell>
          <cell r="AC61">
            <v>0.43421707267284493</v>
          </cell>
          <cell r="AD61">
            <v>0.57814327446616565</v>
          </cell>
        </row>
        <row r="62">
          <cell r="U62" t="str">
            <v>FCF</v>
          </cell>
          <cell r="V62">
            <v>5.4775882352945642</v>
          </cell>
          <cell r="W62" t="str">
            <v>NA</v>
          </cell>
          <cell r="X62">
            <v>26.251414781278712</v>
          </cell>
          <cell r="Y62" t="str">
            <v>NA</v>
          </cell>
          <cell r="Z62">
            <v>60.662400429890596</v>
          </cell>
          <cell r="AA62" t="str">
            <v>NA</v>
          </cell>
        </row>
        <row r="63">
          <cell r="U63" t="str">
            <v>Op. Income</v>
          </cell>
          <cell r="V63">
            <v>0.87299999999999045</v>
          </cell>
          <cell r="W63" t="str">
            <v>Manual Calculation</v>
          </cell>
          <cell r="X63">
            <v>3.9579999999999842</v>
          </cell>
          <cell r="Y63" t="str">
            <v>$6.8M</v>
          </cell>
          <cell r="Z63" t="str">
            <v>Op. Income</v>
          </cell>
          <cell r="AA63">
            <v>2.7210000000000036</v>
          </cell>
          <cell r="AB63" t="str">
            <v>$1.5M</v>
          </cell>
          <cell r="AC63">
            <v>6.5340498686170747</v>
          </cell>
          <cell r="AD63" t="str">
            <v>$6.6M</v>
          </cell>
          <cell r="AE63">
            <v>7.3200498686170903</v>
          </cell>
          <cell r="AF63" t="str">
            <v>$5.9M</v>
          </cell>
        </row>
        <row r="64">
          <cell r="U64" t="str">
            <v>Op. Margin</v>
          </cell>
          <cell r="V64">
            <v>1.1102208996222839E-2</v>
          </cell>
          <cell r="W64" t="e">
            <v>#VALUE!</v>
          </cell>
          <cell r="X64">
            <v>3.9615654088679654E-2</v>
          </cell>
          <cell r="Y64" t="e">
            <v>#VALUE!</v>
          </cell>
          <cell r="Z64" t="str">
            <v>Op. Margin</v>
          </cell>
          <cell r="AA64">
            <v>2.3451033793275851E-2</v>
          </cell>
          <cell r="AB64" t="e">
            <v>#VALUE!</v>
          </cell>
          <cell r="AC64">
            <v>4.6541803521664045E-2</v>
          </cell>
          <cell r="AD64" t="e">
            <v>#VALUE!</v>
          </cell>
          <cell r="AE64">
            <v>1.6491279135541076E-2</v>
          </cell>
          <cell r="AF64" t="e">
            <v>#VALUE!</v>
          </cell>
        </row>
        <row r="66">
          <cell r="U66" t="str">
            <v>EPS</v>
          </cell>
          <cell r="V66">
            <v>3.7544336276506538E-3</v>
          </cell>
          <cell r="W66" t="str">
            <v>Manual Calculation</v>
          </cell>
          <cell r="X66">
            <v>2.850116228144042E-2</v>
          </cell>
          <cell r="Y66" t="str">
            <v>$0.05M</v>
          </cell>
          <cell r="Z66" t="str">
            <v>EPS</v>
          </cell>
          <cell r="AA66">
            <v>1.908222460432565E-2</v>
          </cell>
          <cell r="AB66" t="str">
            <v>$0.01M</v>
          </cell>
          <cell r="AC66">
            <v>4.9668168057110287E-2</v>
          </cell>
          <cell r="AD66" t="str">
            <v>$0.04M</v>
          </cell>
          <cell r="AE66">
            <v>4.5896273699325543E-2</v>
          </cell>
          <cell r="AF66" t="str">
            <v>$0.03M</v>
          </cell>
        </row>
        <row r="68">
          <cell r="U68" t="str">
            <v>FCF</v>
          </cell>
          <cell r="V68">
            <v>5.4775882352945642</v>
          </cell>
          <cell r="W68" t="str">
            <v>NA</v>
          </cell>
          <cell r="X68">
            <v>32.795999999999999</v>
          </cell>
          <cell r="Y68" t="str">
            <v>NA</v>
          </cell>
          <cell r="Z68" t="str">
            <v>FCF</v>
          </cell>
          <cell r="AA68">
            <v>20.026911087866104</v>
          </cell>
          <cell r="AB68" t="str">
            <v>NA</v>
          </cell>
          <cell r="AC68">
            <v>39.918548055488053</v>
          </cell>
          <cell r="AD68" t="str">
            <v>NA</v>
          </cell>
          <cell r="AE68">
            <v>81.099062731699306</v>
          </cell>
          <cell r="AF68" t="str">
            <v>NA</v>
          </cell>
        </row>
      </sheetData>
      <sheetData sheetId="13" refreshError="1"/>
      <sheetData sheetId="14" refreshError="1"/>
      <sheetData sheetId="15" refreshError="1"/>
      <sheetData sheetId="16" refreshError="1">
        <row r="1">
          <cell r="A1" t="str">
            <v>Splunk Technologies</v>
          </cell>
        </row>
        <row r="2">
          <cell r="A2" t="str">
            <v>Acquisition History</v>
          </cell>
        </row>
        <row r="4">
          <cell r="A4" t="str">
            <v>($ Millions, Except Per-Share Data)</v>
          </cell>
        </row>
        <row r="5">
          <cell r="E5" t="str">
            <v>Purchase Price</v>
          </cell>
          <cell r="J5" t="str">
            <v>Intangibles</v>
          </cell>
          <cell r="W5" t="str">
            <v>Description</v>
          </cell>
        </row>
        <row r="6">
          <cell r="A6" t="str">
            <v>Company</v>
          </cell>
          <cell r="B6" t="str">
            <v>Acq. Date</v>
          </cell>
          <cell r="C6" t="str">
            <v>Acq. Type</v>
          </cell>
          <cell r="E6" t="str">
            <v>Total</v>
          </cell>
          <cell r="F6" t="str">
            <v>Stock</v>
          </cell>
          <cell r="G6" t="str">
            <v>Options</v>
          </cell>
          <cell r="H6" t="str">
            <v>Cash</v>
          </cell>
          <cell r="J6" t="str">
            <v>Total</v>
          </cell>
          <cell r="K6" t="str">
            <v>Goodwill</v>
          </cell>
          <cell r="L6" t="str">
            <v>IPR&amp;D</v>
          </cell>
          <cell r="N6">
            <v>2002</v>
          </cell>
          <cell r="O6">
            <v>2005</v>
          </cell>
          <cell r="P6">
            <v>2006</v>
          </cell>
          <cell r="Q6">
            <v>2007</v>
          </cell>
          <cell r="R6">
            <v>2008</v>
          </cell>
          <cell r="S6">
            <v>2009</v>
          </cell>
          <cell r="T6">
            <v>2010</v>
          </cell>
          <cell r="U6">
            <v>2011</v>
          </cell>
        </row>
        <row r="14">
          <cell r="A14" t="str">
            <v>Acquisition 6</v>
          </cell>
          <cell r="B14" t="str">
            <v>mm/dd/yyyy</v>
          </cell>
          <cell r="C14" t="str">
            <v>Purchase</v>
          </cell>
          <cell r="E14">
            <v>0</v>
          </cell>
          <cell r="F14">
            <v>0</v>
          </cell>
          <cell r="G14">
            <v>0</v>
          </cell>
          <cell r="H14">
            <v>0</v>
          </cell>
          <cell r="J14">
            <v>0</v>
          </cell>
          <cell r="K14">
            <v>0</v>
          </cell>
          <cell r="L14">
            <v>0</v>
          </cell>
          <cell r="N14">
            <v>0</v>
          </cell>
          <cell r="O14">
            <v>0</v>
          </cell>
          <cell r="P14">
            <v>0</v>
          </cell>
          <cell r="Q14">
            <v>0</v>
          </cell>
          <cell r="R14">
            <v>0</v>
          </cell>
          <cell r="S14">
            <v>0</v>
          </cell>
          <cell r="T14">
            <v>0</v>
          </cell>
          <cell r="U14">
            <v>0</v>
          </cell>
          <cell r="W14" t="str">
            <v>4-6 words on what the company sold</v>
          </cell>
        </row>
        <row r="15">
          <cell r="A15" t="str">
            <v>Acquisition 7</v>
          </cell>
          <cell r="B15" t="str">
            <v>mm/dd/yyyy</v>
          </cell>
          <cell r="C15" t="str">
            <v>Purchase</v>
          </cell>
          <cell r="E15">
            <v>0</v>
          </cell>
          <cell r="F15">
            <v>0</v>
          </cell>
          <cell r="G15">
            <v>0</v>
          </cell>
          <cell r="H15">
            <v>0</v>
          </cell>
          <cell r="J15">
            <v>0</v>
          </cell>
          <cell r="K15">
            <v>0</v>
          </cell>
          <cell r="L15">
            <v>0</v>
          </cell>
          <cell r="N15">
            <v>0</v>
          </cell>
          <cell r="O15">
            <v>0</v>
          </cell>
          <cell r="P15">
            <v>0</v>
          </cell>
          <cell r="Q15">
            <v>0</v>
          </cell>
          <cell r="R15">
            <v>0</v>
          </cell>
          <cell r="S15">
            <v>0</v>
          </cell>
          <cell r="T15">
            <v>0</v>
          </cell>
          <cell r="U15">
            <v>0</v>
          </cell>
          <cell r="W15" t="str">
            <v>4-6 words on what the company sold</v>
          </cell>
        </row>
        <row r="16">
          <cell r="A16" t="str">
            <v>Acquisition 8</v>
          </cell>
          <cell r="B16" t="str">
            <v>mm/dd/yyyy</v>
          </cell>
          <cell r="C16" t="str">
            <v>Purchase</v>
          </cell>
          <cell r="E16">
            <v>0</v>
          </cell>
          <cell r="F16">
            <v>0</v>
          </cell>
          <cell r="G16">
            <v>0</v>
          </cell>
          <cell r="H16">
            <v>0</v>
          </cell>
          <cell r="J16">
            <v>0</v>
          </cell>
          <cell r="K16">
            <v>0</v>
          </cell>
          <cell r="L16">
            <v>0</v>
          </cell>
          <cell r="N16">
            <v>0</v>
          </cell>
          <cell r="O16">
            <v>0</v>
          </cell>
          <cell r="P16">
            <v>0</v>
          </cell>
          <cell r="Q16">
            <v>0</v>
          </cell>
          <cell r="R16">
            <v>0</v>
          </cell>
          <cell r="S16">
            <v>0</v>
          </cell>
          <cell r="T16">
            <v>0</v>
          </cell>
          <cell r="U16">
            <v>0</v>
          </cell>
          <cell r="W16" t="str">
            <v>4-6 words on what the company sold</v>
          </cell>
        </row>
        <row r="17">
          <cell r="A17" t="str">
            <v>Acquisition 9</v>
          </cell>
          <cell r="B17" t="str">
            <v>mm/dd/yyyy</v>
          </cell>
          <cell r="C17" t="str">
            <v>Purchase</v>
          </cell>
          <cell r="E17">
            <v>0</v>
          </cell>
          <cell r="F17">
            <v>0</v>
          </cell>
          <cell r="G17">
            <v>0</v>
          </cell>
          <cell r="H17">
            <v>0</v>
          </cell>
          <cell r="J17">
            <v>0</v>
          </cell>
          <cell r="K17">
            <v>0</v>
          </cell>
          <cell r="L17">
            <v>0</v>
          </cell>
          <cell r="N17">
            <v>0</v>
          </cell>
          <cell r="O17">
            <v>0</v>
          </cell>
          <cell r="P17">
            <v>0</v>
          </cell>
          <cell r="Q17">
            <v>0</v>
          </cell>
          <cell r="R17">
            <v>0</v>
          </cell>
          <cell r="S17">
            <v>0</v>
          </cell>
          <cell r="T17">
            <v>0</v>
          </cell>
          <cell r="U17">
            <v>0</v>
          </cell>
          <cell r="W17" t="str">
            <v>4-6 words on what the company sold</v>
          </cell>
        </row>
        <row r="18">
          <cell r="A18" t="str">
            <v>Acquisition 10</v>
          </cell>
          <cell r="B18" t="str">
            <v>mm/dd/yyyy</v>
          </cell>
          <cell r="C18" t="str">
            <v>Purchase</v>
          </cell>
          <cell r="E18">
            <v>0</v>
          </cell>
          <cell r="F18">
            <v>0</v>
          </cell>
          <cell r="G18">
            <v>0</v>
          </cell>
          <cell r="H18">
            <v>0</v>
          </cell>
          <cell r="J18">
            <v>0</v>
          </cell>
          <cell r="K18">
            <v>0</v>
          </cell>
          <cell r="L18">
            <v>0</v>
          </cell>
          <cell r="N18">
            <v>0</v>
          </cell>
          <cell r="O18">
            <v>0</v>
          </cell>
          <cell r="P18">
            <v>0</v>
          </cell>
          <cell r="Q18">
            <v>0</v>
          </cell>
          <cell r="R18">
            <v>0</v>
          </cell>
          <cell r="S18">
            <v>0</v>
          </cell>
          <cell r="T18">
            <v>0</v>
          </cell>
          <cell r="U18">
            <v>0</v>
          </cell>
          <cell r="W18" t="str">
            <v>4-6 words on what the company sold</v>
          </cell>
        </row>
        <row r="19">
          <cell r="A19" t="str">
            <v>Acquisition 11</v>
          </cell>
          <cell r="B19" t="str">
            <v>mm/dd/yyyy</v>
          </cell>
          <cell r="C19" t="str">
            <v>Purchase</v>
          </cell>
          <cell r="E19">
            <v>0</v>
          </cell>
          <cell r="F19">
            <v>0</v>
          </cell>
          <cell r="G19">
            <v>0</v>
          </cell>
          <cell r="H19">
            <v>0</v>
          </cell>
          <cell r="J19">
            <v>0</v>
          </cell>
          <cell r="K19">
            <v>0</v>
          </cell>
          <cell r="L19">
            <v>0</v>
          </cell>
          <cell r="N19">
            <v>0</v>
          </cell>
          <cell r="O19">
            <v>0</v>
          </cell>
          <cell r="P19">
            <v>0</v>
          </cell>
          <cell r="Q19">
            <v>0</v>
          </cell>
          <cell r="R19">
            <v>0</v>
          </cell>
          <cell r="S19">
            <v>0</v>
          </cell>
          <cell r="T19">
            <v>0</v>
          </cell>
          <cell r="U19">
            <v>0</v>
          </cell>
          <cell r="W19" t="str">
            <v>4-6 words on what the company sold</v>
          </cell>
        </row>
        <row r="20">
          <cell r="A20" t="str">
            <v>Acquisition 12</v>
          </cell>
          <cell r="B20" t="str">
            <v>mm/dd/yyyy</v>
          </cell>
          <cell r="C20" t="str">
            <v>Purchase</v>
          </cell>
          <cell r="E20">
            <v>0</v>
          </cell>
          <cell r="F20">
            <v>0</v>
          </cell>
          <cell r="G20">
            <v>0</v>
          </cell>
          <cell r="H20">
            <v>0</v>
          </cell>
          <cell r="J20">
            <v>0</v>
          </cell>
          <cell r="K20">
            <v>0</v>
          </cell>
          <cell r="L20">
            <v>0</v>
          </cell>
          <cell r="N20">
            <v>0</v>
          </cell>
          <cell r="O20">
            <v>0</v>
          </cell>
          <cell r="P20">
            <v>0</v>
          </cell>
          <cell r="Q20">
            <v>0</v>
          </cell>
          <cell r="R20">
            <v>0</v>
          </cell>
          <cell r="S20">
            <v>0</v>
          </cell>
          <cell r="T20">
            <v>0</v>
          </cell>
          <cell r="U20">
            <v>0</v>
          </cell>
          <cell r="W20" t="str">
            <v>4-6 words on what the company sold</v>
          </cell>
        </row>
        <row r="21">
          <cell r="A21" t="str">
            <v>Acquisition 13</v>
          </cell>
          <cell r="B21" t="str">
            <v>mm/dd/yyyy</v>
          </cell>
          <cell r="C21" t="str">
            <v>Purchase</v>
          </cell>
          <cell r="E21">
            <v>0</v>
          </cell>
          <cell r="F21">
            <v>0</v>
          </cell>
          <cell r="G21">
            <v>0</v>
          </cell>
          <cell r="H21">
            <v>0</v>
          </cell>
          <cell r="J21">
            <v>0</v>
          </cell>
          <cell r="K21">
            <v>0</v>
          </cell>
          <cell r="L21">
            <v>0</v>
          </cell>
          <cell r="N21">
            <v>0</v>
          </cell>
          <cell r="O21">
            <v>0</v>
          </cell>
          <cell r="P21">
            <v>0</v>
          </cell>
          <cell r="Q21">
            <v>0</v>
          </cell>
          <cell r="R21">
            <v>0</v>
          </cell>
          <cell r="S21">
            <v>0</v>
          </cell>
          <cell r="T21">
            <v>0</v>
          </cell>
          <cell r="U21">
            <v>0</v>
          </cell>
          <cell r="W21" t="str">
            <v>4-6 words on what the company sold</v>
          </cell>
        </row>
        <row r="22">
          <cell r="A22" t="str">
            <v>Acquisition 14</v>
          </cell>
          <cell r="B22" t="str">
            <v>mm/dd/yyyy</v>
          </cell>
          <cell r="C22" t="str">
            <v>Purchase</v>
          </cell>
          <cell r="E22">
            <v>0</v>
          </cell>
          <cell r="F22">
            <v>0</v>
          </cell>
          <cell r="G22">
            <v>0</v>
          </cell>
          <cell r="H22">
            <v>0</v>
          </cell>
          <cell r="J22">
            <v>0</v>
          </cell>
          <cell r="K22">
            <v>0</v>
          </cell>
          <cell r="L22">
            <v>0</v>
          </cell>
          <cell r="N22">
            <v>0</v>
          </cell>
          <cell r="O22">
            <v>0</v>
          </cell>
          <cell r="P22">
            <v>0</v>
          </cell>
          <cell r="Q22">
            <v>0</v>
          </cell>
          <cell r="R22">
            <v>0</v>
          </cell>
          <cell r="S22">
            <v>0</v>
          </cell>
          <cell r="T22">
            <v>0</v>
          </cell>
          <cell r="U22">
            <v>0</v>
          </cell>
          <cell r="W22" t="str">
            <v>4-6 words on what the company sold</v>
          </cell>
        </row>
        <row r="23">
          <cell r="A23" t="str">
            <v>Acquisition 15</v>
          </cell>
          <cell r="B23" t="str">
            <v>mm/dd/yyyy</v>
          </cell>
          <cell r="C23" t="str">
            <v>Purchase</v>
          </cell>
          <cell r="E23">
            <v>0</v>
          </cell>
          <cell r="F23">
            <v>0</v>
          </cell>
          <cell r="G23">
            <v>0</v>
          </cell>
          <cell r="H23">
            <v>0</v>
          </cell>
          <cell r="J23">
            <v>0</v>
          </cell>
          <cell r="K23">
            <v>0</v>
          </cell>
          <cell r="L23">
            <v>0</v>
          </cell>
          <cell r="N23">
            <v>0</v>
          </cell>
          <cell r="O23">
            <v>0</v>
          </cell>
          <cell r="P23">
            <v>0</v>
          </cell>
          <cell r="Q23">
            <v>0</v>
          </cell>
          <cell r="R23">
            <v>0</v>
          </cell>
          <cell r="S23">
            <v>0</v>
          </cell>
          <cell r="T23">
            <v>0</v>
          </cell>
          <cell r="U23">
            <v>0</v>
          </cell>
          <cell r="W23" t="str">
            <v>4-6 words on what the company sold</v>
          </cell>
        </row>
        <row r="24">
          <cell r="A24" t="str">
            <v>Acquisition 16</v>
          </cell>
          <cell r="B24" t="str">
            <v>mm/dd/yyyy</v>
          </cell>
          <cell r="C24" t="str">
            <v>Purchase</v>
          </cell>
          <cell r="E24">
            <v>0</v>
          </cell>
          <cell r="F24">
            <v>0</v>
          </cell>
          <cell r="G24">
            <v>0</v>
          </cell>
          <cell r="H24">
            <v>0</v>
          </cell>
          <cell r="J24">
            <v>0</v>
          </cell>
          <cell r="K24">
            <v>0</v>
          </cell>
          <cell r="L24">
            <v>0</v>
          </cell>
          <cell r="N24">
            <v>0</v>
          </cell>
          <cell r="O24">
            <v>0</v>
          </cell>
          <cell r="P24">
            <v>0</v>
          </cell>
          <cell r="Q24">
            <v>0</v>
          </cell>
          <cell r="R24">
            <v>0</v>
          </cell>
          <cell r="S24">
            <v>0</v>
          </cell>
          <cell r="T24">
            <v>0</v>
          </cell>
          <cell r="U24">
            <v>0</v>
          </cell>
          <cell r="W24" t="str">
            <v>4-6 words on what the company sold</v>
          </cell>
        </row>
      </sheetData>
      <sheetData sheetId="17" refreshError="1"/>
      <sheetData sheetId="18" refreshError="1"/>
      <sheetData sheetId="19" refreshError="1"/>
      <sheetData sheetId="20" refreshError="1"/>
      <sheetData sheetId="2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cq"/>
      <sheetName val="#REF"/>
    </sheetNames>
    <sheetDataSet>
      <sheetData sheetId="0">
        <row r="4">
          <cell r="A4" t="str">
            <v>($ Millions, Except Per-Share Data)</v>
          </cell>
        </row>
        <row r="8">
          <cell r="AN8" t="str">
            <v>Acquired FY14 Revenue ($MM)</v>
          </cell>
        </row>
        <row r="9">
          <cell r="AL9" t="str">
            <v>Acquired FY14 Expense Base ($MM)</v>
          </cell>
          <cell r="AM9">
            <v>0.11407975187046056</v>
          </cell>
          <cell r="AN9">
            <v>0</v>
          </cell>
          <cell r="AO9">
            <v>25</v>
          </cell>
          <cell r="AP9">
            <v>50</v>
          </cell>
          <cell r="AQ9">
            <v>75</v>
          </cell>
          <cell r="AR9">
            <v>100</v>
          </cell>
        </row>
        <row r="10">
          <cell r="AM10">
            <v>10</v>
          </cell>
          <cell r="AN10">
            <v>0.12185605270546061</v>
          </cell>
          <cell r="AO10">
            <v>0.12752884288996758</v>
          </cell>
          <cell r="AP10">
            <v>0.13312881130699086</v>
          </cell>
          <cell r="AQ10">
            <v>0.13865735123636669</v>
          </cell>
          <cell r="AR10">
            <v>0.14411582064016137</v>
          </cell>
        </row>
        <row r="11">
          <cell r="AM11">
            <v>30</v>
          </cell>
          <cell r="AN11">
            <v>0.11665446854921414</v>
          </cell>
          <cell r="AO11">
            <v>0.12236086085059084</v>
          </cell>
          <cell r="AP11">
            <v>0.12799400003316255</v>
          </cell>
          <cell r="AQ11">
            <v>0.13355528762969751</v>
          </cell>
          <cell r="AR11">
            <v>0.13904608964599338</v>
          </cell>
        </row>
        <row r="12">
          <cell r="AM12">
            <v>50</v>
          </cell>
          <cell r="AN12">
            <v>0.11145288439296766</v>
          </cell>
          <cell r="AO12">
            <v>0.1171928788112141</v>
          </cell>
          <cell r="AP12">
            <v>0.12285918875933423</v>
          </cell>
          <cell r="AQ12">
            <v>0.12845322402302833</v>
          </cell>
          <cell r="AR12">
            <v>0.13397635865182539</v>
          </cell>
        </row>
        <row r="13">
          <cell r="AM13">
            <v>70</v>
          </cell>
          <cell r="AN13">
            <v>0.10625130023672119</v>
          </cell>
          <cell r="AO13">
            <v>0.11202489677183736</v>
          </cell>
          <cell r="AP13">
            <v>0.1177243774855059</v>
          </cell>
          <cell r="AQ13">
            <v>0.12335116041635916</v>
          </cell>
          <cell r="AR13">
            <v>0.1289066276576574</v>
          </cell>
        </row>
        <row r="14">
          <cell r="AM14">
            <v>90</v>
          </cell>
          <cell r="AN14">
            <v>0.10104971608047471</v>
          </cell>
          <cell r="AO14">
            <v>0.10685691473246062</v>
          </cell>
          <cell r="AP14">
            <v>0.11258956621167758</v>
          </cell>
          <cell r="AQ14">
            <v>0.11824909680968997</v>
          </cell>
          <cell r="AR14">
            <v>0.12383689666348939</v>
          </cell>
        </row>
        <row r="15">
          <cell r="AM15">
            <v>110</v>
          </cell>
          <cell r="AN15">
            <v>9.5848131924228239E-2</v>
          </cell>
          <cell r="AO15">
            <v>0.10168893269308388</v>
          </cell>
          <cell r="AP15">
            <v>0.10745475493784927</v>
          </cell>
          <cell r="AQ15">
            <v>0.11314703320302079</v>
          </cell>
          <cell r="AR15">
            <v>0.1187671656693214</v>
          </cell>
        </row>
        <row r="16">
          <cell r="AM16">
            <v>130</v>
          </cell>
          <cell r="AN16">
            <v>9.0646547767981756E-2</v>
          </cell>
          <cell r="AO16">
            <v>9.6520950653707138E-2</v>
          </cell>
          <cell r="AP16">
            <v>0.10231994366402095</v>
          </cell>
          <cell r="AQ16">
            <v>0.10804496959635161</v>
          </cell>
          <cell r="AR16">
            <v>0.11369743467515341</v>
          </cell>
        </row>
        <row r="17">
          <cell r="AM17">
            <v>150</v>
          </cell>
          <cell r="AN17">
            <v>8.5444963611735286E-2</v>
          </cell>
          <cell r="AO17">
            <v>9.1352968614330399E-2</v>
          </cell>
          <cell r="AP17">
            <v>9.7185132390192622E-2</v>
          </cell>
          <cell r="AQ17">
            <v>0.10294290598968243</v>
          </cell>
          <cell r="AR17">
            <v>0.10862770368098541</v>
          </cell>
        </row>
        <row r="20">
          <cell r="AN20" t="str">
            <v>FY14 v. FY13 Operating Margins</v>
          </cell>
        </row>
        <row r="21">
          <cell r="AN21" t="str">
            <v>Acquired FY14 Revenue ($MM)</v>
          </cell>
        </row>
        <row r="22">
          <cell r="AL22" t="str">
            <v>Acquired FY14 Expense Base ($MM)</v>
          </cell>
          <cell r="AN22">
            <v>0</v>
          </cell>
          <cell r="AO22">
            <v>25</v>
          </cell>
          <cell r="AP22">
            <v>50</v>
          </cell>
          <cell r="AQ22">
            <v>75</v>
          </cell>
          <cell r="AR22">
            <v>100</v>
          </cell>
        </row>
        <row r="23">
          <cell r="AM23">
            <v>10</v>
          </cell>
          <cell r="AN23">
            <v>48.763186228855254</v>
          </cell>
          <cell r="AO23">
            <v>105.49108807392487</v>
          </cell>
          <cell r="AP23">
            <v>161.49077224415777</v>
          </cell>
          <cell r="AQ23">
            <v>216.77617153791601</v>
          </cell>
          <cell r="AR23">
            <v>271.36086557586287</v>
          </cell>
        </row>
        <row r="24">
          <cell r="AM24">
            <v>30</v>
          </cell>
          <cell r="AN24">
            <v>-3.2526553336094386</v>
          </cell>
          <cell r="AO24">
            <v>53.811267680157485</v>
          </cell>
          <cell r="AP24">
            <v>110.14265950587465</v>
          </cell>
          <cell r="AQ24">
            <v>165.75553547122425</v>
          </cell>
          <cell r="AR24">
            <v>220.66355563418293</v>
          </cell>
        </row>
        <row r="25">
          <cell r="AM25">
            <v>50</v>
          </cell>
          <cell r="AN25">
            <v>-55.268496896074268</v>
          </cell>
          <cell r="AO25">
            <v>2.1314472863900868</v>
          </cell>
          <cell r="AP25">
            <v>58.794546767591413</v>
          </cell>
          <cell r="AQ25">
            <v>114.73489940453247</v>
          </cell>
          <cell r="AR25">
            <v>169.96624569250301</v>
          </cell>
        </row>
        <row r="26">
          <cell r="AM26">
            <v>70</v>
          </cell>
          <cell r="AN26">
            <v>-107.28433845853897</v>
          </cell>
          <cell r="AO26">
            <v>-49.548373107377309</v>
          </cell>
          <cell r="AP26">
            <v>7.4464340293081683</v>
          </cell>
          <cell r="AQ26">
            <v>63.714263337840691</v>
          </cell>
          <cell r="AR26">
            <v>119.26893575082309</v>
          </cell>
        </row>
        <row r="27">
          <cell r="AM27">
            <v>90</v>
          </cell>
          <cell r="AN27">
            <v>-159.3001800210038</v>
          </cell>
          <cell r="AO27">
            <v>-101.2281935011447</v>
          </cell>
          <cell r="AP27">
            <v>-43.901678708975069</v>
          </cell>
          <cell r="AQ27">
            <v>12.693627271148783</v>
          </cell>
          <cell r="AR27">
            <v>68.571625809143029</v>
          </cell>
        </row>
        <row r="28">
          <cell r="AM28">
            <v>110</v>
          </cell>
          <cell r="AN28">
            <v>-211.31602158346848</v>
          </cell>
          <cell r="AO28">
            <v>-152.9080138949121</v>
          </cell>
          <cell r="AP28">
            <v>-95.249791447258175</v>
          </cell>
          <cell r="AQ28">
            <v>-38.327008795542987</v>
          </cell>
          <cell r="AR28">
            <v>17.874315867463103</v>
          </cell>
        </row>
        <row r="29">
          <cell r="AM29">
            <v>130</v>
          </cell>
          <cell r="AN29">
            <v>-263.33186314593331</v>
          </cell>
          <cell r="AO29">
            <v>-204.58783428867949</v>
          </cell>
          <cell r="AP29">
            <v>-146.59790418554141</v>
          </cell>
          <cell r="AQ29">
            <v>-89.347644862234759</v>
          </cell>
          <cell r="AR29">
            <v>-32.822994074216822</v>
          </cell>
        </row>
        <row r="30">
          <cell r="AM30">
            <v>150</v>
          </cell>
          <cell r="AN30">
            <v>-315.347704708398</v>
          </cell>
          <cell r="AO30">
            <v>-256.2676546824469</v>
          </cell>
          <cell r="AP30">
            <v>-197.94601692382466</v>
          </cell>
          <cell r="AQ30">
            <v>-140.36828092892654</v>
          </cell>
          <cell r="AR30">
            <v>-83.520304015896741</v>
          </cell>
        </row>
        <row r="45">
          <cell r="F45" t="str">
            <v>($ in millions)</v>
          </cell>
          <cell r="P45" t="str">
            <v>FY11</v>
          </cell>
          <cell r="Q45" t="str">
            <v>FY12</v>
          </cell>
          <cell r="R45" t="str">
            <v>FY13</v>
          </cell>
          <cell r="S45" t="str">
            <v>FY14e</v>
          </cell>
        </row>
        <row r="46">
          <cell r="F46" t="str">
            <v>Transaction Value</v>
          </cell>
          <cell r="P46">
            <v>436.59999999999997</v>
          </cell>
          <cell r="Q46">
            <v>496.86700000000002</v>
          </cell>
          <cell r="R46">
            <v>801.48899999999992</v>
          </cell>
          <cell r="S46">
            <v>983.03237519062372</v>
          </cell>
        </row>
        <row r="47">
          <cell r="F47" t="str">
            <v>Normalized Billings</v>
          </cell>
          <cell r="P47">
            <v>1894.3319999999999</v>
          </cell>
          <cell r="Q47">
            <v>2519.7930000000001</v>
          </cell>
          <cell r="R47">
            <v>3563.4139999999998</v>
          </cell>
          <cell r="S47">
            <v>4519.1050462234271</v>
          </cell>
        </row>
        <row r="48">
          <cell r="F48" t="str">
            <v>Acqs as % of Billings</v>
          </cell>
          <cell r="P48">
            <v>0.23047702303503292</v>
          </cell>
          <cell r="Q48">
            <v>0.19718564183645243</v>
          </cell>
          <cell r="R48">
            <v>0.22492166220371812</v>
          </cell>
          <cell r="S48">
            <v>0.21752810902506781</v>
          </cell>
        </row>
      </sheetData>
      <sheetData sheetId="1"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s>
    <sheetDataSet>
      <sheetData sheetId="0"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__FDSCACHE__"/>
      <sheetName val="PE Charts"/>
    </sheetNames>
    <sheetDataSet>
      <sheetData sheetId="0"/>
      <sheetData sheetId="1"/>
      <sheetData sheetId="2">
        <row r="3">
          <cell r="DA3">
            <v>38564</v>
          </cell>
          <cell r="DB3">
            <v>38595</v>
          </cell>
          <cell r="DC3">
            <v>38625</v>
          </cell>
          <cell r="DD3">
            <v>38656</v>
          </cell>
          <cell r="DE3">
            <v>38686</v>
          </cell>
          <cell r="DF3">
            <v>38717</v>
          </cell>
          <cell r="DG3">
            <v>38748</v>
          </cell>
          <cell r="DH3">
            <v>38776</v>
          </cell>
          <cell r="DI3">
            <v>38807</v>
          </cell>
          <cell r="DJ3">
            <v>38837</v>
          </cell>
          <cell r="DK3">
            <v>38868</v>
          </cell>
          <cell r="DL3">
            <v>38898</v>
          </cell>
          <cell r="DM3">
            <v>38929</v>
          </cell>
          <cell r="DN3">
            <v>38960</v>
          </cell>
          <cell r="DO3">
            <v>38990</v>
          </cell>
          <cell r="DP3">
            <v>39021</v>
          </cell>
          <cell r="DQ3">
            <v>39051</v>
          </cell>
          <cell r="DR3">
            <v>39082</v>
          </cell>
          <cell r="DS3">
            <v>39113</v>
          </cell>
          <cell r="DT3">
            <v>39141</v>
          </cell>
          <cell r="DU3">
            <v>39172</v>
          </cell>
          <cell r="DV3">
            <v>39202</v>
          </cell>
          <cell r="DW3">
            <v>39233</v>
          </cell>
          <cell r="DX3">
            <v>39263</v>
          </cell>
          <cell r="DY3">
            <v>39294</v>
          </cell>
          <cell r="DZ3">
            <v>39325</v>
          </cell>
          <cell r="EA3">
            <v>39355</v>
          </cell>
          <cell r="EB3">
            <v>39386</v>
          </cell>
          <cell r="EC3">
            <v>39416</v>
          </cell>
          <cell r="ED3">
            <v>39447</v>
          </cell>
          <cell r="EE3">
            <v>39478</v>
          </cell>
          <cell r="EF3">
            <v>39507</v>
          </cell>
          <cell r="EG3">
            <v>39538</v>
          </cell>
          <cell r="EH3">
            <v>39568</v>
          </cell>
          <cell r="EI3">
            <v>39598</v>
          </cell>
          <cell r="EJ3">
            <v>39629</v>
          </cell>
          <cell r="EK3">
            <v>39660</v>
          </cell>
          <cell r="EL3">
            <v>39690</v>
          </cell>
        </row>
        <row r="20">
          <cell r="A20" t="str">
            <v>salesforce.com</v>
          </cell>
          <cell r="B20" t="str">
            <v>CRM</v>
          </cell>
          <cell r="DA20">
            <v>105.22241000000001</v>
          </cell>
          <cell r="DB20">
            <v>79.691160000000011</v>
          </cell>
          <cell r="DC20">
            <v>89.063530000000014</v>
          </cell>
          <cell r="DD20">
            <v>92.515600000000006</v>
          </cell>
          <cell r="DE20">
            <v>145.8297</v>
          </cell>
          <cell r="DF20">
            <v>151.6</v>
          </cell>
          <cell r="DG20">
            <v>189.37700000000001</v>
          </cell>
          <cell r="DH20">
            <v>164.93120000000002</v>
          </cell>
          <cell r="DI20">
            <v>161.37390000000002</v>
          </cell>
          <cell r="DJ20">
            <v>154.91040000000001</v>
          </cell>
          <cell r="DK20">
            <v>116.50881000000001</v>
          </cell>
          <cell r="DL20">
            <v>102.43725000000001</v>
          </cell>
          <cell r="DM20">
            <v>91.581940000000003</v>
          </cell>
          <cell r="DN20">
            <v>112.41091000000002</v>
          </cell>
          <cell r="DO20">
            <v>111.42790000000001</v>
          </cell>
          <cell r="DP20">
            <v>114.39488000000001</v>
          </cell>
          <cell r="DQ20">
            <v>117.01781000000001</v>
          </cell>
          <cell r="DR20">
            <v>103.44165000000001</v>
          </cell>
          <cell r="DS20">
            <v>119.19800000000001</v>
          </cell>
          <cell r="DT20">
            <v>113.48846</v>
          </cell>
          <cell r="DU20">
            <v>104.84458000000001</v>
          </cell>
          <cell r="DV20">
            <v>93.217560000000006</v>
          </cell>
          <cell r="DW20">
            <v>97.204150000000013</v>
          </cell>
          <cell r="DX20">
            <v>86.117400000000004</v>
          </cell>
          <cell r="DY20">
            <v>76.667820000000006</v>
          </cell>
          <cell r="DZ20">
            <v>71.32248612933769</v>
          </cell>
          <cell r="EA20">
            <v>90.533514423883503</v>
          </cell>
          <cell r="EB20">
            <v>99.4422098221807</v>
          </cell>
          <cell r="EC20">
            <v>90.498401641573693</v>
          </cell>
          <cell r="ED20">
            <v>100.00607789371153</v>
          </cell>
          <cell r="EE20">
            <v>82.809307759811219</v>
          </cell>
          <cell r="EF20">
            <v>80.702702702702709</v>
          </cell>
          <cell r="EG20">
            <v>78.202702702702709</v>
          </cell>
          <cell r="EH20">
            <v>90.175675675675677</v>
          </cell>
          <cell r="EI20">
            <v>87.120481927710856</v>
          </cell>
          <cell r="EJ20">
            <v>80.270588235294127</v>
          </cell>
          <cell r="EK20">
            <v>67.861702127659584</v>
          </cell>
          <cell r="EL20">
            <v>60.891304347826086</v>
          </cell>
        </row>
        <row r="21">
          <cell r="A21">
            <v>28.923913043478258</v>
          </cell>
          <cell r="B21" t="str">
            <v>5-yr trough</v>
          </cell>
          <cell r="DA21">
            <v>28.923913043478258</v>
          </cell>
          <cell r="DB21">
            <v>28.923913043478258</v>
          </cell>
          <cell r="DC21">
            <v>28.923913043478258</v>
          </cell>
          <cell r="DD21">
            <v>28.923913043478258</v>
          </cell>
          <cell r="DE21">
            <v>28.923913043478258</v>
          </cell>
          <cell r="DF21">
            <v>28.923913043478258</v>
          </cell>
          <cell r="DG21">
            <v>28.923913043478258</v>
          </cell>
          <cell r="DH21">
            <v>28.923913043478258</v>
          </cell>
          <cell r="DI21">
            <v>28.923913043478258</v>
          </cell>
          <cell r="DJ21">
            <v>28.923913043478258</v>
          </cell>
          <cell r="DK21">
            <v>28.923913043478258</v>
          </cell>
          <cell r="DL21">
            <v>28.923913043478258</v>
          </cell>
          <cell r="DM21">
            <v>28.923913043478258</v>
          </cell>
          <cell r="DN21">
            <v>28.923913043478258</v>
          </cell>
          <cell r="DO21">
            <v>28.923913043478258</v>
          </cell>
          <cell r="DP21">
            <v>28.923913043478258</v>
          </cell>
          <cell r="DQ21">
            <v>28.923913043478258</v>
          </cell>
          <cell r="DR21">
            <v>28.923913043478258</v>
          </cell>
          <cell r="DS21">
            <v>28.923913043478258</v>
          </cell>
          <cell r="DT21">
            <v>28.923913043478258</v>
          </cell>
          <cell r="DU21">
            <v>28.923913043478258</v>
          </cell>
          <cell r="DV21">
            <v>28.923913043478258</v>
          </cell>
          <cell r="DW21">
            <v>28.923913043478258</v>
          </cell>
          <cell r="DX21">
            <v>28.923913043478258</v>
          </cell>
          <cell r="DY21">
            <v>28.923913043478258</v>
          </cell>
          <cell r="DZ21">
            <v>28.923913043478258</v>
          </cell>
          <cell r="EA21">
            <v>28.923913043478258</v>
          </cell>
          <cell r="EB21">
            <v>28.923913043478258</v>
          </cell>
          <cell r="EC21">
            <v>28.923913043478258</v>
          </cell>
          <cell r="ED21">
            <v>28.923913043478258</v>
          </cell>
          <cell r="EE21">
            <v>28.923913043478258</v>
          </cell>
          <cell r="EF21">
            <v>28.923913043478258</v>
          </cell>
          <cell r="EG21">
            <v>28.923913043478258</v>
          </cell>
          <cell r="EH21">
            <v>28.923913043478258</v>
          </cell>
          <cell r="EI21">
            <v>28.923913043478258</v>
          </cell>
          <cell r="EJ21">
            <v>28.923913043478258</v>
          </cell>
          <cell r="EK21">
            <v>28.923913043478258</v>
          </cell>
          <cell r="EL21">
            <v>28.923913043478258</v>
          </cell>
        </row>
        <row r="22">
          <cell r="A22">
            <v>98.323179911090364</v>
          </cell>
          <cell r="B22" t="str">
            <v>5-yr median</v>
          </cell>
          <cell r="DA22">
            <v>98.323179911090364</v>
          </cell>
          <cell r="DB22">
            <v>98.323179911090364</v>
          </cell>
          <cell r="DC22">
            <v>98.323179911090364</v>
          </cell>
          <cell r="DD22">
            <v>98.323179911090364</v>
          </cell>
          <cell r="DE22">
            <v>98.323179911090364</v>
          </cell>
          <cell r="DF22">
            <v>98.323179911090364</v>
          </cell>
          <cell r="DG22">
            <v>98.323179911090364</v>
          </cell>
          <cell r="DH22">
            <v>98.323179911090364</v>
          </cell>
          <cell r="DI22">
            <v>98.323179911090364</v>
          </cell>
          <cell r="DJ22">
            <v>98.323179911090364</v>
          </cell>
          <cell r="DK22">
            <v>98.323179911090364</v>
          </cell>
          <cell r="DL22">
            <v>98.323179911090364</v>
          </cell>
          <cell r="DM22">
            <v>98.323179911090364</v>
          </cell>
          <cell r="DN22">
            <v>98.323179911090364</v>
          </cell>
          <cell r="DO22">
            <v>98.323179911090364</v>
          </cell>
          <cell r="DP22">
            <v>98.323179911090364</v>
          </cell>
          <cell r="DQ22">
            <v>98.323179911090364</v>
          </cell>
          <cell r="DR22">
            <v>98.323179911090364</v>
          </cell>
          <cell r="DS22">
            <v>98.323179911090364</v>
          </cell>
          <cell r="DT22">
            <v>98.323179911090364</v>
          </cell>
          <cell r="DU22">
            <v>98.323179911090364</v>
          </cell>
          <cell r="DV22">
            <v>98.323179911090364</v>
          </cell>
          <cell r="DW22">
            <v>98.323179911090364</v>
          </cell>
          <cell r="DX22">
            <v>98.323179911090364</v>
          </cell>
          <cell r="DY22">
            <v>98.323179911090364</v>
          </cell>
          <cell r="DZ22">
            <v>98.323179911090364</v>
          </cell>
          <cell r="EA22">
            <v>98.323179911090364</v>
          </cell>
          <cell r="EB22">
            <v>98.323179911090364</v>
          </cell>
          <cell r="EC22">
            <v>98.323179911090364</v>
          </cell>
          <cell r="ED22">
            <v>98.323179911090364</v>
          </cell>
          <cell r="EE22">
            <v>98.323179911090364</v>
          </cell>
          <cell r="EF22">
            <v>98.323179911090364</v>
          </cell>
          <cell r="EG22">
            <v>98.323179911090364</v>
          </cell>
          <cell r="EH22">
            <v>98.323179911090364</v>
          </cell>
          <cell r="EI22">
            <v>98.323179911090364</v>
          </cell>
          <cell r="EJ22">
            <v>98.323179911090364</v>
          </cell>
          <cell r="EK22">
            <v>98.323179911090364</v>
          </cell>
          <cell r="EL22">
            <v>98.323179911090364</v>
          </cell>
        </row>
      </sheetData>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ultipleAnalysis"/>
      <sheetName val="#REF"/>
    </sheetNames>
    <sheetDataSet>
      <sheetData sheetId="0">
        <row r="87">
          <cell r="AI87" t="str">
            <v>P/FCF</v>
          </cell>
          <cell r="AM87" t="str">
            <v>EV/NTM Unlevered FCF</v>
          </cell>
        </row>
        <row r="88">
          <cell r="A88">
            <v>40102</v>
          </cell>
          <cell r="AI88">
            <v>39.073542740040459</v>
          </cell>
          <cell r="AM88">
            <v>37.814947045953197</v>
          </cell>
        </row>
        <row r="89">
          <cell r="A89">
            <v>40101</v>
          </cell>
          <cell r="AI89">
            <v>39.462022478636115</v>
          </cell>
          <cell r="AM89">
            <v>38.238300440808921</v>
          </cell>
        </row>
        <row r="90">
          <cell r="A90">
            <v>40100</v>
          </cell>
          <cell r="AI90">
            <v>39.154998169100843</v>
          </cell>
          <cell r="AM90">
            <v>37.903714693261655</v>
          </cell>
        </row>
        <row r="91">
          <cell r="A91">
            <v>40099</v>
          </cell>
          <cell r="AI91">
            <v>38.302849065084565</v>
          </cell>
          <cell r="AM91">
            <v>36.975068536803931</v>
          </cell>
        </row>
        <row r="92">
          <cell r="A92">
            <v>40098</v>
          </cell>
          <cell r="AI92">
            <v>38.515886341088624</v>
          </cell>
          <cell r="AM92">
            <v>37.207230075918361</v>
          </cell>
        </row>
        <row r="93">
          <cell r="A93">
            <v>40095</v>
          </cell>
          <cell r="AI93">
            <v>38.20259622931794</v>
          </cell>
          <cell r="AM93">
            <v>36.865816047808913</v>
          </cell>
        </row>
        <row r="94">
          <cell r="A94">
            <v>40094</v>
          </cell>
          <cell r="AI94">
            <v>37.820382292957696</v>
          </cell>
          <cell r="AM94">
            <v>36.449290933515371</v>
          </cell>
        </row>
        <row r="95">
          <cell r="A95">
            <v>40093</v>
          </cell>
          <cell r="AI95">
            <v>36.617348263758245</v>
          </cell>
          <cell r="AM95">
            <v>35.138261065575058</v>
          </cell>
        </row>
        <row r="96">
          <cell r="A96">
            <v>40092</v>
          </cell>
          <cell r="AI96">
            <v>36.698803692818629</v>
          </cell>
          <cell r="AM96">
            <v>35.227028712883516</v>
          </cell>
        </row>
        <row r="97">
          <cell r="A97">
            <v>40091</v>
          </cell>
          <cell r="AI97">
            <v>35.351656212204659</v>
          </cell>
          <cell r="AM97">
            <v>33.758948392012854</v>
          </cell>
        </row>
        <row r="98">
          <cell r="A98">
            <v>40088</v>
          </cell>
          <cell r="AI98">
            <v>34.15488798524062</v>
          </cell>
          <cell r="AM98">
            <v>32.45474680463473</v>
          </cell>
        </row>
        <row r="99">
          <cell r="A99">
            <v>40087</v>
          </cell>
          <cell r="AI99">
            <v>34.17995119418228</v>
          </cell>
          <cell r="AM99">
            <v>32.482059926883487</v>
          </cell>
        </row>
        <row r="100">
          <cell r="A100">
            <v>40086</v>
          </cell>
          <cell r="AI100">
            <v>35.671212126210769</v>
          </cell>
          <cell r="AM100">
            <v>34.107190700684505</v>
          </cell>
        </row>
        <row r="101">
          <cell r="A101">
            <v>40085</v>
          </cell>
          <cell r="AI101">
            <v>35.815325577625281</v>
          </cell>
          <cell r="AM101">
            <v>34.264241153614854</v>
          </cell>
        </row>
        <row r="102">
          <cell r="A102">
            <v>40084</v>
          </cell>
          <cell r="AI102">
            <v>36.009565446923112</v>
          </cell>
          <cell r="AM102">
            <v>34.475917851042709</v>
          </cell>
        </row>
        <row r="103">
          <cell r="A103">
            <v>40081</v>
          </cell>
          <cell r="AI103">
            <v>34.499507108188382</v>
          </cell>
          <cell r="AM103">
            <v>32.830302235555138</v>
          </cell>
        </row>
        <row r="104">
          <cell r="A104">
            <v>40080</v>
          </cell>
          <cell r="AI104">
            <v>35.151150540671424</v>
          </cell>
          <cell r="AM104">
            <v>33.540443414022803</v>
          </cell>
        </row>
        <row r="105">
          <cell r="A105">
            <v>40079</v>
          </cell>
          <cell r="AI105">
            <v>36.053426062571006</v>
          </cell>
          <cell r="AM105">
            <v>34.52371581497804</v>
          </cell>
        </row>
        <row r="106">
          <cell r="A106">
            <v>40078</v>
          </cell>
          <cell r="AI106">
            <v>35.633617312798279</v>
          </cell>
          <cell r="AM106">
            <v>34.066221017311364</v>
          </cell>
        </row>
        <row r="107">
          <cell r="A107">
            <v>40077</v>
          </cell>
          <cell r="AI107">
            <v>35.765199159741968</v>
          </cell>
          <cell r="AM107">
            <v>34.209614909117342</v>
          </cell>
        </row>
        <row r="108">
          <cell r="A108">
            <v>40074</v>
          </cell>
          <cell r="AI108">
            <v>36.448171603402074</v>
          </cell>
          <cell r="AM108">
            <v>34.953897490395953</v>
          </cell>
        </row>
        <row r="109">
          <cell r="A109">
            <v>40073</v>
          </cell>
          <cell r="AI109">
            <v>36.680006286112388</v>
          </cell>
          <cell r="AM109">
            <v>35.206543871196956</v>
          </cell>
        </row>
        <row r="110">
          <cell r="A110">
            <v>40072</v>
          </cell>
          <cell r="AI110">
            <v>35.934375820098147</v>
          </cell>
          <cell r="AM110">
            <v>34.393978484296447</v>
          </cell>
        </row>
        <row r="111">
          <cell r="A111">
            <v>40071</v>
          </cell>
          <cell r="AI111">
            <v>35.545896081502484</v>
          </cell>
          <cell r="AM111">
            <v>33.970625089440716</v>
          </cell>
        </row>
        <row r="112">
          <cell r="A112">
            <v>40070</v>
          </cell>
          <cell r="AI112">
            <v>36.009565446923112</v>
          </cell>
          <cell r="AM112">
            <v>34.475917851042709</v>
          </cell>
        </row>
        <row r="113">
          <cell r="A113">
            <v>40067</v>
          </cell>
          <cell r="AI113">
            <v>36.291526547516732</v>
          </cell>
          <cell r="AM113">
            <v>34.783190476341233</v>
          </cell>
        </row>
        <row r="114">
          <cell r="A114">
            <v>40066</v>
          </cell>
          <cell r="AI114">
            <v>35.351656212204659</v>
          </cell>
          <cell r="AM114">
            <v>33.758948392012854</v>
          </cell>
        </row>
        <row r="115">
          <cell r="A115">
            <v>40065</v>
          </cell>
          <cell r="AI115">
            <v>34.76267080207576</v>
          </cell>
          <cell r="AM115">
            <v>33.11709001916708</v>
          </cell>
        </row>
        <row r="116">
          <cell r="A116">
            <v>40064</v>
          </cell>
          <cell r="AI116">
            <v>34.117293171828145</v>
          </cell>
          <cell r="AM116">
            <v>32.413777121261603</v>
          </cell>
        </row>
        <row r="117">
          <cell r="A117">
            <v>40060</v>
          </cell>
          <cell r="AI117">
            <v>33.083435802984866</v>
          </cell>
          <cell r="AM117">
            <v>31.287110828500392</v>
          </cell>
        </row>
        <row r="118">
          <cell r="A118">
            <v>40059</v>
          </cell>
          <cell r="AI118">
            <v>32.801474702391246</v>
          </cell>
          <cell r="AM118">
            <v>30.979838203201883</v>
          </cell>
        </row>
        <row r="119">
          <cell r="A119">
            <v>40058</v>
          </cell>
          <cell r="AI119">
            <v>32.306476325793554</v>
          </cell>
          <cell r="AM119">
            <v>30.440404038788945</v>
          </cell>
        </row>
        <row r="120">
          <cell r="A120">
            <v>40057</v>
          </cell>
          <cell r="AI120">
            <v>32.043312631906176</v>
          </cell>
          <cell r="AM120">
            <v>30.153616255176999</v>
          </cell>
        </row>
        <row r="121">
          <cell r="A121">
            <v>40056</v>
          </cell>
          <cell r="AI121">
            <v>32.500716195091385</v>
          </cell>
          <cell r="AM121">
            <v>30.65208073621681</v>
          </cell>
        </row>
        <row r="122">
          <cell r="A122">
            <v>40053</v>
          </cell>
          <cell r="AI122">
            <v>32.738816680037111</v>
          </cell>
          <cell r="AM122">
            <v>30.911555397579999</v>
          </cell>
        </row>
        <row r="123">
          <cell r="A123">
            <v>40052</v>
          </cell>
          <cell r="AI123">
            <v>33.008246176159901</v>
          </cell>
          <cell r="AM123">
            <v>31.20517146175413</v>
          </cell>
        </row>
        <row r="124">
          <cell r="A124">
            <v>40051</v>
          </cell>
          <cell r="AI124">
            <v>33.12729641863276</v>
          </cell>
          <cell r="AM124">
            <v>31.334908792435716</v>
          </cell>
        </row>
        <row r="125">
          <cell r="A125">
            <v>40050</v>
          </cell>
          <cell r="AI125">
            <v>32.770145691214175</v>
          </cell>
          <cell r="AM125">
            <v>30.945696800390941</v>
          </cell>
        </row>
        <row r="126">
          <cell r="A126">
            <v>40049</v>
          </cell>
          <cell r="AI126">
            <v>33.070904198514036</v>
          </cell>
          <cell r="AM126">
            <v>31.273454267376014</v>
          </cell>
        </row>
        <row r="127">
          <cell r="A127">
            <v>40046</v>
          </cell>
          <cell r="AI127">
            <v>33.628560597465864</v>
          </cell>
          <cell r="AM127">
            <v>31.88117123741085</v>
          </cell>
        </row>
        <row r="128">
          <cell r="A128">
            <v>40045</v>
          </cell>
          <cell r="AI128">
            <v>28.598741543228677</v>
          </cell>
          <cell r="AM128">
            <v>26.42768519409724</v>
          </cell>
        </row>
        <row r="129">
          <cell r="A129">
            <v>40044</v>
          </cell>
          <cell r="AI129">
            <v>27.892752687462529</v>
          </cell>
          <cell r="AM129">
            <v>25.659122931174426</v>
          </cell>
        </row>
        <row r="130">
          <cell r="A130">
            <v>40043</v>
          </cell>
          <cell r="AI130">
            <v>27.434479219684501</v>
          </cell>
          <cell r="AM130">
            <v>25.160231637698214</v>
          </cell>
        </row>
        <row r="131">
          <cell r="A131">
            <v>40042</v>
          </cell>
          <cell r="AI131">
            <v>27.830823840465499</v>
          </cell>
          <cell r="AM131">
            <v>25.591705188812774</v>
          </cell>
        </row>
        <row r="132">
          <cell r="A132">
            <v>40039</v>
          </cell>
          <cell r="AI132">
            <v>29.180872705000763</v>
          </cell>
          <cell r="AM132">
            <v>27.061411972296746</v>
          </cell>
        </row>
        <row r="133">
          <cell r="A133">
            <v>40038</v>
          </cell>
          <cell r="AI133">
            <v>29.71965367387493</v>
          </cell>
          <cell r="AM133">
            <v>27.647946330843101</v>
          </cell>
        </row>
        <row r="134">
          <cell r="A134">
            <v>40037</v>
          </cell>
          <cell r="AI134">
            <v>29.793968290271366</v>
          </cell>
          <cell r="AM134">
            <v>27.728847621677076</v>
          </cell>
        </row>
        <row r="135">
          <cell r="A135">
            <v>40036</v>
          </cell>
          <cell r="AI135">
            <v>27.737930569969951</v>
          </cell>
          <cell r="AM135">
            <v>25.490578575270298</v>
          </cell>
        </row>
        <row r="136">
          <cell r="A136">
            <v>40035</v>
          </cell>
          <cell r="AI136">
            <v>28.357219039940258</v>
          </cell>
          <cell r="AM136">
            <v>26.164755998886797</v>
          </cell>
        </row>
        <row r="137">
          <cell r="A137">
            <v>40032</v>
          </cell>
          <cell r="AI137">
            <v>28.939350201712344</v>
          </cell>
          <cell r="AM137">
            <v>26.798482777086306</v>
          </cell>
        </row>
        <row r="138">
          <cell r="A138">
            <v>40031</v>
          </cell>
          <cell r="AI138">
            <v>28.09711788255273</v>
          </cell>
          <cell r="AM138">
            <v>25.881601480967877</v>
          </cell>
        </row>
        <row r="139">
          <cell r="A139">
            <v>40030</v>
          </cell>
          <cell r="AI139">
            <v>27.929909995660751</v>
          </cell>
          <cell r="AM139">
            <v>25.699573576591419</v>
          </cell>
        </row>
        <row r="140">
          <cell r="A140">
            <v>40029</v>
          </cell>
          <cell r="AI140">
            <v>28.171432498949169</v>
          </cell>
          <cell r="AM140">
            <v>25.962502771801859</v>
          </cell>
        </row>
        <row r="141">
          <cell r="A141">
            <v>40028</v>
          </cell>
          <cell r="AI141">
            <v>27.657423068873815</v>
          </cell>
          <cell r="AM141">
            <v>25.402935510200155</v>
          </cell>
        </row>
        <row r="142">
          <cell r="A142">
            <v>40025</v>
          </cell>
          <cell r="AI142">
            <v>26.839962288513014</v>
          </cell>
          <cell r="AM142">
            <v>24.513021311026389</v>
          </cell>
        </row>
        <row r="143">
          <cell r="A143">
            <v>40024</v>
          </cell>
          <cell r="AI143">
            <v>27.081484791801429</v>
          </cell>
          <cell r="AM143">
            <v>24.775950506236818</v>
          </cell>
        </row>
        <row r="144">
          <cell r="A144">
            <v>40023</v>
          </cell>
          <cell r="AI144">
            <v>26.747069018017463</v>
          </cell>
          <cell r="AM144">
            <v>24.411894697483902</v>
          </cell>
        </row>
        <row r="145">
          <cell r="A145">
            <v>40022</v>
          </cell>
          <cell r="AI145">
            <v>26.976205751906477</v>
          </cell>
          <cell r="AM145">
            <v>24.661340344222012</v>
          </cell>
        </row>
        <row r="146">
          <cell r="A146">
            <v>40021</v>
          </cell>
          <cell r="AI146">
            <v>27.583108452477379</v>
          </cell>
          <cell r="AM146">
            <v>25.322034219366181</v>
          </cell>
        </row>
        <row r="147">
          <cell r="A147">
            <v>40018</v>
          </cell>
          <cell r="AI147">
            <v>27.948488649759859</v>
          </cell>
          <cell r="AM147">
            <v>25.719798899299917</v>
          </cell>
        </row>
        <row r="148">
          <cell r="A148">
            <v>40017</v>
          </cell>
          <cell r="AI148">
            <v>27.353971718588369</v>
          </cell>
          <cell r="AM148">
            <v>25.072588572628081</v>
          </cell>
        </row>
        <row r="149">
          <cell r="A149">
            <v>40016</v>
          </cell>
          <cell r="AI149">
            <v>26.301181319638847</v>
          </cell>
          <cell r="AM149">
            <v>23.926486952480033</v>
          </cell>
        </row>
        <row r="150">
          <cell r="A150">
            <v>40015</v>
          </cell>
          <cell r="AI150">
            <v>25.892450929458445</v>
          </cell>
          <cell r="AM150">
            <v>23.481529852893143</v>
          </cell>
        </row>
        <row r="151">
          <cell r="A151">
            <v>40014</v>
          </cell>
          <cell r="AI151">
            <v>25.842907851860819</v>
          </cell>
          <cell r="AM151">
            <v>23.427595659003821</v>
          </cell>
        </row>
        <row r="152">
          <cell r="A152">
            <v>40011</v>
          </cell>
          <cell r="AI152">
            <v>25.29174111358725</v>
          </cell>
          <cell r="AM152">
            <v>22.827577751985135</v>
          </cell>
        </row>
        <row r="153">
          <cell r="A153">
            <v>40010</v>
          </cell>
          <cell r="AI153">
            <v>24.821081876409817</v>
          </cell>
          <cell r="AM153">
            <v>22.315202910036593</v>
          </cell>
        </row>
        <row r="154">
          <cell r="A154">
            <v>40009</v>
          </cell>
          <cell r="AI154">
            <v>24.585752257821103</v>
          </cell>
          <cell r="AM154">
            <v>22.059015489062332</v>
          </cell>
        </row>
        <row r="155">
          <cell r="A155">
            <v>40008</v>
          </cell>
          <cell r="AI155">
            <v>25.672305740454831</v>
          </cell>
          <cell r="AM155">
            <v>23.010153065268721</v>
          </cell>
        </row>
        <row r="156">
          <cell r="A156">
            <v>40007</v>
          </cell>
          <cell r="AI156">
            <v>25.726154310440052</v>
          </cell>
          <cell r="AM156">
            <v>23.069229392695789</v>
          </cell>
        </row>
        <row r="157">
          <cell r="A157">
            <v>40004</v>
          </cell>
          <cell r="AI157">
            <v>25.079971470617384</v>
          </cell>
          <cell r="AM157">
            <v>22.360313463570936</v>
          </cell>
        </row>
        <row r="158">
          <cell r="A158">
            <v>40003</v>
          </cell>
          <cell r="AI158">
            <v>24.783804335698662</v>
          </cell>
          <cell r="AM158">
            <v>22.035393662722047</v>
          </cell>
        </row>
        <row r="159">
          <cell r="A159">
            <v>40002</v>
          </cell>
          <cell r="AI159">
            <v>24.56841005575777</v>
          </cell>
          <cell r="AM159">
            <v>21.799088353013762</v>
          </cell>
        </row>
        <row r="160">
          <cell r="A160">
            <v>40001</v>
          </cell>
          <cell r="AI160">
            <v>23.942420429679562</v>
          </cell>
          <cell r="AM160">
            <v>21.11232604667406</v>
          </cell>
        </row>
        <row r="161">
          <cell r="A161">
            <v>40000</v>
          </cell>
          <cell r="AI161">
            <v>24.958812188150631</v>
          </cell>
          <cell r="AM161">
            <v>22.227391726860024</v>
          </cell>
        </row>
        <row r="162">
          <cell r="A162">
            <v>39996</v>
          </cell>
          <cell r="AI162">
            <v>25.685767882951133</v>
          </cell>
          <cell r="AM162">
            <v>23.024922147125483</v>
          </cell>
        </row>
        <row r="163">
          <cell r="A163">
            <v>39995</v>
          </cell>
          <cell r="AI163">
            <v>26.190598226562592</v>
          </cell>
          <cell r="AM163">
            <v>23.578762716754277</v>
          </cell>
        </row>
        <row r="164">
          <cell r="A164">
            <v>39994</v>
          </cell>
          <cell r="AI164">
            <v>25.692498954199291</v>
          </cell>
          <cell r="AM164">
            <v>23.032306688053875</v>
          </cell>
        </row>
        <row r="165">
          <cell r="A165">
            <v>39993</v>
          </cell>
          <cell r="AI165">
            <v>26.190598226562592</v>
          </cell>
          <cell r="AM165">
            <v>23.578762716754277</v>
          </cell>
        </row>
        <row r="166">
          <cell r="A166">
            <v>39990</v>
          </cell>
          <cell r="AI166">
            <v>26.190598226562592</v>
          </cell>
          <cell r="AM166">
            <v>23.578762716754277</v>
          </cell>
        </row>
        <row r="167">
          <cell r="A167">
            <v>39989</v>
          </cell>
          <cell r="AI167">
            <v>26.776201425151893</v>
          </cell>
          <cell r="AM167">
            <v>24.221217777523687</v>
          </cell>
        </row>
        <row r="168">
          <cell r="A168">
            <v>39988</v>
          </cell>
          <cell r="AI168">
            <v>26.412723577751642</v>
          </cell>
          <cell r="AM168">
            <v>23.82245256739095</v>
          </cell>
        </row>
        <row r="169">
          <cell r="A169">
            <v>39987</v>
          </cell>
          <cell r="AI169">
            <v>25.450180389265789</v>
          </cell>
          <cell r="AM169">
            <v>22.766463214632054</v>
          </cell>
        </row>
        <row r="170">
          <cell r="A170">
            <v>39986</v>
          </cell>
          <cell r="AI170">
            <v>25.10689575560999</v>
          </cell>
          <cell r="AM170">
            <v>22.389851627284468</v>
          </cell>
        </row>
        <row r="171">
          <cell r="A171">
            <v>39983</v>
          </cell>
          <cell r="AI171">
            <v>26.863705351377874</v>
          </cell>
          <cell r="AM171">
            <v>24.317216809592665</v>
          </cell>
        </row>
        <row r="172">
          <cell r="A172">
            <v>39982</v>
          </cell>
          <cell r="AI172">
            <v>27.0319821325817</v>
          </cell>
          <cell r="AM172">
            <v>24.501830332802264</v>
          </cell>
        </row>
        <row r="173">
          <cell r="A173">
            <v>39981</v>
          </cell>
          <cell r="AI173">
            <v>27.260838555018893</v>
          </cell>
          <cell r="AM173">
            <v>24.752904724367319</v>
          </cell>
        </row>
        <row r="174">
          <cell r="A174">
            <v>39980</v>
          </cell>
          <cell r="AI174">
            <v>26.897360707618642</v>
          </cell>
          <cell r="AM174">
            <v>24.354139514234593</v>
          </cell>
        </row>
        <row r="175">
          <cell r="A175">
            <v>39979</v>
          </cell>
          <cell r="AI175">
            <v>27.348342481244885</v>
          </cell>
          <cell r="AM175">
            <v>24.848903756436318</v>
          </cell>
        </row>
        <row r="176">
          <cell r="A176">
            <v>39976</v>
          </cell>
          <cell r="AI176">
            <v>28.001256392315703</v>
          </cell>
          <cell r="AM176">
            <v>25.565204226489552</v>
          </cell>
        </row>
        <row r="177">
          <cell r="A177">
            <v>39975</v>
          </cell>
          <cell r="AI177">
            <v>28.001256392315703</v>
          </cell>
          <cell r="AM177">
            <v>25.565204226489552</v>
          </cell>
        </row>
        <row r="178">
          <cell r="A178">
            <v>39974</v>
          </cell>
          <cell r="AI178">
            <v>26.904091778866793</v>
          </cell>
          <cell r="AM178">
            <v>24.36152405516297</v>
          </cell>
        </row>
        <row r="179">
          <cell r="A179">
            <v>39973</v>
          </cell>
          <cell r="AI179">
            <v>26.641580000188831</v>
          </cell>
          <cell r="AM179">
            <v>24.073526958955998</v>
          </cell>
        </row>
        <row r="180">
          <cell r="A180">
            <v>39972</v>
          </cell>
          <cell r="AI180">
            <v>26.055976801599542</v>
          </cell>
          <cell r="AM180">
            <v>23.431071898186602</v>
          </cell>
        </row>
        <row r="181">
          <cell r="A181">
            <v>39969</v>
          </cell>
          <cell r="AI181">
            <v>26.338681794021962</v>
          </cell>
          <cell r="AM181">
            <v>23.741222617178728</v>
          </cell>
        </row>
        <row r="182">
          <cell r="A182">
            <v>39968</v>
          </cell>
          <cell r="AI182">
            <v>26.432916791496101</v>
          </cell>
          <cell r="AM182">
            <v>23.844606190176101</v>
          </cell>
        </row>
        <row r="183">
          <cell r="A183">
            <v>39967</v>
          </cell>
          <cell r="AI183">
            <v>26.439647862744252</v>
          </cell>
          <cell r="AM183">
            <v>23.851990731104486</v>
          </cell>
        </row>
        <row r="184">
          <cell r="A184">
            <v>39966</v>
          </cell>
          <cell r="AI184">
            <v>26.426185720247943</v>
          </cell>
          <cell r="AM184">
            <v>23.837221649247713</v>
          </cell>
        </row>
        <row r="185">
          <cell r="A185">
            <v>39965</v>
          </cell>
          <cell r="AI185">
            <v>26.776201425151893</v>
          </cell>
          <cell r="AM185">
            <v>24.221217777523687</v>
          </cell>
        </row>
        <row r="186">
          <cell r="A186">
            <v>39962</v>
          </cell>
          <cell r="AI186">
            <v>25.544415386739928</v>
          </cell>
          <cell r="AM186">
            <v>22.869846787629427</v>
          </cell>
        </row>
        <row r="187">
          <cell r="A187">
            <v>39961</v>
          </cell>
          <cell r="AI187">
            <v>25.423256104273175</v>
          </cell>
          <cell r="AM187">
            <v>22.736925050918515</v>
          </cell>
        </row>
        <row r="188">
          <cell r="A188">
            <v>39960</v>
          </cell>
          <cell r="AI188">
            <v>24.56841005575777</v>
          </cell>
          <cell r="AM188">
            <v>21.799088353013762</v>
          </cell>
        </row>
        <row r="189">
          <cell r="A189">
            <v>39959</v>
          </cell>
          <cell r="AI189">
            <v>25.241517180573052</v>
          </cell>
          <cell r="AM189">
            <v>22.537542445852154</v>
          </cell>
        </row>
        <row r="190">
          <cell r="A190">
            <v>39955</v>
          </cell>
          <cell r="AI190">
            <v>24.332822562072423</v>
          </cell>
          <cell r="AM190">
            <v>21.540629420520322</v>
          </cell>
        </row>
        <row r="191">
          <cell r="A191">
            <v>39954</v>
          </cell>
          <cell r="AI191">
            <v>30.127760664821146</v>
          </cell>
          <cell r="AM191">
            <v>27.185389507807006</v>
          </cell>
        </row>
        <row r="192">
          <cell r="A192">
            <v>39953</v>
          </cell>
          <cell r="AI192">
            <v>30.598863101446351</v>
          </cell>
          <cell r="AM192">
            <v>27.702029377583262</v>
          </cell>
        </row>
        <row r="193">
          <cell r="A193">
            <v>39952</v>
          </cell>
          <cell r="AI193">
            <v>31.168745081234896</v>
          </cell>
          <cell r="AM193">
            <v>28.326996961989998</v>
          </cell>
        </row>
        <row r="194">
          <cell r="A194">
            <v>39951</v>
          </cell>
          <cell r="AI194">
            <v>30.697642644609697</v>
          </cell>
          <cell r="AM194">
            <v>27.810357092213753</v>
          </cell>
        </row>
        <row r="195">
          <cell r="A195">
            <v>39948</v>
          </cell>
          <cell r="AI195">
            <v>30.545674116666081</v>
          </cell>
          <cell r="AM195">
            <v>27.643699069705285</v>
          </cell>
        </row>
        <row r="196">
          <cell r="A196">
            <v>39947</v>
          </cell>
          <cell r="AI196">
            <v>30.218941781587318</v>
          </cell>
          <cell r="AM196">
            <v>27.285384321312087</v>
          </cell>
        </row>
        <row r="197">
          <cell r="A197">
            <v>39946</v>
          </cell>
          <cell r="AI197">
            <v>29.64146137540159</v>
          </cell>
          <cell r="AM197">
            <v>26.652083835779916</v>
          </cell>
        </row>
        <row r="198">
          <cell r="A198">
            <v>39945</v>
          </cell>
          <cell r="AI198">
            <v>31.054768685277182</v>
          </cell>
          <cell r="AM198">
            <v>28.202003445108652</v>
          </cell>
        </row>
        <row r="199">
          <cell r="A199">
            <v>39944</v>
          </cell>
          <cell r="AI199">
            <v>31.35870574116441</v>
          </cell>
          <cell r="AM199">
            <v>28.535319490125588</v>
          </cell>
        </row>
        <row r="200">
          <cell r="A200">
            <v>39941</v>
          </cell>
          <cell r="AI200">
            <v>31.183941934029253</v>
          </cell>
          <cell r="AM200">
            <v>28.343662764240843</v>
          </cell>
        </row>
        <row r="201">
          <cell r="A201">
            <v>39940</v>
          </cell>
          <cell r="AI201">
            <v>31.290319903589783</v>
          </cell>
          <cell r="AM201">
            <v>28.460323379996769</v>
          </cell>
        </row>
        <row r="202">
          <cell r="A202">
            <v>39939</v>
          </cell>
          <cell r="AI202">
            <v>33.334296604431373</v>
          </cell>
          <cell r="AM202">
            <v>30.701873782735642</v>
          </cell>
        </row>
        <row r="203">
          <cell r="A203">
            <v>39938</v>
          </cell>
          <cell r="AI203">
            <v>34.116934523340973</v>
          </cell>
          <cell r="AM203">
            <v>31.560162598654234</v>
          </cell>
        </row>
        <row r="204">
          <cell r="A204">
            <v>39937</v>
          </cell>
          <cell r="AI204">
            <v>33.151934370899042</v>
          </cell>
          <cell r="AM204">
            <v>30.501884155725488</v>
          </cell>
        </row>
        <row r="205">
          <cell r="A205">
            <v>39934</v>
          </cell>
          <cell r="AI205">
            <v>31.465083710724933</v>
          </cell>
          <cell r="AM205">
            <v>28.651980105881503</v>
          </cell>
        </row>
        <row r="206">
          <cell r="A206">
            <v>39933</v>
          </cell>
          <cell r="AI206">
            <v>32.528863406330224</v>
          </cell>
          <cell r="AM206">
            <v>29.818586263440775</v>
          </cell>
        </row>
        <row r="207">
          <cell r="A207">
            <v>39932</v>
          </cell>
          <cell r="AI207">
            <v>31.510674269108019</v>
          </cell>
          <cell r="AM207">
            <v>28.701977512634041</v>
          </cell>
        </row>
        <row r="208">
          <cell r="A208">
            <v>39931</v>
          </cell>
          <cell r="AI208">
            <v>30.834414319758945</v>
          </cell>
          <cell r="AM208">
            <v>27.960349312471376</v>
          </cell>
        </row>
        <row r="209">
          <cell r="A209">
            <v>39930</v>
          </cell>
          <cell r="AI209">
            <v>30.887603304539212</v>
          </cell>
          <cell r="AM209">
            <v>28.018679620349342</v>
          </cell>
        </row>
        <row r="210">
          <cell r="A210">
            <v>39927</v>
          </cell>
          <cell r="AI210">
            <v>30.52287883747454</v>
          </cell>
          <cell r="AM210">
            <v>27.618700366329019</v>
          </cell>
        </row>
        <row r="211">
          <cell r="A211">
            <v>39926</v>
          </cell>
          <cell r="AI211">
            <v>29.846618888125466</v>
          </cell>
          <cell r="AM211">
            <v>26.877072166166347</v>
          </cell>
        </row>
        <row r="212">
          <cell r="A212">
            <v>39925</v>
          </cell>
          <cell r="AI212">
            <v>30.393705588722469</v>
          </cell>
          <cell r="AM212">
            <v>27.477041047196817</v>
          </cell>
        </row>
        <row r="213">
          <cell r="A213">
            <v>39924</v>
          </cell>
          <cell r="AI213">
            <v>29.474295994663617</v>
          </cell>
          <cell r="AM213">
            <v>26.468760011020603</v>
          </cell>
        </row>
        <row r="214">
          <cell r="A214">
            <v>39923</v>
          </cell>
          <cell r="AI214">
            <v>28.083783963979567</v>
          </cell>
          <cell r="AM214">
            <v>24.943839105068143</v>
          </cell>
        </row>
        <row r="215">
          <cell r="A215">
            <v>39920</v>
          </cell>
          <cell r="AI215">
            <v>29.124768380393306</v>
          </cell>
          <cell r="AM215">
            <v>26.085446559251128</v>
          </cell>
        </row>
        <row r="216">
          <cell r="A216">
            <v>39919</v>
          </cell>
          <cell r="AI216">
            <v>28.737248634137096</v>
          </cell>
          <cell r="AM216">
            <v>25.660468601854543</v>
          </cell>
        </row>
        <row r="217">
          <cell r="A217">
            <v>39918</v>
          </cell>
          <cell r="AI217">
            <v>28.387721019866788</v>
          </cell>
          <cell r="AM217">
            <v>25.277155150085072</v>
          </cell>
        </row>
        <row r="218">
          <cell r="A218">
            <v>39917</v>
          </cell>
          <cell r="AI218">
            <v>28.813232898108904</v>
          </cell>
          <cell r="AM218">
            <v>25.743797613108775</v>
          </cell>
        </row>
        <row r="219">
          <cell r="A219">
            <v>39916</v>
          </cell>
          <cell r="AI219">
            <v>29.063980969215862</v>
          </cell>
          <cell r="AM219">
            <v>26.018783350247741</v>
          </cell>
        </row>
        <row r="220">
          <cell r="A220">
            <v>39912</v>
          </cell>
          <cell r="AI220">
            <v>28.41811472545551</v>
          </cell>
          <cell r="AM220">
            <v>25.310486754586762</v>
          </cell>
        </row>
        <row r="221">
          <cell r="A221">
            <v>39911</v>
          </cell>
          <cell r="AI221">
            <v>28.402917872661153</v>
          </cell>
          <cell r="AM221">
            <v>25.293820952335921</v>
          </cell>
        </row>
        <row r="222">
          <cell r="A222">
            <v>39910</v>
          </cell>
          <cell r="AI222">
            <v>27.825437466475417</v>
          </cell>
          <cell r="AM222">
            <v>24.660520466803742</v>
          </cell>
        </row>
        <row r="223">
          <cell r="A223">
            <v>39909</v>
          </cell>
          <cell r="AI223">
            <v>27.719059496914891</v>
          </cell>
          <cell r="AM223">
            <v>24.543859851047817</v>
          </cell>
        </row>
        <row r="224">
          <cell r="A224">
            <v>39906</v>
          </cell>
          <cell r="AI224">
            <v>28.319335182292168</v>
          </cell>
          <cell r="AM224">
            <v>25.202159039956264</v>
          </cell>
        </row>
        <row r="225">
          <cell r="A225">
            <v>39905</v>
          </cell>
          <cell r="AI225">
            <v>25.948626146371808</v>
          </cell>
          <cell r="AM225">
            <v>22.602293888824189</v>
          </cell>
        </row>
        <row r="226">
          <cell r="A226">
            <v>39904</v>
          </cell>
          <cell r="AI226">
            <v>24.839255892383438</v>
          </cell>
          <cell r="AM226">
            <v>21.385690324512385</v>
          </cell>
        </row>
        <row r="227">
          <cell r="A227">
            <v>39903</v>
          </cell>
          <cell r="AI227">
            <v>24.86964959797216</v>
          </cell>
          <cell r="AM227">
            <v>21.419021929014079</v>
          </cell>
        </row>
        <row r="228">
          <cell r="A228">
            <v>39902</v>
          </cell>
          <cell r="AI228">
            <v>24.748074775617273</v>
          </cell>
          <cell r="AM228">
            <v>21.285695511007308</v>
          </cell>
        </row>
        <row r="229">
          <cell r="A229">
            <v>39899</v>
          </cell>
          <cell r="AI229">
            <v>25.895437161591545</v>
          </cell>
          <cell r="AM229">
            <v>22.543963580946226</v>
          </cell>
        </row>
        <row r="230">
          <cell r="A230">
            <v>39898</v>
          </cell>
          <cell r="AI230">
            <v>27.133980664331986</v>
          </cell>
          <cell r="AM230">
            <v>23.902226464390228</v>
          </cell>
        </row>
        <row r="231">
          <cell r="A231">
            <v>39897</v>
          </cell>
          <cell r="AI231">
            <v>25.925830867180267</v>
          </cell>
          <cell r="AM231">
            <v>22.57729518544792</v>
          </cell>
        </row>
        <row r="232">
          <cell r="A232">
            <v>39896</v>
          </cell>
          <cell r="AI232">
            <v>26.533704978954717</v>
          </cell>
          <cell r="AM232">
            <v>23.243927275481784</v>
          </cell>
        </row>
        <row r="233">
          <cell r="A233">
            <v>39895</v>
          </cell>
          <cell r="AI233">
            <v>28.13697294875983</v>
          </cell>
          <cell r="AM233">
            <v>25.002169412946106</v>
          </cell>
        </row>
        <row r="234">
          <cell r="A234">
            <v>39892</v>
          </cell>
          <cell r="AI234">
            <v>26.412130156599826</v>
          </cell>
          <cell r="AM234">
            <v>23.11060085747501</v>
          </cell>
        </row>
        <row r="235">
          <cell r="A235">
            <v>39891</v>
          </cell>
          <cell r="AI235">
            <v>27.004807415579915</v>
          </cell>
          <cell r="AM235">
            <v>23.76056714525803</v>
          </cell>
        </row>
        <row r="236">
          <cell r="A236">
            <v>39890</v>
          </cell>
          <cell r="AI236">
            <v>26.579295537337796</v>
          </cell>
          <cell r="AM236">
            <v>23.293924682234319</v>
          </cell>
        </row>
        <row r="237">
          <cell r="A237">
            <v>39889</v>
          </cell>
          <cell r="AI237">
            <v>25.804256044825379</v>
          </cell>
          <cell r="AM237">
            <v>22.443968767441149</v>
          </cell>
        </row>
        <row r="238">
          <cell r="A238">
            <v>39888</v>
          </cell>
          <cell r="AI238">
            <v>24.520121983701856</v>
          </cell>
          <cell r="AM238">
            <v>21.035708477244611</v>
          </cell>
        </row>
        <row r="239">
          <cell r="A239">
            <v>39885</v>
          </cell>
          <cell r="AI239">
            <v>24.915240156355246</v>
          </cell>
          <cell r="AM239">
            <v>21.469019335766621</v>
          </cell>
        </row>
        <row r="240">
          <cell r="A240">
            <v>39884</v>
          </cell>
          <cell r="AI240">
            <v>25.728271780853571</v>
          </cell>
          <cell r="AM240">
            <v>22.360639756186917</v>
          </cell>
        </row>
        <row r="241">
          <cell r="A241">
            <v>39883</v>
          </cell>
          <cell r="AI241">
            <v>25.325555181802997</v>
          </cell>
          <cell r="AM241">
            <v>21.918995996539476</v>
          </cell>
        </row>
        <row r="242">
          <cell r="A242">
            <v>39882</v>
          </cell>
          <cell r="AI242">
            <v>24.687287364439829</v>
          </cell>
          <cell r="AM242">
            <v>21.219032302003924</v>
          </cell>
        </row>
        <row r="243">
          <cell r="A243">
            <v>39881</v>
          </cell>
          <cell r="AI243">
            <v>23.471539140890929</v>
          </cell>
          <cell r="AM243">
            <v>19.885768121936195</v>
          </cell>
        </row>
        <row r="244">
          <cell r="A244">
            <v>39878</v>
          </cell>
          <cell r="AI244">
            <v>22.848468176322118</v>
          </cell>
          <cell r="AM244">
            <v>19.202470229651482</v>
          </cell>
        </row>
        <row r="245">
          <cell r="A245">
            <v>39877</v>
          </cell>
          <cell r="AI245">
            <v>22.894058734705201</v>
          </cell>
          <cell r="AM245">
            <v>19.25246763640402</v>
          </cell>
        </row>
        <row r="246">
          <cell r="A246">
            <v>39876</v>
          </cell>
          <cell r="AI246">
            <v>22.810476044336216</v>
          </cell>
          <cell r="AM246">
            <v>19.160805724024367</v>
          </cell>
        </row>
        <row r="247">
          <cell r="A247">
            <v>39875</v>
          </cell>
          <cell r="AI247">
            <v>21.397168734460617</v>
          </cell>
          <cell r="AM247">
            <v>17.610886114695628</v>
          </cell>
        </row>
        <row r="248">
          <cell r="A248">
            <v>39874</v>
          </cell>
          <cell r="AI248">
            <v>20.758900917097446</v>
          </cell>
          <cell r="AM248">
            <v>16.910922420160073</v>
          </cell>
        </row>
        <row r="249">
          <cell r="A249">
            <v>39871</v>
          </cell>
          <cell r="AI249">
            <v>21.27559391210573</v>
          </cell>
          <cell r="AM249">
            <v>17.477559696688857</v>
          </cell>
        </row>
        <row r="250">
          <cell r="A250">
            <v>39870</v>
          </cell>
          <cell r="AI250">
            <v>21.693507363950665</v>
          </cell>
          <cell r="AM250">
            <v>17.93586925858714</v>
          </cell>
        </row>
        <row r="251">
          <cell r="A251">
            <v>39869</v>
          </cell>
          <cell r="AI251">
            <v>21.351578176077535</v>
          </cell>
          <cell r="AM251">
            <v>17.560888707943089</v>
          </cell>
        </row>
        <row r="252">
          <cell r="A252">
            <v>39868</v>
          </cell>
          <cell r="AI252">
            <v>19.564049573136028</v>
          </cell>
          <cell r="AM252">
            <v>16.248262941713698</v>
          </cell>
        </row>
        <row r="253">
          <cell r="A253">
            <v>39867</v>
          </cell>
          <cell r="AI253">
            <v>18.517120091064317</v>
          </cell>
          <cell r="AM253">
            <v>15.11569209591176</v>
          </cell>
        </row>
        <row r="254">
          <cell r="A254">
            <v>39864</v>
          </cell>
          <cell r="AI254">
            <v>18.552729937393284</v>
          </cell>
          <cell r="AM254">
            <v>15.154214913796178</v>
          </cell>
        </row>
        <row r="255">
          <cell r="A255">
            <v>39863</v>
          </cell>
          <cell r="AI255">
            <v>18.467266306203754</v>
          </cell>
          <cell r="AM255">
            <v>15.061760150873569</v>
          </cell>
        </row>
        <row r="256">
          <cell r="A256">
            <v>39862</v>
          </cell>
          <cell r="AI256">
            <v>18.353314797951054</v>
          </cell>
          <cell r="AM256">
            <v>14.938487133643426</v>
          </cell>
        </row>
        <row r="257">
          <cell r="A257">
            <v>39861</v>
          </cell>
          <cell r="AI257">
            <v>18.474388275469554</v>
          </cell>
          <cell r="AM257">
            <v>15.069464714450456</v>
          </cell>
        </row>
        <row r="258">
          <cell r="A258">
            <v>39857</v>
          </cell>
          <cell r="AI258">
            <v>19.129609447922594</v>
          </cell>
          <cell r="AM258">
            <v>15.778284563523776</v>
          </cell>
        </row>
        <row r="259">
          <cell r="A259">
            <v>39856</v>
          </cell>
          <cell r="AI259">
            <v>19.286292771770064</v>
          </cell>
          <cell r="AM259">
            <v>15.947784962215225</v>
          </cell>
        </row>
        <row r="260">
          <cell r="A260">
            <v>39855</v>
          </cell>
          <cell r="AI260">
            <v>19.393122310756972</v>
          </cell>
          <cell r="AM260">
            <v>16.063353415868484</v>
          </cell>
        </row>
        <row r="261">
          <cell r="A261">
            <v>39854</v>
          </cell>
          <cell r="AI261">
            <v>19.122487478656804</v>
          </cell>
          <cell r="AM261">
            <v>15.770579999946895</v>
          </cell>
        </row>
        <row r="262">
          <cell r="A262">
            <v>39853</v>
          </cell>
          <cell r="AI262">
            <v>20.596735116676154</v>
          </cell>
          <cell r="AM262">
            <v>17.365424660361874</v>
          </cell>
        </row>
        <row r="263">
          <cell r="A263">
            <v>39850</v>
          </cell>
          <cell r="AI263">
            <v>20.68219874786568</v>
          </cell>
          <cell r="AM263">
            <v>17.457879423284478</v>
          </cell>
        </row>
        <row r="264">
          <cell r="A264">
            <v>39849</v>
          </cell>
          <cell r="AI264">
            <v>21.878689584519069</v>
          </cell>
          <cell r="AM264">
            <v>18.752246104200985</v>
          </cell>
        </row>
        <row r="265">
          <cell r="A265">
            <v>39848</v>
          </cell>
          <cell r="AI265">
            <v>20.888735856573703</v>
          </cell>
          <cell r="AM265">
            <v>17.681311767014112</v>
          </cell>
        </row>
        <row r="266">
          <cell r="A266">
            <v>39847</v>
          </cell>
          <cell r="AI266">
            <v>21.365907797381901</v>
          </cell>
          <cell r="AM266">
            <v>18.19751752666534</v>
          </cell>
        </row>
        <row r="267">
          <cell r="A267">
            <v>39846</v>
          </cell>
          <cell r="AI267">
            <v>18.97292612407513</v>
          </cell>
          <cell r="AM267">
            <v>15.608784164832331</v>
          </cell>
        </row>
        <row r="268">
          <cell r="A268">
            <v>39843</v>
          </cell>
          <cell r="AI268">
            <v>18.951560216277745</v>
          </cell>
          <cell r="AM268">
            <v>15.585670474101677</v>
          </cell>
        </row>
        <row r="269">
          <cell r="A269">
            <v>39842</v>
          </cell>
          <cell r="AI269">
            <v>19.656635173591351</v>
          </cell>
          <cell r="AM269">
            <v>16.348422268213191</v>
          </cell>
        </row>
        <row r="270">
          <cell r="A270">
            <v>39841</v>
          </cell>
          <cell r="AI270">
            <v>20.93146767216847</v>
          </cell>
          <cell r="AM270">
            <v>17.727539148475419</v>
          </cell>
        </row>
        <row r="271">
          <cell r="A271">
            <v>39840</v>
          </cell>
          <cell r="AI271">
            <v>19.514195788275469</v>
          </cell>
          <cell r="AM271">
            <v>16.194330996675511</v>
          </cell>
        </row>
        <row r="272">
          <cell r="A272">
            <v>39839</v>
          </cell>
          <cell r="AI272">
            <v>19.58541548093341</v>
          </cell>
          <cell r="AM272">
            <v>16.271376632444351</v>
          </cell>
        </row>
        <row r="273">
          <cell r="A273">
            <v>39836</v>
          </cell>
          <cell r="AI273">
            <v>19.293414741035857</v>
          </cell>
          <cell r="AM273">
            <v>15.955489525792109</v>
          </cell>
        </row>
        <row r="274">
          <cell r="A274">
            <v>39835</v>
          </cell>
          <cell r="AI274">
            <v>18.858974615822426</v>
          </cell>
          <cell r="AM274">
            <v>15.485511147602187</v>
          </cell>
        </row>
        <row r="275">
          <cell r="A275">
            <v>39834</v>
          </cell>
          <cell r="AI275">
            <v>19.635269265793966</v>
          </cell>
          <cell r="AM275">
            <v>16.325308577482538</v>
          </cell>
        </row>
        <row r="276">
          <cell r="A276">
            <v>39833</v>
          </cell>
          <cell r="AI276">
            <v>18.566973875924873</v>
          </cell>
          <cell r="AM276">
            <v>15.169624040949946</v>
          </cell>
        </row>
        <row r="277">
          <cell r="A277">
            <v>39829</v>
          </cell>
          <cell r="AI277">
            <v>20.03409954467843</v>
          </cell>
          <cell r="AM277">
            <v>16.756764137788039</v>
          </cell>
        </row>
        <row r="278">
          <cell r="A278">
            <v>39828</v>
          </cell>
          <cell r="AI278">
            <v>19.720732896983495</v>
          </cell>
          <cell r="AM278">
            <v>16.417763340405145</v>
          </cell>
        </row>
        <row r="279">
          <cell r="A279">
            <v>39827</v>
          </cell>
          <cell r="AI279">
            <v>19.841806374501992</v>
          </cell>
          <cell r="AM279">
            <v>16.548740921212172</v>
          </cell>
        </row>
        <row r="280">
          <cell r="A280">
            <v>39826</v>
          </cell>
          <cell r="AI280">
            <v>21.102394934547522</v>
          </cell>
          <cell r="AM280">
            <v>17.912448674320633</v>
          </cell>
        </row>
        <row r="281">
          <cell r="A281">
            <v>39825</v>
          </cell>
          <cell r="AI281">
            <v>21.971275184974392</v>
          </cell>
          <cell r="AM281">
            <v>18.852405430700479</v>
          </cell>
        </row>
        <row r="282">
          <cell r="A282">
            <v>39822</v>
          </cell>
          <cell r="AI282">
            <v>22.455569095048379</v>
          </cell>
          <cell r="AM282">
            <v>19.376315753928587</v>
          </cell>
        </row>
        <row r="283">
          <cell r="A283">
            <v>39821</v>
          </cell>
          <cell r="AI283">
            <v>23.438400853727945</v>
          </cell>
          <cell r="AM283">
            <v>20.43954552753857</v>
          </cell>
        </row>
        <row r="284">
          <cell r="A284">
            <v>39820</v>
          </cell>
          <cell r="AI284">
            <v>22.790301650540695</v>
          </cell>
          <cell r="AM284">
            <v>19.738430242042131</v>
          </cell>
        </row>
        <row r="285">
          <cell r="A285">
            <v>39819</v>
          </cell>
          <cell r="AI285">
            <v>24.64201365964713</v>
          </cell>
          <cell r="AM285">
            <v>21.741616772031961</v>
          </cell>
        </row>
        <row r="286">
          <cell r="A286">
            <v>39818</v>
          </cell>
          <cell r="AI286">
            <v>23.751767501422883</v>
          </cell>
          <cell r="AM286">
            <v>20.778546324921464</v>
          </cell>
        </row>
        <row r="287">
          <cell r="A287">
            <v>39815</v>
          </cell>
          <cell r="AI287">
            <v>24.228939442231077</v>
          </cell>
          <cell r="AM287">
            <v>21.294752084572689</v>
          </cell>
        </row>
        <row r="288">
          <cell r="A288">
            <v>39813</v>
          </cell>
          <cell r="AI288">
            <v>22.797423619806487</v>
          </cell>
          <cell r="AM288">
            <v>19.746134805619011</v>
          </cell>
        </row>
        <row r="289">
          <cell r="A289">
            <v>39812</v>
          </cell>
          <cell r="AI289">
            <v>22.049616846898122</v>
          </cell>
          <cell r="AM289">
            <v>18.937155630046199</v>
          </cell>
        </row>
        <row r="290">
          <cell r="A290">
            <v>39811</v>
          </cell>
          <cell r="AI290">
            <v>22.02825093910074</v>
          </cell>
          <cell r="AM290">
            <v>18.914041939315545</v>
          </cell>
        </row>
        <row r="291">
          <cell r="A291">
            <v>39808</v>
          </cell>
          <cell r="AI291">
            <v>22.377227433124645</v>
          </cell>
          <cell r="AM291">
            <v>19.29156555458286</v>
          </cell>
        </row>
        <row r="292">
          <cell r="A292">
            <v>39806</v>
          </cell>
          <cell r="AI292">
            <v>22.469813033579968</v>
          </cell>
          <cell r="AM292">
            <v>19.39172488108235</v>
          </cell>
        </row>
        <row r="293">
          <cell r="A293">
            <v>39805</v>
          </cell>
          <cell r="AI293">
            <v>22.491178941377346</v>
          </cell>
          <cell r="AM293">
            <v>19.414838571813</v>
          </cell>
        </row>
        <row r="294">
          <cell r="A294">
            <v>39804</v>
          </cell>
          <cell r="AI294">
            <v>22.142202447353444</v>
          </cell>
          <cell r="AM294">
            <v>19.037314956545693</v>
          </cell>
        </row>
        <row r="295">
          <cell r="A295">
            <v>39801</v>
          </cell>
          <cell r="AI295">
            <v>23.003960728514514</v>
          </cell>
          <cell r="AM295">
            <v>19.969567149348649</v>
          </cell>
        </row>
        <row r="296">
          <cell r="A296">
            <v>39800</v>
          </cell>
          <cell r="AI296">
            <v>22.897131189527602</v>
          </cell>
          <cell r="AM296">
            <v>19.853998695695388</v>
          </cell>
        </row>
        <row r="297">
          <cell r="A297">
            <v>39799</v>
          </cell>
          <cell r="AI297">
            <v>23.630694023904386</v>
          </cell>
          <cell r="AM297">
            <v>20.647568744114437</v>
          </cell>
        </row>
        <row r="298">
          <cell r="A298">
            <v>39798</v>
          </cell>
          <cell r="AI298">
            <v>23.303083437677859</v>
          </cell>
          <cell r="AM298">
            <v>20.293158819577773</v>
          </cell>
        </row>
        <row r="299">
          <cell r="A299">
            <v>39797</v>
          </cell>
          <cell r="AI299">
            <v>21.729128229937395</v>
          </cell>
          <cell r="AM299">
            <v>18.590450269086421</v>
          </cell>
        </row>
        <row r="300">
          <cell r="A300">
            <v>39794</v>
          </cell>
          <cell r="AI300">
            <v>22.754691804211724</v>
          </cell>
          <cell r="AM300">
            <v>19.699907424157708</v>
          </cell>
        </row>
        <row r="301">
          <cell r="A301">
            <v>39793</v>
          </cell>
          <cell r="AI301">
            <v>22.44132515651679</v>
          </cell>
          <cell r="AM301">
            <v>19.360906626774817</v>
          </cell>
        </row>
        <row r="302">
          <cell r="A302">
            <v>39792</v>
          </cell>
          <cell r="AI302">
            <v>24.627769721115534</v>
          </cell>
          <cell r="AM302">
            <v>21.726207644878187</v>
          </cell>
        </row>
        <row r="303">
          <cell r="A303">
            <v>39791</v>
          </cell>
          <cell r="AI303">
            <v>23.744645532157087</v>
          </cell>
          <cell r="AM303">
            <v>20.770841761344581</v>
          </cell>
        </row>
        <row r="304">
          <cell r="A304">
            <v>39790</v>
          </cell>
          <cell r="AI304">
            <v>24.812940922026186</v>
          </cell>
          <cell r="AM304">
            <v>21.926526297877178</v>
          </cell>
        </row>
        <row r="305">
          <cell r="A305">
            <v>39787</v>
          </cell>
          <cell r="AI305">
            <v>22.192056232214004</v>
          </cell>
          <cell r="AM305">
            <v>19.091246901583879</v>
          </cell>
        </row>
        <row r="306">
          <cell r="A306">
            <v>39786</v>
          </cell>
          <cell r="AI306">
            <v>20.418685885031305</v>
          </cell>
          <cell r="AM306">
            <v>17.172810570939774</v>
          </cell>
        </row>
        <row r="307">
          <cell r="A307">
            <v>39785</v>
          </cell>
          <cell r="AI307">
            <v>22.598008480364257</v>
          </cell>
          <cell r="AM307">
            <v>19.530407025466264</v>
          </cell>
        </row>
        <row r="308">
          <cell r="A308">
            <v>39784</v>
          </cell>
          <cell r="AI308">
            <v>20.703564655663062</v>
          </cell>
          <cell r="AM308">
            <v>17.480993114015131</v>
          </cell>
        </row>
        <row r="309">
          <cell r="A309">
            <v>39783</v>
          </cell>
          <cell r="AI309">
            <v>19.193707171314742</v>
          </cell>
          <cell r="AM309">
            <v>15.847625635715731</v>
          </cell>
        </row>
        <row r="310">
          <cell r="A310">
            <v>39780</v>
          </cell>
          <cell r="AI310">
            <v>20.383076038702335</v>
          </cell>
          <cell r="AM310">
            <v>17.134287753055354</v>
          </cell>
        </row>
        <row r="311">
          <cell r="A311">
            <v>39778</v>
          </cell>
          <cell r="AI311">
            <v>20.575369208878772</v>
          </cell>
          <cell r="AM311">
            <v>17.342310969631221</v>
          </cell>
        </row>
        <row r="312">
          <cell r="A312">
            <v>39777</v>
          </cell>
          <cell r="AI312">
            <v>18.495754183266932</v>
          </cell>
          <cell r="AM312">
            <v>15.092578405181106</v>
          </cell>
        </row>
        <row r="313">
          <cell r="A313">
            <v>39776</v>
          </cell>
          <cell r="AI313">
            <v>18.937316277746159</v>
          </cell>
          <cell r="AM313">
            <v>15.570261346947913</v>
          </cell>
        </row>
        <row r="314">
          <cell r="A314">
            <v>39773</v>
          </cell>
          <cell r="AI314">
            <v>15.896235401252135</v>
          </cell>
          <cell r="AM314">
            <v>12.280412699618463</v>
          </cell>
        </row>
        <row r="315">
          <cell r="A315">
            <v>39772</v>
          </cell>
          <cell r="AI315">
            <v>16.259455833807625</v>
          </cell>
          <cell r="AM315">
            <v>12.673345442039544</v>
          </cell>
        </row>
        <row r="316">
          <cell r="A316">
            <v>39771</v>
          </cell>
          <cell r="AI316">
            <v>15.639844507683554</v>
          </cell>
          <cell r="AM316">
            <v>12.003048410850642</v>
          </cell>
        </row>
        <row r="317">
          <cell r="A317">
            <v>39770</v>
          </cell>
          <cell r="AI317">
            <v>12.925157691275558</v>
          </cell>
          <cell r="AM317">
            <v>9.8737807264376531</v>
          </cell>
        </row>
        <row r="318">
          <cell r="A318">
            <v>39769</v>
          </cell>
          <cell r="AI318">
            <v>13.897259887384099</v>
          </cell>
          <cell r="AM318">
            <v>10.89722177672456</v>
          </cell>
        </row>
        <row r="319">
          <cell r="A319">
            <v>39766</v>
          </cell>
          <cell r="AI319">
            <v>14.337149707969525</v>
          </cell>
          <cell r="AM319">
            <v>11.3603431458488</v>
          </cell>
        </row>
        <row r="320">
          <cell r="A320">
            <v>39765</v>
          </cell>
          <cell r="AI320">
            <v>14.869362083492637</v>
          </cell>
          <cell r="AM320">
            <v>11.920662827011467</v>
          </cell>
        </row>
        <row r="321">
          <cell r="A321">
            <v>39764</v>
          </cell>
          <cell r="AI321">
            <v>13.212986833140096</v>
          </cell>
          <cell r="AM321">
            <v>10.176810758086846</v>
          </cell>
        </row>
        <row r="322">
          <cell r="A322">
            <v>39763</v>
          </cell>
          <cell r="AI322">
            <v>14.53808703342213</v>
          </cell>
          <cell r="AM322">
            <v>11.571892413226543</v>
          </cell>
        </row>
        <row r="323">
          <cell r="A323">
            <v>39762</v>
          </cell>
          <cell r="AI323">
            <v>15.379851504912764</v>
          </cell>
          <cell r="AM323">
            <v>12.458112317106268</v>
          </cell>
        </row>
        <row r="324">
          <cell r="A324">
            <v>39759</v>
          </cell>
          <cell r="AI324">
            <v>15.510189229530669</v>
          </cell>
          <cell r="AM324">
            <v>12.59533346351345</v>
          </cell>
        </row>
        <row r="325">
          <cell r="A325">
            <v>39758</v>
          </cell>
          <cell r="AI325">
            <v>15.396143720490004</v>
          </cell>
          <cell r="AM325">
            <v>12.475264960407166</v>
          </cell>
        </row>
        <row r="326">
          <cell r="A326">
            <v>39757</v>
          </cell>
          <cell r="AI326">
            <v>16.183600806723177</v>
          </cell>
          <cell r="AM326">
            <v>13.304309386617231</v>
          </cell>
        </row>
        <row r="327">
          <cell r="A327">
            <v>39756</v>
          </cell>
          <cell r="AI327">
            <v>17.123118571677242</v>
          </cell>
          <cell r="AM327">
            <v>14.293445150302343</v>
          </cell>
        </row>
        <row r="328">
          <cell r="A328">
            <v>39755</v>
          </cell>
          <cell r="AI328">
            <v>16.612629150257114</v>
          </cell>
          <cell r="AM328">
            <v>13.755995660207541</v>
          </cell>
        </row>
        <row r="329">
          <cell r="A329">
            <v>39752</v>
          </cell>
          <cell r="AI329">
            <v>16.813566475709717</v>
          </cell>
          <cell r="AM329">
            <v>13.967544927585283</v>
          </cell>
        </row>
        <row r="330">
          <cell r="A330">
            <v>39751</v>
          </cell>
          <cell r="AI330">
            <v>16.574613980576892</v>
          </cell>
          <cell r="AM330">
            <v>13.715972825838779</v>
          </cell>
        </row>
        <row r="331">
          <cell r="A331">
            <v>39750</v>
          </cell>
          <cell r="AI331">
            <v>16.324800008392572</v>
          </cell>
          <cell r="AM331">
            <v>13.452965628558344</v>
          </cell>
        </row>
        <row r="332">
          <cell r="A332">
            <v>39749</v>
          </cell>
          <cell r="AI332">
            <v>15.515619968056416</v>
          </cell>
          <cell r="AM332">
            <v>12.601051011280417</v>
          </cell>
        </row>
        <row r="333">
          <cell r="A333">
            <v>39748</v>
          </cell>
          <cell r="AI333">
            <v>13.745199208663207</v>
          </cell>
          <cell r="AM333">
            <v>10.73713043924951</v>
          </cell>
        </row>
        <row r="334">
          <cell r="A334">
            <v>39745</v>
          </cell>
          <cell r="AI334">
            <v>14.489210386690415</v>
          </cell>
          <cell r="AM334">
            <v>11.520434483323848</v>
          </cell>
        </row>
        <row r="335">
          <cell r="A335">
            <v>39744</v>
          </cell>
          <cell r="AI335">
            <v>14.777039528554955</v>
          </cell>
          <cell r="AM335">
            <v>11.823464514973045</v>
          </cell>
        </row>
        <row r="336">
          <cell r="A336">
            <v>39743</v>
          </cell>
          <cell r="AI336">
            <v>14.95082316137883</v>
          </cell>
          <cell r="AM336">
            <v>12.006426043515958</v>
          </cell>
        </row>
        <row r="337">
          <cell r="A337">
            <v>39742</v>
          </cell>
          <cell r="AI337">
            <v>16.28678483871235</v>
          </cell>
          <cell r="AM337">
            <v>13.412942794189583</v>
          </cell>
        </row>
        <row r="338">
          <cell r="A338">
            <v>39741</v>
          </cell>
          <cell r="AI338">
            <v>17.280609988923874</v>
          </cell>
          <cell r="AM338">
            <v>14.459254035544355</v>
          </cell>
        </row>
        <row r="339">
          <cell r="A339">
            <v>39738</v>
          </cell>
          <cell r="AI339">
            <v>17.155703002831718</v>
          </cell>
          <cell r="AM339">
            <v>14.327750436904138</v>
          </cell>
        </row>
        <row r="340">
          <cell r="A340">
            <v>39737</v>
          </cell>
          <cell r="AI340">
            <v>17.644469470148863</v>
          </cell>
          <cell r="AM340">
            <v>14.842329735931077</v>
          </cell>
        </row>
        <row r="341">
          <cell r="A341">
            <v>39736</v>
          </cell>
          <cell r="AI341">
            <v>16.791843521606733</v>
          </cell>
          <cell r="AM341">
            <v>13.944674736517419</v>
          </cell>
        </row>
        <row r="342">
          <cell r="A342">
            <v>39735</v>
          </cell>
          <cell r="AI342">
            <v>19.496351307428256</v>
          </cell>
          <cell r="AM342">
            <v>16.792013524466466</v>
          </cell>
        </row>
        <row r="343">
          <cell r="A343">
            <v>39734</v>
          </cell>
          <cell r="AI343">
            <v>20.49017645763978</v>
          </cell>
          <cell r="AM343">
            <v>17.838324765821241</v>
          </cell>
        </row>
        <row r="344">
          <cell r="A344">
            <v>39731</v>
          </cell>
          <cell r="AI344">
            <v>17.682484639829084</v>
          </cell>
          <cell r="AM344">
            <v>14.882352570299837</v>
          </cell>
        </row>
        <row r="345">
          <cell r="A345">
            <v>39730</v>
          </cell>
          <cell r="AI345">
            <v>18.448218771959272</v>
          </cell>
          <cell r="AM345">
            <v>15.688526805442038</v>
          </cell>
        </row>
        <row r="346">
          <cell r="A346">
            <v>39729</v>
          </cell>
          <cell r="AI346">
            <v>19.822195618973019</v>
          </cell>
          <cell r="AM346">
            <v>17.135066390484425</v>
          </cell>
        </row>
        <row r="347">
          <cell r="A347">
            <v>39728</v>
          </cell>
          <cell r="AI347">
            <v>19.518074261531243</v>
          </cell>
          <cell r="AM347">
            <v>16.814883715534332</v>
          </cell>
        </row>
        <row r="348">
          <cell r="A348">
            <v>39727</v>
          </cell>
          <cell r="AI348">
            <v>21.94018364401397</v>
          </cell>
          <cell r="AM348">
            <v>19.364910019601147</v>
          </cell>
        </row>
        <row r="349">
          <cell r="A349">
            <v>39724</v>
          </cell>
          <cell r="AI349">
            <v>22.575580051526256</v>
          </cell>
          <cell r="AM349">
            <v>20.033863108336167</v>
          </cell>
        </row>
        <row r="350">
          <cell r="A350">
            <v>39723</v>
          </cell>
          <cell r="AI350">
            <v>23.99843354527172</v>
          </cell>
          <cell r="AM350">
            <v>21.531860623281251</v>
          </cell>
        </row>
        <row r="351">
          <cell r="A351">
            <v>39722</v>
          </cell>
          <cell r="AI351">
            <v>25.204057497987332</v>
          </cell>
          <cell r="AM351">
            <v>22.80115622754769</v>
          </cell>
        </row>
        <row r="352">
          <cell r="A352">
            <v>39721</v>
          </cell>
          <cell r="AI352">
            <v>26.284774464610795</v>
          </cell>
          <cell r="AM352">
            <v>23.938948233173921</v>
          </cell>
        </row>
        <row r="353">
          <cell r="A353">
            <v>39720</v>
          </cell>
          <cell r="AI353">
            <v>24.307985641239242</v>
          </cell>
          <cell r="AM353">
            <v>21.857760845998314</v>
          </cell>
        </row>
        <row r="354">
          <cell r="A354">
            <v>39717</v>
          </cell>
          <cell r="AI354">
            <v>27.506690632903656</v>
          </cell>
          <cell r="AM354">
            <v>25.225396480741267</v>
          </cell>
        </row>
        <row r="355">
          <cell r="A355">
            <v>39716</v>
          </cell>
          <cell r="AI355">
            <v>28.261563287982352</v>
          </cell>
          <cell r="AM355">
            <v>26.020135620349532</v>
          </cell>
        </row>
        <row r="356">
          <cell r="A356">
            <v>39715</v>
          </cell>
          <cell r="AI356">
            <v>27.691335742779021</v>
          </cell>
          <cell r="AM356">
            <v>25.419793104818112</v>
          </cell>
        </row>
        <row r="357">
          <cell r="A357">
            <v>39714</v>
          </cell>
          <cell r="AI357">
            <v>28.364747319971524</v>
          </cell>
          <cell r="AM357">
            <v>26.128769027921887</v>
          </cell>
        </row>
        <row r="358">
          <cell r="A358">
            <v>39713</v>
          </cell>
          <cell r="AI358">
            <v>28.440777659331971</v>
          </cell>
          <cell r="AM358">
            <v>26.20881469665941</v>
          </cell>
        </row>
        <row r="359">
          <cell r="A359">
            <v>39710</v>
          </cell>
          <cell r="AI359">
            <v>30.308951712188609</v>
          </cell>
          <cell r="AM359">
            <v>28.175651128495701</v>
          </cell>
        </row>
        <row r="360">
          <cell r="A360">
            <v>39709</v>
          </cell>
          <cell r="AI360">
            <v>30.037414785901305</v>
          </cell>
          <cell r="AM360">
            <v>27.889773740147401</v>
          </cell>
        </row>
        <row r="361">
          <cell r="A361">
            <v>39708</v>
          </cell>
          <cell r="AI361">
            <v>28.956697819277849</v>
          </cell>
          <cell r="AM361">
            <v>26.751981734521184</v>
          </cell>
        </row>
        <row r="362">
          <cell r="A362">
            <v>39707</v>
          </cell>
          <cell r="AI362">
            <v>30.542473468795688</v>
          </cell>
          <cell r="AM362">
            <v>28.421505682475242</v>
          </cell>
        </row>
        <row r="363">
          <cell r="A363">
            <v>39706</v>
          </cell>
          <cell r="AI363">
            <v>29.760447121088259</v>
          </cell>
          <cell r="AM363">
            <v>27.598178804032138</v>
          </cell>
        </row>
        <row r="364">
          <cell r="A364">
            <v>39703</v>
          </cell>
          <cell r="AI364">
            <v>31.063824367267305</v>
          </cell>
          <cell r="AM364">
            <v>28.970390268103973</v>
          </cell>
        </row>
        <row r="365">
          <cell r="A365">
            <v>39702</v>
          </cell>
          <cell r="AI365">
            <v>31.498283449326987</v>
          </cell>
          <cell r="AM365">
            <v>29.427794089461251</v>
          </cell>
        </row>
        <row r="366">
          <cell r="A366">
            <v>39701</v>
          </cell>
          <cell r="AI366">
            <v>30.461012390909499</v>
          </cell>
          <cell r="AM366">
            <v>28.335742465970753</v>
          </cell>
        </row>
        <row r="367">
          <cell r="A367">
            <v>39700</v>
          </cell>
          <cell r="AI367">
            <v>28.294147719136831</v>
          </cell>
          <cell r="AM367">
            <v>26.054440906951331</v>
          </cell>
        </row>
        <row r="368">
          <cell r="A368">
            <v>39699</v>
          </cell>
          <cell r="AI368">
            <v>29.787600813716988</v>
          </cell>
          <cell r="AM368">
            <v>27.626766542866971</v>
          </cell>
        </row>
        <row r="369">
          <cell r="A369">
            <v>39696</v>
          </cell>
          <cell r="AI369">
            <v>29.570371272687147</v>
          </cell>
          <cell r="AM369">
            <v>27.398064632188337</v>
          </cell>
        </row>
        <row r="370">
          <cell r="A370">
            <v>39695</v>
          </cell>
          <cell r="AI370">
            <v>29.271680653771114</v>
          </cell>
          <cell r="AM370">
            <v>27.083599505005203</v>
          </cell>
        </row>
        <row r="371">
          <cell r="A371">
            <v>39694</v>
          </cell>
          <cell r="AI371">
            <v>29.315126561977081</v>
          </cell>
          <cell r="AM371">
            <v>27.129339887140929</v>
          </cell>
        </row>
        <row r="372">
          <cell r="A372">
            <v>39693</v>
          </cell>
          <cell r="AI372">
            <v>29.95052296948937</v>
          </cell>
          <cell r="AM372">
            <v>27.798292975875949</v>
          </cell>
        </row>
        <row r="373">
          <cell r="A373">
            <v>39689</v>
          </cell>
          <cell r="AI373">
            <v>30.422997221229277</v>
          </cell>
          <cell r="AM373">
            <v>28.29571963160199</v>
          </cell>
        </row>
        <row r="374">
          <cell r="A374">
            <v>39688</v>
          </cell>
          <cell r="AI374">
            <v>31.335361293554609</v>
          </cell>
          <cell r="AM374">
            <v>29.256267656452273</v>
          </cell>
        </row>
        <row r="375">
          <cell r="A375">
            <v>39687</v>
          </cell>
          <cell r="AI375">
            <v>30.960640335278132</v>
          </cell>
          <cell r="AM375">
            <v>28.861756860531621</v>
          </cell>
        </row>
        <row r="376">
          <cell r="A376">
            <v>39686</v>
          </cell>
          <cell r="AI376">
            <v>30.716257101619561</v>
          </cell>
          <cell r="AM376">
            <v>28.604467211018154</v>
          </cell>
        </row>
        <row r="377">
          <cell r="A377">
            <v>39685</v>
          </cell>
          <cell r="AI377">
            <v>30.69996488604232</v>
          </cell>
          <cell r="AM377">
            <v>28.587314567717254</v>
          </cell>
        </row>
        <row r="378">
          <cell r="A378">
            <v>39682</v>
          </cell>
          <cell r="AI378">
            <v>30.395843528600544</v>
          </cell>
          <cell r="AM378">
            <v>28.267131892767157</v>
          </cell>
        </row>
        <row r="379">
          <cell r="A379">
            <v>39681</v>
          </cell>
          <cell r="AI379">
            <v>26.365892542514388</v>
          </cell>
          <cell r="AM379">
            <v>24.494917420554124</v>
          </cell>
        </row>
        <row r="380">
          <cell r="A380">
            <v>39680</v>
          </cell>
          <cell r="AI380">
            <v>32.332258836172571</v>
          </cell>
          <cell r="AM380">
            <v>30.742783308898641</v>
          </cell>
        </row>
        <row r="381">
          <cell r="A381">
            <v>39679</v>
          </cell>
          <cell r="AI381">
            <v>32.421382979978254</v>
          </cell>
          <cell r="AM381">
            <v>30.836112425902961</v>
          </cell>
        </row>
        <row r="382">
          <cell r="A382">
            <v>39678</v>
          </cell>
          <cell r="AI382">
            <v>32.005470308885073</v>
          </cell>
          <cell r="AM382">
            <v>30.40057654654948</v>
          </cell>
        </row>
        <row r="383">
          <cell r="A383">
            <v>39675</v>
          </cell>
          <cell r="AI383">
            <v>32.832344309748905</v>
          </cell>
          <cell r="AM383">
            <v>31.266463354311753</v>
          </cell>
        </row>
        <row r="384">
          <cell r="A384">
            <v>39674</v>
          </cell>
          <cell r="AI384">
            <v>33.282916370099855</v>
          </cell>
          <cell r="AM384">
            <v>31.738293890278019</v>
          </cell>
        </row>
        <row r="385">
          <cell r="A385">
            <v>39673</v>
          </cell>
          <cell r="AI385">
            <v>34.23852524534967</v>
          </cell>
          <cell r="AM385">
            <v>32.738989422602074</v>
          </cell>
        </row>
        <row r="386">
          <cell r="A386">
            <v>39672</v>
          </cell>
          <cell r="AI386">
            <v>34.817832180086604</v>
          </cell>
          <cell r="AM386">
            <v>33.34562868313013</v>
          </cell>
        </row>
        <row r="387">
          <cell r="A387">
            <v>39671</v>
          </cell>
          <cell r="AI387">
            <v>34.872296934634527</v>
          </cell>
          <cell r="AM387">
            <v>33.402663143521664</v>
          </cell>
        </row>
        <row r="388">
          <cell r="A388">
            <v>39668</v>
          </cell>
          <cell r="AI388">
            <v>34.456384263541338</v>
          </cell>
          <cell r="AM388">
            <v>32.967127264168184</v>
          </cell>
        </row>
        <row r="389">
          <cell r="A389">
            <v>39667</v>
          </cell>
          <cell r="AI389">
            <v>33.480970023001369</v>
          </cell>
          <cell r="AM389">
            <v>31.94569192806539</v>
          </cell>
        </row>
        <row r="390">
          <cell r="A390">
            <v>39666</v>
          </cell>
          <cell r="AI390">
            <v>33.946396107319934</v>
          </cell>
          <cell r="AM390">
            <v>32.433077316865706</v>
          </cell>
        </row>
        <row r="391">
          <cell r="A391">
            <v>39665</v>
          </cell>
          <cell r="AI391">
            <v>33.773099161031105</v>
          </cell>
          <cell r="AM391">
            <v>32.251604033801755</v>
          </cell>
        </row>
        <row r="392">
          <cell r="A392">
            <v>39664</v>
          </cell>
          <cell r="AI392">
            <v>32.208475303109125</v>
          </cell>
          <cell r="AM392">
            <v>30.613159535281532</v>
          </cell>
        </row>
        <row r="393">
          <cell r="A393">
            <v>39661</v>
          </cell>
          <cell r="AI393">
            <v>31.832173362596247</v>
          </cell>
          <cell r="AM393">
            <v>30.219103263485536</v>
          </cell>
        </row>
        <row r="394">
          <cell r="A394">
            <v>39660</v>
          </cell>
          <cell r="AI394">
            <v>31.584606296469349</v>
          </cell>
          <cell r="AM394">
            <v>29.959855716251319</v>
          </cell>
        </row>
        <row r="395">
          <cell r="A395">
            <v>39659</v>
          </cell>
          <cell r="AI395">
            <v>32.149059207238679</v>
          </cell>
          <cell r="AM395">
            <v>30.550940123945331</v>
          </cell>
        </row>
        <row r="396">
          <cell r="A396">
            <v>39658</v>
          </cell>
          <cell r="AI396">
            <v>31.549946907211581</v>
          </cell>
          <cell r="AM396">
            <v>29.92356105963853</v>
          </cell>
        </row>
        <row r="397">
          <cell r="A397">
            <v>39657</v>
          </cell>
          <cell r="AI397">
            <v>31.020153385700024</v>
          </cell>
          <cell r="AM397">
            <v>29.368771308557314</v>
          </cell>
        </row>
        <row r="398">
          <cell r="A398">
            <v>39654</v>
          </cell>
          <cell r="AI398">
            <v>31.564800931179196</v>
          </cell>
          <cell r="AM398">
            <v>29.939115912472584</v>
          </cell>
        </row>
        <row r="399">
          <cell r="A399">
            <v>39653</v>
          </cell>
          <cell r="AI399">
            <v>31.416260691503062</v>
          </cell>
          <cell r="AM399">
            <v>29.783567384132059</v>
          </cell>
        </row>
        <row r="400">
          <cell r="A400">
            <v>39652</v>
          </cell>
          <cell r="AI400">
            <v>31.980713602272381</v>
          </cell>
          <cell r="AM400">
            <v>30.374651791826061</v>
          </cell>
        </row>
        <row r="401">
          <cell r="A401">
            <v>39651</v>
          </cell>
          <cell r="AI401">
            <v>32.520409806429015</v>
          </cell>
          <cell r="AM401">
            <v>30.939811444796646</v>
          </cell>
        </row>
        <row r="402">
          <cell r="A402">
            <v>39650</v>
          </cell>
          <cell r="AI402">
            <v>34.352406095768039</v>
          </cell>
          <cell r="AM402">
            <v>32.85824329432981</v>
          </cell>
        </row>
        <row r="403">
          <cell r="A403">
            <v>39647</v>
          </cell>
          <cell r="AI403">
            <v>35.025788515633202</v>
          </cell>
          <cell r="AM403">
            <v>33.56339662280687</v>
          </cell>
        </row>
        <row r="404">
          <cell r="A404">
            <v>39646</v>
          </cell>
          <cell r="AI404">
            <v>34.471238287508953</v>
          </cell>
          <cell r="AM404">
            <v>32.982682117002234</v>
          </cell>
        </row>
        <row r="405">
          <cell r="A405">
            <v>39645</v>
          </cell>
          <cell r="AI405">
            <v>33.173986861004018</v>
          </cell>
          <cell r="AM405">
            <v>31.624224969494961</v>
          </cell>
        </row>
        <row r="406">
          <cell r="A406">
            <v>39644</v>
          </cell>
          <cell r="AI406">
            <v>31.386552643567832</v>
          </cell>
          <cell r="AM406">
            <v>29.752457678463951</v>
          </cell>
        </row>
        <row r="407">
          <cell r="A407">
            <v>39643</v>
          </cell>
          <cell r="AI407">
            <v>30.881515828668963</v>
          </cell>
          <cell r="AM407">
            <v>29.223592682106158</v>
          </cell>
        </row>
        <row r="408">
          <cell r="A408">
            <v>39640</v>
          </cell>
          <cell r="AI408">
            <v>31.332087889019913</v>
          </cell>
          <cell r="AM408">
            <v>29.695423218072424</v>
          </cell>
        </row>
        <row r="409">
          <cell r="A409">
            <v>39639</v>
          </cell>
          <cell r="AI409">
            <v>32.134205183271064</v>
          </cell>
          <cell r="AM409">
            <v>30.535385271111277</v>
          </cell>
        </row>
        <row r="410">
          <cell r="A410">
            <v>39638</v>
          </cell>
          <cell r="AI410">
            <v>32.292648105592271</v>
          </cell>
          <cell r="AM410">
            <v>30.701303701341168</v>
          </cell>
        </row>
        <row r="411">
          <cell r="A411">
            <v>39637</v>
          </cell>
          <cell r="AI411">
            <v>33.084862717198334</v>
          </cell>
          <cell r="AM411">
            <v>31.530895852490644</v>
          </cell>
        </row>
        <row r="412">
          <cell r="A412">
            <v>39636</v>
          </cell>
          <cell r="AI412">
            <v>33.243305639519548</v>
          </cell>
          <cell r="AM412">
            <v>31.696814282720542</v>
          </cell>
        </row>
        <row r="413">
          <cell r="A413">
            <v>39632</v>
          </cell>
          <cell r="AI413">
            <v>33.436407951098531</v>
          </cell>
          <cell r="AM413">
            <v>31.899027369563228</v>
          </cell>
        </row>
        <row r="414">
          <cell r="A414">
            <v>39631</v>
          </cell>
          <cell r="AI414">
            <v>34.609875844540021</v>
          </cell>
          <cell r="AM414">
            <v>33.127860743453404</v>
          </cell>
        </row>
        <row r="415">
          <cell r="A415">
            <v>39630</v>
          </cell>
          <cell r="AI415">
            <v>34.718805353635851</v>
          </cell>
          <cell r="AM415">
            <v>33.241929664236451</v>
          </cell>
        </row>
        <row r="416">
          <cell r="A416">
            <v>39629</v>
          </cell>
          <cell r="AI416">
            <v>33.783001843676182</v>
          </cell>
          <cell r="AM416">
            <v>32.261973935691124</v>
          </cell>
        </row>
        <row r="417">
          <cell r="A417">
            <v>39626</v>
          </cell>
          <cell r="AI417">
            <v>33.976104155255165</v>
          </cell>
          <cell r="AM417">
            <v>32.464187022533814</v>
          </cell>
        </row>
        <row r="418">
          <cell r="A418">
            <v>39625</v>
          </cell>
          <cell r="AI418">
            <v>33.238354298197009</v>
          </cell>
          <cell r="AM418">
            <v>31.691629331775857</v>
          </cell>
        </row>
        <row r="419">
          <cell r="A419">
            <v>39624</v>
          </cell>
          <cell r="AI419">
            <v>35.030739856955741</v>
          </cell>
          <cell r="AM419">
            <v>33.568581573751558</v>
          </cell>
        </row>
        <row r="420">
          <cell r="A420">
            <v>39623</v>
          </cell>
          <cell r="AI420">
            <v>35.085204611503649</v>
          </cell>
          <cell r="AM420">
            <v>33.625616034143079</v>
          </cell>
        </row>
        <row r="421">
          <cell r="A421">
            <v>39622</v>
          </cell>
          <cell r="AI421">
            <v>36.852833463649695</v>
          </cell>
          <cell r="AM421">
            <v>35.47664352139536</v>
          </cell>
        </row>
        <row r="422">
          <cell r="A422">
            <v>39619</v>
          </cell>
          <cell r="AI422">
            <v>36.19430506775214</v>
          </cell>
          <cell r="AM422">
            <v>34.78704504575235</v>
          </cell>
        </row>
        <row r="423">
          <cell r="A423">
            <v>39618</v>
          </cell>
          <cell r="AI423">
            <v>36.417115427266353</v>
          </cell>
          <cell r="AM423">
            <v>35.020367838263141</v>
          </cell>
        </row>
        <row r="424">
          <cell r="A424">
            <v>39617</v>
          </cell>
          <cell r="AI424">
            <v>35.169377413986801</v>
          </cell>
          <cell r="AM424">
            <v>33.713760200202714</v>
          </cell>
        </row>
        <row r="425">
          <cell r="A425">
            <v>39616</v>
          </cell>
          <cell r="AI425">
            <v>35.674414228885659</v>
          </cell>
          <cell r="AM425">
            <v>34.242625196560503</v>
          </cell>
        </row>
        <row r="426">
          <cell r="A426">
            <v>39615</v>
          </cell>
          <cell r="AI426">
            <v>36.055667510721086</v>
          </cell>
          <cell r="AM426">
            <v>34.641866419301195</v>
          </cell>
        </row>
        <row r="427">
          <cell r="A427">
            <v>39612</v>
          </cell>
          <cell r="AI427">
            <v>36.040813486753478</v>
          </cell>
          <cell r="AM427">
            <v>34.626311566467145</v>
          </cell>
        </row>
        <row r="428">
          <cell r="A428">
            <v>39611</v>
          </cell>
          <cell r="AI428">
            <v>34.763367425538689</v>
          </cell>
          <cell r="AM428">
            <v>33.288594222738602</v>
          </cell>
        </row>
        <row r="429">
          <cell r="A429">
            <v>39610</v>
          </cell>
          <cell r="AI429">
            <v>34.382114143703269</v>
          </cell>
          <cell r="AM429">
            <v>32.889352999997918</v>
          </cell>
        </row>
        <row r="430">
          <cell r="A430">
            <v>39609</v>
          </cell>
          <cell r="AI430">
            <v>35.322868994985477</v>
          </cell>
          <cell r="AM430">
            <v>33.874493679487927</v>
          </cell>
        </row>
        <row r="431">
          <cell r="A431">
            <v>39608</v>
          </cell>
          <cell r="AI431">
            <v>34.510849018089253</v>
          </cell>
          <cell r="AM431">
            <v>33.024161724559711</v>
          </cell>
        </row>
        <row r="432">
          <cell r="A432">
            <v>39605</v>
          </cell>
          <cell r="AI432">
            <v>35.164426072664256</v>
          </cell>
          <cell r="AM432">
            <v>33.708575249258033</v>
          </cell>
        </row>
        <row r="433">
          <cell r="A433">
            <v>39604</v>
          </cell>
          <cell r="AI433">
            <v>36.600315056200252</v>
          </cell>
          <cell r="AM433">
            <v>35.212211023216462</v>
          </cell>
        </row>
        <row r="434">
          <cell r="A434">
            <v>39603</v>
          </cell>
          <cell r="AI434">
            <v>35.921981295012557</v>
          </cell>
          <cell r="AM434">
            <v>34.501872743794713</v>
          </cell>
        </row>
        <row r="435">
          <cell r="A435">
            <v>39602</v>
          </cell>
          <cell r="AI435">
            <v>35.743733007401197</v>
          </cell>
          <cell r="AM435">
            <v>34.315214509786088</v>
          </cell>
        </row>
        <row r="436">
          <cell r="A436">
            <v>39601</v>
          </cell>
          <cell r="AI436">
            <v>35.298112288372785</v>
          </cell>
          <cell r="AM436">
            <v>33.848568924764507</v>
          </cell>
        </row>
        <row r="437">
          <cell r="A437">
            <v>39598</v>
          </cell>
          <cell r="AI437">
            <v>35.80314910327165</v>
          </cell>
          <cell r="AM437">
            <v>34.377433921122304</v>
          </cell>
        </row>
        <row r="438">
          <cell r="A438">
            <v>39597</v>
          </cell>
          <cell r="AI438">
            <v>35.407041797468622</v>
          </cell>
          <cell r="AM438">
            <v>33.962637845547562</v>
          </cell>
        </row>
        <row r="439">
          <cell r="A439">
            <v>39596</v>
          </cell>
          <cell r="AI439">
            <v>34.748513401571081</v>
          </cell>
          <cell r="AM439">
            <v>33.273039369904559</v>
          </cell>
        </row>
        <row r="440">
          <cell r="A440">
            <v>39595</v>
          </cell>
          <cell r="AI440">
            <v>33.792904526321252</v>
          </cell>
          <cell r="AM440">
            <v>32.272343837580493</v>
          </cell>
        </row>
        <row r="441">
          <cell r="A441">
            <v>39591</v>
          </cell>
          <cell r="AI441">
            <v>33.183889543649087</v>
          </cell>
          <cell r="AM441">
            <v>31.634594871384326</v>
          </cell>
        </row>
        <row r="442">
          <cell r="A442">
            <v>39590</v>
          </cell>
          <cell r="AI442">
            <v>32.832344309748905</v>
          </cell>
          <cell r="AM442">
            <v>31.266463354311753</v>
          </cell>
        </row>
        <row r="443">
          <cell r="A443">
            <v>39589</v>
          </cell>
          <cell r="AI443">
            <v>30.431062068445268</v>
          </cell>
          <cell r="AM443">
            <v>29.186638941302686</v>
          </cell>
        </row>
        <row r="444">
          <cell r="A444">
            <v>39588</v>
          </cell>
          <cell r="AI444">
            <v>30.49905358918549</v>
          </cell>
          <cell r="AM444">
            <v>29.257997820857653</v>
          </cell>
        </row>
        <row r="445">
          <cell r="A445">
            <v>39587</v>
          </cell>
          <cell r="AI445">
            <v>32.189128533299595</v>
          </cell>
          <cell r="AM445">
            <v>31.031775684081122</v>
          </cell>
        </row>
        <row r="446">
          <cell r="A446">
            <v>39584</v>
          </cell>
          <cell r="AI446">
            <v>33.364410534666298</v>
          </cell>
          <cell r="AM446">
            <v>32.265264887816976</v>
          </cell>
        </row>
        <row r="447">
          <cell r="A447">
            <v>39583</v>
          </cell>
          <cell r="AI447">
            <v>33.616950468844266</v>
          </cell>
          <cell r="AM447">
            <v>32.530312154735419</v>
          </cell>
        </row>
        <row r="448">
          <cell r="A448">
            <v>39582</v>
          </cell>
          <cell r="AI448">
            <v>33.704368138367414</v>
          </cell>
          <cell r="AM448">
            <v>32.622059285591817</v>
          </cell>
        </row>
        <row r="449">
          <cell r="A449">
            <v>39581</v>
          </cell>
          <cell r="AI449">
            <v>33.000170244986535</v>
          </cell>
          <cell r="AM449">
            <v>31.882985175915366</v>
          </cell>
        </row>
        <row r="450">
          <cell r="A450">
            <v>39580</v>
          </cell>
          <cell r="AI450">
            <v>32.839904517527437</v>
          </cell>
          <cell r="AM450">
            <v>31.714782102678662</v>
          </cell>
        </row>
        <row r="451">
          <cell r="A451">
            <v>39577</v>
          </cell>
          <cell r="AI451">
            <v>32.39310309552026</v>
          </cell>
          <cell r="AM451">
            <v>31.245852322746018</v>
          </cell>
        </row>
        <row r="452">
          <cell r="A452">
            <v>39576</v>
          </cell>
          <cell r="AI452">
            <v>32.815621831548782</v>
          </cell>
          <cell r="AM452">
            <v>31.689296788551882</v>
          </cell>
        </row>
        <row r="453">
          <cell r="A453">
            <v>39575</v>
          </cell>
          <cell r="AI453">
            <v>32.44652500467329</v>
          </cell>
          <cell r="AM453">
            <v>31.301920013824923</v>
          </cell>
        </row>
        <row r="454">
          <cell r="A454">
            <v>39574</v>
          </cell>
          <cell r="AI454">
            <v>34.078321502438634</v>
          </cell>
          <cell r="AM454">
            <v>33.014533123144133</v>
          </cell>
        </row>
        <row r="455">
          <cell r="A455">
            <v>39573</v>
          </cell>
          <cell r="AI455">
            <v>33.689798526780223</v>
          </cell>
          <cell r="AM455">
            <v>32.606768097115747</v>
          </cell>
        </row>
        <row r="456">
          <cell r="A456">
            <v>39570</v>
          </cell>
          <cell r="AI456">
            <v>32.684495327264074</v>
          </cell>
          <cell r="AM456">
            <v>31.551676092267307</v>
          </cell>
        </row>
        <row r="457">
          <cell r="A457">
            <v>39569</v>
          </cell>
          <cell r="AI457">
            <v>32.679638790068346</v>
          </cell>
          <cell r="AM457">
            <v>31.546579029441958</v>
          </cell>
        </row>
        <row r="458">
          <cell r="A458">
            <v>39568</v>
          </cell>
          <cell r="AI458">
            <v>32.407672707107452</v>
          </cell>
          <cell r="AM458">
            <v>31.26114351122208</v>
          </cell>
        </row>
        <row r="459">
          <cell r="A459">
            <v>39567</v>
          </cell>
          <cell r="AI459">
            <v>32.514516525413512</v>
          </cell>
          <cell r="AM459">
            <v>31.373278893379887</v>
          </cell>
        </row>
        <row r="460">
          <cell r="A460">
            <v>39566</v>
          </cell>
          <cell r="AI460">
            <v>32.762199922395745</v>
          </cell>
          <cell r="AM460">
            <v>31.633229097472977</v>
          </cell>
        </row>
        <row r="461">
          <cell r="A461">
            <v>39563</v>
          </cell>
          <cell r="AI461">
            <v>33.068161765726757</v>
          </cell>
          <cell r="AM461">
            <v>31.954344055470337</v>
          </cell>
        </row>
        <row r="462">
          <cell r="A462">
            <v>39562</v>
          </cell>
          <cell r="AI462">
            <v>33.160435972445626</v>
          </cell>
          <cell r="AM462">
            <v>32.051188249152069</v>
          </cell>
        </row>
        <row r="463">
          <cell r="A463">
            <v>39561</v>
          </cell>
          <cell r="AI463">
            <v>32.815621831548782</v>
          </cell>
          <cell r="AM463">
            <v>31.689296788551882</v>
          </cell>
        </row>
        <row r="464">
          <cell r="A464">
            <v>39560</v>
          </cell>
          <cell r="AI464">
            <v>29.789999158608889</v>
          </cell>
          <cell r="AM464">
            <v>28.51382664835586</v>
          </cell>
        </row>
        <row r="465">
          <cell r="A465">
            <v>39559</v>
          </cell>
          <cell r="AI465">
            <v>30.460201291619651</v>
          </cell>
          <cell r="AM465">
            <v>29.217221318254815</v>
          </cell>
        </row>
        <row r="466">
          <cell r="A466">
            <v>39556</v>
          </cell>
          <cell r="AI466">
            <v>31.033272680715807</v>
          </cell>
          <cell r="AM466">
            <v>29.818674731646677</v>
          </cell>
        </row>
        <row r="467">
          <cell r="A467">
            <v>39555</v>
          </cell>
          <cell r="AI467">
            <v>30.207661357441683</v>
          </cell>
          <cell r="AM467">
            <v>28.952174051336367</v>
          </cell>
        </row>
        <row r="468">
          <cell r="A468">
            <v>39554</v>
          </cell>
          <cell r="AI468">
            <v>29.901699514110678</v>
          </cell>
          <cell r="AM468">
            <v>28.631059093339015</v>
          </cell>
        </row>
        <row r="469">
          <cell r="A469">
            <v>39553</v>
          </cell>
          <cell r="AI469">
            <v>28.823548256658583</v>
          </cell>
          <cell r="AM469">
            <v>27.499511146110255</v>
          </cell>
        </row>
        <row r="470">
          <cell r="A470">
            <v>39552</v>
          </cell>
          <cell r="AI470">
            <v>29.187788546338346</v>
          </cell>
          <cell r="AM470">
            <v>27.881790858011865</v>
          </cell>
        </row>
        <row r="471">
          <cell r="A471">
            <v>39549</v>
          </cell>
          <cell r="AI471">
            <v>29.668585728715634</v>
          </cell>
          <cell r="AM471">
            <v>28.386400077721991</v>
          </cell>
        </row>
        <row r="472">
          <cell r="A472">
            <v>39548</v>
          </cell>
          <cell r="AI472">
            <v>31.87345361557713</v>
          </cell>
          <cell r="AM472">
            <v>30.700466600433057</v>
          </cell>
        </row>
        <row r="473">
          <cell r="A473">
            <v>39547</v>
          </cell>
          <cell r="AI473">
            <v>30.722454300189078</v>
          </cell>
          <cell r="AM473">
            <v>29.492462710823972</v>
          </cell>
        </row>
        <row r="474">
          <cell r="A474">
            <v>39546</v>
          </cell>
          <cell r="AI474">
            <v>30.9992769203457</v>
          </cell>
          <cell r="AM474">
            <v>29.782995291869199</v>
          </cell>
        </row>
        <row r="475">
          <cell r="A475">
            <v>39545</v>
          </cell>
          <cell r="AI475">
            <v>31.59177445822478</v>
          </cell>
          <cell r="AM475">
            <v>30.404836956562477</v>
          </cell>
        </row>
        <row r="476">
          <cell r="A476">
            <v>39542</v>
          </cell>
          <cell r="AI476">
            <v>31.625770218594894</v>
          </cell>
          <cell r="AM476">
            <v>30.440516396339966</v>
          </cell>
        </row>
        <row r="477">
          <cell r="A477">
            <v>39541</v>
          </cell>
          <cell r="AI477">
            <v>30.49905358918549</v>
          </cell>
          <cell r="AM477">
            <v>29.257997820857653</v>
          </cell>
        </row>
        <row r="478">
          <cell r="A478">
            <v>39540</v>
          </cell>
          <cell r="AI478">
            <v>30.256226729398982</v>
          </cell>
          <cell r="AM478">
            <v>29.003144679589916</v>
          </cell>
        </row>
        <row r="479">
          <cell r="A479">
            <v>39539</v>
          </cell>
          <cell r="AI479">
            <v>29.731720712260124</v>
          </cell>
          <cell r="AM479">
            <v>28.452661894451598</v>
          </cell>
        </row>
        <row r="480">
          <cell r="A480">
            <v>39538</v>
          </cell>
          <cell r="AI480">
            <v>28.104780751690516</v>
          </cell>
          <cell r="AM480">
            <v>26.745145847957748</v>
          </cell>
        </row>
        <row r="481">
          <cell r="A481">
            <v>39535</v>
          </cell>
          <cell r="AI481">
            <v>27.609413957726037</v>
          </cell>
          <cell r="AM481">
            <v>26.225245439771559</v>
          </cell>
        </row>
        <row r="482">
          <cell r="A482">
            <v>39534</v>
          </cell>
          <cell r="AI482">
            <v>27.502570139419973</v>
          </cell>
          <cell r="AM482">
            <v>26.113110057613756</v>
          </cell>
        </row>
        <row r="483">
          <cell r="A483">
            <v>39533</v>
          </cell>
          <cell r="AI483">
            <v>28.770126347505549</v>
          </cell>
          <cell r="AM483">
            <v>27.443443455031353</v>
          </cell>
        </row>
        <row r="484">
          <cell r="A484">
            <v>39532</v>
          </cell>
          <cell r="AI484">
            <v>29.60545074517114</v>
          </cell>
          <cell r="AM484">
            <v>28.320138260992376</v>
          </cell>
        </row>
        <row r="485">
          <cell r="A485">
            <v>39531</v>
          </cell>
          <cell r="AI485">
            <v>28.964387835334755</v>
          </cell>
          <cell r="AM485">
            <v>27.647325968045543</v>
          </cell>
        </row>
        <row r="486">
          <cell r="A486">
            <v>39527</v>
          </cell>
          <cell r="AI486">
            <v>27.114047163761558</v>
          </cell>
          <cell r="AM486">
            <v>25.70534503158537</v>
          </cell>
        </row>
        <row r="487">
          <cell r="A487">
            <v>39526</v>
          </cell>
          <cell r="AI487">
            <v>27.492857065028513</v>
          </cell>
          <cell r="AM487">
            <v>26.102915931963043</v>
          </cell>
        </row>
        <row r="488">
          <cell r="A488">
            <v>39525</v>
          </cell>
          <cell r="AI488">
            <v>28.464164504174551</v>
          </cell>
          <cell r="AM488">
            <v>27.122328497034001</v>
          </cell>
        </row>
        <row r="489">
          <cell r="A489">
            <v>39524</v>
          </cell>
          <cell r="AI489">
            <v>26.958637973498195</v>
          </cell>
          <cell r="AM489">
            <v>25.542239021174019</v>
          </cell>
        </row>
        <row r="490">
          <cell r="A490">
            <v>39521</v>
          </cell>
          <cell r="AI490">
            <v>28.095067677299056</v>
          </cell>
          <cell r="AM490">
            <v>26.734951722307038</v>
          </cell>
        </row>
        <row r="491">
          <cell r="A491">
            <v>39520</v>
          </cell>
          <cell r="AI491">
            <v>28.609860620046454</v>
          </cell>
          <cell r="AM491">
            <v>27.275240381794642</v>
          </cell>
        </row>
        <row r="492">
          <cell r="A492">
            <v>39519</v>
          </cell>
          <cell r="AI492">
            <v>28.269903016345342</v>
          </cell>
          <cell r="AM492">
            <v>26.918445984019808</v>
          </cell>
        </row>
        <row r="493">
          <cell r="A493">
            <v>39518</v>
          </cell>
          <cell r="AI493">
            <v>28.386459909042866</v>
          </cell>
          <cell r="AM493">
            <v>27.040775491828324</v>
          </cell>
        </row>
        <row r="494">
          <cell r="A494">
            <v>39517</v>
          </cell>
          <cell r="AI494">
            <v>27.235460593654814</v>
          </cell>
          <cell r="AM494">
            <v>25.832771602219239</v>
          </cell>
        </row>
        <row r="495">
          <cell r="A495">
            <v>39514</v>
          </cell>
          <cell r="AI495">
            <v>27.517139751007164</v>
          </cell>
          <cell r="AM495">
            <v>26.128401246089819</v>
          </cell>
        </row>
        <row r="496">
          <cell r="A496">
            <v>39513</v>
          </cell>
          <cell r="AI496">
            <v>28.041645768146026</v>
          </cell>
          <cell r="AM496">
            <v>26.678884031228137</v>
          </cell>
        </row>
        <row r="497">
          <cell r="A497">
            <v>39512</v>
          </cell>
          <cell r="AI497">
            <v>28.658425992003757</v>
          </cell>
          <cell r="AM497">
            <v>27.326211010048194</v>
          </cell>
        </row>
        <row r="498">
          <cell r="A498">
            <v>39511</v>
          </cell>
          <cell r="AI498">
            <v>28.109637288886248</v>
          </cell>
          <cell r="AM498">
            <v>26.750242910783104</v>
          </cell>
        </row>
        <row r="499">
          <cell r="A499">
            <v>39510</v>
          </cell>
          <cell r="AI499">
            <v>28.541869099306233</v>
          </cell>
          <cell r="AM499">
            <v>27.203881502239682</v>
          </cell>
        </row>
        <row r="500">
          <cell r="A500">
            <v>39507</v>
          </cell>
          <cell r="AI500">
            <v>29.003240132900597</v>
          </cell>
          <cell r="AM500">
            <v>27.688102470648381</v>
          </cell>
        </row>
        <row r="501">
          <cell r="A501">
            <v>39506</v>
          </cell>
          <cell r="AI501">
            <v>29.945408348872249</v>
          </cell>
          <cell r="AM501">
            <v>28.676932658767207</v>
          </cell>
        </row>
        <row r="502">
          <cell r="A502">
            <v>39505</v>
          </cell>
          <cell r="AI502">
            <v>25.555098723932176</v>
          </cell>
          <cell r="AM502">
            <v>24.069187864646487</v>
          </cell>
        </row>
        <row r="503">
          <cell r="A503">
            <v>39504</v>
          </cell>
          <cell r="AI503">
            <v>25.623090244672397</v>
          </cell>
          <cell r="AM503">
            <v>24.140546744201455</v>
          </cell>
        </row>
        <row r="504">
          <cell r="A504">
            <v>39503</v>
          </cell>
          <cell r="AI504">
            <v>26.424418881967874</v>
          </cell>
          <cell r="AM504">
            <v>24.981562110384992</v>
          </cell>
        </row>
        <row r="505">
          <cell r="A505">
            <v>39500</v>
          </cell>
          <cell r="AI505">
            <v>25.419115682451729</v>
          </cell>
          <cell r="AM505">
            <v>23.926470105536556</v>
          </cell>
        </row>
        <row r="506">
          <cell r="A506">
            <v>39499</v>
          </cell>
          <cell r="AI506">
            <v>32.528540688843862</v>
          </cell>
          <cell r="AM506">
            <v>31.68188776546036</v>
          </cell>
        </row>
        <row r="507">
          <cell r="A507">
            <v>39498</v>
          </cell>
          <cell r="AI507">
            <v>32.291505358712151</v>
          </cell>
          <cell r="AM507">
            <v>31.428991604080803</v>
          </cell>
        </row>
        <row r="508">
          <cell r="A508">
            <v>39497</v>
          </cell>
          <cell r="AI508">
            <v>31.28258574840795</v>
          </cell>
          <cell r="AM508">
            <v>30.352561788978068</v>
          </cell>
        </row>
        <row r="509">
          <cell r="A509">
            <v>39493</v>
          </cell>
          <cell r="AI509">
            <v>32.723031216131417</v>
          </cell>
          <cell r="AM509">
            <v>31.889392308130766</v>
          </cell>
        </row>
        <row r="510">
          <cell r="A510">
            <v>39492</v>
          </cell>
          <cell r="AI510">
            <v>33.513148983237116</v>
          </cell>
          <cell r="AM510">
            <v>32.732379512729295</v>
          </cell>
        </row>
        <row r="511">
          <cell r="A511">
            <v>39491</v>
          </cell>
          <cell r="AI511">
            <v>33.993297472478275</v>
          </cell>
          <cell r="AM511">
            <v>33.244656352446853</v>
          </cell>
        </row>
        <row r="512">
          <cell r="A512">
            <v>39490</v>
          </cell>
          <cell r="AI512">
            <v>33.093778783773331</v>
          </cell>
          <cell r="AM512">
            <v>32.284947842596232</v>
          </cell>
        </row>
        <row r="513">
          <cell r="A513">
            <v>39489</v>
          </cell>
          <cell r="AI513">
            <v>33.306502797994085</v>
          </cell>
          <cell r="AM513">
            <v>32.511905936141986</v>
          </cell>
        </row>
        <row r="514">
          <cell r="A514">
            <v>39486</v>
          </cell>
          <cell r="AI514">
            <v>30.917916009743781</v>
          </cell>
          <cell r="AM514">
            <v>29.963490771471054</v>
          </cell>
        </row>
        <row r="515">
          <cell r="A515">
            <v>39485</v>
          </cell>
          <cell r="AI515">
            <v>30.899682522810576</v>
          </cell>
          <cell r="AM515">
            <v>29.94403722059571</v>
          </cell>
        </row>
        <row r="516">
          <cell r="A516">
            <v>39484</v>
          </cell>
          <cell r="AI516">
            <v>29.100645145400676</v>
          </cell>
          <cell r="AM516">
            <v>28.02462020089445</v>
          </cell>
        </row>
        <row r="517">
          <cell r="A517">
            <v>39483</v>
          </cell>
          <cell r="AI517">
            <v>32.078781344491389</v>
          </cell>
          <cell r="AM517">
            <v>31.202033510535045</v>
          </cell>
        </row>
        <row r="518">
          <cell r="A518">
            <v>39482</v>
          </cell>
          <cell r="AI518">
            <v>31.464920617740042</v>
          </cell>
          <cell r="AM518">
            <v>30.547097297731579</v>
          </cell>
        </row>
        <row r="519">
          <cell r="A519">
            <v>39479</v>
          </cell>
          <cell r="AI519">
            <v>31.434531472851358</v>
          </cell>
          <cell r="AM519">
            <v>30.514674712939325</v>
          </cell>
        </row>
        <row r="520">
          <cell r="A520">
            <v>39478</v>
          </cell>
          <cell r="AI520">
            <v>31.550010223428341</v>
          </cell>
          <cell r="AM520">
            <v>30.637880535149876</v>
          </cell>
        </row>
        <row r="521">
          <cell r="A521">
            <v>39477</v>
          </cell>
          <cell r="AI521">
            <v>30.607946731879242</v>
          </cell>
          <cell r="AM521">
            <v>29.632780406590097</v>
          </cell>
        </row>
        <row r="522">
          <cell r="A522">
            <v>39476</v>
          </cell>
          <cell r="AI522">
            <v>31.622944171161176</v>
          </cell>
          <cell r="AM522">
            <v>30.71569473865128</v>
          </cell>
        </row>
        <row r="523">
          <cell r="A523">
            <v>39475</v>
          </cell>
          <cell r="AI523">
            <v>32.540696346799336</v>
          </cell>
          <cell r="AM523">
            <v>31.694856799377259</v>
          </cell>
        </row>
        <row r="524">
          <cell r="A524">
            <v>39472</v>
          </cell>
          <cell r="AI524">
            <v>32.176026608135167</v>
          </cell>
          <cell r="AM524">
            <v>31.305785781870245</v>
          </cell>
        </row>
        <row r="525">
          <cell r="A525">
            <v>39471</v>
          </cell>
          <cell r="AI525">
            <v>34.309344579320559</v>
          </cell>
          <cell r="AM525">
            <v>33.581851234286269</v>
          </cell>
        </row>
        <row r="526">
          <cell r="A526">
            <v>39470</v>
          </cell>
          <cell r="AI526">
            <v>33.586082930969951</v>
          </cell>
          <cell r="AM526">
            <v>32.810193716230692</v>
          </cell>
        </row>
        <row r="527">
          <cell r="A527">
            <v>39469</v>
          </cell>
          <cell r="AI527">
            <v>31.774889895604581</v>
          </cell>
          <cell r="AM527">
            <v>30.877807662612536</v>
          </cell>
        </row>
        <row r="528">
          <cell r="A528">
            <v>39465</v>
          </cell>
          <cell r="AI528">
            <v>31.50746542058419</v>
          </cell>
          <cell r="AM528">
            <v>30.592488916440729</v>
          </cell>
        </row>
        <row r="529">
          <cell r="A529">
            <v>39464</v>
          </cell>
          <cell r="AI529">
            <v>32.528540688843862</v>
          </cell>
          <cell r="AM529">
            <v>31.68188776546036</v>
          </cell>
        </row>
        <row r="530">
          <cell r="A530">
            <v>39463</v>
          </cell>
          <cell r="AI530">
            <v>33.033000493995964</v>
          </cell>
          <cell r="AM530">
            <v>32.220102673011731</v>
          </cell>
        </row>
        <row r="531">
          <cell r="A531">
            <v>39462</v>
          </cell>
          <cell r="AI531">
            <v>32.947910888307661</v>
          </cell>
          <cell r="AM531">
            <v>32.129319435593423</v>
          </cell>
        </row>
        <row r="532">
          <cell r="A532">
            <v>39461</v>
          </cell>
          <cell r="AI532">
            <v>33.823118261101662</v>
          </cell>
          <cell r="AM532">
            <v>33.063089877610253</v>
          </cell>
        </row>
        <row r="533">
          <cell r="A533">
            <v>39458</v>
          </cell>
          <cell r="AI533">
            <v>33.105934441728799</v>
          </cell>
          <cell r="AM533">
            <v>32.297916876513128</v>
          </cell>
        </row>
        <row r="534">
          <cell r="A534">
            <v>39457</v>
          </cell>
          <cell r="AI534">
            <v>33.780573458257507</v>
          </cell>
          <cell r="AM534">
            <v>33.017698258901099</v>
          </cell>
        </row>
        <row r="535">
          <cell r="A535">
            <v>39456</v>
          </cell>
          <cell r="AI535">
            <v>33.020844836040489</v>
          </cell>
          <cell r="AM535">
            <v>32.207133639094828</v>
          </cell>
        </row>
        <row r="536">
          <cell r="A536">
            <v>39455</v>
          </cell>
          <cell r="AI536">
            <v>33.245724508216732</v>
          </cell>
          <cell r="AM536">
            <v>32.447060766557485</v>
          </cell>
        </row>
        <row r="537">
          <cell r="A537">
            <v>39454</v>
          </cell>
          <cell r="AI537">
            <v>35.105540175403988</v>
          </cell>
          <cell r="AM537">
            <v>34.431322955843243</v>
          </cell>
        </row>
        <row r="538">
          <cell r="A538">
            <v>39451</v>
          </cell>
          <cell r="AI538">
            <v>35.774101362954966</v>
          </cell>
          <cell r="AM538">
            <v>35.144619821272762</v>
          </cell>
        </row>
        <row r="539">
          <cell r="A539">
            <v>39450</v>
          </cell>
          <cell r="AI539">
            <v>37.062601106235029</v>
          </cell>
          <cell r="AM539">
            <v>36.519337416464204</v>
          </cell>
        </row>
        <row r="540">
          <cell r="A540">
            <v>39449</v>
          </cell>
          <cell r="AI540">
            <v>36.637153077793499</v>
          </cell>
          <cell r="AM540">
            <v>36.065421229372696</v>
          </cell>
        </row>
        <row r="541">
          <cell r="A541">
            <v>39447</v>
          </cell>
          <cell r="AI541">
            <v>38.101909861427906</v>
          </cell>
          <cell r="AM541">
            <v>37.628189816359189</v>
          </cell>
        </row>
        <row r="542">
          <cell r="A542">
            <v>39444</v>
          </cell>
          <cell r="AI542">
            <v>39.141218616620797</v>
          </cell>
          <cell r="AM542">
            <v>38.737042216254174</v>
          </cell>
        </row>
        <row r="543">
          <cell r="A543">
            <v>39443</v>
          </cell>
          <cell r="AI543">
            <v>38.922416773422292</v>
          </cell>
          <cell r="AM543">
            <v>38.503599605749969</v>
          </cell>
        </row>
        <row r="544">
          <cell r="A544">
            <v>39442</v>
          </cell>
          <cell r="AI544">
            <v>38.819093680800776</v>
          </cell>
          <cell r="AM544">
            <v>38.393362817456314</v>
          </cell>
        </row>
        <row r="545">
          <cell r="A545">
            <v>39440</v>
          </cell>
          <cell r="AI545">
            <v>38.885949799555867</v>
          </cell>
          <cell r="AM545">
            <v>38.464692503999267</v>
          </cell>
        </row>
        <row r="546">
          <cell r="A546">
            <v>39437</v>
          </cell>
          <cell r="AI546">
            <v>38.746159733067941</v>
          </cell>
          <cell r="AM546">
            <v>38.31554861395491</v>
          </cell>
        </row>
        <row r="547">
          <cell r="A547">
            <v>39436</v>
          </cell>
          <cell r="AI547">
            <v>39.499810526307222</v>
          </cell>
          <cell r="AM547">
            <v>39.119628716802737</v>
          </cell>
        </row>
        <row r="548">
          <cell r="A548">
            <v>39435</v>
          </cell>
          <cell r="AI548">
            <v>36.436584721528213</v>
          </cell>
          <cell r="AM548">
            <v>35.851432169743838</v>
          </cell>
        </row>
        <row r="549">
          <cell r="A549">
            <v>39434</v>
          </cell>
          <cell r="AI549">
            <v>35.555299519756467</v>
          </cell>
          <cell r="AM549">
            <v>34.911177210768557</v>
          </cell>
        </row>
        <row r="550">
          <cell r="A550">
            <v>39433</v>
          </cell>
          <cell r="AI550">
            <v>35.695089586244393</v>
          </cell>
          <cell r="AM550">
            <v>35.060321100812914</v>
          </cell>
        </row>
        <row r="551">
          <cell r="A551">
            <v>39430</v>
          </cell>
          <cell r="AI551">
            <v>36.193471562418758</v>
          </cell>
          <cell r="AM551">
            <v>35.592051491405826</v>
          </cell>
        </row>
        <row r="552">
          <cell r="A552">
            <v>39429</v>
          </cell>
          <cell r="AI552">
            <v>36.035448008997619</v>
          </cell>
          <cell r="AM552">
            <v>35.423454050486122</v>
          </cell>
        </row>
        <row r="553">
          <cell r="A553">
            <v>39428</v>
          </cell>
          <cell r="AI553">
            <v>35.379042479402116</v>
          </cell>
          <cell r="AM553">
            <v>34.723126218973505</v>
          </cell>
        </row>
        <row r="554">
          <cell r="A554">
            <v>39427</v>
          </cell>
          <cell r="AI554">
            <v>34.838115700383597</v>
          </cell>
          <cell r="AM554">
            <v>34.146004209671432</v>
          </cell>
        </row>
        <row r="555">
          <cell r="A555">
            <v>39426</v>
          </cell>
          <cell r="AI555">
            <v>35.069073201537577</v>
          </cell>
          <cell r="AM555">
            <v>34.392415854092548</v>
          </cell>
        </row>
        <row r="556">
          <cell r="A556">
            <v>39423</v>
          </cell>
          <cell r="AI556">
            <v>35.15416280722588</v>
          </cell>
          <cell r="AM556">
            <v>34.483199091510848</v>
          </cell>
        </row>
        <row r="557">
          <cell r="A557">
            <v>39422</v>
          </cell>
          <cell r="AI557">
            <v>34.364045040120175</v>
          </cell>
          <cell r="AM557">
            <v>33.640211886912319</v>
          </cell>
        </row>
        <row r="558">
          <cell r="A558">
            <v>39421</v>
          </cell>
          <cell r="AI558">
            <v>34.072309249188848</v>
          </cell>
          <cell r="AM558">
            <v>33.328955072906709</v>
          </cell>
        </row>
        <row r="559">
          <cell r="A559">
            <v>39420</v>
          </cell>
          <cell r="AI559">
            <v>33.628627733814106</v>
          </cell>
          <cell r="AM559">
            <v>32.855585334939846</v>
          </cell>
        </row>
        <row r="560">
          <cell r="A560">
            <v>39419</v>
          </cell>
          <cell r="AI560">
            <v>33.902130037812228</v>
          </cell>
          <cell r="AM560">
            <v>33.147388598070101</v>
          </cell>
        </row>
        <row r="561">
          <cell r="A561">
            <v>39416</v>
          </cell>
          <cell r="AI561">
            <v>34.479523790697165</v>
          </cell>
          <cell r="AM561">
            <v>33.763417709122869</v>
          </cell>
        </row>
        <row r="562">
          <cell r="A562">
            <v>39415</v>
          </cell>
          <cell r="AI562">
            <v>33.586082930969951</v>
          </cell>
          <cell r="AM562">
            <v>32.810193716230692</v>
          </cell>
        </row>
        <row r="563">
          <cell r="A563">
            <v>39414</v>
          </cell>
          <cell r="AI563">
            <v>33.081623125817849</v>
          </cell>
          <cell r="AM563">
            <v>32.271978808679329</v>
          </cell>
        </row>
        <row r="564">
          <cell r="A564">
            <v>39413</v>
          </cell>
          <cell r="AI564">
            <v>31.896446475159305</v>
          </cell>
          <cell r="AM564">
            <v>31.007498001781538</v>
          </cell>
        </row>
        <row r="565">
          <cell r="A565">
            <v>39412</v>
          </cell>
          <cell r="AI565">
            <v>31.665488974005331</v>
          </cell>
          <cell r="AM565">
            <v>30.761086357360433</v>
          </cell>
        </row>
        <row r="566">
          <cell r="A566">
            <v>39409</v>
          </cell>
          <cell r="AI566">
            <v>33.525304641192591</v>
          </cell>
          <cell r="AM566">
            <v>32.745348546646191</v>
          </cell>
        </row>
        <row r="567">
          <cell r="A567">
            <v>39407</v>
          </cell>
          <cell r="AI567">
            <v>34.254644118520929</v>
          </cell>
          <cell r="AM567">
            <v>33.523490581660219</v>
          </cell>
        </row>
        <row r="568">
          <cell r="A568">
            <v>39406</v>
          </cell>
          <cell r="AI568">
            <v>34.886738332205489</v>
          </cell>
          <cell r="AM568">
            <v>34.197880345339037</v>
          </cell>
        </row>
        <row r="569">
          <cell r="A569">
            <v>39405</v>
          </cell>
          <cell r="AI569">
            <v>32.874976940574825</v>
          </cell>
          <cell r="AM569">
            <v>32.051505232092026</v>
          </cell>
        </row>
        <row r="570">
          <cell r="A570">
            <v>39402</v>
          </cell>
          <cell r="AI570">
            <v>41.879187271252</v>
          </cell>
          <cell r="AM570">
            <v>42.650735054781329</v>
          </cell>
        </row>
        <row r="571">
          <cell r="A571">
            <v>39401</v>
          </cell>
          <cell r="AI571">
            <v>37.088821647896935</v>
          </cell>
          <cell r="AM571">
            <v>37.396707936047633</v>
          </cell>
        </row>
        <row r="572">
          <cell r="A572">
            <v>39400</v>
          </cell>
          <cell r="AI572">
            <v>37.97241042903407</v>
          </cell>
          <cell r="AM572">
            <v>38.365819645448212</v>
          </cell>
        </row>
        <row r="573">
          <cell r="A573">
            <v>39399</v>
          </cell>
          <cell r="AI573">
            <v>37.97241042903407</v>
          </cell>
          <cell r="AM573">
            <v>38.365819645448212</v>
          </cell>
        </row>
        <row r="574">
          <cell r="A574">
            <v>39398</v>
          </cell>
          <cell r="AI574">
            <v>37.161845514106616</v>
          </cell>
          <cell r="AM574">
            <v>37.4767998128576</v>
          </cell>
        </row>
        <row r="575">
          <cell r="A575">
            <v>39395</v>
          </cell>
          <cell r="AI575">
            <v>36.511933104840452</v>
          </cell>
          <cell r="AM575">
            <v>36.763982109248914</v>
          </cell>
        </row>
        <row r="576">
          <cell r="A576">
            <v>39394</v>
          </cell>
          <cell r="AI576">
            <v>35.438482271558151</v>
          </cell>
          <cell r="AM576">
            <v>35.586631520142433</v>
          </cell>
        </row>
        <row r="577">
          <cell r="A577">
            <v>39393</v>
          </cell>
          <cell r="AI577">
            <v>37.059612101413059</v>
          </cell>
          <cell r="AM577">
            <v>37.364671185323651</v>
          </cell>
        </row>
        <row r="578">
          <cell r="A578">
            <v>39392</v>
          </cell>
          <cell r="AI578">
            <v>38.198784414284091</v>
          </cell>
          <cell r="AM578">
            <v>38.614104463559109</v>
          </cell>
        </row>
        <row r="579">
          <cell r="A579">
            <v>39391</v>
          </cell>
          <cell r="AI579">
            <v>38.388646466429257</v>
          </cell>
          <cell r="AM579">
            <v>38.822343343265011</v>
          </cell>
        </row>
        <row r="580">
          <cell r="A580">
            <v>39388</v>
          </cell>
          <cell r="AI580">
            <v>39.724983218066413</v>
          </cell>
          <cell r="AM580">
            <v>40.288024688887369</v>
          </cell>
        </row>
        <row r="581">
          <cell r="A581">
            <v>39387</v>
          </cell>
          <cell r="AI581">
            <v>39.082373195421226</v>
          </cell>
          <cell r="AM581">
            <v>39.583216172959681</v>
          </cell>
        </row>
        <row r="582">
          <cell r="A582">
            <v>39386</v>
          </cell>
          <cell r="AI582">
            <v>41.163553382397126</v>
          </cell>
          <cell r="AM582">
            <v>41.865834662043667</v>
          </cell>
        </row>
        <row r="583">
          <cell r="A583">
            <v>39385</v>
          </cell>
          <cell r="AI583">
            <v>39.250328087703494</v>
          </cell>
          <cell r="AM583">
            <v>39.767427489622598</v>
          </cell>
        </row>
        <row r="584">
          <cell r="A584">
            <v>39384</v>
          </cell>
          <cell r="AI584">
            <v>38.95823262286477</v>
          </cell>
          <cell r="AM584">
            <v>39.44705998238274</v>
          </cell>
        </row>
        <row r="585">
          <cell r="A585">
            <v>39381</v>
          </cell>
          <cell r="AI585">
            <v>37.563476778259854</v>
          </cell>
          <cell r="AM585">
            <v>37.917305135312404</v>
          </cell>
        </row>
        <row r="586">
          <cell r="A586">
            <v>39380</v>
          </cell>
          <cell r="AI586">
            <v>37.300590859905007</v>
          </cell>
          <cell r="AM586">
            <v>37.628974378796535</v>
          </cell>
        </row>
        <row r="587">
          <cell r="A587">
            <v>39379</v>
          </cell>
          <cell r="AI587">
            <v>38.899813529897024</v>
          </cell>
          <cell r="AM587">
            <v>39.382986480934768</v>
          </cell>
        </row>
        <row r="588">
          <cell r="A588">
            <v>39378</v>
          </cell>
          <cell r="AI588">
            <v>39.593540258888993</v>
          </cell>
          <cell r="AM588">
            <v>40.143859310629431</v>
          </cell>
        </row>
        <row r="589">
          <cell r="A589">
            <v>39377</v>
          </cell>
          <cell r="AI589">
            <v>38.125760548074403</v>
          </cell>
          <cell r="AM589">
            <v>38.534012586749142</v>
          </cell>
        </row>
        <row r="590">
          <cell r="A590">
            <v>39374</v>
          </cell>
          <cell r="AI590">
            <v>38.176877254421179</v>
          </cell>
          <cell r="AM590">
            <v>38.590076900516117</v>
          </cell>
        </row>
        <row r="591">
          <cell r="A591">
            <v>39373</v>
          </cell>
          <cell r="AI591">
            <v>40.133916868840629</v>
          </cell>
          <cell r="AM591">
            <v>40.73653919902317</v>
          </cell>
        </row>
        <row r="592">
          <cell r="A592">
            <v>39372</v>
          </cell>
          <cell r="AI592">
            <v>39.608145032130928</v>
          </cell>
          <cell r="AM592">
            <v>40.159877685991425</v>
          </cell>
        </row>
        <row r="593">
          <cell r="A593">
            <v>39371</v>
          </cell>
          <cell r="AI593">
            <v>41.068622356324546</v>
          </cell>
          <cell r="AM593">
            <v>41.761715222190723</v>
          </cell>
        </row>
        <row r="594">
          <cell r="A594">
            <v>39370</v>
          </cell>
          <cell r="AI594">
            <v>39.871030950485775</v>
          </cell>
          <cell r="AM594">
            <v>40.448208442507294</v>
          </cell>
        </row>
        <row r="595">
          <cell r="A595">
            <v>39367</v>
          </cell>
          <cell r="AI595">
            <v>41.667418059243928</v>
          </cell>
          <cell r="AM595">
            <v>42.418468612032434</v>
          </cell>
        </row>
        <row r="596">
          <cell r="A596">
            <v>39366</v>
          </cell>
          <cell r="AI596">
            <v>40.082800162493854</v>
          </cell>
          <cell r="AM596">
            <v>40.680474885256189</v>
          </cell>
        </row>
        <row r="597">
          <cell r="A597">
            <v>39365</v>
          </cell>
          <cell r="AI597">
            <v>40.740014958380982</v>
          </cell>
          <cell r="AM597">
            <v>41.401301776545878</v>
          </cell>
        </row>
        <row r="598">
          <cell r="A598">
            <v>39364</v>
          </cell>
          <cell r="AI598">
            <v>41.127041449292285</v>
          </cell>
          <cell r="AM598">
            <v>41.825788723638688</v>
          </cell>
        </row>
        <row r="599">
          <cell r="A599">
            <v>39363</v>
          </cell>
          <cell r="AI599">
            <v>40.345686080848708</v>
          </cell>
          <cell r="AM599">
            <v>40.968805641772072</v>
          </cell>
        </row>
        <row r="600">
          <cell r="A600">
            <v>39360</v>
          </cell>
          <cell r="AI600">
            <v>38.870603983413147</v>
          </cell>
          <cell r="AM600">
            <v>39.350949730210779</v>
          </cell>
        </row>
        <row r="601">
          <cell r="A601">
            <v>39359</v>
          </cell>
          <cell r="AI601">
            <v>37.651105417711477</v>
          </cell>
          <cell r="AM601">
            <v>38.013415387484365</v>
          </cell>
        </row>
        <row r="602">
          <cell r="A602">
            <v>39358</v>
          </cell>
          <cell r="AI602">
            <v>38.089248614969563</v>
          </cell>
          <cell r="AM602">
            <v>38.493966648344148</v>
          </cell>
        </row>
        <row r="603">
          <cell r="A603">
            <v>39357</v>
          </cell>
          <cell r="AI603">
            <v>37.80445553675181</v>
          </cell>
          <cell r="AM603">
            <v>38.181608328785295</v>
          </cell>
        </row>
        <row r="604">
          <cell r="A604">
            <v>39356</v>
          </cell>
          <cell r="AI604">
            <v>38.622322838300235</v>
          </cell>
          <cell r="AM604">
            <v>39.078637349056898</v>
          </cell>
        </row>
        <row r="605">
          <cell r="A605">
            <v>39353</v>
          </cell>
          <cell r="AI605">
            <v>37.475848138808246</v>
          </cell>
          <cell r="AM605">
            <v>37.82119488314045</v>
          </cell>
        </row>
        <row r="606">
          <cell r="A606">
            <v>39352</v>
          </cell>
          <cell r="AI606">
            <v>37.198357447211457</v>
          </cell>
          <cell r="AM606">
            <v>37.516845751262586</v>
          </cell>
        </row>
        <row r="607">
          <cell r="A607">
            <v>39351</v>
          </cell>
          <cell r="AI607">
            <v>36.855145276025958</v>
          </cell>
          <cell r="AM607">
            <v>37.140413930255754</v>
          </cell>
        </row>
        <row r="608">
          <cell r="A608">
            <v>39350</v>
          </cell>
          <cell r="AI608">
            <v>36.446211625251742</v>
          </cell>
          <cell r="AM608">
            <v>36.691899420119945</v>
          </cell>
        </row>
        <row r="609">
          <cell r="A609">
            <v>39349</v>
          </cell>
          <cell r="AI609">
            <v>35.394667951832339</v>
          </cell>
          <cell r="AM609">
            <v>35.538576394056456</v>
          </cell>
        </row>
        <row r="610">
          <cell r="A610">
            <v>39346</v>
          </cell>
          <cell r="AI610">
            <v>33.773538121977424</v>
          </cell>
          <cell r="AM610">
            <v>33.76053672887523</v>
          </cell>
        </row>
        <row r="611">
          <cell r="A611">
            <v>39345</v>
          </cell>
          <cell r="AI611">
            <v>33.335394924719338</v>
          </cell>
          <cell r="AM611">
            <v>33.279985468015447</v>
          </cell>
        </row>
        <row r="612">
          <cell r="A612">
            <v>39344</v>
          </cell>
          <cell r="AI612">
            <v>33.444930724033853</v>
          </cell>
          <cell r="AM612">
            <v>33.400123283230386</v>
          </cell>
        </row>
        <row r="613">
          <cell r="A613">
            <v>39343</v>
          </cell>
          <cell r="AI613">
            <v>33.54716413672741</v>
          </cell>
          <cell r="AM613">
            <v>33.512251910764341</v>
          </cell>
        </row>
        <row r="614">
          <cell r="A614">
            <v>39342</v>
          </cell>
          <cell r="AI614">
            <v>33.393814017687077</v>
          </cell>
          <cell r="AM614">
            <v>33.344058969463411</v>
          </cell>
        </row>
        <row r="615">
          <cell r="A615">
            <v>39339</v>
          </cell>
          <cell r="AI615">
            <v>33.868469148050004</v>
          </cell>
          <cell r="AM615">
            <v>33.864656168728189</v>
          </cell>
        </row>
        <row r="616">
          <cell r="A616">
            <v>39338</v>
          </cell>
          <cell r="AI616">
            <v>33.912283467775815</v>
          </cell>
          <cell r="AM616">
            <v>33.912711294814166</v>
          </cell>
        </row>
        <row r="617">
          <cell r="A617">
            <v>39337</v>
          </cell>
          <cell r="AI617">
            <v>33.54716413672741</v>
          </cell>
          <cell r="AM617">
            <v>33.512251910764341</v>
          </cell>
        </row>
        <row r="618">
          <cell r="A618">
            <v>39336</v>
          </cell>
          <cell r="AI618">
            <v>33.539861750106439</v>
          </cell>
          <cell r="AM618">
            <v>33.504242723083344</v>
          </cell>
        </row>
        <row r="619">
          <cell r="A619">
            <v>39335</v>
          </cell>
          <cell r="AI619">
            <v>32.218129771711219</v>
          </cell>
          <cell r="AM619">
            <v>32.054579752822981</v>
          </cell>
        </row>
        <row r="620">
          <cell r="A620">
            <v>39332</v>
          </cell>
          <cell r="AI620">
            <v>31.553612589203123</v>
          </cell>
          <cell r="AM620">
            <v>31.325743673852305</v>
          </cell>
        </row>
        <row r="621">
          <cell r="A621">
            <v>39331</v>
          </cell>
          <cell r="AI621">
            <v>31.13737655180794</v>
          </cell>
          <cell r="AM621">
            <v>30.869219976035502</v>
          </cell>
        </row>
        <row r="622">
          <cell r="A622">
            <v>39330</v>
          </cell>
          <cell r="AI622">
            <v>29.910575599485302</v>
          </cell>
          <cell r="AM622">
            <v>29.523676445628094</v>
          </cell>
        </row>
        <row r="623">
          <cell r="A623">
            <v>39329</v>
          </cell>
          <cell r="AI623">
            <v>29.771830253686911</v>
          </cell>
          <cell r="AM623">
            <v>29.371501879689166</v>
          </cell>
        </row>
        <row r="624">
          <cell r="A624">
            <v>39325</v>
          </cell>
          <cell r="AI624">
            <v>29.523549108573995</v>
          </cell>
          <cell r="AM624">
            <v>29.099189498535281</v>
          </cell>
        </row>
        <row r="625">
          <cell r="A625">
            <v>39324</v>
          </cell>
          <cell r="AI625">
            <v>29.012382045106225</v>
          </cell>
          <cell r="AM625">
            <v>28.538546360865528</v>
          </cell>
        </row>
        <row r="626">
          <cell r="A626">
            <v>39323</v>
          </cell>
          <cell r="AI626">
            <v>29.596572974783673</v>
          </cell>
          <cell r="AM626">
            <v>29.179281375345244</v>
          </cell>
        </row>
        <row r="627">
          <cell r="A627">
            <v>39322</v>
          </cell>
          <cell r="AI627">
            <v>28.975870112001388</v>
          </cell>
          <cell r="AM627">
            <v>28.498500422460548</v>
          </cell>
        </row>
        <row r="628">
          <cell r="A628">
            <v>39321</v>
          </cell>
          <cell r="AI628">
            <v>29.603875361404643</v>
          </cell>
          <cell r="AM628">
            <v>29.187290563026245</v>
          </cell>
        </row>
        <row r="629">
          <cell r="A629">
            <v>39318</v>
          </cell>
          <cell r="AI629">
            <v>30.253787770670801</v>
          </cell>
          <cell r="AM629">
            <v>29.900108266634927</v>
          </cell>
        </row>
        <row r="630">
          <cell r="A630">
            <v>39317</v>
          </cell>
          <cell r="AI630">
            <v>28.793310446477182</v>
          </cell>
          <cell r="AM630">
            <v>28.298270730435632</v>
          </cell>
        </row>
        <row r="631">
          <cell r="A631">
            <v>39316</v>
          </cell>
          <cell r="AI631">
            <v>28.983172498622352</v>
          </cell>
          <cell r="AM631">
            <v>28.506509610141542</v>
          </cell>
        </row>
        <row r="632">
          <cell r="A632">
            <v>39315</v>
          </cell>
          <cell r="AI632">
            <v>28.917451019033642</v>
          </cell>
          <cell r="AM632">
            <v>28.434426921012573</v>
          </cell>
        </row>
        <row r="633">
          <cell r="A633">
            <v>39314</v>
          </cell>
          <cell r="AI633">
            <v>28.975870112001388</v>
          </cell>
          <cell r="AM633">
            <v>28.498500422460548</v>
          </cell>
        </row>
        <row r="634">
          <cell r="A634">
            <v>39311</v>
          </cell>
          <cell r="AI634">
            <v>29.224151257114304</v>
          </cell>
          <cell r="AM634">
            <v>28.770812803614429</v>
          </cell>
        </row>
        <row r="635">
          <cell r="A635">
            <v>39310</v>
          </cell>
          <cell r="AI635">
            <v>30.917767620680909</v>
          </cell>
          <cell r="AM635">
            <v>30.957018989217222</v>
          </cell>
        </row>
        <row r="636">
          <cell r="A636">
            <v>39309</v>
          </cell>
          <cell r="AI636">
            <v>32.079526161579217</v>
          </cell>
          <cell r="AM636">
            <v>32.23535608993118</v>
          </cell>
        </row>
        <row r="637">
          <cell r="A637">
            <v>39308</v>
          </cell>
          <cell r="AI637">
            <v>33.653521604086606</v>
          </cell>
          <cell r="AM637">
            <v>33.967296677995265</v>
          </cell>
        </row>
        <row r="638">
          <cell r="A638">
            <v>39307</v>
          </cell>
          <cell r="AI638">
            <v>32.724114771367965</v>
          </cell>
          <cell r="AM638">
            <v>32.944626997424095</v>
          </cell>
        </row>
        <row r="639">
          <cell r="A639">
            <v>39304</v>
          </cell>
          <cell r="AI639">
            <v>33.488626843442979</v>
          </cell>
          <cell r="AM639">
            <v>33.78585528305522</v>
          </cell>
        </row>
        <row r="640">
          <cell r="A640">
            <v>39303</v>
          </cell>
          <cell r="AI640">
            <v>32.806562151689782</v>
          </cell>
          <cell r="AM640">
            <v>33.035347694894121</v>
          </cell>
        </row>
        <row r="641">
          <cell r="A641">
            <v>39302</v>
          </cell>
          <cell r="AI641">
            <v>33.54109335819323</v>
          </cell>
          <cell r="AM641">
            <v>33.843586635990683</v>
          </cell>
        </row>
        <row r="642">
          <cell r="A642">
            <v>39301</v>
          </cell>
          <cell r="AI642">
            <v>30.970234135431156</v>
          </cell>
          <cell r="AM642">
            <v>31.014750342152698</v>
          </cell>
        </row>
        <row r="643">
          <cell r="A643">
            <v>39300</v>
          </cell>
          <cell r="AI643">
            <v>30.318150309249521</v>
          </cell>
          <cell r="AM643">
            <v>30.297232098526145</v>
          </cell>
        </row>
        <row r="644">
          <cell r="A644">
            <v>39297</v>
          </cell>
          <cell r="AI644">
            <v>29.935894273212011</v>
          </cell>
          <cell r="AM644">
            <v>29.876617955710586</v>
          </cell>
        </row>
        <row r="645">
          <cell r="A645">
            <v>39296</v>
          </cell>
          <cell r="AI645">
            <v>31.330004522289983</v>
          </cell>
          <cell r="AM645">
            <v>31.410622476567333</v>
          </cell>
        </row>
        <row r="646">
          <cell r="A646">
            <v>39295</v>
          </cell>
          <cell r="AI646">
            <v>30.085798601069861</v>
          </cell>
          <cell r="AM646">
            <v>30.041564678383359</v>
          </cell>
        </row>
        <row r="647">
          <cell r="A647">
            <v>39294</v>
          </cell>
          <cell r="AI647">
            <v>29.126410902779639</v>
          </cell>
          <cell r="AM647">
            <v>28.985905653277634</v>
          </cell>
        </row>
        <row r="648">
          <cell r="A648">
            <v>39293</v>
          </cell>
          <cell r="AI648">
            <v>30.355626391213985</v>
          </cell>
          <cell r="AM648">
            <v>30.33846877919434</v>
          </cell>
        </row>
        <row r="649">
          <cell r="A649">
            <v>39290</v>
          </cell>
          <cell r="AI649">
            <v>30.647939830536785</v>
          </cell>
          <cell r="AM649">
            <v>30.660114888406241</v>
          </cell>
        </row>
        <row r="650">
          <cell r="A650">
            <v>39289</v>
          </cell>
          <cell r="AI650">
            <v>31.457423200969153</v>
          </cell>
          <cell r="AM650">
            <v>31.550827190839193</v>
          </cell>
        </row>
        <row r="651">
          <cell r="A651">
            <v>39288</v>
          </cell>
          <cell r="AI651">
            <v>32.626676958260362</v>
          </cell>
          <cell r="AM651">
            <v>32.837411627686798</v>
          </cell>
        </row>
        <row r="652">
          <cell r="A652">
            <v>39287</v>
          </cell>
          <cell r="AI652">
            <v>32.514248712366978</v>
          </cell>
          <cell r="AM652">
            <v>32.713701585682216</v>
          </cell>
        </row>
        <row r="653">
          <cell r="A653">
            <v>39286</v>
          </cell>
          <cell r="AI653">
            <v>33.466141194264303</v>
          </cell>
          <cell r="AM653">
            <v>33.761113274654299</v>
          </cell>
        </row>
        <row r="654">
          <cell r="A654">
            <v>39283</v>
          </cell>
          <cell r="AI654">
            <v>32.566715227117221</v>
          </cell>
          <cell r="AM654">
            <v>32.771432938617693</v>
          </cell>
        </row>
        <row r="655">
          <cell r="A655">
            <v>39282</v>
          </cell>
          <cell r="AI655">
            <v>32.911495181190269</v>
          </cell>
          <cell r="AM655">
            <v>33.15081040076506</v>
          </cell>
        </row>
        <row r="656">
          <cell r="A656">
            <v>39281</v>
          </cell>
          <cell r="AI656">
            <v>32.439296548438051</v>
          </cell>
          <cell r="AM656">
            <v>32.631228224345833</v>
          </cell>
        </row>
        <row r="657">
          <cell r="A657">
            <v>39280</v>
          </cell>
          <cell r="AI657">
            <v>32.993942561512085</v>
          </cell>
          <cell r="AM657">
            <v>33.241531098235086</v>
          </cell>
        </row>
        <row r="658">
          <cell r="A658">
            <v>39279</v>
          </cell>
          <cell r="AI658">
            <v>33.091380374619682</v>
          </cell>
          <cell r="AM658">
            <v>33.348746467972383</v>
          </cell>
        </row>
        <row r="659">
          <cell r="A659">
            <v>39276</v>
          </cell>
          <cell r="AI659">
            <v>33.383693813942486</v>
          </cell>
          <cell r="AM659">
            <v>33.670392577184288</v>
          </cell>
        </row>
        <row r="660">
          <cell r="A660">
            <v>39275</v>
          </cell>
          <cell r="AI660">
            <v>33.80342593194446</v>
          </cell>
          <cell r="AM660">
            <v>34.132243400668038</v>
          </cell>
        </row>
        <row r="661">
          <cell r="A661">
            <v>39274</v>
          </cell>
          <cell r="AI661">
            <v>32.469277414009618</v>
          </cell>
          <cell r="AM661">
            <v>32.664217568880382</v>
          </cell>
        </row>
        <row r="662">
          <cell r="A662">
            <v>39273</v>
          </cell>
          <cell r="AI662">
            <v>32.529239145152758</v>
          </cell>
          <cell r="AM662">
            <v>32.730196257949501</v>
          </cell>
        </row>
        <row r="663">
          <cell r="A663">
            <v>39272</v>
          </cell>
          <cell r="AI663">
            <v>33.316236866406456</v>
          </cell>
          <cell r="AM663">
            <v>33.59616655198154</v>
          </cell>
        </row>
        <row r="664">
          <cell r="A664">
            <v>39269</v>
          </cell>
          <cell r="AI664">
            <v>33.488626843442979</v>
          </cell>
          <cell r="AM664">
            <v>33.78585528305522</v>
          </cell>
        </row>
        <row r="665">
          <cell r="A665">
            <v>39268</v>
          </cell>
          <cell r="AI665">
            <v>33.001437777904982</v>
          </cell>
          <cell r="AM665">
            <v>33.249778434368729</v>
          </cell>
        </row>
        <row r="666">
          <cell r="A666">
            <v>39266</v>
          </cell>
          <cell r="AI666">
            <v>32.117002243543681</v>
          </cell>
          <cell r="AM666">
            <v>32.276592770599372</v>
          </cell>
        </row>
        <row r="667">
          <cell r="A667">
            <v>39265</v>
          </cell>
          <cell r="AI667">
            <v>32.431801332045161</v>
          </cell>
          <cell r="AM667">
            <v>32.622980888212204</v>
          </cell>
        </row>
        <row r="668">
          <cell r="A668">
            <v>39262</v>
          </cell>
          <cell r="AI668">
            <v>32.124497459936578</v>
          </cell>
          <cell r="AM668">
            <v>32.284840106733014</v>
          </cell>
        </row>
        <row r="669">
          <cell r="A669">
            <v>39261</v>
          </cell>
          <cell r="AI669">
            <v>32.529239145152758</v>
          </cell>
          <cell r="AM669">
            <v>32.730196257949501</v>
          </cell>
        </row>
        <row r="670">
          <cell r="A670">
            <v>39260</v>
          </cell>
          <cell r="AI670">
            <v>32.918990397583165</v>
          </cell>
          <cell r="AM670">
            <v>33.159057736898696</v>
          </cell>
        </row>
        <row r="671">
          <cell r="A671">
            <v>39259</v>
          </cell>
          <cell r="AI671">
            <v>30.752872860037275</v>
          </cell>
          <cell r="AM671">
            <v>30.775577594277181</v>
          </cell>
        </row>
        <row r="672">
          <cell r="A672">
            <v>39258</v>
          </cell>
          <cell r="AI672">
            <v>31.629813178005683</v>
          </cell>
          <cell r="AM672">
            <v>31.740515921912877</v>
          </cell>
        </row>
        <row r="673">
          <cell r="A673">
            <v>39255</v>
          </cell>
          <cell r="AI673">
            <v>30.393102473178441</v>
          </cell>
          <cell r="AM673">
            <v>30.379705459862532</v>
          </cell>
        </row>
        <row r="674">
          <cell r="A674">
            <v>39254</v>
          </cell>
          <cell r="AI674">
            <v>31.412451902611803</v>
          </cell>
          <cell r="AM674">
            <v>31.501343174037359</v>
          </cell>
        </row>
        <row r="675">
          <cell r="A675">
            <v>39253</v>
          </cell>
          <cell r="AI675">
            <v>33.638531171300833</v>
          </cell>
          <cell r="AM675">
            <v>33.950802005727994</v>
          </cell>
        </row>
        <row r="676">
          <cell r="A676">
            <v>39252</v>
          </cell>
          <cell r="AI676">
            <v>33.983311125373881</v>
          </cell>
          <cell r="AM676">
            <v>34.330179467875361</v>
          </cell>
        </row>
        <row r="677">
          <cell r="A677">
            <v>39251</v>
          </cell>
          <cell r="AI677">
            <v>33.61604552212215</v>
          </cell>
          <cell r="AM677">
            <v>33.926059997327073</v>
          </cell>
        </row>
        <row r="678">
          <cell r="A678">
            <v>39248</v>
          </cell>
          <cell r="AI678">
            <v>34.170691535196184</v>
          </cell>
          <cell r="AM678">
            <v>34.536362871216326</v>
          </cell>
        </row>
        <row r="679">
          <cell r="A679">
            <v>39247</v>
          </cell>
          <cell r="AI679">
            <v>34.08074893848147</v>
          </cell>
          <cell r="AM679">
            <v>34.437394837612658</v>
          </cell>
        </row>
        <row r="680">
          <cell r="A680">
            <v>39246</v>
          </cell>
          <cell r="AI680">
            <v>34.08074893848147</v>
          </cell>
          <cell r="AM680">
            <v>34.437394837612658</v>
          </cell>
        </row>
        <row r="681">
          <cell r="A681">
            <v>39245</v>
          </cell>
          <cell r="AI681">
            <v>33.990806341766771</v>
          </cell>
          <cell r="AM681">
            <v>34.338426804009003</v>
          </cell>
        </row>
        <row r="682">
          <cell r="A682">
            <v>39244</v>
          </cell>
          <cell r="AI682">
            <v>34.950194040056992</v>
          </cell>
          <cell r="AM682">
            <v>35.394085829114729</v>
          </cell>
        </row>
        <row r="683">
          <cell r="A683">
            <v>39241</v>
          </cell>
          <cell r="AI683">
            <v>34.665375817127078</v>
          </cell>
          <cell r="AM683">
            <v>35.080687056036467</v>
          </cell>
        </row>
        <row r="684">
          <cell r="A684">
            <v>39240</v>
          </cell>
          <cell r="AI684">
            <v>33.73596898440843</v>
          </cell>
          <cell r="AM684">
            <v>34.05801737546529</v>
          </cell>
        </row>
        <row r="685">
          <cell r="A685">
            <v>39239</v>
          </cell>
          <cell r="AI685">
            <v>34.822775361377822</v>
          </cell>
          <cell r="AM685">
            <v>35.253881114842862</v>
          </cell>
        </row>
        <row r="686">
          <cell r="A686">
            <v>39238</v>
          </cell>
          <cell r="AI686">
            <v>35.572297000667056</v>
          </cell>
          <cell r="AM686">
            <v>36.078614728206716</v>
          </cell>
        </row>
        <row r="687">
          <cell r="A687">
            <v>39237</v>
          </cell>
          <cell r="AI687">
            <v>35.272488344951363</v>
          </cell>
          <cell r="AM687">
            <v>35.748721282861183</v>
          </cell>
        </row>
        <row r="688">
          <cell r="A688">
            <v>39234</v>
          </cell>
          <cell r="AI688">
            <v>35.88709608916853</v>
          </cell>
          <cell r="AM688">
            <v>36.425002845819527</v>
          </cell>
        </row>
        <row r="689">
          <cell r="A689">
            <v>39233</v>
          </cell>
          <cell r="AI689">
            <v>35.414897456416313</v>
          </cell>
          <cell r="AM689">
            <v>35.9054206694003</v>
          </cell>
        </row>
        <row r="690">
          <cell r="A690">
            <v>39232</v>
          </cell>
          <cell r="AI690">
            <v>36.516694266171484</v>
          </cell>
          <cell r="AM690">
            <v>37.117779081045157</v>
          </cell>
        </row>
        <row r="691">
          <cell r="A691">
            <v>39231</v>
          </cell>
          <cell r="AI691">
            <v>34.403043243375848</v>
          </cell>
          <cell r="AM691">
            <v>34.792030291359112</v>
          </cell>
        </row>
        <row r="692">
          <cell r="A692">
            <v>39227</v>
          </cell>
          <cell r="AI692">
            <v>34.545452354840805</v>
          </cell>
          <cell r="AM692">
            <v>34.948729677898243</v>
          </cell>
        </row>
        <row r="693">
          <cell r="A693">
            <v>39226</v>
          </cell>
          <cell r="AI693">
            <v>33.62354073851504</v>
          </cell>
          <cell r="AM693">
            <v>33.934307333460715</v>
          </cell>
        </row>
        <row r="694">
          <cell r="A694">
            <v>39225</v>
          </cell>
          <cell r="AI694">
            <v>34.657880600734188</v>
          </cell>
          <cell r="AM694">
            <v>35.072439719902825</v>
          </cell>
        </row>
        <row r="695">
          <cell r="A695">
            <v>39224</v>
          </cell>
          <cell r="AI695">
            <v>35.324954859701606</v>
          </cell>
          <cell r="AM695">
            <v>35.806452635796646</v>
          </cell>
        </row>
        <row r="696">
          <cell r="A696">
            <v>39223</v>
          </cell>
          <cell r="AI696">
            <v>35.797153492453823</v>
          </cell>
          <cell r="AM696">
            <v>36.326034812215873</v>
          </cell>
        </row>
        <row r="697">
          <cell r="A697">
            <v>39220</v>
          </cell>
          <cell r="AI697">
            <v>37.186854369691893</v>
          </cell>
          <cell r="AM697">
            <v>38.056437382004503</v>
          </cell>
        </row>
        <row r="698">
          <cell r="A698">
            <v>39219</v>
          </cell>
          <cell r="AI698">
            <v>34.897183423785094</v>
          </cell>
          <cell r="AM698">
            <v>35.525300953157782</v>
          </cell>
        </row>
        <row r="699">
          <cell r="A699">
            <v>39218</v>
          </cell>
          <cell r="AI699">
            <v>36.740287341234897</v>
          </cell>
          <cell r="AM699">
            <v>37.562776021768443</v>
          </cell>
        </row>
        <row r="700">
          <cell r="A700">
            <v>39217</v>
          </cell>
          <cell r="AI700">
            <v>35.782198080181701</v>
          </cell>
          <cell r="AM700">
            <v>36.503648012534711</v>
          </cell>
        </row>
        <row r="701">
          <cell r="A701">
            <v>39216</v>
          </cell>
          <cell r="AI701">
            <v>35.035213232580901</v>
          </cell>
          <cell r="AM701">
            <v>35.677887191776207</v>
          </cell>
        </row>
        <row r="702">
          <cell r="A702">
            <v>39213</v>
          </cell>
          <cell r="AI702">
            <v>34.442496994810696</v>
          </cell>
          <cell r="AM702">
            <v>35.022663931826521</v>
          </cell>
        </row>
        <row r="703">
          <cell r="A703">
            <v>39212</v>
          </cell>
          <cell r="AI703">
            <v>34.580526803606503</v>
          </cell>
          <cell r="AM703">
            <v>35.175250170444947</v>
          </cell>
        </row>
        <row r="704">
          <cell r="A704">
            <v>39211</v>
          </cell>
          <cell r="AI704">
            <v>35.278795248102895</v>
          </cell>
          <cell r="AM704">
            <v>35.94715702463224</v>
          </cell>
        </row>
        <row r="705">
          <cell r="A705">
            <v>39210</v>
          </cell>
          <cell r="AI705">
            <v>35.205720643446298</v>
          </cell>
          <cell r="AM705">
            <v>35.866376074775431</v>
          </cell>
        </row>
        <row r="706">
          <cell r="A706">
            <v>39209</v>
          </cell>
          <cell r="AI706">
            <v>34.450616395328097</v>
          </cell>
          <cell r="AM706">
            <v>35.031639592921728</v>
          </cell>
        </row>
        <row r="707">
          <cell r="A707">
            <v>39206</v>
          </cell>
          <cell r="AI707">
            <v>34.954019227406896</v>
          </cell>
          <cell r="AM707">
            <v>35.588130580824192</v>
          </cell>
        </row>
        <row r="708">
          <cell r="A708">
            <v>39205</v>
          </cell>
          <cell r="AI708">
            <v>34.734795413437105</v>
          </cell>
          <cell r="AM708">
            <v>35.345787731253765</v>
          </cell>
        </row>
        <row r="709">
          <cell r="A709">
            <v>39204</v>
          </cell>
          <cell r="AI709">
            <v>33.525004736344499</v>
          </cell>
          <cell r="AM709">
            <v>34.008414228068794</v>
          </cell>
        </row>
        <row r="710">
          <cell r="A710">
            <v>39203</v>
          </cell>
          <cell r="AI710">
            <v>33.3869749275487</v>
          </cell>
          <cell r="AM710">
            <v>33.855827989450376</v>
          </cell>
        </row>
        <row r="711">
          <cell r="A711">
            <v>39202</v>
          </cell>
          <cell r="AI711">
            <v>34.101482173079901</v>
          </cell>
          <cell r="AM711">
            <v>34.645686165828074</v>
          </cell>
        </row>
        <row r="712">
          <cell r="A712">
            <v>39199</v>
          </cell>
          <cell r="AI712">
            <v>34.182676178253907</v>
          </cell>
          <cell r="AM712">
            <v>34.73544277678009</v>
          </cell>
        </row>
        <row r="713">
          <cell r="A713">
            <v>39198</v>
          </cell>
          <cell r="AI713">
            <v>34.596765604641298</v>
          </cell>
          <cell r="AM713">
            <v>35.193201492635346</v>
          </cell>
        </row>
        <row r="714">
          <cell r="A714">
            <v>39197</v>
          </cell>
          <cell r="AI714">
            <v>34.572407403089095</v>
          </cell>
          <cell r="AM714">
            <v>35.166274509349741</v>
          </cell>
        </row>
        <row r="715">
          <cell r="A715">
            <v>39196</v>
          </cell>
          <cell r="AI715">
            <v>33.346377924961708</v>
          </cell>
          <cell r="AM715">
            <v>33.810949683974371</v>
          </cell>
        </row>
        <row r="716">
          <cell r="A716">
            <v>39195</v>
          </cell>
          <cell r="AI716">
            <v>33.525004736344499</v>
          </cell>
          <cell r="AM716">
            <v>34.008414228068794</v>
          </cell>
        </row>
        <row r="717">
          <cell r="A717">
            <v>39192</v>
          </cell>
          <cell r="AI717">
            <v>33.898497160144899</v>
          </cell>
          <cell r="AM717">
            <v>34.421294638448046</v>
          </cell>
        </row>
        <row r="718">
          <cell r="A718">
            <v>39191</v>
          </cell>
          <cell r="AI718">
            <v>33.614318142035899</v>
          </cell>
          <cell r="AM718">
            <v>34.107146500116009</v>
          </cell>
        </row>
        <row r="719">
          <cell r="A719">
            <v>39190</v>
          </cell>
          <cell r="AI719">
            <v>34.361302989636698</v>
          </cell>
          <cell r="AM719">
            <v>34.932907320874513</v>
          </cell>
        </row>
        <row r="720">
          <cell r="A720">
            <v>39189</v>
          </cell>
          <cell r="AI720">
            <v>34.856586421198095</v>
          </cell>
          <cell r="AM720">
            <v>35.480422647681785</v>
          </cell>
        </row>
        <row r="721">
          <cell r="A721">
            <v>39188</v>
          </cell>
          <cell r="AI721">
            <v>35.108287837237498</v>
          </cell>
          <cell r="AM721">
            <v>35.758668141633017</v>
          </cell>
        </row>
        <row r="722">
          <cell r="A722">
            <v>39185</v>
          </cell>
          <cell r="AI722">
            <v>34.572407403089095</v>
          </cell>
          <cell r="AM722">
            <v>35.166274509349741</v>
          </cell>
        </row>
        <row r="723">
          <cell r="A723">
            <v>39184</v>
          </cell>
          <cell r="AI723">
            <v>34.686079010332698</v>
          </cell>
          <cell r="AM723">
            <v>35.291933764682554</v>
          </cell>
        </row>
        <row r="724">
          <cell r="A724">
            <v>39183</v>
          </cell>
          <cell r="AI724">
            <v>35.595451868281501</v>
          </cell>
          <cell r="AM724">
            <v>36.297207807345082</v>
          </cell>
        </row>
        <row r="725">
          <cell r="A725">
            <v>39182</v>
          </cell>
          <cell r="AI725">
            <v>37.105660364517895</v>
          </cell>
          <cell r="AM725">
            <v>37.966680771052502</v>
          </cell>
        </row>
        <row r="726">
          <cell r="A726">
            <v>39181</v>
          </cell>
          <cell r="AI726">
            <v>37.243690173313688</v>
          </cell>
          <cell r="AM726">
            <v>38.119267009670914</v>
          </cell>
        </row>
        <row r="727">
          <cell r="A727">
            <v>39177</v>
          </cell>
          <cell r="AI727">
            <v>36.5291829277825</v>
          </cell>
          <cell r="AM727">
            <v>37.329408833293222</v>
          </cell>
        </row>
        <row r="728">
          <cell r="A728">
            <v>39176</v>
          </cell>
          <cell r="AI728">
            <v>36.724048540200094</v>
          </cell>
          <cell r="AM728">
            <v>37.544824699578044</v>
          </cell>
        </row>
        <row r="729">
          <cell r="A729">
            <v>39175</v>
          </cell>
          <cell r="AI729">
            <v>36.431750121573693</v>
          </cell>
          <cell r="AM729">
            <v>37.2217009001508</v>
          </cell>
        </row>
        <row r="730">
          <cell r="A730">
            <v>39174</v>
          </cell>
          <cell r="AI730">
            <v>35.3112728501725</v>
          </cell>
          <cell r="AM730">
            <v>35.983059669013052</v>
          </cell>
        </row>
        <row r="731">
          <cell r="A731">
            <v>39171</v>
          </cell>
          <cell r="AI731">
            <v>34.767273015506696</v>
          </cell>
          <cell r="AM731">
            <v>35.38169037563457</v>
          </cell>
        </row>
        <row r="732">
          <cell r="A732">
            <v>39170</v>
          </cell>
          <cell r="AI732">
            <v>34.962138627924297</v>
          </cell>
          <cell r="AM732">
            <v>35.597106241919398</v>
          </cell>
        </row>
        <row r="733">
          <cell r="A733">
            <v>39169</v>
          </cell>
          <cell r="AI733">
            <v>34.872825222232898</v>
          </cell>
          <cell r="AM733">
            <v>35.498373969872183</v>
          </cell>
        </row>
        <row r="734">
          <cell r="A734">
            <v>39168</v>
          </cell>
          <cell r="AI734">
            <v>34.742914813954499</v>
          </cell>
          <cell r="AM734">
            <v>35.354763392348964</v>
          </cell>
        </row>
        <row r="735">
          <cell r="A735">
            <v>39167</v>
          </cell>
          <cell r="AI735">
            <v>34.929661025854706</v>
          </cell>
          <cell r="AM735">
            <v>35.561203597538601</v>
          </cell>
        </row>
        <row r="736">
          <cell r="A736">
            <v>39164</v>
          </cell>
          <cell r="AI736">
            <v>35.157004240341898</v>
          </cell>
          <cell r="AM736">
            <v>35.81252210820422</v>
          </cell>
        </row>
        <row r="737">
          <cell r="A737">
            <v>39163</v>
          </cell>
          <cell r="AI737">
            <v>35.278795248102895</v>
          </cell>
          <cell r="AM737">
            <v>35.94715702463224</v>
          </cell>
        </row>
        <row r="738">
          <cell r="A738">
            <v>39162</v>
          </cell>
          <cell r="AI738">
            <v>35.295034049137691</v>
          </cell>
          <cell r="AM738">
            <v>35.965108346822639</v>
          </cell>
        </row>
        <row r="739">
          <cell r="A739">
            <v>39161</v>
          </cell>
          <cell r="AI739">
            <v>35.010855031028697</v>
          </cell>
          <cell r="AM739">
            <v>35.650960208490602</v>
          </cell>
        </row>
        <row r="740">
          <cell r="A740">
            <v>39160</v>
          </cell>
          <cell r="AI740">
            <v>34.653601408263093</v>
          </cell>
          <cell r="AM740">
            <v>35.256031120301749</v>
          </cell>
        </row>
        <row r="741">
          <cell r="A741">
            <v>39157</v>
          </cell>
          <cell r="AI741">
            <v>33.801064353936098</v>
          </cell>
          <cell r="AM741">
            <v>34.313586705305632</v>
          </cell>
        </row>
        <row r="742">
          <cell r="A742">
            <v>39156</v>
          </cell>
          <cell r="AI742">
            <v>33.890377759627505</v>
          </cell>
          <cell r="AM742">
            <v>34.412318977352847</v>
          </cell>
        </row>
        <row r="743">
          <cell r="A743">
            <v>39155</v>
          </cell>
          <cell r="AI743">
            <v>34.093362772562507</v>
          </cell>
          <cell r="AM743">
            <v>34.636710504732882</v>
          </cell>
        </row>
        <row r="744">
          <cell r="A744">
            <v>39154</v>
          </cell>
          <cell r="AI744">
            <v>34.231392581358293</v>
          </cell>
          <cell r="AM744">
            <v>34.789296743351287</v>
          </cell>
        </row>
        <row r="745">
          <cell r="A745">
            <v>39153</v>
          </cell>
          <cell r="AI745">
            <v>35.173243041376701</v>
          </cell>
          <cell r="AM745">
            <v>35.830473430394626</v>
          </cell>
        </row>
        <row r="746">
          <cell r="A746">
            <v>39150</v>
          </cell>
          <cell r="AI746">
            <v>34.889064023267693</v>
          </cell>
          <cell r="AM746">
            <v>35.516325292062582</v>
          </cell>
        </row>
        <row r="747">
          <cell r="A747">
            <v>39149</v>
          </cell>
          <cell r="AI747">
            <v>35.465541460003095</v>
          </cell>
          <cell r="AM747">
            <v>36.153597229821862</v>
          </cell>
        </row>
        <row r="748">
          <cell r="A748">
            <v>39148</v>
          </cell>
          <cell r="AI748">
            <v>34.694198410850099</v>
          </cell>
          <cell r="AM748">
            <v>35.30090942577776</v>
          </cell>
        </row>
        <row r="749">
          <cell r="A749">
            <v>39147</v>
          </cell>
          <cell r="AI749">
            <v>35.035213232580901</v>
          </cell>
          <cell r="AM749">
            <v>35.677887191776207</v>
          </cell>
        </row>
        <row r="750">
          <cell r="A750">
            <v>39146</v>
          </cell>
          <cell r="AI750">
            <v>33.752347950831705</v>
          </cell>
          <cell r="AM750">
            <v>34.259732738734428</v>
          </cell>
        </row>
        <row r="751">
          <cell r="A751">
            <v>39143</v>
          </cell>
          <cell r="AI751">
            <v>34.621123806193502</v>
          </cell>
          <cell r="AM751">
            <v>35.220128475920951</v>
          </cell>
        </row>
        <row r="752">
          <cell r="A752">
            <v>39142</v>
          </cell>
          <cell r="AI752">
            <v>36.017660695186301</v>
          </cell>
          <cell r="AM752">
            <v>36.763942184295544</v>
          </cell>
        </row>
        <row r="753">
          <cell r="A753">
            <v>39141</v>
          </cell>
          <cell r="AI753">
            <v>35.108287837237498</v>
          </cell>
          <cell r="AM753">
            <v>35.758668141633017</v>
          </cell>
        </row>
        <row r="754">
          <cell r="A754">
            <v>39140</v>
          </cell>
          <cell r="AI754">
            <v>36.537302328299894</v>
          </cell>
          <cell r="AM754">
            <v>37.338384494388414</v>
          </cell>
        </row>
        <row r="755">
          <cell r="A755">
            <v>39139</v>
          </cell>
          <cell r="AI755">
            <v>38.079988426605887</v>
          </cell>
          <cell r="AM755">
            <v>39.043760102476632</v>
          </cell>
        </row>
        <row r="756">
          <cell r="A756">
            <v>39136</v>
          </cell>
          <cell r="AI756">
            <v>38.518436054545489</v>
          </cell>
          <cell r="AM756">
            <v>39.528445801617494</v>
          </cell>
        </row>
        <row r="757">
          <cell r="A757">
            <v>39135</v>
          </cell>
          <cell r="AI757">
            <v>56.119372105913584</v>
          </cell>
          <cell r="AM757">
            <v>59.925141961696418</v>
          </cell>
        </row>
        <row r="758">
          <cell r="A758">
            <v>39134</v>
          </cell>
          <cell r="AI758">
            <v>57.143187549508959</v>
          </cell>
          <cell r="AM758">
            <v>61.094916757313655</v>
          </cell>
        </row>
        <row r="759">
          <cell r="A759">
            <v>39133</v>
          </cell>
          <cell r="AI759">
            <v>58.845578345254737</v>
          </cell>
          <cell r="AM759">
            <v>63.040007405839987</v>
          </cell>
        </row>
        <row r="760">
          <cell r="A760">
            <v>39129</v>
          </cell>
          <cell r="AI760">
            <v>59.08367496004437</v>
          </cell>
          <cell r="AM760">
            <v>63.312048055983539</v>
          </cell>
        </row>
        <row r="761">
          <cell r="A761">
            <v>39128</v>
          </cell>
          <cell r="AI761">
            <v>59.059865298565406</v>
          </cell>
          <cell r="AM761">
            <v>63.284843990969179</v>
          </cell>
        </row>
        <row r="762">
          <cell r="A762">
            <v>39127</v>
          </cell>
          <cell r="AI762">
            <v>59.381295728531391</v>
          </cell>
          <cell r="AM762">
            <v>63.652098868662968</v>
          </cell>
        </row>
        <row r="763">
          <cell r="A763">
            <v>39126</v>
          </cell>
          <cell r="AI763">
            <v>57.726524255743527</v>
          </cell>
          <cell r="AM763">
            <v>61.761416350165334</v>
          </cell>
        </row>
        <row r="764">
          <cell r="A764">
            <v>39125</v>
          </cell>
          <cell r="AI764">
            <v>56.416992874400613</v>
          </cell>
          <cell r="AM764">
            <v>60.265192774375855</v>
          </cell>
        </row>
        <row r="765">
          <cell r="A765">
            <v>39122</v>
          </cell>
          <cell r="AI765">
            <v>55.964609306300332</v>
          </cell>
          <cell r="AM765">
            <v>59.748315539103118</v>
          </cell>
        </row>
        <row r="766">
          <cell r="A766">
            <v>39121</v>
          </cell>
          <cell r="AI766">
            <v>56.786042627324534</v>
          </cell>
          <cell r="AM766">
            <v>60.686855782098348</v>
          </cell>
        </row>
        <row r="767">
          <cell r="A767">
            <v>39120</v>
          </cell>
          <cell r="AI767">
            <v>56.774137796585038</v>
          </cell>
          <cell r="AM767">
            <v>60.673253749591161</v>
          </cell>
        </row>
        <row r="768">
          <cell r="A768">
            <v>39119</v>
          </cell>
          <cell r="AI768">
            <v>56.07175278295567</v>
          </cell>
          <cell r="AM768">
            <v>59.870733831667714</v>
          </cell>
        </row>
        <row r="769">
          <cell r="A769">
            <v>39118</v>
          </cell>
          <cell r="AI769">
            <v>56.107467275174109</v>
          </cell>
          <cell r="AM769">
            <v>59.911539929189246</v>
          </cell>
        </row>
        <row r="770">
          <cell r="A770">
            <v>39115</v>
          </cell>
          <cell r="AI770">
            <v>55.655083707073828</v>
          </cell>
          <cell r="AM770">
            <v>59.394662693916509</v>
          </cell>
        </row>
        <row r="771">
          <cell r="A771">
            <v>39114</v>
          </cell>
          <cell r="AI771">
            <v>54.059836387983367</v>
          </cell>
          <cell r="AM771">
            <v>57.571990337954773</v>
          </cell>
        </row>
        <row r="772">
          <cell r="A772">
            <v>39113</v>
          </cell>
          <cell r="AI772">
            <v>52.178873131145366</v>
          </cell>
          <cell r="AM772">
            <v>55.422869201820774</v>
          </cell>
        </row>
        <row r="773">
          <cell r="A773">
            <v>39112</v>
          </cell>
          <cell r="AI773">
            <v>51.131248026071034</v>
          </cell>
          <cell r="AM773">
            <v>54.225890341189185</v>
          </cell>
        </row>
        <row r="774">
          <cell r="A774">
            <v>39111</v>
          </cell>
          <cell r="AI774">
            <v>50.583625812054905</v>
          </cell>
          <cell r="AM774">
            <v>53.600196845859038</v>
          </cell>
        </row>
        <row r="775">
          <cell r="A775">
            <v>39108</v>
          </cell>
          <cell r="AI775">
            <v>50.274100212828401</v>
          </cell>
          <cell r="AM775">
            <v>53.246544000672436</v>
          </cell>
        </row>
        <row r="776">
          <cell r="A776">
            <v>39107</v>
          </cell>
          <cell r="AI776">
            <v>49.857431136946566</v>
          </cell>
          <cell r="AM776">
            <v>52.770472862921238</v>
          </cell>
        </row>
        <row r="777">
          <cell r="A777">
            <v>39106</v>
          </cell>
          <cell r="AI777">
            <v>50.500291996878538</v>
          </cell>
          <cell r="AM777">
            <v>53.504982618308794</v>
          </cell>
        </row>
        <row r="778">
          <cell r="A778">
            <v>39105</v>
          </cell>
          <cell r="AI778">
            <v>49.143141292577702</v>
          </cell>
          <cell r="AM778">
            <v>51.954350912490604</v>
          </cell>
        </row>
        <row r="779">
          <cell r="A779">
            <v>39104</v>
          </cell>
          <cell r="AI779">
            <v>49.047902646661861</v>
          </cell>
          <cell r="AM779">
            <v>51.845534652433194</v>
          </cell>
        </row>
        <row r="780">
          <cell r="A780">
            <v>39101</v>
          </cell>
          <cell r="AI780">
            <v>49.536000706980573</v>
          </cell>
          <cell r="AM780">
            <v>52.40321798522745</v>
          </cell>
        </row>
        <row r="781">
          <cell r="A781">
            <v>39100</v>
          </cell>
          <cell r="AI781">
            <v>49.345523415148882</v>
          </cell>
          <cell r="AM781">
            <v>52.185585465112617</v>
          </cell>
        </row>
        <row r="782">
          <cell r="A782">
            <v>39099</v>
          </cell>
          <cell r="AI782">
            <v>50.774103103886603</v>
          </cell>
          <cell r="AM782">
            <v>53.817829365973871</v>
          </cell>
        </row>
        <row r="783">
          <cell r="A783">
            <v>39098</v>
          </cell>
          <cell r="AI783">
            <v>51.547917101952869</v>
          </cell>
          <cell r="AM783">
            <v>54.701961478940383</v>
          </cell>
        </row>
        <row r="784">
          <cell r="A784">
            <v>39094</v>
          </cell>
          <cell r="AI784">
            <v>50.500291996878538</v>
          </cell>
          <cell r="AM784">
            <v>53.504982618308794</v>
          </cell>
        </row>
        <row r="785">
          <cell r="A785">
            <v>39093</v>
          </cell>
          <cell r="AI785">
            <v>49.690763506593832</v>
          </cell>
          <cell r="AM785">
            <v>52.580044407820751</v>
          </cell>
        </row>
        <row r="786">
          <cell r="A786">
            <v>39092</v>
          </cell>
          <cell r="AI786">
            <v>47.893134064932191</v>
          </cell>
          <cell r="AM786">
            <v>50.526137499237002</v>
          </cell>
        </row>
        <row r="787">
          <cell r="A787">
            <v>39091</v>
          </cell>
          <cell r="AI787">
            <v>47.571703634966205</v>
          </cell>
          <cell r="AM787">
            <v>50.158882621543214</v>
          </cell>
        </row>
        <row r="788">
          <cell r="A788">
            <v>39090</v>
          </cell>
          <cell r="AI788">
            <v>47.535989142747759</v>
          </cell>
          <cell r="AM788">
            <v>50.118076524021681</v>
          </cell>
        </row>
        <row r="789">
          <cell r="A789">
            <v>39087</v>
          </cell>
          <cell r="AI789">
            <v>47.047891082429047</v>
          </cell>
          <cell r="AM789">
            <v>49.560393191227426</v>
          </cell>
        </row>
        <row r="790">
          <cell r="A790">
            <v>39086</v>
          </cell>
          <cell r="AI790">
            <v>45.095498841154154</v>
          </cell>
          <cell r="AM790">
            <v>47.32965986005037</v>
          </cell>
        </row>
        <row r="791">
          <cell r="A791">
            <v>39085</v>
          </cell>
          <cell r="AI791">
            <v>42.940724477308088</v>
          </cell>
          <cell r="AM791">
            <v>44.867691976251301</v>
          </cell>
        </row>
        <row r="792">
          <cell r="A792">
            <v>39080</v>
          </cell>
          <cell r="AI792">
            <v>43.393108045408368</v>
          </cell>
          <cell r="AM792">
            <v>45.384569211524038</v>
          </cell>
        </row>
        <row r="793">
          <cell r="A793">
            <v>39079</v>
          </cell>
          <cell r="AI793">
            <v>43.762157798332275</v>
          </cell>
          <cell r="AM793">
            <v>45.806232219246525</v>
          </cell>
        </row>
        <row r="794">
          <cell r="A794">
            <v>39078</v>
          </cell>
          <cell r="AI794">
            <v>44.000254413121901</v>
          </cell>
          <cell r="AM794">
            <v>46.078272869390069</v>
          </cell>
        </row>
        <row r="795">
          <cell r="A795">
            <v>39077</v>
          </cell>
          <cell r="AI795">
            <v>43.262154907274073</v>
          </cell>
          <cell r="AM795">
            <v>45.23494685394509</v>
          </cell>
        </row>
        <row r="796">
          <cell r="A796">
            <v>39073</v>
          </cell>
          <cell r="AI796">
            <v>42.916914815829116</v>
          </cell>
          <cell r="AM796">
            <v>44.840487911236941</v>
          </cell>
        </row>
        <row r="797">
          <cell r="A797">
            <v>39072</v>
          </cell>
          <cell r="AI797">
            <v>43.881206105727088</v>
          </cell>
          <cell r="AM797">
            <v>45.942252544318301</v>
          </cell>
        </row>
        <row r="798">
          <cell r="A798">
            <v>39071</v>
          </cell>
          <cell r="AI798">
            <v>44.416923489003729</v>
          </cell>
          <cell r="AM798">
            <v>46.554344007141268</v>
          </cell>
        </row>
        <row r="799">
          <cell r="A799">
            <v>39070</v>
          </cell>
          <cell r="AI799">
            <v>44.428828319743218</v>
          </cell>
          <cell r="AM799">
            <v>46.567946039648447</v>
          </cell>
        </row>
        <row r="800">
          <cell r="A800">
            <v>39069</v>
          </cell>
          <cell r="AI800">
            <v>45.297880963725326</v>
          </cell>
          <cell r="AM800">
            <v>47.560894412672376</v>
          </cell>
        </row>
        <row r="801">
          <cell r="A801">
            <v>39066</v>
          </cell>
          <cell r="AI801">
            <v>47.547893973487248</v>
          </cell>
          <cell r="AM801">
            <v>50.131678556528861</v>
          </cell>
        </row>
        <row r="802">
          <cell r="A802">
            <v>39065</v>
          </cell>
          <cell r="AI802">
            <v>47.571703634966205</v>
          </cell>
          <cell r="AM802">
            <v>50.158882621543214</v>
          </cell>
        </row>
        <row r="803">
          <cell r="A803">
            <v>39064</v>
          </cell>
          <cell r="AI803">
            <v>46.631222006547212</v>
          </cell>
          <cell r="AM803">
            <v>49.084322053476228</v>
          </cell>
        </row>
        <row r="804">
          <cell r="A804">
            <v>39063</v>
          </cell>
          <cell r="AI804">
            <v>47.678847111621529</v>
          </cell>
          <cell r="AM804">
            <v>50.28130091410781</v>
          </cell>
        </row>
        <row r="805">
          <cell r="A805">
            <v>39062</v>
          </cell>
          <cell r="AI805">
            <v>45.893122500699377</v>
          </cell>
          <cell r="AM805">
            <v>48.240996038031234</v>
          </cell>
        </row>
        <row r="806">
          <cell r="A806">
            <v>39059</v>
          </cell>
          <cell r="AI806">
            <v>45.86931283922042</v>
          </cell>
          <cell r="AM806">
            <v>48.213791973016882</v>
          </cell>
        </row>
        <row r="807">
          <cell r="A807">
            <v>39058</v>
          </cell>
          <cell r="AI807">
            <v>45.262166471506887</v>
          </cell>
          <cell r="AM807">
            <v>47.520088315150851</v>
          </cell>
        </row>
        <row r="808">
          <cell r="A808">
            <v>39057</v>
          </cell>
          <cell r="AI808">
            <v>45.559787239993916</v>
          </cell>
          <cell r="AM808">
            <v>47.86013912783028</v>
          </cell>
        </row>
        <row r="809">
          <cell r="A809">
            <v>39056</v>
          </cell>
          <cell r="AI809">
            <v>45.512167917035988</v>
          </cell>
          <cell r="AM809">
            <v>47.805730997801568</v>
          </cell>
        </row>
        <row r="810">
          <cell r="A810">
            <v>39055</v>
          </cell>
          <cell r="AI810">
            <v>45.857408008480945</v>
          </cell>
          <cell r="AM810">
            <v>48.200189940509716</v>
          </cell>
        </row>
        <row r="811">
          <cell r="A811">
            <v>39052</v>
          </cell>
          <cell r="AI811">
            <v>45.655025885909765</v>
          </cell>
          <cell r="AM811">
            <v>47.968955387887704</v>
          </cell>
        </row>
        <row r="812">
          <cell r="A812">
            <v>39051</v>
          </cell>
          <cell r="AI812">
            <v>46.428839883976025</v>
          </cell>
          <cell r="AM812">
            <v>48.853087500854201</v>
          </cell>
        </row>
        <row r="813">
          <cell r="A813">
            <v>39050</v>
          </cell>
          <cell r="AI813">
            <v>46.607412345068241</v>
          </cell>
          <cell r="AM813">
            <v>49.057117988461869</v>
          </cell>
        </row>
        <row r="814">
          <cell r="A814">
            <v>39049</v>
          </cell>
          <cell r="AI814">
            <v>46.845508959857867</v>
          </cell>
          <cell r="AM814">
            <v>49.329158638605414</v>
          </cell>
        </row>
        <row r="815">
          <cell r="A815">
            <v>39048</v>
          </cell>
          <cell r="AI815">
            <v>47.797895419016342</v>
          </cell>
          <cell r="AM815">
            <v>50.417321239179579</v>
          </cell>
        </row>
        <row r="816">
          <cell r="A816">
            <v>39045</v>
          </cell>
          <cell r="AI816">
            <v>49.000283323703925</v>
          </cell>
          <cell r="AM816">
            <v>51.791126522404468</v>
          </cell>
        </row>
        <row r="817">
          <cell r="A817">
            <v>39043</v>
          </cell>
          <cell r="AI817">
            <v>49.309808922930436</v>
          </cell>
          <cell r="AM817">
            <v>52.144779367591084</v>
          </cell>
        </row>
        <row r="818">
          <cell r="A818">
            <v>39042</v>
          </cell>
          <cell r="AI818">
            <v>49.643144183635911</v>
          </cell>
          <cell r="AM818">
            <v>52.525636277792053</v>
          </cell>
        </row>
        <row r="819">
          <cell r="A819">
            <v>39041</v>
          </cell>
          <cell r="AI819">
            <v>49.440762061064724</v>
          </cell>
          <cell r="AM819">
            <v>52.294401725170026</v>
          </cell>
        </row>
        <row r="820">
          <cell r="A820">
            <v>39038</v>
          </cell>
          <cell r="AI820">
            <v>49.666953845114861</v>
          </cell>
          <cell r="AM820">
            <v>52.552840342806391</v>
          </cell>
        </row>
        <row r="821">
          <cell r="A821">
            <v>39037</v>
          </cell>
          <cell r="AI821">
            <v>52.094974285167986</v>
          </cell>
          <cell r="AM821">
            <v>55.445275858522074</v>
          </cell>
        </row>
        <row r="822">
          <cell r="A822">
            <v>39036</v>
          </cell>
          <cell r="AI822">
            <v>52.616296400959513</v>
          </cell>
          <cell r="AM822">
            <v>56.039902605250091</v>
          </cell>
        </row>
        <row r="823">
          <cell r="A823">
            <v>39035</v>
          </cell>
          <cell r="AI823">
            <v>53.994076278408556</v>
          </cell>
          <cell r="AM823">
            <v>57.611416150174115</v>
          </cell>
        </row>
        <row r="824">
          <cell r="A824">
            <v>39034</v>
          </cell>
          <cell r="AI824">
            <v>54.614697844827049</v>
          </cell>
          <cell r="AM824">
            <v>58.31930513437414</v>
          </cell>
        </row>
        <row r="825">
          <cell r="A825">
            <v>39031</v>
          </cell>
          <cell r="AI825">
            <v>52.380460205720496</v>
          </cell>
          <cell r="AM825">
            <v>55.77090479125409</v>
          </cell>
        </row>
        <row r="826">
          <cell r="A826">
            <v>39030</v>
          </cell>
          <cell r="AI826">
            <v>51.610889463361559</v>
          </cell>
          <cell r="AM826">
            <v>54.893122450846057</v>
          </cell>
        </row>
        <row r="827">
          <cell r="A827">
            <v>39029</v>
          </cell>
          <cell r="AI827">
            <v>52.256335892436795</v>
          </cell>
          <cell r="AM827">
            <v>55.629326994414079</v>
          </cell>
        </row>
        <row r="828">
          <cell r="A828">
            <v>39028</v>
          </cell>
          <cell r="AI828">
            <v>53.286567692691484</v>
          </cell>
          <cell r="AM828">
            <v>56.804422708186102</v>
          </cell>
        </row>
        <row r="829">
          <cell r="A829">
            <v>39027</v>
          </cell>
          <cell r="AI829">
            <v>52.144624010481458</v>
          </cell>
          <cell r="AM829">
            <v>55.501906977258074</v>
          </cell>
        </row>
        <row r="830">
          <cell r="A830">
            <v>39024</v>
          </cell>
          <cell r="AI830">
            <v>50.245522017240887</v>
          </cell>
          <cell r="AM830">
            <v>53.335766685606032</v>
          </cell>
        </row>
        <row r="831">
          <cell r="A831">
            <v>39023</v>
          </cell>
          <cell r="AI831">
            <v>48.40848218064216</v>
          </cell>
          <cell r="AM831">
            <v>51.240415292373989</v>
          </cell>
        </row>
        <row r="832">
          <cell r="A832">
            <v>39022</v>
          </cell>
          <cell r="AI832">
            <v>47.167239047805182</v>
          </cell>
          <cell r="AM832">
            <v>49.82463732397396</v>
          </cell>
        </row>
        <row r="833">
          <cell r="A833">
            <v>39021</v>
          </cell>
          <cell r="AI833">
            <v>48.433307043298903</v>
          </cell>
          <cell r="AM833">
            <v>51.268730851741992</v>
          </cell>
        </row>
        <row r="834">
          <cell r="A834">
            <v>39020</v>
          </cell>
          <cell r="AI834">
            <v>49.376651824254999</v>
          </cell>
          <cell r="AM834">
            <v>52.344722107726014</v>
          </cell>
        </row>
        <row r="835">
          <cell r="A835">
            <v>39017</v>
          </cell>
          <cell r="AI835">
            <v>49.786262058091204</v>
          </cell>
          <cell r="AM835">
            <v>52.811928837298019</v>
          </cell>
        </row>
        <row r="836">
          <cell r="A836">
            <v>39016</v>
          </cell>
          <cell r="AI836">
            <v>50.555832800450119</v>
          </cell>
          <cell r="AM836">
            <v>53.68971117770603</v>
          </cell>
        </row>
        <row r="837">
          <cell r="A837">
            <v>39015</v>
          </cell>
          <cell r="AI837">
            <v>51.30057868015232</v>
          </cell>
          <cell r="AM837">
            <v>54.539177958746059</v>
          </cell>
        </row>
        <row r="838">
          <cell r="A838">
            <v>39014</v>
          </cell>
          <cell r="AI838">
            <v>50.27034687989763</v>
          </cell>
          <cell r="AM838">
            <v>53.364082244974036</v>
          </cell>
        </row>
        <row r="839">
          <cell r="A839">
            <v>39013</v>
          </cell>
          <cell r="AI839">
            <v>50.195872291927401</v>
          </cell>
          <cell r="AM839">
            <v>53.279135566870025</v>
          </cell>
        </row>
        <row r="840">
          <cell r="A840">
            <v>39010</v>
          </cell>
          <cell r="AI840">
            <v>49.488363706210329</v>
          </cell>
          <cell r="AM840">
            <v>52.472142124882012</v>
          </cell>
        </row>
        <row r="841">
          <cell r="A841">
            <v>39009</v>
          </cell>
          <cell r="AI841">
            <v>49.811086920747947</v>
          </cell>
          <cell r="AM841">
            <v>52.840244396666023</v>
          </cell>
        </row>
        <row r="842">
          <cell r="A842">
            <v>39008</v>
          </cell>
          <cell r="AI842">
            <v>50.146222566613922</v>
          </cell>
          <cell r="AM842">
            <v>53.222504448134025</v>
          </cell>
        </row>
        <row r="843">
          <cell r="A843">
            <v>39007</v>
          </cell>
          <cell r="AI843">
            <v>49.960036096688384</v>
          </cell>
          <cell r="AM843">
            <v>53.010137752874023</v>
          </cell>
        </row>
        <row r="844">
          <cell r="A844">
            <v>39006</v>
          </cell>
          <cell r="AI844">
            <v>51.30057868015232</v>
          </cell>
          <cell r="AM844">
            <v>54.539177958746059</v>
          </cell>
        </row>
        <row r="845">
          <cell r="A845">
            <v>39003</v>
          </cell>
          <cell r="AI845">
            <v>50.866143583659365</v>
          </cell>
          <cell r="AM845">
            <v>54.043655669806036</v>
          </cell>
        </row>
        <row r="846">
          <cell r="A846">
            <v>39002</v>
          </cell>
          <cell r="AI846">
            <v>50.009685822001856</v>
          </cell>
          <cell r="AM846">
            <v>53.066768871610023</v>
          </cell>
        </row>
        <row r="847">
          <cell r="A847">
            <v>39001</v>
          </cell>
          <cell r="AI847">
            <v>49.488363706210329</v>
          </cell>
          <cell r="AM847">
            <v>52.472142124882012</v>
          </cell>
        </row>
        <row r="848">
          <cell r="A848">
            <v>39000</v>
          </cell>
          <cell r="AI848">
            <v>49.649725313479138</v>
          </cell>
          <cell r="AM848">
            <v>52.656193260774018</v>
          </cell>
        </row>
        <row r="849">
          <cell r="A849">
            <v>38999</v>
          </cell>
          <cell r="AI849">
            <v>50.022098253330228</v>
          </cell>
          <cell r="AM849">
            <v>53.080926651294021</v>
          </cell>
        </row>
        <row r="850">
          <cell r="A850">
            <v>38996</v>
          </cell>
          <cell r="AI850">
            <v>50.09657284130045</v>
          </cell>
          <cell r="AM850">
            <v>53.165873329398025</v>
          </cell>
        </row>
        <row r="851">
          <cell r="A851">
            <v>38995</v>
          </cell>
          <cell r="AI851">
            <v>47.130001753820068</v>
          </cell>
          <cell r="AM851">
            <v>49.782163984921951</v>
          </cell>
        </row>
        <row r="852">
          <cell r="A852">
            <v>38994</v>
          </cell>
          <cell r="AI852">
            <v>46.087357522237014</v>
          </cell>
          <cell r="AM852">
            <v>48.592910491465936</v>
          </cell>
        </row>
        <row r="853">
          <cell r="A853">
            <v>38993</v>
          </cell>
          <cell r="AI853">
            <v>45.292961917221341</v>
          </cell>
          <cell r="AM853">
            <v>47.686812591689907</v>
          </cell>
        </row>
        <row r="854">
          <cell r="A854">
            <v>38992</v>
          </cell>
          <cell r="AI854">
            <v>43.766232863831853</v>
          </cell>
          <cell r="AM854">
            <v>45.945405690557862</v>
          </cell>
        </row>
        <row r="855">
          <cell r="A855">
            <v>38989</v>
          </cell>
          <cell r="AI855">
            <v>44.53580360619079</v>
          </cell>
          <cell r="AM855">
            <v>46.823188030965902</v>
          </cell>
        </row>
        <row r="856">
          <cell r="A856">
            <v>38988</v>
          </cell>
          <cell r="AI856">
            <v>46.745216382640599</v>
          </cell>
          <cell r="AM856">
            <v>49.343272814717942</v>
          </cell>
        </row>
        <row r="857">
          <cell r="A857">
            <v>38987</v>
          </cell>
          <cell r="AI857">
            <v>46.559029912715062</v>
          </cell>
          <cell r="AM857">
            <v>49.13090611945794</v>
          </cell>
        </row>
        <row r="858">
          <cell r="A858">
            <v>38986</v>
          </cell>
          <cell r="AI858">
            <v>47.651323869611602</v>
          </cell>
          <cell r="AM858">
            <v>50.376790731649969</v>
          </cell>
        </row>
        <row r="859">
          <cell r="A859">
            <v>38985</v>
          </cell>
          <cell r="AI859">
            <v>46.54661748138669</v>
          </cell>
          <cell r="AM859">
            <v>49.116748339773942</v>
          </cell>
        </row>
        <row r="860">
          <cell r="A860">
            <v>38982</v>
          </cell>
          <cell r="AI860">
            <v>44.895764114713515</v>
          </cell>
          <cell r="AM860">
            <v>47.233763641801907</v>
          </cell>
        </row>
        <row r="861">
          <cell r="A861">
            <v>38981</v>
          </cell>
          <cell r="AI861">
            <v>45.665334857072438</v>
          </cell>
          <cell r="AM861">
            <v>48.111545982209918</v>
          </cell>
        </row>
        <row r="862">
          <cell r="A862">
            <v>38980</v>
          </cell>
          <cell r="AI862">
            <v>44.101368509697842</v>
          </cell>
          <cell r="AM862">
            <v>46.327665742025879</v>
          </cell>
        </row>
        <row r="863">
          <cell r="A863">
            <v>38979</v>
          </cell>
          <cell r="AI863">
            <v>42.276741104427487</v>
          </cell>
          <cell r="AM863">
            <v>44.246472128477841</v>
          </cell>
        </row>
        <row r="864">
          <cell r="A864">
            <v>38978</v>
          </cell>
          <cell r="AI864">
            <v>42.822888082875757</v>
          </cell>
          <cell r="AM864">
            <v>44.869414434573855</v>
          </cell>
        </row>
        <row r="865">
          <cell r="A865">
            <v>38975</v>
          </cell>
          <cell r="AI865">
            <v>43.443509649294242</v>
          </cell>
          <cell r="AM865">
            <v>45.577303418773866</v>
          </cell>
        </row>
        <row r="866">
          <cell r="A866">
            <v>38974</v>
          </cell>
          <cell r="AI866">
            <v>43.369035061324027</v>
          </cell>
          <cell r="AM866">
            <v>45.492356740669862</v>
          </cell>
        </row>
        <row r="867">
          <cell r="A867">
            <v>38973</v>
          </cell>
          <cell r="AI867">
            <v>43.716583138518374</v>
          </cell>
          <cell r="AM867">
            <v>45.88877457182187</v>
          </cell>
        </row>
        <row r="868">
          <cell r="A868">
            <v>38972</v>
          </cell>
          <cell r="AI868">
            <v>43.592458825234679</v>
          </cell>
          <cell r="AM868">
            <v>45.747196774981866</v>
          </cell>
        </row>
        <row r="869">
          <cell r="A869">
            <v>38971</v>
          </cell>
          <cell r="AI869">
            <v>41.333396323471376</v>
          </cell>
          <cell r="AM869">
            <v>43.170480872493812</v>
          </cell>
        </row>
        <row r="870">
          <cell r="A870">
            <v>38968</v>
          </cell>
          <cell r="AI870">
            <v>41.370633617456491</v>
          </cell>
          <cell r="AM870">
            <v>43.212954211545814</v>
          </cell>
        </row>
        <row r="871">
          <cell r="A871">
            <v>38967</v>
          </cell>
          <cell r="AI871">
            <v>41.420283342769963</v>
          </cell>
          <cell r="AM871">
            <v>43.269585330281814</v>
          </cell>
        </row>
        <row r="872">
          <cell r="A872">
            <v>38966</v>
          </cell>
          <cell r="AI872">
            <v>41.283746598157897</v>
          </cell>
          <cell r="AM872">
            <v>43.113849753757812</v>
          </cell>
        </row>
        <row r="873">
          <cell r="A873">
            <v>38965</v>
          </cell>
          <cell r="AI873">
            <v>43.182848591398482</v>
          </cell>
          <cell r="AM873">
            <v>45.27999004540986</v>
          </cell>
        </row>
        <row r="874">
          <cell r="A874">
            <v>38961</v>
          </cell>
          <cell r="AI874">
            <v>42.698763769592055</v>
          </cell>
          <cell r="AM874">
            <v>44.727836637733844</v>
          </cell>
        </row>
        <row r="875">
          <cell r="A875">
            <v>38960</v>
          </cell>
          <cell r="AI875">
            <v>42.798063220219007</v>
          </cell>
          <cell r="AM875">
            <v>44.841098875205837</v>
          </cell>
        </row>
        <row r="876">
          <cell r="A876">
            <v>38959</v>
          </cell>
          <cell r="AI876">
            <v>43.120786434756631</v>
          </cell>
          <cell r="AM876">
            <v>45.209201146989862</v>
          </cell>
        </row>
        <row r="877">
          <cell r="A877">
            <v>38958</v>
          </cell>
          <cell r="AI877">
            <v>42.984249690144566</v>
          </cell>
          <cell r="AM877">
            <v>45.05346557046586</v>
          </cell>
        </row>
        <row r="878">
          <cell r="A878">
            <v>38957</v>
          </cell>
          <cell r="AI878">
            <v>42.102967065830313</v>
          </cell>
          <cell r="AM878">
            <v>44.048263212901837</v>
          </cell>
        </row>
        <row r="879">
          <cell r="A879">
            <v>38954</v>
          </cell>
          <cell r="AI879">
            <v>41.656119538008994</v>
          </cell>
          <cell r="AM879">
            <v>43.538583144277823</v>
          </cell>
        </row>
        <row r="880">
          <cell r="A880">
            <v>38953</v>
          </cell>
          <cell r="AI880">
            <v>41.879543301919654</v>
          </cell>
          <cell r="AM880">
            <v>43.793423178589826</v>
          </cell>
        </row>
        <row r="881">
          <cell r="A881">
            <v>38952</v>
          </cell>
          <cell r="AI881">
            <v>41.879543301919654</v>
          </cell>
          <cell r="AM881">
            <v>43.793423178589826</v>
          </cell>
        </row>
        <row r="882">
          <cell r="A882">
            <v>38951</v>
          </cell>
          <cell r="AI882">
            <v>41.271334166829533</v>
          </cell>
          <cell r="AM882">
            <v>43.099691974073814</v>
          </cell>
        </row>
        <row r="883">
          <cell r="A883">
            <v>38950</v>
          </cell>
          <cell r="AI883">
            <v>40.849311501664957</v>
          </cell>
          <cell r="AM883">
            <v>42.618327464817803</v>
          </cell>
        </row>
        <row r="884">
          <cell r="A884">
            <v>38947</v>
          </cell>
          <cell r="AI884">
            <v>40.774836913694742</v>
          </cell>
          <cell r="AM884">
            <v>42.533380786713806</v>
          </cell>
        </row>
        <row r="885">
          <cell r="A885">
            <v>38946</v>
          </cell>
          <cell r="AI885">
            <v>38.861469811558813</v>
          </cell>
          <cell r="AM885">
            <v>39.99051453735828</v>
          </cell>
        </row>
        <row r="886">
          <cell r="A886">
            <v>38945</v>
          </cell>
          <cell r="AI886">
            <v>32.657472553808468</v>
          </cell>
          <cell r="AM886">
            <v>33.098409223019075</v>
          </cell>
        </row>
        <row r="887">
          <cell r="A887">
            <v>38944</v>
          </cell>
          <cell r="AI887">
            <v>33.01495194970115</v>
          </cell>
          <cell r="AM887">
            <v>33.495537967897356</v>
          </cell>
        </row>
        <row r="888">
          <cell r="A888">
            <v>38943</v>
          </cell>
          <cell r="AI888">
            <v>30.789354420433831</v>
          </cell>
          <cell r="AM888">
            <v>31.023091265913216</v>
          </cell>
        </row>
        <row r="889">
          <cell r="A889">
            <v>38940</v>
          </cell>
          <cell r="AI889">
            <v>29.982142881321334</v>
          </cell>
          <cell r="AM889">
            <v>30.126348938768711</v>
          </cell>
        </row>
        <row r="890">
          <cell r="A890">
            <v>38939</v>
          </cell>
          <cell r="AI890">
            <v>30.593317332363654</v>
          </cell>
          <cell r="AM890">
            <v>30.805310986463837</v>
          </cell>
        </row>
        <row r="891">
          <cell r="A891">
            <v>38938</v>
          </cell>
          <cell r="AI891">
            <v>28.713667605573121</v>
          </cell>
          <cell r="AM891">
            <v>28.717182424684484</v>
          </cell>
        </row>
        <row r="892">
          <cell r="A892">
            <v>38937</v>
          </cell>
          <cell r="AI892">
            <v>28.436909363591699</v>
          </cell>
          <cell r="AM892">
            <v>28.409727912520658</v>
          </cell>
        </row>
        <row r="893">
          <cell r="A893">
            <v>38936</v>
          </cell>
          <cell r="AI893">
            <v>29.590068705180979</v>
          </cell>
          <cell r="AM893">
            <v>29.69078837986995</v>
          </cell>
        </row>
        <row r="894">
          <cell r="A894">
            <v>38933</v>
          </cell>
          <cell r="AI894">
            <v>30.155116782559727</v>
          </cell>
          <cell r="AM894">
            <v>30.318508008871103</v>
          </cell>
        </row>
        <row r="895">
          <cell r="A895">
            <v>38932</v>
          </cell>
          <cell r="AI895">
            <v>30.558722552115977</v>
          </cell>
          <cell r="AM895">
            <v>30.76687917244336</v>
          </cell>
        </row>
        <row r="896">
          <cell r="A896">
            <v>38931</v>
          </cell>
          <cell r="AI896">
            <v>29.209526122456513</v>
          </cell>
          <cell r="AM896">
            <v>29.268038425644683</v>
          </cell>
        </row>
        <row r="897">
          <cell r="A897">
            <v>38930</v>
          </cell>
          <cell r="AI897">
            <v>28.598351671414196</v>
          </cell>
          <cell r="AM897">
            <v>28.58907637794956</v>
          </cell>
        </row>
        <row r="898">
          <cell r="A898">
            <v>38929</v>
          </cell>
          <cell r="AI898">
            <v>29.636195078844551</v>
          </cell>
          <cell r="AM898">
            <v>29.742030798563921</v>
          </cell>
        </row>
        <row r="899">
          <cell r="A899">
            <v>38926</v>
          </cell>
          <cell r="AI899">
            <v>29.186462935624728</v>
          </cell>
          <cell r="AM899">
            <v>29.242417216297696</v>
          </cell>
        </row>
        <row r="900">
          <cell r="A900">
            <v>38925</v>
          </cell>
          <cell r="AI900">
            <v>28.667541231909553</v>
          </cell>
          <cell r="AM900">
            <v>28.665940005990514</v>
          </cell>
        </row>
        <row r="901">
          <cell r="A901">
            <v>38924</v>
          </cell>
          <cell r="AI901">
            <v>28.229340682105629</v>
          </cell>
          <cell r="AM901">
            <v>28.179137028397786</v>
          </cell>
        </row>
        <row r="902">
          <cell r="A902">
            <v>38923</v>
          </cell>
          <cell r="AI902">
            <v>28.28699864918509</v>
          </cell>
          <cell r="AM902">
            <v>28.24319005176525</v>
          </cell>
        </row>
        <row r="903">
          <cell r="A903">
            <v>38922</v>
          </cell>
          <cell r="AI903">
            <v>26.73023353803956</v>
          </cell>
          <cell r="AM903">
            <v>26.5137584208437</v>
          </cell>
        </row>
        <row r="904">
          <cell r="A904">
            <v>38919</v>
          </cell>
          <cell r="AI904">
            <v>25.254189580805278</v>
          </cell>
          <cell r="AM904">
            <v>24.874001022636605</v>
          </cell>
        </row>
        <row r="905">
          <cell r="A905">
            <v>38918</v>
          </cell>
          <cell r="AI905">
            <v>26.15365386724492</v>
          </cell>
          <cell r="AM905">
            <v>25.873228187169055</v>
          </cell>
        </row>
        <row r="906">
          <cell r="A906">
            <v>38917</v>
          </cell>
          <cell r="AI906">
            <v>26.465006889474022</v>
          </cell>
          <cell r="AM906">
            <v>26.219114513353361</v>
          </cell>
        </row>
        <row r="907">
          <cell r="A907">
            <v>38916</v>
          </cell>
          <cell r="AI907">
            <v>25.496353042539024</v>
          </cell>
          <cell r="AM907">
            <v>25.143023720779954</v>
          </cell>
        </row>
        <row r="908">
          <cell r="A908">
            <v>38915</v>
          </cell>
          <cell r="AI908">
            <v>25.196531613725817</v>
          </cell>
          <cell r="AM908">
            <v>24.809947999269141</v>
          </cell>
        </row>
        <row r="909">
          <cell r="A909">
            <v>38912</v>
          </cell>
          <cell r="AI909">
            <v>25.392568701795991</v>
          </cell>
          <cell r="AM909">
            <v>25.02772827871852</v>
          </cell>
        </row>
        <row r="910">
          <cell r="A910">
            <v>38911</v>
          </cell>
          <cell r="AI910">
            <v>25.623200570113848</v>
          </cell>
          <cell r="AM910">
            <v>25.283940372188376</v>
          </cell>
        </row>
        <row r="911">
          <cell r="A911">
            <v>38910</v>
          </cell>
          <cell r="AI911">
            <v>26.580322823632951</v>
          </cell>
          <cell r="AM911">
            <v>26.347220560088292</v>
          </cell>
        </row>
        <row r="912">
          <cell r="A912">
            <v>38909</v>
          </cell>
          <cell r="AI912">
            <v>27.906456066460624</v>
          </cell>
          <cell r="AM912">
            <v>27.820440097539979</v>
          </cell>
        </row>
        <row r="913">
          <cell r="A913">
            <v>38908</v>
          </cell>
          <cell r="AI913">
            <v>26.983928593189198</v>
          </cell>
          <cell r="AM913">
            <v>26.795591723660543</v>
          </cell>
        </row>
        <row r="914">
          <cell r="A914">
            <v>38905</v>
          </cell>
          <cell r="AI914">
            <v>28.725199198989021</v>
          </cell>
          <cell r="AM914">
            <v>28.729993029357981</v>
          </cell>
        </row>
        <row r="915">
          <cell r="A915">
            <v>38904</v>
          </cell>
          <cell r="AI915">
            <v>29.451689584190266</v>
          </cell>
          <cell r="AM915">
            <v>29.537061123788035</v>
          </cell>
        </row>
        <row r="916">
          <cell r="A916">
            <v>38903</v>
          </cell>
          <cell r="AI916">
            <v>30.132053595727943</v>
          </cell>
          <cell r="AM916">
            <v>30.292886799524119</v>
          </cell>
        </row>
        <row r="917">
          <cell r="A917">
            <v>38901</v>
          </cell>
          <cell r="AI917">
            <v>30.62791211261133</v>
          </cell>
          <cell r="AM917">
            <v>30.843742800484314</v>
          </cell>
        </row>
        <row r="918">
          <cell r="A918">
            <v>38898</v>
          </cell>
          <cell r="AI918">
            <v>30.743228046770263</v>
          </cell>
          <cell r="AM918">
            <v>30.971848847219245</v>
          </cell>
        </row>
        <row r="919">
          <cell r="A919">
            <v>38897</v>
          </cell>
          <cell r="AI919">
            <v>31.377465684644367</v>
          </cell>
          <cell r="AM919">
            <v>31.676432104261359</v>
          </cell>
        </row>
        <row r="920">
          <cell r="A920">
            <v>38896</v>
          </cell>
          <cell r="AI920">
            <v>31.192960189990082</v>
          </cell>
          <cell r="AM920">
            <v>31.47146242948547</v>
          </cell>
        </row>
        <row r="921">
          <cell r="A921">
            <v>38895</v>
          </cell>
          <cell r="AI921">
            <v>31.365934091228475</v>
          </cell>
          <cell r="AM921">
            <v>31.663621499587865</v>
          </cell>
        </row>
        <row r="922">
          <cell r="A922">
            <v>38894</v>
          </cell>
          <cell r="AI922">
            <v>31.88485579494365</v>
          </cell>
          <cell r="AM922">
            <v>32.240098709895044</v>
          </cell>
        </row>
        <row r="923">
          <cell r="A923">
            <v>38891</v>
          </cell>
          <cell r="AI923">
            <v>32.05782969618204</v>
          </cell>
          <cell r="AM923">
            <v>32.432257779997443</v>
          </cell>
        </row>
        <row r="924">
          <cell r="A924">
            <v>38890</v>
          </cell>
          <cell r="AI924">
            <v>31.861792608111866</v>
          </cell>
          <cell r="AM924">
            <v>32.214477500548064</v>
          </cell>
        </row>
        <row r="925">
          <cell r="A925">
            <v>38889</v>
          </cell>
          <cell r="AI925">
            <v>32.000171729102583</v>
          </cell>
          <cell r="AM925">
            <v>32.368204756629979</v>
          </cell>
        </row>
        <row r="926">
          <cell r="A926">
            <v>38888</v>
          </cell>
          <cell r="AI926">
            <v>30.858543980929191</v>
          </cell>
          <cell r="AM926">
            <v>31.099954893954177</v>
          </cell>
        </row>
        <row r="927">
          <cell r="A927">
            <v>38887</v>
          </cell>
          <cell r="AI927">
            <v>31.146833816326513</v>
          </cell>
          <cell r="AM927">
            <v>31.4202200107915</v>
          </cell>
        </row>
        <row r="928">
          <cell r="A928">
            <v>38884</v>
          </cell>
          <cell r="AI928">
            <v>31.988640135686683</v>
          </cell>
          <cell r="AM928">
            <v>32.355394151956482</v>
          </cell>
        </row>
        <row r="929">
          <cell r="A929">
            <v>38883</v>
          </cell>
          <cell r="AI929">
            <v>31.504313212219188</v>
          </cell>
          <cell r="AM929">
            <v>31.81734875566978</v>
          </cell>
        </row>
        <row r="930">
          <cell r="A930">
            <v>38882</v>
          </cell>
          <cell r="AI930">
            <v>29.255652496120089</v>
          </cell>
          <cell r="AM930">
            <v>29.319280844338657</v>
          </cell>
        </row>
        <row r="931">
          <cell r="A931">
            <v>38881</v>
          </cell>
          <cell r="AI931">
            <v>29.036552221218123</v>
          </cell>
          <cell r="AM931">
            <v>29.075879355542288</v>
          </cell>
        </row>
        <row r="932">
          <cell r="A932">
            <v>38880</v>
          </cell>
          <cell r="AI932">
            <v>28.713667605573121</v>
          </cell>
          <cell r="AM932">
            <v>28.717182424684484</v>
          </cell>
        </row>
        <row r="933">
          <cell r="A933">
            <v>38877</v>
          </cell>
          <cell r="AI933">
            <v>30.016737661569017</v>
          </cell>
          <cell r="AM933">
            <v>30.164780752789191</v>
          </cell>
        </row>
        <row r="934">
          <cell r="A934">
            <v>38876</v>
          </cell>
          <cell r="AI934">
            <v>29.809168980082948</v>
          </cell>
          <cell r="AM934">
            <v>29.934189868666319</v>
          </cell>
        </row>
        <row r="935">
          <cell r="A935">
            <v>38875</v>
          </cell>
          <cell r="AI935">
            <v>31.146833816326513</v>
          </cell>
          <cell r="AM935">
            <v>31.4202200107915</v>
          </cell>
        </row>
        <row r="936">
          <cell r="A936">
            <v>38874</v>
          </cell>
          <cell r="AI936">
            <v>31.850261014695974</v>
          </cell>
          <cell r="AM936">
            <v>32.201666895874567</v>
          </cell>
        </row>
        <row r="937">
          <cell r="A937">
            <v>38873</v>
          </cell>
          <cell r="AI937">
            <v>34.306490412281143</v>
          </cell>
          <cell r="AM937">
            <v>34.930325691328562</v>
          </cell>
        </row>
        <row r="938">
          <cell r="A938">
            <v>38870</v>
          </cell>
          <cell r="AI938">
            <v>34.444869533271856</v>
          </cell>
          <cell r="AM938">
            <v>35.084052947410477</v>
          </cell>
        </row>
        <row r="939">
          <cell r="A939">
            <v>38869</v>
          </cell>
          <cell r="AI939">
            <v>35.805597556347209</v>
          </cell>
          <cell r="AM939">
            <v>36.595704298882644</v>
          </cell>
        </row>
        <row r="940">
          <cell r="A940">
            <v>38868</v>
          </cell>
          <cell r="AI940">
            <v>34.029732170299717</v>
          </cell>
          <cell r="AM940">
            <v>34.62287117916474</v>
          </cell>
        </row>
        <row r="941">
          <cell r="A941">
            <v>38867</v>
          </cell>
          <cell r="AI941">
            <v>34.341085192528823</v>
          </cell>
          <cell r="AM941">
            <v>34.968757505349039</v>
          </cell>
        </row>
        <row r="942">
          <cell r="A942">
            <v>38863</v>
          </cell>
          <cell r="AI942">
            <v>35.056043984314172</v>
          </cell>
          <cell r="AM942">
            <v>35.7630149951056</v>
          </cell>
        </row>
        <row r="943">
          <cell r="A943">
            <v>38862</v>
          </cell>
          <cell r="AI943">
            <v>35.044512390898284</v>
          </cell>
          <cell r="AM943">
            <v>35.750204390432117</v>
          </cell>
        </row>
        <row r="944">
          <cell r="A944">
            <v>38861</v>
          </cell>
          <cell r="AI944">
            <v>32.830446455046861</v>
          </cell>
          <cell r="AM944">
            <v>33.290568293121467</v>
          </cell>
        </row>
        <row r="945">
          <cell r="A945">
            <v>38860</v>
          </cell>
          <cell r="AI945">
            <v>33.845226675645428</v>
          </cell>
          <cell r="AM945">
            <v>34.417901504388844</v>
          </cell>
        </row>
        <row r="946">
          <cell r="A946">
            <v>38859</v>
          </cell>
          <cell r="AI946">
            <v>33.891353049309004</v>
          </cell>
          <cell r="AM946">
            <v>34.469143923082818</v>
          </cell>
        </row>
        <row r="947">
          <cell r="A947">
            <v>38856</v>
          </cell>
          <cell r="AI947">
            <v>32.922699202374005</v>
          </cell>
          <cell r="AM947">
            <v>33.393053130509415</v>
          </cell>
        </row>
        <row r="948">
          <cell r="A948">
            <v>38855</v>
          </cell>
          <cell r="AI948">
            <v>33.049546729948823</v>
          </cell>
          <cell r="AM948">
            <v>33.533969781917833</v>
          </cell>
        </row>
        <row r="949">
          <cell r="A949">
            <v>38854</v>
          </cell>
          <cell r="AI949">
            <v>37.946936295655938</v>
          </cell>
          <cell r="AM949">
            <v>38.398806836526767</v>
          </cell>
        </row>
        <row r="950">
          <cell r="A950">
            <v>38853</v>
          </cell>
          <cell r="AI950">
            <v>38.362000564053901</v>
          </cell>
          <cell r="AM950">
            <v>38.85587888088795</v>
          </cell>
        </row>
        <row r="951">
          <cell r="A951">
            <v>38852</v>
          </cell>
          <cell r="AI951">
            <v>39.217284511055759</v>
          </cell>
          <cell r="AM951">
            <v>39.797724305632201</v>
          </cell>
        </row>
        <row r="952">
          <cell r="A952">
            <v>38849</v>
          </cell>
          <cell r="AI952">
            <v>39.242439921261692</v>
          </cell>
          <cell r="AM952">
            <v>39.825425641654085</v>
          </cell>
        </row>
        <row r="953">
          <cell r="A953">
            <v>38848</v>
          </cell>
          <cell r="AI953">
            <v>40.663720597897132</v>
          </cell>
          <cell r="AM953">
            <v>41.390551126890848</v>
          </cell>
        </row>
        <row r="954">
          <cell r="A954">
            <v>38847</v>
          </cell>
          <cell r="AI954">
            <v>41.116517981603998</v>
          </cell>
          <cell r="AM954">
            <v>41.889175175284862</v>
          </cell>
        </row>
        <row r="955">
          <cell r="A955">
            <v>38846</v>
          </cell>
          <cell r="AI955">
            <v>42.625842593960222</v>
          </cell>
          <cell r="AM955">
            <v>43.551255336598253</v>
          </cell>
        </row>
        <row r="956">
          <cell r="A956">
            <v>38845</v>
          </cell>
          <cell r="AI956">
            <v>43.154106208284894</v>
          </cell>
          <cell r="AM956">
            <v>44.132983393057934</v>
          </cell>
        </row>
        <row r="957">
          <cell r="A957">
            <v>38842</v>
          </cell>
          <cell r="AI957">
            <v>42.915129811328491</v>
          </cell>
          <cell r="AM957">
            <v>43.869820700849978</v>
          </cell>
        </row>
        <row r="958">
          <cell r="A958">
            <v>38841</v>
          </cell>
          <cell r="AI958">
            <v>43.946501629771909</v>
          </cell>
          <cell r="AM958">
            <v>45.005575477747456</v>
          </cell>
        </row>
        <row r="959">
          <cell r="A959">
            <v>38840</v>
          </cell>
          <cell r="AI959">
            <v>43.141528503181917</v>
          </cell>
          <cell r="AM959">
            <v>44.119132725046981</v>
          </cell>
        </row>
        <row r="960">
          <cell r="A960">
            <v>38839</v>
          </cell>
          <cell r="AI960">
            <v>44.021967860389715</v>
          </cell>
          <cell r="AM960">
            <v>45.088679485813124</v>
          </cell>
        </row>
        <row r="961">
          <cell r="A961">
            <v>38838</v>
          </cell>
          <cell r="AI961">
            <v>44.047123270595662</v>
          </cell>
          <cell r="AM961">
            <v>45.116380821835016</v>
          </cell>
        </row>
        <row r="962">
          <cell r="A962">
            <v>38835</v>
          </cell>
          <cell r="AI962">
            <v>44.084856385904558</v>
          </cell>
          <cell r="AM962">
            <v>45.157932825867846</v>
          </cell>
        </row>
        <row r="963">
          <cell r="A963">
            <v>38834</v>
          </cell>
          <cell r="AI963">
            <v>44.399299013478768</v>
          </cell>
          <cell r="AM963">
            <v>45.504199526141463</v>
          </cell>
        </row>
        <row r="964">
          <cell r="A964">
            <v>38833</v>
          </cell>
          <cell r="AI964">
            <v>44.235788847140192</v>
          </cell>
          <cell r="AM964">
            <v>45.324140841999196</v>
          </cell>
        </row>
        <row r="965">
          <cell r="A965">
            <v>38832</v>
          </cell>
          <cell r="AI965">
            <v>44.210633436934245</v>
          </cell>
          <cell r="AM965">
            <v>45.296439505977297</v>
          </cell>
        </row>
        <row r="966">
          <cell r="A966">
            <v>38831</v>
          </cell>
          <cell r="AI966">
            <v>40.902696994853542</v>
          </cell>
          <cell r="AM966">
            <v>41.653713819098812</v>
          </cell>
        </row>
        <row r="967">
          <cell r="A967">
            <v>38828</v>
          </cell>
          <cell r="AI967">
            <v>41.644781595928677</v>
          </cell>
          <cell r="AM967">
            <v>42.470903231744551</v>
          </cell>
        </row>
        <row r="968">
          <cell r="A968">
            <v>38827</v>
          </cell>
          <cell r="AI968">
            <v>42.009535043914759</v>
          </cell>
          <cell r="AM968">
            <v>42.872572604061951</v>
          </cell>
        </row>
        <row r="969">
          <cell r="A969">
            <v>38826</v>
          </cell>
          <cell r="AI969">
            <v>43.116373092975984</v>
          </cell>
          <cell r="AM969">
            <v>44.091431389025097</v>
          </cell>
        </row>
        <row r="970">
          <cell r="A970">
            <v>38825</v>
          </cell>
          <cell r="AI970">
            <v>42.173045210253356</v>
          </cell>
          <cell r="AM970">
            <v>43.052631288204239</v>
          </cell>
        </row>
        <row r="971">
          <cell r="A971">
            <v>38824</v>
          </cell>
          <cell r="AI971">
            <v>41.254872737736648</v>
          </cell>
          <cell r="AM971">
            <v>42.041532523405259</v>
          </cell>
        </row>
        <row r="972">
          <cell r="A972">
            <v>38820</v>
          </cell>
          <cell r="AI972">
            <v>42.399443902106789</v>
          </cell>
          <cell r="AM972">
            <v>43.301943312401242</v>
          </cell>
        </row>
        <row r="973">
          <cell r="A973">
            <v>38819</v>
          </cell>
          <cell r="AI973">
            <v>41.820869467370237</v>
          </cell>
          <cell r="AM973">
            <v>42.664812583897785</v>
          </cell>
        </row>
        <row r="974">
          <cell r="A974">
            <v>38818</v>
          </cell>
          <cell r="AI974">
            <v>41.8334471724732</v>
          </cell>
          <cell r="AM974">
            <v>42.678663251908716</v>
          </cell>
        </row>
        <row r="975">
          <cell r="A975">
            <v>38817</v>
          </cell>
          <cell r="AI975">
            <v>43.782991463433319</v>
          </cell>
          <cell r="AM975">
            <v>44.825516793605175</v>
          </cell>
        </row>
        <row r="976">
          <cell r="A976">
            <v>38814</v>
          </cell>
          <cell r="AI976">
            <v>43.393082605241304</v>
          </cell>
          <cell r="AM976">
            <v>44.39614608526589</v>
          </cell>
        </row>
        <row r="977">
          <cell r="A977">
            <v>38813</v>
          </cell>
          <cell r="AI977">
            <v>45.531292472745939</v>
          </cell>
          <cell r="AM977">
            <v>46.750759647126507</v>
          </cell>
        </row>
        <row r="978">
          <cell r="A978">
            <v>38812</v>
          </cell>
          <cell r="AI978">
            <v>46.776485277939813</v>
          </cell>
          <cell r="AM978">
            <v>48.121975780210036</v>
          </cell>
        </row>
        <row r="979">
          <cell r="A979">
            <v>38811</v>
          </cell>
          <cell r="AI979">
            <v>45.153961319656887</v>
          </cell>
          <cell r="AM979">
            <v>46.335239606798162</v>
          </cell>
        </row>
        <row r="980">
          <cell r="A980">
            <v>38810</v>
          </cell>
          <cell r="AI980">
            <v>46.612975111601237</v>
          </cell>
          <cell r="AM980">
            <v>47.941917096067762</v>
          </cell>
        </row>
        <row r="981">
          <cell r="A981">
            <v>38807</v>
          </cell>
          <cell r="AI981">
            <v>45.694802639084529</v>
          </cell>
          <cell r="AM981">
            <v>46.930818331268782</v>
          </cell>
        </row>
        <row r="982">
          <cell r="A982">
            <v>38806</v>
          </cell>
          <cell r="AI982">
            <v>46.311110189129991</v>
          </cell>
          <cell r="AM982">
            <v>47.609501063805084</v>
          </cell>
        </row>
        <row r="983">
          <cell r="A983">
            <v>38805</v>
          </cell>
          <cell r="AI983">
            <v>46.135022317688424</v>
          </cell>
          <cell r="AM983">
            <v>47.415591711651849</v>
          </cell>
        </row>
        <row r="984">
          <cell r="A984">
            <v>38804</v>
          </cell>
          <cell r="AI984">
            <v>46.41173182995373</v>
          </cell>
          <cell r="AM984">
            <v>47.720306407892636</v>
          </cell>
        </row>
        <row r="985">
          <cell r="A985">
            <v>38803</v>
          </cell>
          <cell r="AI985">
            <v>48.160032839266357</v>
          </cell>
          <cell r="AM985">
            <v>49.645549261413976</v>
          </cell>
        </row>
        <row r="986">
          <cell r="A986">
            <v>38800</v>
          </cell>
          <cell r="AI986">
            <v>47.304748892264499</v>
          </cell>
          <cell r="AM986">
            <v>48.703703836669732</v>
          </cell>
        </row>
        <row r="987">
          <cell r="A987">
            <v>38799</v>
          </cell>
          <cell r="AI987">
            <v>47.166394136131842</v>
          </cell>
          <cell r="AM987">
            <v>48.551346488549335</v>
          </cell>
        </row>
        <row r="988">
          <cell r="A988">
            <v>38798</v>
          </cell>
          <cell r="AI988">
            <v>46.562664291189364</v>
          </cell>
          <cell r="AM988">
            <v>47.886514424023986</v>
          </cell>
        </row>
        <row r="989">
          <cell r="A989">
            <v>38797</v>
          </cell>
          <cell r="AI989">
            <v>47.267015776955596</v>
          </cell>
          <cell r="AM989">
            <v>48.662151832636894</v>
          </cell>
        </row>
        <row r="990">
          <cell r="A990">
            <v>38796</v>
          </cell>
          <cell r="AI990">
            <v>48.663141043385089</v>
          </cell>
          <cell r="AM990">
            <v>50.199575981851766</v>
          </cell>
        </row>
        <row r="991">
          <cell r="A991">
            <v>38793</v>
          </cell>
          <cell r="AI991">
            <v>49.241715478121641</v>
          </cell>
          <cell r="AM991">
            <v>50.83670671035523</v>
          </cell>
        </row>
        <row r="992">
          <cell r="A992">
            <v>38792</v>
          </cell>
          <cell r="AI992">
            <v>48.977583670959305</v>
          </cell>
          <cell r="AM992">
            <v>50.545842682125389</v>
          </cell>
        </row>
        <row r="993">
          <cell r="A993">
            <v>38791</v>
          </cell>
          <cell r="AI993">
            <v>49.002739081165245</v>
          </cell>
          <cell r="AM993">
            <v>50.573544018147281</v>
          </cell>
        </row>
        <row r="994">
          <cell r="A994">
            <v>38790</v>
          </cell>
          <cell r="AI994">
            <v>50.034110899608656</v>
          </cell>
          <cell r="AM994">
            <v>51.709298795044752</v>
          </cell>
        </row>
        <row r="995">
          <cell r="A995">
            <v>38789</v>
          </cell>
          <cell r="AI995">
            <v>48.914695145444462</v>
          </cell>
          <cell r="AM995">
            <v>50.476589342070667</v>
          </cell>
        </row>
        <row r="996">
          <cell r="A996">
            <v>38786</v>
          </cell>
          <cell r="AI996">
            <v>47.581458404529805</v>
          </cell>
          <cell r="AM996">
            <v>49.008418532910511</v>
          </cell>
        </row>
        <row r="997">
          <cell r="A997">
            <v>38785</v>
          </cell>
          <cell r="AI997">
            <v>47.178971841234812</v>
          </cell>
          <cell r="AM997">
            <v>48.565197156560274</v>
          </cell>
        </row>
        <row r="998">
          <cell r="A998">
            <v>38784</v>
          </cell>
          <cell r="AI998">
            <v>47.568880699426842</v>
          </cell>
          <cell r="AM998">
            <v>48.994567864899572</v>
          </cell>
        </row>
        <row r="999">
          <cell r="A999">
            <v>38783</v>
          </cell>
          <cell r="AI999">
            <v>46.889684623866543</v>
          </cell>
          <cell r="AM999">
            <v>48.246631792308548</v>
          </cell>
        </row>
        <row r="1000">
          <cell r="A1000">
            <v>38782</v>
          </cell>
          <cell r="AI1000">
            <v>45.745113459496402</v>
          </cell>
          <cell r="AM1000">
            <v>46.986221003312565</v>
          </cell>
        </row>
        <row r="1001">
          <cell r="A1001">
            <v>38779</v>
          </cell>
          <cell r="AI1001">
            <v>47.845590211692141</v>
          </cell>
          <cell r="AM1001">
            <v>49.299282561140352</v>
          </cell>
        </row>
        <row r="1002">
          <cell r="A1002">
            <v>38778</v>
          </cell>
          <cell r="AI1002">
            <v>46.185333138100297</v>
          </cell>
          <cell r="AM1002">
            <v>47.470994383695633</v>
          </cell>
        </row>
        <row r="1003">
          <cell r="A1003">
            <v>38777</v>
          </cell>
          <cell r="AI1003">
            <v>46.298532484027021</v>
          </cell>
          <cell r="AM1003">
            <v>47.595650395794145</v>
          </cell>
        </row>
        <row r="1004">
          <cell r="A1004">
            <v>38776</v>
          </cell>
          <cell r="AI1004">
            <v>43.833302283845192</v>
          </cell>
          <cell r="AM1004">
            <v>44.880919465648958</v>
          </cell>
        </row>
        <row r="1005">
          <cell r="A1005">
            <v>38775</v>
          </cell>
          <cell r="AI1005">
            <v>42.852241285813648</v>
          </cell>
          <cell r="AM1005">
            <v>43.800567360795256</v>
          </cell>
        </row>
        <row r="1006">
          <cell r="A1006">
            <v>38772</v>
          </cell>
          <cell r="AI1006">
            <v>42.500065542930535</v>
          </cell>
          <cell r="AM1006">
            <v>43.412748656488802</v>
          </cell>
        </row>
        <row r="1007">
          <cell r="A1007">
            <v>38771</v>
          </cell>
          <cell r="AI1007">
            <v>42.776775055195841</v>
          </cell>
          <cell r="AM1007">
            <v>43.717463352729588</v>
          </cell>
        </row>
        <row r="1008">
          <cell r="A1008">
            <v>38770</v>
          </cell>
          <cell r="AI1008">
            <v>43.26730555421161</v>
          </cell>
          <cell r="AM1008">
            <v>44.257639405156432</v>
          </cell>
        </row>
        <row r="1009">
          <cell r="A1009">
            <v>38769</v>
          </cell>
          <cell r="AI1009">
            <v>42.273666851077103</v>
          </cell>
          <cell r="AM1009">
            <v>43.163436632291798</v>
          </cell>
        </row>
        <row r="1010">
          <cell r="A1010">
            <v>38765</v>
          </cell>
          <cell r="AI1010">
            <v>43.191839323593804</v>
          </cell>
          <cell r="AM1010">
            <v>44.174535397090771</v>
          </cell>
        </row>
        <row r="1011">
          <cell r="A1011">
            <v>38764</v>
          </cell>
          <cell r="AI1011">
            <v>43.795569168536289</v>
          </cell>
          <cell r="AM1011">
            <v>44.839367461616121</v>
          </cell>
        </row>
        <row r="1012">
          <cell r="A1012">
            <v>38763</v>
          </cell>
          <cell r="AI1012">
            <v>60.824240395026592</v>
          </cell>
          <cell r="AM1012">
            <v>63.496458656197525</v>
          </cell>
        </row>
        <row r="1013">
          <cell r="A1013">
            <v>38762</v>
          </cell>
          <cell r="AI1013">
            <v>61.805276530430234</v>
          </cell>
          <cell r="AM1013">
            <v>64.589741130562373</v>
          </cell>
        </row>
        <row r="1014">
          <cell r="A1014">
            <v>38761</v>
          </cell>
          <cell r="AI1014">
            <v>61.109632725325824</v>
          </cell>
          <cell r="AM1014">
            <v>63.814504466921832</v>
          </cell>
        </row>
        <row r="1015">
          <cell r="A1015">
            <v>38758</v>
          </cell>
          <cell r="AI1015">
            <v>62.607942459396867</v>
          </cell>
          <cell r="AM1015">
            <v>65.484244973224534</v>
          </cell>
        </row>
        <row r="1016">
          <cell r="A1016">
            <v>38757</v>
          </cell>
          <cell r="AI1016">
            <v>70.224350274257958</v>
          </cell>
          <cell r="AM1016">
            <v>73.9720925469299</v>
          </cell>
        </row>
        <row r="1017">
          <cell r="A1017">
            <v>38756</v>
          </cell>
          <cell r="AI1017">
            <v>68.529833313106209</v>
          </cell>
          <cell r="AM1017">
            <v>72.083695545754253</v>
          </cell>
        </row>
        <row r="1018">
          <cell r="A1018">
            <v>38755</v>
          </cell>
          <cell r="AI1018">
            <v>68.04823375572623</v>
          </cell>
          <cell r="AM1018">
            <v>71.546993240156951</v>
          </cell>
        </row>
        <row r="1019">
          <cell r="A1019">
            <v>38754</v>
          </cell>
          <cell r="AI1019">
            <v>69.885446882027608</v>
          </cell>
          <cell r="AM1019">
            <v>73.594413146694777</v>
          </cell>
        </row>
        <row r="1020">
          <cell r="A1020">
            <v>38751</v>
          </cell>
          <cell r="AI1020">
            <v>68.190929920875831</v>
          </cell>
          <cell r="AM1020">
            <v>71.706016145519101</v>
          </cell>
        </row>
        <row r="1021">
          <cell r="A1021">
            <v>38750</v>
          </cell>
          <cell r="AI1021">
            <v>70.420557501338692</v>
          </cell>
          <cell r="AM1021">
            <v>74.190749041802889</v>
          </cell>
        </row>
        <row r="1022">
          <cell r="A1022">
            <v>38749</v>
          </cell>
          <cell r="AI1022">
            <v>71.526452781248281</v>
          </cell>
          <cell r="AM1022">
            <v>75.423176558359657</v>
          </cell>
        </row>
        <row r="1023">
          <cell r="A1023">
            <v>38748</v>
          </cell>
          <cell r="AI1023">
            <v>73.22096974240003</v>
          </cell>
          <cell r="AM1023">
            <v>77.311573559535304</v>
          </cell>
        </row>
        <row r="1024">
          <cell r="A1024">
            <v>38747</v>
          </cell>
          <cell r="AI1024">
            <v>76.074893045392486</v>
          </cell>
          <cell r="AM1024">
            <v>80.49203166677853</v>
          </cell>
        </row>
        <row r="1025">
          <cell r="A1025">
            <v>38744</v>
          </cell>
          <cell r="AI1025">
            <v>74.202005877803686</v>
          </cell>
          <cell r="AM1025">
            <v>78.404856033900174</v>
          </cell>
        </row>
        <row r="1026">
          <cell r="A1026">
            <v>38743</v>
          </cell>
          <cell r="AI1026">
            <v>71.669148946397897</v>
          </cell>
          <cell r="AM1026">
            <v>75.582199463721793</v>
          </cell>
        </row>
        <row r="1027">
          <cell r="A1027">
            <v>38742</v>
          </cell>
          <cell r="AI1027">
            <v>70.491905583913507</v>
          </cell>
          <cell r="AM1027">
            <v>74.270260494483978</v>
          </cell>
        </row>
        <row r="1028">
          <cell r="A1028">
            <v>38741</v>
          </cell>
          <cell r="AI1028">
            <v>71.294571512880125</v>
          </cell>
          <cell r="AM1028">
            <v>75.164764337146124</v>
          </cell>
        </row>
        <row r="1029">
          <cell r="A1029">
            <v>38740</v>
          </cell>
          <cell r="AI1029">
            <v>71.169712368374221</v>
          </cell>
          <cell r="AM1029">
            <v>75.02561929495424</v>
          </cell>
        </row>
        <row r="1030">
          <cell r="A1030">
            <v>38737</v>
          </cell>
          <cell r="AI1030">
            <v>71.223223430305325</v>
          </cell>
          <cell r="AM1030">
            <v>75.085252884465049</v>
          </cell>
        </row>
        <row r="1031">
          <cell r="A1031">
            <v>38736</v>
          </cell>
          <cell r="AI1031">
            <v>73.666895258492616</v>
          </cell>
          <cell r="AM1031">
            <v>77.808520138792062</v>
          </cell>
        </row>
        <row r="1032">
          <cell r="A1032">
            <v>38735</v>
          </cell>
          <cell r="AI1032">
            <v>74.184168857159989</v>
          </cell>
          <cell r="AM1032">
            <v>78.384978170729909</v>
          </cell>
        </row>
        <row r="1033">
          <cell r="A1033">
            <v>38734</v>
          </cell>
          <cell r="AI1033">
            <v>69.546543489797273</v>
          </cell>
          <cell r="AM1033">
            <v>73.216733746459653</v>
          </cell>
        </row>
        <row r="1034">
          <cell r="A1034">
            <v>38730</v>
          </cell>
          <cell r="AI1034">
            <v>68.012559714438822</v>
          </cell>
          <cell r="AM1034">
            <v>71.50723751381642</v>
          </cell>
        </row>
        <row r="1035">
          <cell r="A1035">
            <v>38729</v>
          </cell>
          <cell r="AI1035">
            <v>68.226603962163253</v>
          </cell>
          <cell r="AM1035">
            <v>71.74577187185966</v>
          </cell>
        </row>
        <row r="1036">
          <cell r="A1036">
            <v>38728</v>
          </cell>
          <cell r="AI1036">
            <v>68.262278003450675</v>
          </cell>
          <cell r="AM1036">
            <v>71.785527598200204</v>
          </cell>
        </row>
        <row r="1037">
          <cell r="A1037">
            <v>38727</v>
          </cell>
          <cell r="AI1037">
            <v>68.226603962163253</v>
          </cell>
          <cell r="AM1037">
            <v>71.74577187185966</v>
          </cell>
        </row>
        <row r="1038">
          <cell r="A1038">
            <v>38726</v>
          </cell>
          <cell r="AI1038">
            <v>68.726040540186929</v>
          </cell>
          <cell r="AM1038">
            <v>72.302352040627213</v>
          </cell>
        </row>
        <row r="1039">
          <cell r="A1039">
            <v>38723</v>
          </cell>
          <cell r="AI1039">
            <v>71.080527265155695</v>
          </cell>
          <cell r="AM1039">
            <v>74.926229979102885</v>
          </cell>
        </row>
        <row r="1040">
          <cell r="A1040">
            <v>38722</v>
          </cell>
          <cell r="AI1040">
            <v>64.32029644119234</v>
          </cell>
          <cell r="AM1040">
            <v>67.392519837570475</v>
          </cell>
        </row>
        <row r="1041">
          <cell r="A1041">
            <v>38721</v>
          </cell>
          <cell r="AI1041">
            <v>64.159763255399014</v>
          </cell>
          <cell r="AM1041">
            <v>67.213619069038046</v>
          </cell>
        </row>
        <row r="1042">
          <cell r="A1042">
            <v>38720</v>
          </cell>
          <cell r="AI1042">
            <v>61.073958684038431</v>
          </cell>
          <cell r="AM1042">
            <v>63.774748740581309</v>
          </cell>
        </row>
        <row r="1043">
          <cell r="A1043">
            <v>38716</v>
          </cell>
          <cell r="AI1043">
            <v>57.167651163067504</v>
          </cell>
          <cell r="AM1043">
            <v>59.421496706292125</v>
          </cell>
        </row>
        <row r="1044">
          <cell r="A1044">
            <v>38715</v>
          </cell>
          <cell r="AI1044">
            <v>58.416242608126709</v>
          </cell>
          <cell r="AM1044">
            <v>60.812947128211043</v>
          </cell>
        </row>
        <row r="1045">
          <cell r="A1045">
            <v>38714</v>
          </cell>
          <cell r="AI1045">
            <v>59.593485970611084</v>
          </cell>
          <cell r="AM1045">
            <v>62.124886097448865</v>
          </cell>
        </row>
        <row r="1046">
          <cell r="A1046">
            <v>38713</v>
          </cell>
          <cell r="AI1046">
            <v>58.148687298471167</v>
          </cell>
          <cell r="AM1046">
            <v>60.514779180656987</v>
          </cell>
        </row>
        <row r="1047">
          <cell r="A1047">
            <v>38709</v>
          </cell>
          <cell r="AI1047">
            <v>60.306966796359205</v>
          </cell>
          <cell r="AM1047">
            <v>62.920000624259686</v>
          </cell>
        </row>
        <row r="1048">
          <cell r="A1048">
            <v>38708</v>
          </cell>
          <cell r="AI1048">
            <v>59.111886413231119</v>
          </cell>
          <cell r="AM1048">
            <v>61.588183791851577</v>
          </cell>
        </row>
        <row r="1049">
          <cell r="A1049">
            <v>38707</v>
          </cell>
          <cell r="AI1049">
            <v>58.541101752632628</v>
          </cell>
          <cell r="AM1049">
            <v>60.952092170402942</v>
          </cell>
        </row>
        <row r="1050">
          <cell r="A1050">
            <v>38706</v>
          </cell>
          <cell r="AI1050">
            <v>59.076212371943711</v>
          </cell>
          <cell r="AM1050">
            <v>61.548428065511047</v>
          </cell>
        </row>
        <row r="1051">
          <cell r="A1051">
            <v>38705</v>
          </cell>
          <cell r="AI1051">
            <v>61.591232282705803</v>
          </cell>
          <cell r="AM1051">
            <v>64.351206772519134</v>
          </cell>
        </row>
        <row r="1052">
          <cell r="A1052">
            <v>38702</v>
          </cell>
          <cell r="AI1052">
            <v>62.465246294247244</v>
          </cell>
          <cell r="AM1052">
            <v>65.32522206786237</v>
          </cell>
        </row>
        <row r="1053">
          <cell r="A1053">
            <v>38701</v>
          </cell>
          <cell r="AI1053">
            <v>62.78631266583389</v>
          </cell>
          <cell r="AM1053">
            <v>65.683023604927243</v>
          </cell>
        </row>
        <row r="1054">
          <cell r="A1054">
            <v>38700</v>
          </cell>
          <cell r="AI1054">
            <v>61.448536117556188</v>
          </cell>
          <cell r="AM1054">
            <v>64.192183867156984</v>
          </cell>
        </row>
        <row r="1055">
          <cell r="A1055">
            <v>38699</v>
          </cell>
          <cell r="AI1055">
            <v>63.553304553513122</v>
          </cell>
          <cell r="AM1055">
            <v>66.537771721248873</v>
          </cell>
        </row>
        <row r="1056">
          <cell r="A1056">
            <v>38698</v>
          </cell>
          <cell r="AI1056">
            <v>62.643616500684267</v>
          </cell>
          <cell r="AM1056">
            <v>65.524000699565079</v>
          </cell>
        </row>
        <row r="1057">
          <cell r="A1057">
            <v>38695</v>
          </cell>
          <cell r="AI1057">
            <v>63.321423285144974</v>
          </cell>
          <cell r="AM1057">
            <v>66.279359500035341</v>
          </cell>
        </row>
        <row r="1058">
          <cell r="A1058">
            <v>38694</v>
          </cell>
          <cell r="AI1058">
            <v>59.682671073829603</v>
          </cell>
          <cell r="AM1058">
            <v>62.224275413300234</v>
          </cell>
        </row>
        <row r="1059">
          <cell r="A1059">
            <v>38693</v>
          </cell>
          <cell r="AI1059">
            <v>59.593485970611084</v>
          </cell>
          <cell r="AM1059">
            <v>62.124886097448865</v>
          </cell>
        </row>
        <row r="1060">
          <cell r="A1060">
            <v>38692</v>
          </cell>
          <cell r="AI1060">
            <v>59.557811929323691</v>
          </cell>
          <cell r="AM1060">
            <v>62.085130371108349</v>
          </cell>
        </row>
        <row r="1061">
          <cell r="A1061">
            <v>38691</v>
          </cell>
          <cell r="AI1061">
            <v>57.078466059848992</v>
          </cell>
          <cell r="AM1061">
            <v>59.322107390440777</v>
          </cell>
        </row>
        <row r="1062">
          <cell r="A1062">
            <v>38688</v>
          </cell>
          <cell r="AI1062">
            <v>56.329311192813471</v>
          </cell>
          <cell r="AM1062">
            <v>58.487237137289419</v>
          </cell>
        </row>
        <row r="1063">
          <cell r="A1063">
            <v>38687</v>
          </cell>
          <cell r="AI1063">
            <v>58.755146000357058</v>
          </cell>
          <cell r="AM1063">
            <v>61.190626528446181</v>
          </cell>
        </row>
        <row r="1064">
          <cell r="A1064">
            <v>38686</v>
          </cell>
          <cell r="AI1064">
            <v>56.810910750193457</v>
          </cell>
          <cell r="AM1064">
            <v>59.023939442886721</v>
          </cell>
        </row>
        <row r="1065">
          <cell r="A1065">
            <v>38685</v>
          </cell>
          <cell r="AI1065">
            <v>54.527772107799493</v>
          </cell>
          <cell r="AM1065">
            <v>56.479572957092145</v>
          </cell>
        </row>
        <row r="1066">
          <cell r="A1066">
            <v>38684</v>
          </cell>
          <cell r="AI1066">
            <v>55.705015470283882</v>
          </cell>
          <cell r="AM1066">
            <v>57.791511926329974</v>
          </cell>
        </row>
        <row r="1067">
          <cell r="A1067">
            <v>38681</v>
          </cell>
          <cell r="AI1067">
            <v>56.061755883157936</v>
          </cell>
          <cell r="AM1067">
            <v>58.18906918973537</v>
          </cell>
        </row>
        <row r="1068">
          <cell r="A1068">
            <v>38679</v>
          </cell>
          <cell r="AI1068">
            <v>56.043918862514232</v>
          </cell>
          <cell r="AM1068">
            <v>58.169191326565112</v>
          </cell>
        </row>
        <row r="1069">
          <cell r="A1069">
            <v>38678</v>
          </cell>
          <cell r="AI1069">
            <v>54.224542756856543</v>
          </cell>
          <cell r="AM1069">
            <v>56.141649283197545</v>
          </cell>
        </row>
        <row r="1070">
          <cell r="A1070">
            <v>38677</v>
          </cell>
          <cell r="AI1070">
            <v>52.17328538283072</v>
          </cell>
          <cell r="AM1070">
            <v>53.855695018616473</v>
          </cell>
        </row>
        <row r="1071">
          <cell r="A1071">
            <v>38674</v>
          </cell>
          <cell r="AI1071">
            <v>51.281434350645583</v>
          </cell>
          <cell r="AM1071">
            <v>52.861801860102958</v>
          </cell>
        </row>
        <row r="1072">
          <cell r="A1072">
            <v>38673</v>
          </cell>
          <cell r="AI1072">
            <v>52.13761134154332</v>
          </cell>
          <cell r="AM1072">
            <v>53.815939292275942</v>
          </cell>
        </row>
        <row r="1073">
          <cell r="A1073">
            <v>38672</v>
          </cell>
          <cell r="AI1073">
            <v>46.049639566271836</v>
          </cell>
          <cell r="AM1073">
            <v>46.31419688805444</v>
          </cell>
        </row>
        <row r="1074">
          <cell r="A1074">
            <v>38671</v>
          </cell>
          <cell r="AI1074">
            <v>47.007225832781756</v>
          </cell>
          <cell r="AM1074">
            <v>47.354185081204349</v>
          </cell>
        </row>
        <row r="1075">
          <cell r="A1075">
            <v>38670</v>
          </cell>
          <cell r="AI1075">
            <v>48.512004251583072</v>
          </cell>
          <cell r="AM1075">
            <v>48.988452241868501</v>
          </cell>
        </row>
        <row r="1076">
          <cell r="A1076">
            <v>38667</v>
          </cell>
          <cell r="AI1076">
            <v>46.955926568504438</v>
          </cell>
          <cell r="AM1076">
            <v>47.298471427999893</v>
          </cell>
        </row>
        <row r="1077">
          <cell r="A1077">
            <v>38666</v>
          </cell>
          <cell r="AI1077">
            <v>45.998340301994517</v>
          </cell>
          <cell r="AM1077">
            <v>46.258483234849976</v>
          </cell>
        </row>
        <row r="1078">
          <cell r="A1078">
            <v>38665</v>
          </cell>
          <cell r="AI1078">
            <v>45.3485496211485</v>
          </cell>
          <cell r="AM1078">
            <v>45.552776960926835</v>
          </cell>
        </row>
        <row r="1079">
          <cell r="A1079">
            <v>38664</v>
          </cell>
          <cell r="AI1079">
            <v>44.852656733134431</v>
          </cell>
          <cell r="AM1079">
            <v>45.014211646617056</v>
          </cell>
        </row>
        <row r="1080">
          <cell r="A1080">
            <v>38663</v>
          </cell>
          <cell r="AI1080">
            <v>45.211751583075653</v>
          </cell>
          <cell r="AM1080">
            <v>45.404207219048274</v>
          </cell>
        </row>
        <row r="1081">
          <cell r="A1081">
            <v>38660</v>
          </cell>
          <cell r="AI1081">
            <v>45.656345206812404</v>
          </cell>
          <cell r="AM1081">
            <v>45.887058880153589</v>
          </cell>
        </row>
        <row r="1082">
          <cell r="A1082">
            <v>38659</v>
          </cell>
          <cell r="AI1082">
            <v>45.3485496211485</v>
          </cell>
          <cell r="AM1082">
            <v>45.552776960926835</v>
          </cell>
        </row>
        <row r="1083">
          <cell r="A1083">
            <v>38658</v>
          </cell>
          <cell r="AI1083">
            <v>46.015440056753626</v>
          </cell>
          <cell r="AM1083">
            <v>46.277054452584807</v>
          </cell>
        </row>
        <row r="1084">
          <cell r="A1084">
            <v>38657</v>
          </cell>
          <cell r="AI1084">
            <v>43.877970711865402</v>
          </cell>
          <cell r="AM1084">
            <v>43.95565223573233</v>
          </cell>
        </row>
        <row r="1085">
          <cell r="A1085">
            <v>38656</v>
          </cell>
          <cell r="AI1085">
            <v>42.732287143005315</v>
          </cell>
          <cell r="AM1085">
            <v>42.711380647499396</v>
          </cell>
        </row>
        <row r="1086">
          <cell r="A1086">
            <v>38653</v>
          </cell>
          <cell r="AI1086">
            <v>42.048296952641088</v>
          </cell>
          <cell r="AM1086">
            <v>41.968531938106615</v>
          </cell>
        </row>
        <row r="1087">
          <cell r="A1087">
            <v>38652</v>
          </cell>
          <cell r="AI1087">
            <v>41.415606026554173</v>
          </cell>
          <cell r="AM1087">
            <v>41.281396881918276</v>
          </cell>
        </row>
        <row r="1088">
          <cell r="A1088">
            <v>38651</v>
          </cell>
          <cell r="AI1088">
            <v>43.51887586192418</v>
          </cell>
          <cell r="AM1088">
            <v>43.565656663301105</v>
          </cell>
        </row>
        <row r="1089">
          <cell r="A1089">
            <v>38650</v>
          </cell>
          <cell r="AI1089">
            <v>43.074282238187429</v>
          </cell>
          <cell r="AM1089">
            <v>43.082805002195798</v>
          </cell>
        </row>
        <row r="1090">
          <cell r="A1090">
            <v>38649</v>
          </cell>
          <cell r="AI1090">
            <v>43.193980521501175</v>
          </cell>
          <cell r="AM1090">
            <v>43.212803526339542</v>
          </cell>
        </row>
        <row r="1091">
          <cell r="A1091">
            <v>38646</v>
          </cell>
          <cell r="AI1091">
            <v>41.962798178845553</v>
          </cell>
          <cell r="AM1091">
            <v>41.875675849432511</v>
          </cell>
        </row>
        <row r="1092">
          <cell r="A1092">
            <v>38645</v>
          </cell>
          <cell r="AI1092">
            <v>40.543518533839773</v>
          </cell>
          <cell r="AM1092">
            <v>40.334264777442471</v>
          </cell>
        </row>
        <row r="1093">
          <cell r="A1093">
            <v>38644</v>
          </cell>
          <cell r="AI1093">
            <v>39.19263790787042</v>
          </cell>
          <cell r="AM1093">
            <v>38.86713857639171</v>
          </cell>
        </row>
        <row r="1094">
          <cell r="A1094">
            <v>38643</v>
          </cell>
          <cell r="AI1094">
            <v>38.696745019856351</v>
          </cell>
          <cell r="AM1094">
            <v>38.328573262081932</v>
          </cell>
        </row>
        <row r="1095">
          <cell r="A1095">
            <v>38642</v>
          </cell>
          <cell r="AI1095">
            <v>39.090039379315783</v>
          </cell>
          <cell r="AM1095">
            <v>38.755711269982783</v>
          </cell>
        </row>
        <row r="1096">
          <cell r="A1096">
            <v>38639</v>
          </cell>
          <cell r="AI1096">
            <v>37.995655074733016</v>
          </cell>
          <cell r="AM1096">
            <v>37.567153334954313</v>
          </cell>
        </row>
        <row r="1097">
          <cell r="A1097">
            <v>38638</v>
          </cell>
          <cell r="AI1097">
            <v>37.32876463912789</v>
          </cell>
          <cell r="AM1097">
            <v>36.842875843296341</v>
          </cell>
        </row>
        <row r="1098">
          <cell r="A1098">
            <v>38637</v>
          </cell>
          <cell r="AI1098">
            <v>36.217280579786014</v>
          </cell>
          <cell r="AM1098">
            <v>35.635746690533061</v>
          </cell>
        </row>
        <row r="1099">
          <cell r="A1099">
            <v>38636</v>
          </cell>
          <cell r="AI1099">
            <v>37.209066355814159</v>
          </cell>
          <cell r="AM1099">
            <v>36.712877319152611</v>
          </cell>
        </row>
        <row r="1100">
          <cell r="A1100">
            <v>38635</v>
          </cell>
          <cell r="AI1100">
            <v>38.046954339010334</v>
          </cell>
          <cell r="AM1100">
            <v>37.622866988158776</v>
          </cell>
        </row>
        <row r="1101">
          <cell r="A1101">
            <v>38632</v>
          </cell>
          <cell r="AI1101">
            <v>39.004540605520255</v>
          </cell>
          <cell r="AM1101">
            <v>38.662855181308686</v>
          </cell>
        </row>
        <row r="1102">
          <cell r="A1102">
            <v>38631</v>
          </cell>
          <cell r="AI1102">
            <v>39.414934719738795</v>
          </cell>
          <cell r="AM1102">
            <v>39.108564406944367</v>
          </cell>
        </row>
        <row r="1103">
          <cell r="A1103">
            <v>38630</v>
          </cell>
          <cell r="AI1103">
            <v>39.927927362511973</v>
          </cell>
          <cell r="AM1103">
            <v>39.665700938988962</v>
          </cell>
        </row>
        <row r="1104">
          <cell r="A1104">
            <v>38629</v>
          </cell>
          <cell r="AI1104">
            <v>40.697416326671735</v>
          </cell>
          <cell r="AM1104">
            <v>40.501405737055855</v>
          </cell>
        </row>
        <row r="1105">
          <cell r="A1105">
            <v>38628</v>
          </cell>
          <cell r="AI1105">
            <v>41.039411421853849</v>
          </cell>
          <cell r="AM1105">
            <v>40.872830091752242</v>
          </cell>
        </row>
        <row r="1106">
          <cell r="A1106">
            <v>38625</v>
          </cell>
          <cell r="AI1106">
            <v>39.534633003052534</v>
          </cell>
          <cell r="AM1106">
            <v>39.238562931088097</v>
          </cell>
        </row>
        <row r="1107">
          <cell r="A1107">
            <v>38624</v>
          </cell>
          <cell r="AI1107">
            <v>39.209737662629529</v>
          </cell>
          <cell r="AM1107">
            <v>38.885709794126527</v>
          </cell>
        </row>
        <row r="1108">
          <cell r="A1108">
            <v>38623</v>
          </cell>
          <cell r="AI1108">
            <v>39.996326381548393</v>
          </cell>
          <cell r="AM1108">
            <v>39.739985809928235</v>
          </cell>
        </row>
        <row r="1109">
          <cell r="A1109">
            <v>38622</v>
          </cell>
          <cell r="AI1109">
            <v>40.304121967212296</v>
          </cell>
          <cell r="AM1109">
            <v>40.07426772915499</v>
          </cell>
        </row>
        <row r="1110">
          <cell r="A1110">
            <v>38621</v>
          </cell>
          <cell r="AI1110">
            <v>40.355421231489615</v>
          </cell>
          <cell r="AM1110">
            <v>40.129981382359453</v>
          </cell>
        </row>
        <row r="1111">
          <cell r="A1111">
            <v>38618</v>
          </cell>
          <cell r="AI1111">
            <v>39.551732757811642</v>
          </cell>
          <cell r="AM1111">
            <v>39.257134148822921</v>
          </cell>
        </row>
        <row r="1112">
          <cell r="A1112">
            <v>38617</v>
          </cell>
          <cell r="AI1112">
            <v>38.542847227024403</v>
          </cell>
          <cell r="AM1112">
            <v>38.161432302468555</v>
          </cell>
        </row>
        <row r="1113">
          <cell r="A1113">
            <v>38616</v>
          </cell>
          <cell r="AI1113">
            <v>39.329435945943267</v>
          </cell>
          <cell r="AM1113">
            <v>39.015708318270264</v>
          </cell>
        </row>
        <row r="1114">
          <cell r="A1114">
            <v>38615</v>
          </cell>
          <cell r="AI1114">
            <v>40.372520986248716</v>
          </cell>
          <cell r="AM1114">
            <v>40.14855260009427</v>
          </cell>
        </row>
        <row r="1115">
          <cell r="A1115">
            <v>38614</v>
          </cell>
          <cell r="AI1115">
            <v>39.534633003052534</v>
          </cell>
          <cell r="AM1115">
            <v>39.238562931088097</v>
          </cell>
        </row>
        <row r="1116">
          <cell r="A1116">
            <v>38611</v>
          </cell>
          <cell r="AI1116">
            <v>40.355421231489615</v>
          </cell>
          <cell r="AM1116">
            <v>40.129981382359453</v>
          </cell>
        </row>
        <row r="1117">
          <cell r="A1117">
            <v>38610</v>
          </cell>
          <cell r="AI1117">
            <v>39.500433493534331</v>
          </cell>
          <cell r="AM1117">
            <v>39.201420495618464</v>
          </cell>
        </row>
        <row r="1118">
          <cell r="A1118">
            <v>38609</v>
          </cell>
          <cell r="AI1118">
            <v>40.201523438657667</v>
          </cell>
          <cell r="AM1118">
            <v>39.962840422746076</v>
          </cell>
        </row>
        <row r="1119">
          <cell r="A1119">
            <v>38608</v>
          </cell>
          <cell r="AI1119">
            <v>40.389620741007825</v>
          </cell>
          <cell r="AM1119">
            <v>40.167123817829093</v>
          </cell>
        </row>
        <row r="1120">
          <cell r="A1120">
            <v>38607</v>
          </cell>
          <cell r="AI1120">
            <v>37.038068808223095</v>
          </cell>
          <cell r="AM1120">
            <v>36.52716514180441</v>
          </cell>
        </row>
        <row r="1121">
          <cell r="A1121">
            <v>38604</v>
          </cell>
          <cell r="AI1121">
            <v>37.533961696237164</v>
          </cell>
          <cell r="AM1121">
            <v>37.065730456114188</v>
          </cell>
        </row>
        <row r="1122">
          <cell r="A1122">
            <v>38603</v>
          </cell>
          <cell r="AI1122">
            <v>37.106467827259522</v>
          </cell>
          <cell r="AM1122">
            <v>36.60145001274369</v>
          </cell>
        </row>
        <row r="1123">
          <cell r="A1123">
            <v>38602</v>
          </cell>
          <cell r="AI1123">
            <v>35.652988672735525</v>
          </cell>
          <cell r="AM1123">
            <v>35.02289650528401</v>
          </cell>
        </row>
        <row r="1124">
          <cell r="A1124">
            <v>38601</v>
          </cell>
          <cell r="AI1124">
            <v>34.832200444298451</v>
          </cell>
          <cell r="AM1124">
            <v>34.131478054012661</v>
          </cell>
        </row>
        <row r="1125">
          <cell r="A1125">
            <v>38597</v>
          </cell>
          <cell r="AI1125">
            <v>33.122224968387876</v>
          </cell>
          <cell r="AM1125">
            <v>32.274356280530682</v>
          </cell>
        </row>
        <row r="1126">
          <cell r="A1126">
            <v>38596</v>
          </cell>
          <cell r="AI1126">
            <v>32.865728647001283</v>
          </cell>
          <cell r="AM1126">
            <v>31.995788014508378</v>
          </cell>
        </row>
        <row r="1127">
          <cell r="A1127">
            <v>38595</v>
          </cell>
          <cell r="AI1127">
            <v>33.036726194592347</v>
          </cell>
          <cell r="AM1127">
            <v>32.181500191856578</v>
          </cell>
        </row>
        <row r="1128">
          <cell r="A1128">
            <v>38594</v>
          </cell>
          <cell r="AI1128">
            <v>32.660531589892024</v>
          </cell>
          <cell r="AM1128">
            <v>31.772933401690548</v>
          </cell>
        </row>
        <row r="1129">
          <cell r="A1129">
            <v>38593</v>
          </cell>
          <cell r="AI1129">
            <v>32.917027911278602</v>
          </cell>
          <cell r="AM1129">
            <v>32.051501667712841</v>
          </cell>
        </row>
        <row r="1130">
          <cell r="A1130">
            <v>38590</v>
          </cell>
          <cell r="AI1130">
            <v>32.917027911278602</v>
          </cell>
          <cell r="AM1130">
            <v>32.051501667712841</v>
          </cell>
        </row>
        <row r="1131">
          <cell r="A1131">
            <v>38589</v>
          </cell>
          <cell r="AI1131">
            <v>33.703616630197473</v>
          </cell>
          <cell r="AM1131">
            <v>32.905777683514557</v>
          </cell>
        </row>
        <row r="1132">
          <cell r="A1132">
            <v>38588</v>
          </cell>
          <cell r="AI1132">
            <v>33.857514423029421</v>
          </cell>
          <cell r="AM1132">
            <v>33.072918643127935</v>
          </cell>
        </row>
        <row r="1133">
          <cell r="A1133">
            <v>38587</v>
          </cell>
          <cell r="AI1133">
            <v>34.114010744416007</v>
          </cell>
          <cell r="AM1133">
            <v>33.351486909150225</v>
          </cell>
        </row>
        <row r="1134">
          <cell r="A1134">
            <v>38586</v>
          </cell>
          <cell r="AI1134">
            <v>34.490205349116337</v>
          </cell>
          <cell r="AM1134">
            <v>33.760053699316266</v>
          </cell>
        </row>
        <row r="1135">
          <cell r="A1135">
            <v>38583</v>
          </cell>
          <cell r="AI1135">
            <v>35.020297746648616</v>
          </cell>
          <cell r="AM1135">
            <v>34.335761449095678</v>
          </cell>
        </row>
        <row r="1136">
          <cell r="A1136">
            <v>38582</v>
          </cell>
          <cell r="AI1136">
            <v>34.746701670502922</v>
          </cell>
          <cell r="AM1136">
            <v>34.038621965338564</v>
          </cell>
        </row>
        <row r="1137">
          <cell r="A1137">
            <v>38581</v>
          </cell>
          <cell r="AI1137">
            <v>37.961455565214806</v>
          </cell>
          <cell r="AM1137">
            <v>37.530010899484679</v>
          </cell>
        </row>
        <row r="1138">
          <cell r="A1138">
            <v>38580</v>
          </cell>
          <cell r="AI1138">
            <v>35.876362800079754</v>
          </cell>
          <cell r="AM1138">
            <v>35.247647529149688</v>
          </cell>
        </row>
        <row r="1139">
          <cell r="A1139">
            <v>38579</v>
          </cell>
          <cell r="AI1139">
            <v>36.121085602263115</v>
          </cell>
          <cell r="AM1139">
            <v>35.510601015174593</v>
          </cell>
        </row>
        <row r="1140">
          <cell r="A1140">
            <v>38576</v>
          </cell>
          <cell r="AI1140">
            <v>38.388850235828869</v>
          </cell>
          <cell r="AM1140">
            <v>37.947303319005265</v>
          </cell>
        </row>
        <row r="1141">
          <cell r="A1141">
            <v>38575</v>
          </cell>
          <cell r="AI1141">
            <v>39.074074081942257</v>
          </cell>
          <cell r="AM1141">
            <v>38.683573079874968</v>
          </cell>
        </row>
        <row r="1142">
          <cell r="A1142">
            <v>38574</v>
          </cell>
          <cell r="AI1142">
            <v>40.004020730239006</v>
          </cell>
          <cell r="AM1142">
            <v>39.682796326769555</v>
          </cell>
        </row>
        <row r="1143">
          <cell r="A1143">
            <v>38573</v>
          </cell>
          <cell r="AI1143">
            <v>39.563519686308965</v>
          </cell>
          <cell r="AM1143">
            <v>39.20948005192475</v>
          </cell>
        </row>
        <row r="1144">
          <cell r="A1144">
            <v>38572</v>
          </cell>
          <cell r="AI1144">
            <v>38.617258184533334</v>
          </cell>
          <cell r="AM1144">
            <v>38.192726572628501</v>
          </cell>
        </row>
        <row r="1145">
          <cell r="A1145">
            <v>38569</v>
          </cell>
          <cell r="AI1145">
            <v>38.633573038012223</v>
          </cell>
          <cell r="AM1145">
            <v>38.210256805030163</v>
          </cell>
        </row>
        <row r="1146">
          <cell r="A1146">
            <v>38568</v>
          </cell>
          <cell r="AI1146">
            <v>38.535683917138883</v>
          </cell>
          <cell r="AM1146">
            <v>38.105075410620202</v>
          </cell>
        </row>
        <row r="1147">
          <cell r="A1147">
            <v>38567</v>
          </cell>
          <cell r="AI1147">
            <v>38.894610693674466</v>
          </cell>
          <cell r="AM1147">
            <v>38.490740523456715</v>
          </cell>
        </row>
        <row r="1148">
          <cell r="A1148">
            <v>38566</v>
          </cell>
          <cell r="AI1148">
            <v>38.56831362409666</v>
          </cell>
          <cell r="AM1148">
            <v>38.140135875423518</v>
          </cell>
        </row>
        <row r="1149">
          <cell r="A1149">
            <v>38565</v>
          </cell>
          <cell r="AI1149">
            <v>39.302482030646722</v>
          </cell>
          <cell r="AM1149">
            <v>38.928996333498198</v>
          </cell>
        </row>
        <row r="1150">
          <cell r="A1150">
            <v>38562</v>
          </cell>
          <cell r="AI1150">
            <v>38.421479942786654</v>
          </cell>
          <cell r="AM1150">
            <v>37.982363783808587</v>
          </cell>
        </row>
        <row r="1151">
          <cell r="A1151">
            <v>38561</v>
          </cell>
          <cell r="AI1151">
            <v>38.845666133237792</v>
          </cell>
          <cell r="AM1151">
            <v>38.438149826251731</v>
          </cell>
        </row>
        <row r="1152">
          <cell r="A1152">
            <v>38560</v>
          </cell>
          <cell r="AI1152">
            <v>36.838939155334288</v>
          </cell>
          <cell r="AM1152">
            <v>36.281931240847605</v>
          </cell>
        </row>
        <row r="1153">
          <cell r="A1153">
            <v>38559</v>
          </cell>
          <cell r="AI1153">
            <v>36.936828276207635</v>
          </cell>
          <cell r="AM1153">
            <v>36.387112635257573</v>
          </cell>
        </row>
        <row r="1154">
          <cell r="A1154">
            <v>38558</v>
          </cell>
          <cell r="AI1154">
            <v>36.643160913587607</v>
          </cell>
          <cell r="AM1154">
            <v>36.071568452027698</v>
          </cell>
        </row>
        <row r="1155">
          <cell r="A1155">
            <v>38555</v>
          </cell>
          <cell r="AI1155">
            <v>36.855254008813183</v>
          </cell>
          <cell r="AM1155">
            <v>36.299461473249274</v>
          </cell>
        </row>
        <row r="1156">
          <cell r="A1156">
            <v>38554</v>
          </cell>
          <cell r="AI1156">
            <v>37.214180785348766</v>
          </cell>
          <cell r="AM1156">
            <v>36.685126586085779</v>
          </cell>
        </row>
        <row r="1157">
          <cell r="A1157">
            <v>38553</v>
          </cell>
          <cell r="AI1157">
            <v>37.524163001447683</v>
          </cell>
          <cell r="AM1157">
            <v>37.018201001717316</v>
          </cell>
        </row>
        <row r="1158">
          <cell r="A1158">
            <v>38552</v>
          </cell>
          <cell r="AI1158">
            <v>37.409959027095447</v>
          </cell>
          <cell r="AM1158">
            <v>36.895489374905694</v>
          </cell>
        </row>
        <row r="1159">
          <cell r="A1159">
            <v>38551</v>
          </cell>
          <cell r="AI1159">
            <v>36.251604430094233</v>
          </cell>
          <cell r="AM1159">
            <v>35.650842874387862</v>
          </cell>
        </row>
        <row r="1160">
          <cell r="A1160">
            <v>38548</v>
          </cell>
          <cell r="AI1160">
            <v>37.197865931869877</v>
          </cell>
          <cell r="AM1160">
            <v>36.667596353684125</v>
          </cell>
        </row>
        <row r="1161">
          <cell r="A1161">
            <v>38547</v>
          </cell>
          <cell r="AI1161">
            <v>36.985772836644308</v>
          </cell>
          <cell r="AM1161">
            <v>36.43970333246255</v>
          </cell>
        </row>
        <row r="1162">
          <cell r="A1162">
            <v>38546</v>
          </cell>
          <cell r="AI1162">
            <v>33.853320968697368</v>
          </cell>
          <cell r="AM1162">
            <v>33.073898711343915</v>
          </cell>
        </row>
        <row r="1163">
          <cell r="A1163">
            <v>38545</v>
          </cell>
          <cell r="AI1163">
            <v>32.466558422991689</v>
          </cell>
          <cell r="AM1163">
            <v>31.583828957202854</v>
          </cell>
        </row>
        <row r="1164">
          <cell r="A1164">
            <v>38544</v>
          </cell>
          <cell r="AI1164">
            <v>32.287095034723897</v>
          </cell>
          <cell r="AM1164">
            <v>31.390996400784601</v>
          </cell>
        </row>
        <row r="1165">
          <cell r="A1165">
            <v>38541</v>
          </cell>
          <cell r="AI1165">
            <v>31.813964283836079</v>
          </cell>
          <cell r="AM1165">
            <v>30.88261966113647</v>
          </cell>
        </row>
        <row r="1166">
          <cell r="A1166">
            <v>38540</v>
          </cell>
          <cell r="AI1166">
            <v>31.732390016441624</v>
          </cell>
          <cell r="AM1166">
            <v>30.794968499128174</v>
          </cell>
        </row>
        <row r="1167">
          <cell r="A1167">
            <v>38539</v>
          </cell>
          <cell r="AI1167">
            <v>31.846593990793856</v>
          </cell>
          <cell r="AM1167">
            <v>30.917680125939789</v>
          </cell>
        </row>
        <row r="1168">
          <cell r="A1168">
            <v>38538</v>
          </cell>
          <cell r="AI1168">
            <v>31.813964283836079</v>
          </cell>
          <cell r="AM1168">
            <v>30.88261966113647</v>
          </cell>
        </row>
        <row r="1169">
          <cell r="A1169">
            <v>38534</v>
          </cell>
          <cell r="AI1169">
            <v>31.846593990793856</v>
          </cell>
          <cell r="AM1169">
            <v>30.917680125939789</v>
          </cell>
        </row>
        <row r="1170">
          <cell r="A1170">
            <v>38533</v>
          </cell>
          <cell r="AI1170">
            <v>33.412819924767327</v>
          </cell>
          <cell r="AM1170">
            <v>32.600582436499103</v>
          </cell>
        </row>
        <row r="1171">
          <cell r="A1171">
            <v>38532</v>
          </cell>
          <cell r="AI1171">
            <v>33.983839796528486</v>
          </cell>
          <cell r="AM1171">
            <v>33.214140570557191</v>
          </cell>
        </row>
        <row r="1172">
          <cell r="A1172">
            <v>38531</v>
          </cell>
          <cell r="AI1172">
            <v>33.706487287387354</v>
          </cell>
          <cell r="AM1172">
            <v>32.916126619728978</v>
          </cell>
        </row>
        <row r="1173">
          <cell r="A1173">
            <v>38530</v>
          </cell>
          <cell r="AI1173">
            <v>33.021263441273959</v>
          </cell>
          <cell r="AM1173">
            <v>32.179856858859274</v>
          </cell>
        </row>
        <row r="1174">
          <cell r="A1174">
            <v>38527</v>
          </cell>
          <cell r="AI1174">
            <v>33.934895236091819</v>
          </cell>
          <cell r="AM1174">
            <v>33.161549873352214</v>
          </cell>
        </row>
        <row r="1175">
          <cell r="A1175">
            <v>38526</v>
          </cell>
          <cell r="AI1175">
            <v>32.4502435695128</v>
          </cell>
          <cell r="AM1175">
            <v>31.566298724801197</v>
          </cell>
        </row>
        <row r="1176">
          <cell r="A1176">
            <v>38525</v>
          </cell>
          <cell r="AI1176">
            <v>32.54813269038614</v>
          </cell>
          <cell r="AM1176">
            <v>31.67148011921115</v>
          </cell>
        </row>
        <row r="1177">
          <cell r="A1177">
            <v>38524</v>
          </cell>
          <cell r="AI1177">
            <v>32.678651518217265</v>
          </cell>
          <cell r="AM1177">
            <v>31.81172197842443</v>
          </cell>
        </row>
        <row r="1178">
          <cell r="A1178">
            <v>38523</v>
          </cell>
          <cell r="AI1178">
            <v>34.032784356965159</v>
          </cell>
          <cell r="AM1178">
            <v>33.266731267762168</v>
          </cell>
        </row>
        <row r="1179">
          <cell r="A1179">
            <v>38520</v>
          </cell>
          <cell r="AI1179">
            <v>33.412819924767327</v>
          </cell>
          <cell r="AM1179">
            <v>32.600582436499103</v>
          </cell>
        </row>
        <row r="1180">
          <cell r="A1180">
            <v>38519</v>
          </cell>
          <cell r="AI1180">
            <v>32.352354448639453</v>
          </cell>
          <cell r="AM1180">
            <v>31.461117330391232</v>
          </cell>
        </row>
        <row r="1181">
          <cell r="A1181">
            <v>38518</v>
          </cell>
          <cell r="AI1181">
            <v>32.776540639090605</v>
          </cell>
          <cell r="AM1181">
            <v>31.916903372834387</v>
          </cell>
        </row>
        <row r="1182">
          <cell r="A1182">
            <v>38517</v>
          </cell>
          <cell r="AI1182">
            <v>33.608598166514014</v>
          </cell>
          <cell r="AM1182">
            <v>32.810945225319024</v>
          </cell>
        </row>
        <row r="1183">
          <cell r="A1183">
            <v>38516</v>
          </cell>
          <cell r="AI1183">
            <v>33.412819924767327</v>
          </cell>
          <cell r="AM1183">
            <v>32.600582436499103</v>
          </cell>
        </row>
        <row r="1184">
          <cell r="A1184">
            <v>38513</v>
          </cell>
          <cell r="AI1184">
            <v>32.205520767329439</v>
          </cell>
          <cell r="AM1184">
            <v>31.303345238776295</v>
          </cell>
        </row>
        <row r="1185">
          <cell r="A1185">
            <v>38512</v>
          </cell>
          <cell r="AI1185">
            <v>32.874429759963938</v>
          </cell>
          <cell r="AM1185">
            <v>32.022084767244337</v>
          </cell>
        </row>
        <row r="1186">
          <cell r="A1186">
            <v>38511</v>
          </cell>
          <cell r="AI1186">
            <v>32.417613862555022</v>
          </cell>
          <cell r="AM1186">
            <v>31.531238259997881</v>
          </cell>
        </row>
        <row r="1187">
          <cell r="A1187">
            <v>38510</v>
          </cell>
          <cell r="AI1187">
            <v>32.221835620808335</v>
          </cell>
          <cell r="AM1187">
            <v>31.32087547117796</v>
          </cell>
        </row>
        <row r="1188">
          <cell r="A1188">
            <v>38509</v>
          </cell>
          <cell r="AI1188">
            <v>32.809170346048383</v>
          </cell>
          <cell r="AM1188">
            <v>31.951963837637702</v>
          </cell>
        </row>
        <row r="1189">
          <cell r="A1189">
            <v>38506</v>
          </cell>
          <cell r="AI1189">
            <v>33.527023899119563</v>
          </cell>
          <cell r="AM1189">
            <v>32.723294063310725</v>
          </cell>
        </row>
        <row r="1190">
          <cell r="A1190">
            <v>38505</v>
          </cell>
          <cell r="AI1190">
            <v>34.195932891754062</v>
          </cell>
          <cell r="AM1190">
            <v>33.442033591778767</v>
          </cell>
        </row>
        <row r="1191">
          <cell r="A1191">
            <v>38504</v>
          </cell>
          <cell r="AI1191">
            <v>32.890744613442834</v>
          </cell>
          <cell r="AM1191">
            <v>32.039614999645998</v>
          </cell>
        </row>
        <row r="1192">
          <cell r="A1192">
            <v>38503</v>
          </cell>
          <cell r="AI1192">
            <v>33.021263441273959</v>
          </cell>
          <cell r="AM1192">
            <v>32.179856858859274</v>
          </cell>
        </row>
        <row r="1193">
          <cell r="A1193">
            <v>38499</v>
          </cell>
          <cell r="AI1193">
            <v>32.401299009076126</v>
          </cell>
          <cell r="AM1193">
            <v>31.513708027596213</v>
          </cell>
        </row>
        <row r="1194">
          <cell r="A1194">
            <v>38498</v>
          </cell>
          <cell r="AI1194">
            <v>32.858114906485056</v>
          </cell>
          <cell r="AM1194">
            <v>32.004554534842683</v>
          </cell>
        </row>
        <row r="1195">
          <cell r="A1195">
            <v>38497</v>
          </cell>
          <cell r="AI1195">
            <v>32.401299009076126</v>
          </cell>
          <cell r="AM1195">
            <v>31.513708027596213</v>
          </cell>
        </row>
        <row r="1196">
          <cell r="A1196">
            <v>38496</v>
          </cell>
          <cell r="AI1196">
            <v>31.977112818624981</v>
          </cell>
          <cell r="AM1196">
            <v>31.057921985153065</v>
          </cell>
        </row>
        <row r="1197">
          <cell r="A1197">
            <v>38495</v>
          </cell>
          <cell r="AI1197">
            <v>31.373463239906041</v>
          </cell>
          <cell r="AM1197">
            <v>30.409303386291665</v>
          </cell>
        </row>
        <row r="1198">
          <cell r="A1198">
            <v>38492</v>
          </cell>
          <cell r="AI1198">
            <v>30.166164082468157</v>
          </cell>
          <cell r="AM1198">
            <v>29.112066188568857</v>
          </cell>
        </row>
        <row r="1199">
          <cell r="A1199">
            <v>38491</v>
          </cell>
          <cell r="AI1199">
            <v>28.877290657635825</v>
          </cell>
          <cell r="AM1199">
            <v>27.727177828837757</v>
          </cell>
        </row>
        <row r="1200">
          <cell r="A1200">
            <v>38490</v>
          </cell>
          <cell r="AI1200">
            <v>29.266547868709608</v>
          </cell>
          <cell r="AM1200">
            <v>28.304638904707666</v>
          </cell>
        </row>
        <row r="1201">
          <cell r="A1201">
            <v>38489</v>
          </cell>
          <cell r="AI1201">
            <v>28.933973461110636</v>
          </cell>
          <cell r="AM1201">
            <v>27.946717861381956</v>
          </cell>
        </row>
        <row r="1202">
          <cell r="A1202">
            <v>38488</v>
          </cell>
          <cell r="AI1202">
            <v>27.788439390491952</v>
          </cell>
          <cell r="AM1202">
            <v>26.713878712148944</v>
          </cell>
        </row>
        <row r="1203">
          <cell r="A1203">
            <v>38485</v>
          </cell>
          <cell r="AI1203">
            <v>27.492817694848423</v>
          </cell>
          <cell r="AM1203">
            <v>26.395726673637203</v>
          </cell>
        </row>
        <row r="1204">
          <cell r="A1204">
            <v>38484</v>
          </cell>
          <cell r="AI1204">
            <v>27.696057610603351</v>
          </cell>
          <cell r="AM1204">
            <v>26.614456200114027</v>
          </cell>
        </row>
        <row r="1205">
          <cell r="A1205">
            <v>38483</v>
          </cell>
          <cell r="AI1205">
            <v>28.250348289934969</v>
          </cell>
          <cell r="AM1205">
            <v>27.210991272323547</v>
          </cell>
        </row>
        <row r="1206">
          <cell r="A1206">
            <v>38482</v>
          </cell>
          <cell r="AI1206">
            <v>28.638351765467107</v>
          </cell>
          <cell r="AM1206">
            <v>27.628565822870211</v>
          </cell>
        </row>
        <row r="1207">
          <cell r="A1207">
            <v>38481</v>
          </cell>
          <cell r="AI1207">
            <v>28.527493629600777</v>
          </cell>
          <cell r="AM1207">
            <v>27.509258808428303</v>
          </cell>
        </row>
        <row r="1208">
          <cell r="A1208">
            <v>38478</v>
          </cell>
          <cell r="AI1208">
            <v>28.361206425801296</v>
          </cell>
          <cell r="AM1208">
            <v>27.330298286765448</v>
          </cell>
        </row>
        <row r="1209">
          <cell r="A1209">
            <v>38477</v>
          </cell>
          <cell r="AI1209">
            <v>27.733010322558791</v>
          </cell>
          <cell r="AM1209">
            <v>26.654225204927993</v>
          </cell>
        </row>
        <row r="1210">
          <cell r="A1210">
            <v>38476</v>
          </cell>
          <cell r="AI1210">
            <v>27.677581254625629</v>
          </cell>
          <cell r="AM1210">
            <v>26.594571697707043</v>
          </cell>
        </row>
        <row r="1211">
          <cell r="A1211">
            <v>38475</v>
          </cell>
          <cell r="AI1211">
            <v>26.772239811717313</v>
          </cell>
          <cell r="AM1211">
            <v>25.620231079764821</v>
          </cell>
        </row>
        <row r="1212">
          <cell r="A1212">
            <v>38474</v>
          </cell>
          <cell r="AI1212">
            <v>26.43966540411834</v>
          </cell>
          <cell r="AM1212">
            <v>25.262310036439111</v>
          </cell>
        </row>
        <row r="1213">
          <cell r="A1213">
            <v>38471</v>
          </cell>
          <cell r="AI1213">
            <v>26.661381675850986</v>
          </cell>
          <cell r="AM1213">
            <v>25.500924065322916</v>
          </cell>
        </row>
        <row r="1214">
          <cell r="A1214">
            <v>38470</v>
          </cell>
          <cell r="AI1214">
            <v>26.772239811717313</v>
          </cell>
          <cell r="AM1214">
            <v>25.620231079764821</v>
          </cell>
        </row>
        <row r="1215">
          <cell r="A1215">
            <v>38469</v>
          </cell>
          <cell r="AI1215">
            <v>27.27110142311577</v>
          </cell>
          <cell r="AM1215">
            <v>26.15711264475339</v>
          </cell>
        </row>
        <row r="1216">
          <cell r="A1216">
            <v>38468</v>
          </cell>
          <cell r="AI1216">
            <v>26.587476251940107</v>
          </cell>
          <cell r="AM1216">
            <v>25.421386055694985</v>
          </cell>
        </row>
        <row r="1217">
          <cell r="A1217">
            <v>38467</v>
          </cell>
          <cell r="AI1217">
            <v>25.866898368808997</v>
          </cell>
          <cell r="AM1217">
            <v>24.645890461822603</v>
          </cell>
        </row>
        <row r="1218">
          <cell r="A1218">
            <v>38464</v>
          </cell>
          <cell r="AI1218">
            <v>26.883097947583639</v>
          </cell>
          <cell r="AM1218">
            <v>25.739538094206729</v>
          </cell>
        </row>
        <row r="1219">
          <cell r="A1219">
            <v>38463</v>
          </cell>
          <cell r="AI1219">
            <v>27.880821170380553</v>
          </cell>
          <cell r="AM1219">
            <v>26.813301224183864</v>
          </cell>
        </row>
        <row r="1220">
          <cell r="A1220">
            <v>38462</v>
          </cell>
          <cell r="AI1220">
            <v>26.679858031828708</v>
          </cell>
          <cell r="AM1220">
            <v>25.520808567729901</v>
          </cell>
        </row>
        <row r="1221">
          <cell r="A1221">
            <v>38461</v>
          </cell>
          <cell r="AI1221">
            <v>26.809192523672756</v>
          </cell>
          <cell r="AM1221">
            <v>25.66000008457879</v>
          </cell>
        </row>
        <row r="1222">
          <cell r="A1222">
            <v>38460</v>
          </cell>
          <cell r="AI1222">
            <v>27.529770406803863</v>
          </cell>
          <cell r="AM1222">
            <v>26.435495678451169</v>
          </cell>
        </row>
        <row r="1223">
          <cell r="A1223">
            <v>38457</v>
          </cell>
          <cell r="AI1223">
            <v>26.661381675850986</v>
          </cell>
          <cell r="AM1223">
            <v>25.500924065322916</v>
          </cell>
        </row>
        <row r="1224">
          <cell r="A1224">
            <v>38456</v>
          </cell>
          <cell r="AI1224">
            <v>27.843868458425113</v>
          </cell>
          <cell r="AM1224">
            <v>26.773532219369898</v>
          </cell>
        </row>
        <row r="1225">
          <cell r="A1225">
            <v>38455</v>
          </cell>
          <cell r="AI1225">
            <v>28.545969985578502</v>
          </cell>
          <cell r="AM1225">
            <v>27.529143310835291</v>
          </cell>
        </row>
        <row r="1226">
          <cell r="A1226">
            <v>38454</v>
          </cell>
          <cell r="AI1226">
            <v>28.878544393177478</v>
          </cell>
          <cell r="AM1226">
            <v>27.887064354161005</v>
          </cell>
        </row>
        <row r="1227">
          <cell r="A1227">
            <v>38453</v>
          </cell>
          <cell r="AI1227">
            <v>28.287301001890413</v>
          </cell>
          <cell r="AM1227">
            <v>27.250760277137516</v>
          </cell>
        </row>
        <row r="1228">
          <cell r="A1228">
            <v>38450</v>
          </cell>
          <cell r="AI1228">
            <v>28.379682781779014</v>
          </cell>
          <cell r="AM1228">
            <v>27.350182789172433</v>
          </cell>
        </row>
        <row r="1229">
          <cell r="A1229">
            <v>38449</v>
          </cell>
          <cell r="AI1229">
            <v>28.527493629600777</v>
          </cell>
          <cell r="AM1229">
            <v>27.509258808428303</v>
          </cell>
        </row>
        <row r="1230">
          <cell r="A1230">
            <v>38448</v>
          </cell>
          <cell r="AI1230">
            <v>28.213395577979526</v>
          </cell>
          <cell r="AM1230">
            <v>27.171222267509574</v>
          </cell>
        </row>
        <row r="1231">
          <cell r="A1231">
            <v>38447</v>
          </cell>
          <cell r="AI1231">
            <v>28.194919222001808</v>
          </cell>
          <cell r="AM1231">
            <v>27.151337765102593</v>
          </cell>
        </row>
        <row r="1232">
          <cell r="A1232">
            <v>38446</v>
          </cell>
          <cell r="AI1232">
            <v>27.622152186692464</v>
          </cell>
          <cell r="AM1232">
            <v>26.534918190486085</v>
          </cell>
        </row>
        <row r="1233">
          <cell r="A1233">
            <v>38443</v>
          </cell>
          <cell r="AI1233">
            <v>27.714533966581069</v>
          </cell>
          <cell r="AM1233">
            <v>26.634340702521008</v>
          </cell>
        </row>
        <row r="1234">
          <cell r="A1234">
            <v>38442</v>
          </cell>
          <cell r="AI1234">
            <v>27.696057610603351</v>
          </cell>
          <cell r="AM1234">
            <v>26.614456200114027</v>
          </cell>
        </row>
        <row r="1235">
          <cell r="A1235">
            <v>38441</v>
          </cell>
          <cell r="AI1235">
            <v>26.790716167695034</v>
          </cell>
          <cell r="AM1235">
            <v>25.640115582171809</v>
          </cell>
        </row>
        <row r="1236">
          <cell r="A1236">
            <v>38440</v>
          </cell>
          <cell r="AI1236">
            <v>26.384236336185175</v>
          </cell>
          <cell r="AM1236">
            <v>25.202656529218157</v>
          </cell>
        </row>
        <row r="1237">
          <cell r="A1237">
            <v>38439</v>
          </cell>
          <cell r="AI1237">
            <v>26.679858031828708</v>
          </cell>
          <cell r="AM1237">
            <v>25.520808567729901</v>
          </cell>
        </row>
        <row r="1238">
          <cell r="A1238">
            <v>38435</v>
          </cell>
          <cell r="AI1238">
            <v>27.160243287249447</v>
          </cell>
          <cell r="AM1238">
            <v>26.037805630311485</v>
          </cell>
        </row>
        <row r="1239">
          <cell r="A1239">
            <v>38434</v>
          </cell>
          <cell r="AI1239">
            <v>27.345006847026657</v>
          </cell>
          <cell r="AM1239">
            <v>26.236650654381329</v>
          </cell>
        </row>
        <row r="1240">
          <cell r="A1240">
            <v>38433</v>
          </cell>
          <cell r="AI1240">
            <v>27.899297526358275</v>
          </cell>
          <cell r="AM1240">
            <v>26.833185726590848</v>
          </cell>
        </row>
        <row r="1241">
          <cell r="A1241">
            <v>38432</v>
          </cell>
          <cell r="AI1241">
            <v>28.342730069823574</v>
          </cell>
          <cell r="AM1241">
            <v>27.310413784358467</v>
          </cell>
        </row>
        <row r="1242">
          <cell r="A1242">
            <v>38429</v>
          </cell>
          <cell r="AI1242">
            <v>27.733010322558791</v>
          </cell>
          <cell r="AM1242">
            <v>26.654225204927993</v>
          </cell>
        </row>
        <row r="1243">
          <cell r="A1243">
            <v>38428</v>
          </cell>
          <cell r="AI1243">
            <v>28.638351765467107</v>
          </cell>
          <cell r="AM1243">
            <v>27.628565822870211</v>
          </cell>
        </row>
        <row r="1244">
          <cell r="A1244">
            <v>38427</v>
          </cell>
          <cell r="AI1244">
            <v>27.622152186692464</v>
          </cell>
          <cell r="AM1244">
            <v>26.534918190486085</v>
          </cell>
        </row>
        <row r="1245">
          <cell r="A1245">
            <v>38426</v>
          </cell>
          <cell r="AI1245">
            <v>28.213395577979526</v>
          </cell>
          <cell r="AM1245">
            <v>27.171222267509574</v>
          </cell>
        </row>
        <row r="1246">
          <cell r="A1246">
            <v>38425</v>
          </cell>
          <cell r="AI1246">
            <v>28.712257189377986</v>
          </cell>
          <cell r="AM1246">
            <v>27.708103832498143</v>
          </cell>
        </row>
        <row r="1247">
          <cell r="A1247">
            <v>38422</v>
          </cell>
          <cell r="AI1247">
            <v>28.638351765467107</v>
          </cell>
          <cell r="AM1247">
            <v>27.628565822870211</v>
          </cell>
        </row>
        <row r="1248">
          <cell r="A1248">
            <v>38421</v>
          </cell>
          <cell r="AI1248">
            <v>28.619875409489385</v>
          </cell>
          <cell r="AM1248">
            <v>27.608681320463226</v>
          </cell>
        </row>
        <row r="1249">
          <cell r="A1249">
            <v>38420</v>
          </cell>
          <cell r="AI1249">
            <v>30.079507531729323</v>
          </cell>
          <cell r="AM1249">
            <v>29.179557010614968</v>
          </cell>
        </row>
        <row r="1250">
          <cell r="A1250">
            <v>38419</v>
          </cell>
          <cell r="AI1250">
            <v>31.003325330615358</v>
          </cell>
          <cell r="AM1250">
            <v>30.17378213096417</v>
          </cell>
        </row>
        <row r="1251">
          <cell r="A1251">
            <v>38418</v>
          </cell>
          <cell r="AI1251">
            <v>30.449034651283736</v>
          </cell>
          <cell r="AM1251">
            <v>29.577247058754647</v>
          </cell>
        </row>
        <row r="1252">
          <cell r="A1252">
            <v>38415</v>
          </cell>
          <cell r="AI1252">
            <v>30.670750923016389</v>
          </cell>
          <cell r="AM1252">
            <v>29.815861087638456</v>
          </cell>
        </row>
        <row r="1253">
          <cell r="A1253">
            <v>38414</v>
          </cell>
          <cell r="AI1253">
            <v>31.077230754526241</v>
          </cell>
          <cell r="AM1253">
            <v>30.253320140592102</v>
          </cell>
        </row>
        <row r="1254">
          <cell r="A1254">
            <v>38413</v>
          </cell>
          <cell r="AI1254">
            <v>31.243517958325725</v>
          </cell>
          <cell r="AM1254">
            <v>30.432280662254961</v>
          </cell>
        </row>
        <row r="1255">
          <cell r="A1255">
            <v>38412</v>
          </cell>
          <cell r="AI1255">
            <v>30.522940075194615</v>
          </cell>
          <cell r="AM1255">
            <v>29.656785068382579</v>
          </cell>
        </row>
        <row r="1256">
          <cell r="A1256">
            <v>38411</v>
          </cell>
          <cell r="AI1256">
            <v>29.67302770021946</v>
          </cell>
          <cell r="AM1256">
            <v>28.742097957661311</v>
          </cell>
        </row>
        <row r="1257">
          <cell r="A1257">
            <v>38408</v>
          </cell>
          <cell r="AI1257">
            <v>30.43055829530601</v>
          </cell>
          <cell r="AM1257">
            <v>29.557362556347659</v>
          </cell>
        </row>
        <row r="1258">
          <cell r="A1258">
            <v>38407</v>
          </cell>
          <cell r="AI1258">
            <v>29.931696683907553</v>
          </cell>
          <cell r="AM1258">
            <v>29.02048099135909</v>
          </cell>
        </row>
        <row r="1259">
          <cell r="A1259">
            <v>38406</v>
          </cell>
          <cell r="AI1259">
            <v>28.952449817088358</v>
          </cell>
          <cell r="AM1259">
            <v>27.96660236378894</v>
          </cell>
        </row>
        <row r="1260">
          <cell r="A1260">
            <v>38405</v>
          </cell>
          <cell r="AI1260">
            <v>29.377406004575931</v>
          </cell>
          <cell r="AM1260">
            <v>28.42394591914957</v>
          </cell>
        </row>
        <row r="1261">
          <cell r="A1261">
            <v>38401</v>
          </cell>
          <cell r="AI1261">
            <v>29.469787784464536</v>
          </cell>
          <cell r="AM1261">
            <v>28.52336843118449</v>
          </cell>
        </row>
        <row r="1262">
          <cell r="A1262">
            <v>38400</v>
          </cell>
          <cell r="AI1262">
            <v>26.051661928586203</v>
          </cell>
          <cell r="AM1262">
            <v>24.844735485892446</v>
          </cell>
        </row>
        <row r="1263">
          <cell r="A1263">
            <v>38399</v>
          </cell>
          <cell r="AI1263">
            <v>31.401028952061726</v>
          </cell>
          <cell r="AM1263">
            <v>30.070970633629752</v>
          </cell>
        </row>
        <row r="1264">
          <cell r="A1264">
            <v>38398</v>
          </cell>
          <cell r="AI1264">
            <v>31.984190918314301</v>
          </cell>
          <cell r="AM1264">
            <v>30.70176965104184</v>
          </cell>
        </row>
        <row r="1265">
          <cell r="A1265">
            <v>38397</v>
          </cell>
          <cell r="AI1265">
            <v>30.616003228260183</v>
          </cell>
          <cell r="AM1265">
            <v>29.221818110190402</v>
          </cell>
        </row>
        <row r="1266">
          <cell r="A1266">
            <v>38394</v>
          </cell>
          <cell r="AI1266">
            <v>30.167417100373587</v>
          </cell>
          <cell r="AM1266">
            <v>28.736588096796485</v>
          </cell>
        </row>
        <row r="1267">
          <cell r="A1267">
            <v>38393</v>
          </cell>
          <cell r="AI1267">
            <v>29.315103457389053</v>
          </cell>
          <cell r="AM1267">
            <v>27.814651071348049</v>
          </cell>
        </row>
        <row r="1268">
          <cell r="A1268">
            <v>38392</v>
          </cell>
          <cell r="AI1268">
            <v>29.74126027888132</v>
          </cell>
          <cell r="AM1268">
            <v>28.27561958407227</v>
          </cell>
        </row>
        <row r="1269">
          <cell r="A1269">
            <v>38391</v>
          </cell>
          <cell r="AI1269">
            <v>31.378599645667396</v>
          </cell>
          <cell r="AM1269">
            <v>30.046709132960057</v>
          </cell>
        </row>
        <row r="1270">
          <cell r="A1270">
            <v>38390</v>
          </cell>
          <cell r="AI1270">
            <v>30.548715309077192</v>
          </cell>
          <cell r="AM1270">
            <v>29.149033608181313</v>
          </cell>
        </row>
        <row r="1271">
          <cell r="A1271">
            <v>38387</v>
          </cell>
          <cell r="AI1271">
            <v>31.535604790427708</v>
          </cell>
          <cell r="AM1271">
            <v>30.21653963764793</v>
          </cell>
        </row>
        <row r="1272">
          <cell r="A1272">
            <v>38386</v>
          </cell>
          <cell r="AI1272">
            <v>29.987982649218946</v>
          </cell>
          <cell r="AM1272">
            <v>28.542496091438917</v>
          </cell>
        </row>
        <row r="1273">
          <cell r="A1273">
            <v>38385</v>
          </cell>
          <cell r="AI1273">
            <v>29.830977504458641</v>
          </cell>
          <cell r="AM1273">
            <v>28.372665586751054</v>
          </cell>
        </row>
        <row r="1274">
          <cell r="A1274">
            <v>38384</v>
          </cell>
          <cell r="AI1274">
            <v>30.728149760231833</v>
          </cell>
          <cell r="AM1274">
            <v>29.343125613538881</v>
          </cell>
        </row>
        <row r="1275">
          <cell r="A1275">
            <v>38383</v>
          </cell>
          <cell r="AI1275">
            <v>30.728149760231833</v>
          </cell>
          <cell r="AM1275">
            <v>29.343125613538881</v>
          </cell>
        </row>
        <row r="1276">
          <cell r="A1276">
            <v>38380</v>
          </cell>
          <cell r="AI1276">
            <v>30.18984640676792</v>
          </cell>
          <cell r="AM1276">
            <v>28.760849597466184</v>
          </cell>
        </row>
        <row r="1277">
          <cell r="A1277">
            <v>38379</v>
          </cell>
          <cell r="AI1277">
            <v>30.548715309077192</v>
          </cell>
          <cell r="AM1277">
            <v>29.149033608181313</v>
          </cell>
        </row>
        <row r="1278">
          <cell r="A1278">
            <v>38378</v>
          </cell>
          <cell r="AI1278">
            <v>30.952442824175133</v>
          </cell>
          <cell r="AM1278">
            <v>29.585740620235839</v>
          </cell>
        </row>
        <row r="1279">
          <cell r="A1279">
            <v>38377</v>
          </cell>
          <cell r="AI1279">
            <v>30.795437679414825</v>
          </cell>
          <cell r="AM1279">
            <v>29.41591011554797</v>
          </cell>
        </row>
        <row r="1280">
          <cell r="A1280">
            <v>38376</v>
          </cell>
          <cell r="AI1280">
            <v>31.176735888118429</v>
          </cell>
          <cell r="AM1280">
            <v>29.828355626932797</v>
          </cell>
        </row>
        <row r="1281">
          <cell r="A1281">
            <v>38373</v>
          </cell>
          <cell r="AI1281">
            <v>32.410347739806568</v>
          </cell>
          <cell r="AM1281">
            <v>31.162738163766058</v>
          </cell>
        </row>
        <row r="1282">
          <cell r="A1282">
            <v>38372</v>
          </cell>
          <cell r="AI1282">
            <v>32.769216642115843</v>
          </cell>
          <cell r="AM1282">
            <v>31.55092217448119</v>
          </cell>
        </row>
        <row r="1283">
          <cell r="A1283">
            <v>38371</v>
          </cell>
          <cell r="AI1283">
            <v>33.621530285100377</v>
          </cell>
          <cell r="AM1283">
            <v>32.47285919992963</v>
          </cell>
        </row>
        <row r="1284">
          <cell r="A1284">
            <v>38370</v>
          </cell>
          <cell r="AI1284">
            <v>33.75610612346636</v>
          </cell>
          <cell r="AM1284">
            <v>32.618428203947808</v>
          </cell>
        </row>
        <row r="1285">
          <cell r="A1285">
            <v>38366</v>
          </cell>
          <cell r="AI1285">
            <v>33.643959591494706</v>
          </cell>
          <cell r="AM1285">
            <v>32.497120700599325</v>
          </cell>
        </row>
        <row r="1286">
          <cell r="A1286">
            <v>38365</v>
          </cell>
          <cell r="AI1286">
            <v>34.204692251352952</v>
          </cell>
          <cell r="AM1286">
            <v>33.103658217341717</v>
          </cell>
        </row>
        <row r="1287">
          <cell r="A1287">
            <v>38364</v>
          </cell>
          <cell r="AI1287">
            <v>33.868252655438006</v>
          </cell>
          <cell r="AM1287">
            <v>32.739735707296283</v>
          </cell>
        </row>
        <row r="1288">
          <cell r="A1288">
            <v>38363</v>
          </cell>
          <cell r="AI1288">
            <v>36.828921099489548</v>
          </cell>
          <cell r="AM1288">
            <v>35.942253795696125</v>
          </cell>
        </row>
        <row r="1289">
          <cell r="A1289">
            <v>38362</v>
          </cell>
          <cell r="AI1289">
            <v>38.084962257572009</v>
          </cell>
          <cell r="AM1289">
            <v>37.30089783319908</v>
          </cell>
        </row>
        <row r="1290">
          <cell r="A1290">
            <v>38359</v>
          </cell>
          <cell r="AI1290">
            <v>39.363432722048813</v>
          </cell>
          <cell r="AM1290">
            <v>38.683803371371745</v>
          </cell>
        </row>
        <row r="1291">
          <cell r="A1291">
            <v>38358</v>
          </cell>
          <cell r="AI1291">
            <v>39.744730930752411</v>
          </cell>
          <cell r="AM1291">
            <v>39.096248882756562</v>
          </cell>
        </row>
        <row r="1292">
          <cell r="A1292">
            <v>38357</v>
          </cell>
          <cell r="AI1292">
            <v>40.260604977821998</v>
          </cell>
          <cell r="AM1292">
            <v>39.654263398159564</v>
          </cell>
        </row>
        <row r="1293">
          <cell r="A1293">
            <v>38356</v>
          </cell>
          <cell r="AI1293">
            <v>36.694345261123559</v>
          </cell>
          <cell r="AM1293">
            <v>35.796684791677947</v>
          </cell>
        </row>
        <row r="1294">
          <cell r="A1294">
            <v>38355</v>
          </cell>
          <cell r="AI1294">
            <v>37.232648614587482</v>
          </cell>
          <cell r="AM1294">
            <v>36.378960807750651</v>
          </cell>
        </row>
        <row r="1295">
          <cell r="A1295">
            <v>38352</v>
          </cell>
          <cell r="AM1295">
            <v>37.203851830520307</v>
          </cell>
        </row>
        <row r="1296">
          <cell r="A1296">
            <v>38351</v>
          </cell>
          <cell r="AM1296">
            <v>37.009759825162732</v>
          </cell>
        </row>
        <row r="1297">
          <cell r="A1297">
            <v>38350</v>
          </cell>
          <cell r="AM1297">
            <v>37.761866345923302</v>
          </cell>
        </row>
        <row r="1298">
          <cell r="A1298">
            <v>38349</v>
          </cell>
          <cell r="AM1298">
            <v>37.786127846592997</v>
          </cell>
        </row>
        <row r="1299">
          <cell r="A1299">
            <v>38348</v>
          </cell>
          <cell r="AM1299">
            <v>38.247096359317219</v>
          </cell>
        </row>
        <row r="1300">
          <cell r="A1300">
            <v>38344</v>
          </cell>
          <cell r="AM1300">
            <v>36.403222308420339</v>
          </cell>
        </row>
        <row r="1301">
          <cell r="A1301">
            <v>38343</v>
          </cell>
          <cell r="AM1301">
            <v>35.529808284311294</v>
          </cell>
        </row>
        <row r="1302">
          <cell r="A1302">
            <v>38342</v>
          </cell>
          <cell r="AM1302">
            <v>35.165885774265867</v>
          </cell>
        </row>
        <row r="1303">
          <cell r="A1303">
            <v>38341</v>
          </cell>
          <cell r="AM1303">
            <v>32.982350713993242</v>
          </cell>
        </row>
        <row r="1304">
          <cell r="A1304">
            <v>38338</v>
          </cell>
          <cell r="AM1304">
            <v>35.165885774265867</v>
          </cell>
        </row>
        <row r="1305">
          <cell r="A1305">
            <v>38337</v>
          </cell>
          <cell r="AM1305">
            <v>35.845207793017337</v>
          </cell>
        </row>
        <row r="1306">
          <cell r="A1306">
            <v>38336</v>
          </cell>
          <cell r="AM1306">
            <v>35.602592786320386</v>
          </cell>
        </row>
        <row r="1307">
          <cell r="A1307">
            <v>38335</v>
          </cell>
          <cell r="AM1307">
            <v>35.748161790338557</v>
          </cell>
        </row>
        <row r="1308">
          <cell r="A1308">
            <v>38334</v>
          </cell>
          <cell r="AM1308">
            <v>35.165885774265867</v>
          </cell>
        </row>
        <row r="1309">
          <cell r="A1309">
            <v>38331</v>
          </cell>
          <cell r="AM1309">
            <v>34.729178762211333</v>
          </cell>
        </row>
        <row r="1310">
          <cell r="A1310">
            <v>38330</v>
          </cell>
          <cell r="AM1310">
            <v>35.554069784980996</v>
          </cell>
        </row>
        <row r="1311">
          <cell r="A1311">
            <v>38329</v>
          </cell>
          <cell r="AM1311">
            <v>34.729178762211333</v>
          </cell>
        </row>
        <row r="1312">
          <cell r="A1312">
            <v>38328</v>
          </cell>
          <cell r="AM1312">
            <v>35.044578270917377</v>
          </cell>
        </row>
        <row r="1313">
          <cell r="A1313">
            <v>38327</v>
          </cell>
          <cell r="AM1313">
            <v>36.257653304402169</v>
          </cell>
        </row>
        <row r="1314">
          <cell r="A1314">
            <v>38324</v>
          </cell>
          <cell r="AM1314">
            <v>36.45174530975973</v>
          </cell>
        </row>
        <row r="1315">
          <cell r="A1315">
            <v>38323</v>
          </cell>
          <cell r="AM1315">
            <v>37.325159333868775</v>
          </cell>
        </row>
        <row r="1316">
          <cell r="A1316">
            <v>38322</v>
          </cell>
          <cell r="AM1316">
            <v>37.203851830520307</v>
          </cell>
        </row>
        <row r="1317">
          <cell r="A1317">
            <v>38321</v>
          </cell>
          <cell r="AM1317">
            <v>38.465449865344482</v>
          </cell>
        </row>
        <row r="1318">
          <cell r="A1318">
            <v>38320</v>
          </cell>
          <cell r="AM1318">
            <v>38.562495868023262</v>
          </cell>
        </row>
        <row r="1319">
          <cell r="A1319">
            <v>38317</v>
          </cell>
          <cell r="AM1319">
            <v>39.120510383426257</v>
          </cell>
        </row>
        <row r="1320">
          <cell r="A1320">
            <v>38315</v>
          </cell>
          <cell r="AM1320">
            <v>39.775570901508047</v>
          </cell>
        </row>
        <row r="1321">
          <cell r="A1321">
            <v>38314</v>
          </cell>
          <cell r="AM1321">
            <v>39.727047900168664</v>
          </cell>
        </row>
        <row r="1322">
          <cell r="A1322">
            <v>38313</v>
          </cell>
          <cell r="AM1322">
            <v>38.853633876059611</v>
          </cell>
        </row>
        <row r="1323">
          <cell r="A1323">
            <v>38310</v>
          </cell>
          <cell r="AM1323">
            <v>39.169033384765662</v>
          </cell>
        </row>
        <row r="1324">
          <cell r="A1324">
            <v>38309</v>
          </cell>
          <cell r="AM1324">
            <v>39.338863889453521</v>
          </cell>
        </row>
        <row r="1325">
          <cell r="A1325">
            <v>38308</v>
          </cell>
          <cell r="AM1325">
            <v>46.66583709170164</v>
          </cell>
        </row>
        <row r="1326">
          <cell r="A1326">
            <v>38307</v>
          </cell>
          <cell r="AM1326">
            <v>95.660158029846087</v>
          </cell>
        </row>
        <row r="1327">
          <cell r="A1327">
            <v>38306</v>
          </cell>
          <cell r="AM1327">
            <v>96.718955431085789</v>
          </cell>
        </row>
        <row r="1328">
          <cell r="A1328">
            <v>38303</v>
          </cell>
          <cell r="AM1328">
            <v>92.685441521601277</v>
          </cell>
        </row>
        <row r="1329">
          <cell r="A1329">
            <v>38302</v>
          </cell>
          <cell r="AM1329">
            <v>92.786279369338388</v>
          </cell>
        </row>
        <row r="1330">
          <cell r="A1330">
            <v>38301</v>
          </cell>
          <cell r="AM1330">
            <v>90.315752099779132</v>
          </cell>
        </row>
        <row r="1331">
          <cell r="A1331">
            <v>38300</v>
          </cell>
          <cell r="AM1331">
            <v>90.315752099779132</v>
          </cell>
        </row>
        <row r="1332">
          <cell r="A1332">
            <v>38299</v>
          </cell>
          <cell r="AM1332">
            <v>94.702198476343511</v>
          </cell>
        </row>
        <row r="1333">
          <cell r="A1333">
            <v>38296</v>
          </cell>
          <cell r="AM1333">
            <v>97.021468974297122</v>
          </cell>
        </row>
        <row r="1334">
          <cell r="A1334">
            <v>38295</v>
          </cell>
          <cell r="AM1334">
            <v>95.609739105977525</v>
          </cell>
        </row>
        <row r="1335">
          <cell r="A1335">
            <v>38294</v>
          </cell>
          <cell r="AM1335">
            <v>101.1054018076502</v>
          </cell>
        </row>
        <row r="1336">
          <cell r="A1336">
            <v>38293</v>
          </cell>
          <cell r="AM1336">
            <v>102.56755059983833</v>
          </cell>
        </row>
        <row r="1337">
          <cell r="A1337">
            <v>38292</v>
          </cell>
          <cell r="AM1337">
            <v>101.25665857925586</v>
          </cell>
        </row>
        <row r="1338">
          <cell r="A1338">
            <v>38289</v>
          </cell>
          <cell r="AM1338">
            <v>94.298847085395082</v>
          </cell>
        </row>
        <row r="1339">
          <cell r="A1339">
            <v>38288</v>
          </cell>
          <cell r="AM1339">
            <v>93.441725379629602</v>
          </cell>
        </row>
        <row r="1340">
          <cell r="A1340">
            <v>38287</v>
          </cell>
          <cell r="AM1340">
            <v>89.004860079196661</v>
          </cell>
        </row>
        <row r="1341">
          <cell r="A1341">
            <v>38286</v>
          </cell>
          <cell r="AM1341">
            <v>84.870508321975038</v>
          </cell>
        </row>
        <row r="1342">
          <cell r="A1342">
            <v>38285</v>
          </cell>
          <cell r="AM1342">
            <v>83.35794060591833</v>
          </cell>
        </row>
        <row r="1343">
          <cell r="A1343">
            <v>38282</v>
          </cell>
          <cell r="AM1343">
            <v>79.576521315776603</v>
          </cell>
        </row>
        <row r="1344">
          <cell r="A1344">
            <v>38281</v>
          </cell>
          <cell r="AM1344">
            <v>84.618413702632239</v>
          </cell>
        </row>
        <row r="1345">
          <cell r="A1345">
            <v>38280</v>
          </cell>
          <cell r="AM1345">
            <v>83.35794060591833</v>
          </cell>
        </row>
        <row r="1346">
          <cell r="A1346">
            <v>38279</v>
          </cell>
          <cell r="AM1346">
            <v>83.761291996866788</v>
          </cell>
        </row>
        <row r="1347">
          <cell r="A1347">
            <v>38278</v>
          </cell>
          <cell r="AM1347">
            <v>84.063805540078121</v>
          </cell>
        </row>
        <row r="1348">
          <cell r="A1348">
            <v>38275</v>
          </cell>
          <cell r="AM1348">
            <v>82.500818900152879</v>
          </cell>
        </row>
        <row r="1349">
          <cell r="A1349">
            <v>38274</v>
          </cell>
          <cell r="AM1349">
            <v>82.551237824021442</v>
          </cell>
        </row>
        <row r="1350">
          <cell r="A1350">
            <v>38273</v>
          </cell>
          <cell r="AM1350">
            <v>85.122602941317808</v>
          </cell>
        </row>
        <row r="1351">
          <cell r="A1351">
            <v>38272</v>
          </cell>
          <cell r="AM1351">
            <v>84.567994778763705</v>
          </cell>
        </row>
        <row r="1352">
          <cell r="A1352">
            <v>38271</v>
          </cell>
          <cell r="AM1352">
            <v>83.509197377524018</v>
          </cell>
        </row>
        <row r="1353">
          <cell r="A1353">
            <v>38268</v>
          </cell>
          <cell r="AM1353">
            <v>80.685737640884852</v>
          </cell>
        </row>
        <row r="1354">
          <cell r="A1354">
            <v>38267</v>
          </cell>
          <cell r="AM1354">
            <v>85.122602941317808</v>
          </cell>
        </row>
        <row r="1355">
          <cell r="A1355">
            <v>38266</v>
          </cell>
          <cell r="AM1355">
            <v>78.820237457748263</v>
          </cell>
        </row>
        <row r="1356">
          <cell r="A1356">
            <v>38265</v>
          </cell>
          <cell r="AM1356">
            <v>77.055575122348785</v>
          </cell>
        </row>
        <row r="1357">
          <cell r="A1357">
            <v>38264</v>
          </cell>
          <cell r="AM1357">
            <v>76.904318350743125</v>
          </cell>
        </row>
        <row r="1358">
          <cell r="A1358">
            <v>38261</v>
          </cell>
          <cell r="AM1358">
            <v>75.795102025634876</v>
          </cell>
        </row>
        <row r="1359">
          <cell r="A1359">
            <v>38260</v>
          </cell>
          <cell r="AM1359">
            <v>70.652371791042142</v>
          </cell>
        </row>
        <row r="1360">
          <cell r="A1360">
            <v>38259</v>
          </cell>
          <cell r="AM1360">
            <v>71.257398877464809</v>
          </cell>
        </row>
        <row r="1361">
          <cell r="A1361">
            <v>38258</v>
          </cell>
          <cell r="AM1361">
            <v>67.475979587323081</v>
          </cell>
        </row>
        <row r="1362">
          <cell r="A1362">
            <v>38257</v>
          </cell>
          <cell r="AM1362">
            <v>70.450696095567906</v>
          </cell>
        </row>
        <row r="1363">
          <cell r="A1363">
            <v>38254</v>
          </cell>
          <cell r="AM1363">
            <v>72.71954766965294</v>
          </cell>
        </row>
        <row r="1364">
          <cell r="A1364">
            <v>38253</v>
          </cell>
          <cell r="AM1364">
            <v>71.055723181990587</v>
          </cell>
        </row>
        <row r="1365">
          <cell r="A1365">
            <v>38252</v>
          </cell>
          <cell r="AM1365">
            <v>72.870804441258613</v>
          </cell>
        </row>
        <row r="1366">
          <cell r="A1366">
            <v>38251</v>
          </cell>
          <cell r="AM1366">
            <v>74.332953233446744</v>
          </cell>
        </row>
        <row r="1367">
          <cell r="A1367">
            <v>38250</v>
          </cell>
          <cell r="AM1367">
            <v>72.56829089804728</v>
          </cell>
        </row>
        <row r="1368">
          <cell r="A1368">
            <v>38247</v>
          </cell>
          <cell r="AM1368">
            <v>70.85404748651635</v>
          </cell>
        </row>
        <row r="1369">
          <cell r="A1369">
            <v>38246</v>
          </cell>
          <cell r="AM1369">
            <v>73.828763994761189</v>
          </cell>
        </row>
        <row r="1370">
          <cell r="A1370">
            <v>38245</v>
          </cell>
          <cell r="AM1370">
            <v>74.232115385709633</v>
          </cell>
        </row>
        <row r="1371">
          <cell r="A1371">
            <v>38244</v>
          </cell>
          <cell r="AM1371">
            <v>72.064101659361711</v>
          </cell>
        </row>
        <row r="1372">
          <cell r="A1372">
            <v>38243</v>
          </cell>
          <cell r="AM1372">
            <v>68.484358064694206</v>
          </cell>
        </row>
        <row r="1373">
          <cell r="A1373">
            <v>38240</v>
          </cell>
          <cell r="AM1373">
            <v>63.69456029718134</v>
          </cell>
        </row>
        <row r="1374">
          <cell r="A1374">
            <v>38239</v>
          </cell>
          <cell r="AM1374">
            <v>58.24931651937726</v>
          </cell>
        </row>
        <row r="1375">
          <cell r="A1375">
            <v>38238</v>
          </cell>
          <cell r="AM1375">
            <v>58.602248986457148</v>
          </cell>
        </row>
        <row r="1376">
          <cell r="A1376">
            <v>38237</v>
          </cell>
          <cell r="AM1376">
            <v>59.560208539959724</v>
          </cell>
        </row>
        <row r="1377">
          <cell r="A1377">
            <v>38233</v>
          </cell>
          <cell r="AM1377">
            <v>61.173614103753529</v>
          </cell>
        </row>
        <row r="1378">
          <cell r="A1378">
            <v>38232</v>
          </cell>
          <cell r="AM1378">
            <v>61.879479037913327</v>
          </cell>
        </row>
        <row r="1379">
          <cell r="A1379">
            <v>38231</v>
          </cell>
          <cell r="AM1379">
            <v>59.056019301274155</v>
          </cell>
        </row>
        <row r="1380">
          <cell r="A1380">
            <v>38230</v>
          </cell>
          <cell r="AM1380">
            <v>57.392194813611795</v>
          </cell>
        </row>
        <row r="1381">
          <cell r="A1381">
            <v>38229</v>
          </cell>
          <cell r="AM1381">
            <v>58.24931651937726</v>
          </cell>
        </row>
        <row r="1382">
          <cell r="A1382">
            <v>38226</v>
          </cell>
          <cell r="AM1382">
            <v>58.148478671640142</v>
          </cell>
        </row>
        <row r="1383">
          <cell r="A1383">
            <v>38225</v>
          </cell>
          <cell r="AM1383">
            <v>56.888005574926233</v>
          </cell>
        </row>
        <row r="1384">
          <cell r="A1384">
            <v>38224</v>
          </cell>
          <cell r="AM1384">
            <v>57.19051911813758</v>
          </cell>
        </row>
        <row r="1385">
          <cell r="A1385">
            <v>38223</v>
          </cell>
          <cell r="AM1385">
            <v>56.232559564635004</v>
          </cell>
        </row>
        <row r="1386">
          <cell r="A1386">
            <v>38222</v>
          </cell>
          <cell r="AM1386">
            <v>54.871248620183977</v>
          </cell>
        </row>
        <row r="1387">
          <cell r="A1387">
            <v>38219</v>
          </cell>
          <cell r="AM1387">
            <v>55.375437858869539</v>
          </cell>
        </row>
        <row r="1388">
          <cell r="A1388">
            <v>38218</v>
          </cell>
          <cell r="AM1388">
            <v>53.207424132521616</v>
          </cell>
        </row>
        <row r="1389">
          <cell r="A1389">
            <v>38217</v>
          </cell>
          <cell r="AM1389">
            <v>52.098207807413374</v>
          </cell>
        </row>
        <row r="1390">
          <cell r="A1390">
            <v>38216</v>
          </cell>
          <cell r="AM1390">
            <v>47.157153268294856</v>
          </cell>
        </row>
        <row r="1391">
          <cell r="A1391">
            <v>38215</v>
          </cell>
          <cell r="AM1391">
            <v>40.854787784725296</v>
          </cell>
        </row>
        <row r="1392">
          <cell r="A1392">
            <v>38212</v>
          </cell>
          <cell r="AM1392">
            <v>40.199341774434068</v>
          </cell>
        </row>
        <row r="1393">
          <cell r="A1393">
            <v>38211</v>
          </cell>
          <cell r="AM1393">
            <v>42.216098729176323</v>
          </cell>
        </row>
        <row r="1394">
          <cell r="A1394">
            <v>38210</v>
          </cell>
          <cell r="AM1394">
            <v>45.39249093289537</v>
          </cell>
        </row>
        <row r="1395">
          <cell r="A1395">
            <v>38209</v>
          </cell>
          <cell r="AM1395">
            <v>47.308410039900522</v>
          </cell>
        </row>
        <row r="1396">
          <cell r="A1396">
            <v>38208</v>
          </cell>
          <cell r="AM1396">
            <v>47.25799111603196</v>
          </cell>
        </row>
        <row r="1397">
          <cell r="A1397">
            <v>38205</v>
          </cell>
          <cell r="AM1397">
            <v>46.148774790923717</v>
          </cell>
        </row>
        <row r="1398">
          <cell r="A1398">
            <v>38204</v>
          </cell>
          <cell r="AM1398">
            <v>46.804220801214953</v>
          </cell>
        </row>
        <row r="1399">
          <cell r="A1399">
            <v>38203</v>
          </cell>
          <cell r="AM1399">
            <v>52.249464579019048</v>
          </cell>
        </row>
        <row r="1400">
          <cell r="A1400">
            <v>38202</v>
          </cell>
          <cell r="AM1400">
            <v>53.005748437047401</v>
          </cell>
        </row>
        <row r="1401">
          <cell r="A1401">
            <v>38201</v>
          </cell>
          <cell r="AM1401">
            <v>56.434235260109226</v>
          </cell>
        </row>
        <row r="1402">
          <cell r="A1402">
            <v>38198</v>
          </cell>
          <cell r="AM1402">
            <v>57.442613737480357</v>
          </cell>
        </row>
        <row r="1403">
          <cell r="A1403">
            <v>38197</v>
          </cell>
          <cell r="AM1403">
            <v>57.19051911813758</v>
          </cell>
        </row>
        <row r="1404">
          <cell r="A1404">
            <v>38196</v>
          </cell>
          <cell r="AM1404">
            <v>57.341775889743239</v>
          </cell>
        </row>
        <row r="1405">
          <cell r="A1405">
            <v>38195</v>
          </cell>
          <cell r="AM1405">
            <v>58.098059747771593</v>
          </cell>
        </row>
        <row r="1406">
          <cell r="A1406">
            <v>38194</v>
          </cell>
          <cell r="AM1406">
            <v>58.803924681931377</v>
          </cell>
        </row>
        <row r="1407">
          <cell r="A1407">
            <v>38191</v>
          </cell>
          <cell r="AM1407">
            <v>57.593870509086024</v>
          </cell>
        </row>
        <row r="1408">
          <cell r="A1408">
            <v>38190</v>
          </cell>
          <cell r="AM1408">
            <v>57.291356965874691</v>
          </cell>
        </row>
        <row r="1409">
          <cell r="A1409">
            <v>38189</v>
          </cell>
          <cell r="AM1409">
            <v>50.837734710699465</v>
          </cell>
        </row>
        <row r="1410">
          <cell r="A1410">
            <v>38188</v>
          </cell>
          <cell r="AM1410">
            <v>72.820385517390051</v>
          </cell>
        </row>
        <row r="1411">
          <cell r="A1411">
            <v>38187</v>
          </cell>
          <cell r="AM1411">
            <v>72.56829089804728</v>
          </cell>
        </row>
        <row r="1412">
          <cell r="A1412">
            <v>38184</v>
          </cell>
          <cell r="AM1412">
            <v>72.517871974178718</v>
          </cell>
        </row>
        <row r="1413">
          <cell r="A1413">
            <v>38183</v>
          </cell>
          <cell r="AM1413">
            <v>69.190222998853983</v>
          </cell>
        </row>
        <row r="1414">
          <cell r="A1414">
            <v>38182</v>
          </cell>
          <cell r="AM1414">
            <v>70.753209638779239</v>
          </cell>
        </row>
        <row r="1415">
          <cell r="A1415">
            <v>38181</v>
          </cell>
          <cell r="AM1415">
            <v>72.921223365127162</v>
          </cell>
        </row>
        <row r="1416">
          <cell r="A1416">
            <v>38180</v>
          </cell>
          <cell r="AM1416">
            <v>76.299291264320445</v>
          </cell>
        </row>
        <row r="1417">
          <cell r="A1417">
            <v>38177</v>
          </cell>
          <cell r="AM1417">
            <v>74.534628928920966</v>
          </cell>
        </row>
        <row r="1418">
          <cell r="A1418">
            <v>38176</v>
          </cell>
          <cell r="AM1418">
            <v>71.206979953596246</v>
          </cell>
        </row>
        <row r="1419">
          <cell r="A1419">
            <v>38175</v>
          </cell>
          <cell r="AM1419">
            <v>74.08085861410396</v>
          </cell>
        </row>
        <row r="1420">
          <cell r="A1420">
            <v>38174</v>
          </cell>
          <cell r="AM1420">
            <v>77.559764361034354</v>
          </cell>
        </row>
        <row r="1421">
          <cell r="A1421">
            <v>38170</v>
          </cell>
          <cell r="AM1421">
            <v>77.458926513297243</v>
          </cell>
        </row>
        <row r="1422">
          <cell r="A1422">
            <v>38169</v>
          </cell>
          <cell r="AM1422">
            <v>72.669128745784391</v>
          </cell>
        </row>
        <row r="1423">
          <cell r="A1423">
            <v>38168</v>
          </cell>
          <cell r="AM1423">
            <v>72.870804441258613</v>
          </cell>
        </row>
        <row r="1424">
          <cell r="A1424">
            <v>38167</v>
          </cell>
          <cell r="AM1424">
            <v>74.534628928920966</v>
          </cell>
        </row>
        <row r="1425">
          <cell r="A1425">
            <v>38166</v>
          </cell>
          <cell r="AM1425">
            <v>72.517871974178718</v>
          </cell>
        </row>
        <row r="1426">
          <cell r="A1426">
            <v>38163</v>
          </cell>
          <cell r="AM1426">
            <v>71.509493496807593</v>
          </cell>
        </row>
        <row r="1427">
          <cell r="A1427">
            <v>38162</v>
          </cell>
          <cell r="AM1427">
            <v>76.349710188189007</v>
          </cell>
        </row>
        <row r="1428">
          <cell r="A1428">
            <v>38161</v>
          </cell>
          <cell r="AM1428">
            <v>78.568142838405478</v>
          </cell>
        </row>
      </sheetData>
      <sheetData sheetId="1" refreshError="1"/>
    </sheetDataSet>
  </externalBook>
</externalLink>
</file>

<file path=xl/theme/theme1.xml><?xml version="1.0" encoding="utf-8"?>
<a:theme xmlns:a="http://schemas.openxmlformats.org/drawingml/2006/main" name="Office Theme">
  <a:themeElements>
    <a:clrScheme name="Research">
      <a:dk1>
        <a:sysClr val="windowText" lastClr="000000"/>
      </a:dk1>
      <a:lt1>
        <a:sysClr val="window" lastClr="FFFFFF"/>
      </a:lt1>
      <a:dk2>
        <a:srgbClr val="003366"/>
      </a:dk2>
      <a:lt2>
        <a:srgbClr val="C6D9E2"/>
      </a:lt2>
      <a:accent1>
        <a:srgbClr val="137CB1"/>
      </a:accent1>
      <a:accent2>
        <a:srgbClr val="EACC80"/>
      </a:accent2>
      <a:accent3>
        <a:srgbClr val="4AAC6B"/>
      </a:accent3>
      <a:accent4>
        <a:srgbClr val="A8D7E2"/>
      </a:accent4>
      <a:accent5>
        <a:srgbClr val="E58061"/>
      </a:accent5>
      <a:accent6>
        <a:srgbClr val="BCE3A1"/>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 Id="rId2" Target="../drawings/vmlDrawing1.vml" Type="http://schemas.openxmlformats.org/officeDocument/2006/relationships/vmlDrawing"/>
<Relationship Id="rId3" Target="../comments1.xml" Type="http://schemas.openxmlformats.org/officeDocument/2006/relationships/comments"/>
</Relationships>

</file>

<file path=xl/worksheets/_rels/sheet2.xml.rels><?xml version="1.0" encoding="UTF-8" standalone="yes"?>
<Relationships xmlns="http://schemas.openxmlformats.org/package/2006/relationships">
<Relationship Id="rId1" Target="../printerSettings/printerSettings2.bin" Type="http://schemas.openxmlformats.org/officeDocument/2006/relationships/printerSettings"/>
<Relationship Id="rId2" Target="../drawings/drawing1.xml" Type="http://schemas.openxmlformats.org/officeDocument/2006/relationships/drawing"/>
</Relationships>

</file>

<file path=xl/worksheets/_rels/sheet3.xml.rels><?xml version="1.0" encoding="UTF-8" standalone="yes"?>
<Relationships xmlns="http://schemas.openxmlformats.org/package/2006/relationships">
<Relationship Id="rId1" Target="../printerSettings/printerSettings3.bin" Type="http://schemas.openxmlformats.org/officeDocument/2006/relationships/printerSettings"/>
<Relationship Id="rId2" Target="../drawings/vmlDrawing2.vml" Type="http://schemas.openxmlformats.org/officeDocument/2006/relationships/vmlDrawing"/>
<Relationship Id="rId3" Target="../comments2.xml" Type="http://schemas.openxmlformats.org/officeDocument/2006/relationships/comments"/>
</Relationships>

</file>

<file path=xl/worksheets/_rels/sheet4.xml.rels><?xml version="1.0" encoding="UTF-8" standalone="yes"?>
<Relationships xmlns="http://schemas.openxmlformats.org/package/2006/relationships">
<Relationship Id="rId1" Target="../printerSettings/printerSettings4.bin" Type="http://schemas.openxmlformats.org/officeDocument/2006/relationships/printerSettings"/>
<Relationship Id="rId2" Target="../drawings/vmlDrawing3.vml" Type="http://schemas.openxmlformats.org/officeDocument/2006/relationships/vmlDrawing"/>
<Relationship Id="rId3" Target="../comments3.xml" Type="http://schemas.openxmlformats.org/officeDocument/2006/relationships/comments"/>
</Relationships>

</file>

<file path=xl/worksheets/_rels/sheet5.xml.rels><?xml version="1.0" encoding="UTF-8" standalone="yes"?>
<Relationships xmlns="http://schemas.openxmlformats.org/package/2006/relationships">
<Relationship Id="rId1" Target="../printerSettings/printerSettings5.bin" Type="http://schemas.openxmlformats.org/officeDocument/2006/relationships/printerSettings"/>
<Relationship Id="rId2" Target="../drawings/vmlDrawing4.vml" Type="http://schemas.openxmlformats.org/officeDocument/2006/relationships/vmlDrawing"/>
<Relationship Id="rId3" Target="../comments4.xml" Type="http://schemas.openxmlformats.org/officeDocument/2006/relationships/comments"/>
</Relationships>

</file>

<file path=xl/worksheets/_rels/sheet6.xml.rels><?xml version="1.0" encoding="UTF-8" standalone="yes"?>
<Relationships xmlns="http://schemas.openxmlformats.org/package/2006/relationships">
<Relationship Id="rId1" Target="../printerSettings/printerSettings6.bin" Type="http://schemas.openxmlformats.org/officeDocument/2006/relationships/printerSettings"/>
<Relationship Id="rId2" Target="../drawings/drawing2.xml" Type="http://schemas.openxmlformats.org/officeDocument/2006/relationships/drawing"/>
<Relationship Id="rId3" Target="../drawings/vmlDrawing5.vml" Type="http://schemas.openxmlformats.org/officeDocument/2006/relationships/vmlDrawing"/>
<Relationship Id="rId4" Target="../comments5.xml" Type="http://schemas.openxmlformats.org/officeDocument/2006/relationships/comments"/>
</Relationships>

</file>

<file path=xl/worksheets/_rels/sheet7.xml.rels><?xml version="1.0" encoding="UTF-8" standalone="yes"?>
<Relationships xmlns="http://schemas.openxmlformats.org/package/2006/relationships">
<Relationship Id="rId1" Target="../printerSettings/printerSettings7.bin" Type="http://schemas.openxmlformats.org/officeDocument/2006/relationships/printerSettings"/>
<Relationship Id="rId2" Target="../drawings/vmlDrawing6.vml" Type="http://schemas.openxmlformats.org/officeDocument/2006/relationships/vmlDrawing"/>
<Relationship Id="rId3" Target="../comments6.xml" Type="http://schemas.openxmlformats.org/officeDocument/2006/relationships/comments"/>
</Relationships>

</file>

<file path=xl/worksheets/_rels/sheet8.xml.rels><?xml version="1.0" encoding="UTF-8" standalone="yes"?>
<Relationships xmlns="http://schemas.openxmlformats.org/package/2006/relationships">
<Relationship Id="rId1" Target="../printerSettings/printerSettings8.bin" Type="http://schemas.openxmlformats.org/officeDocument/2006/relationships/printerSettings"/>
</Relationships>

</file>

<file path=xl/worksheets/_rels/sheet10.xml.rels><?xml version="1.0" encoding="UTF-8" standalone="yes"?>
<Relationships xmlns="http://schemas.openxmlformats.org/package/2006/relationships">
<Relationship Id="rId1" Target="../printerSettings/printerSettings9.bin" Type="http://schemas.openxmlformats.org/officeDocument/2006/relationships/printerSettings"/>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1"/>
  <sheetViews>
    <sheetView workbookViewId="0"/>
  </sheetViews>
  <sheetFormatPr defaultRowHeight="12.75"/>
  <sheetData>
    <row r="1" spans="1:2">
      <c r="A1" s="127"/>
      <c r="B1" t="s">
        <v>259</v>
      </c>
    </row>
  </sheetData>
  <phoneticPr fontId="4" type="noConversion"/>
  <pageMargins left="0.75" right="0.75" top="1" bottom="1" header="0.5" footer="0.5"/>
  <pageSetup orientation="portrait" horizontalDpi="90" verticalDpi="90" r:id="rId1"/>
  <headerFooter alignWithMargins="0"/>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394"/>
  <sheetViews>
    <sheetView showGridLines="0" tabSelected="1" workbookViewId="0">
      <selection activeCell="Z1" sqref="Z1"/>
    </sheetView>
  </sheetViews>
  <sheetFormatPr defaultRowHeight="12.75"/>
  <cols>
    <col min="1" max="1" width="25.7109375" style="2031" customWidth="1"/>
    <col min="2" max="5" width="9.140625" style="2031"/>
    <col min="6" max="6" width="18.7109375" style="2031" customWidth="1"/>
    <col min="7" max="256" width="9.140625" style="2031"/>
    <col min="257" max="257" width="100.7109375" style="2031" customWidth="1"/>
    <col min="258" max="512" width="9.140625" style="2031"/>
    <col min="513" max="513" width="100.7109375" style="2031" customWidth="1"/>
    <col min="514" max="768" width="9.140625" style="2031"/>
    <col min="769" max="769" width="100.7109375" style="2031" customWidth="1"/>
    <col min="770" max="1024" width="9.140625" style="2031"/>
    <col min="1025" max="1025" width="100.7109375" style="2031" customWidth="1"/>
    <col min="1026" max="1280" width="9.140625" style="2031"/>
    <col min="1281" max="1281" width="100.7109375" style="2031" customWidth="1"/>
    <col min="1282" max="1536" width="9.140625" style="2031"/>
    <col min="1537" max="1537" width="100.7109375" style="2031" customWidth="1"/>
    <col min="1538" max="1792" width="9.140625" style="2031"/>
    <col min="1793" max="1793" width="100.7109375" style="2031" customWidth="1"/>
    <col min="1794" max="2048" width="9.140625" style="2031"/>
    <col min="2049" max="2049" width="100.7109375" style="2031" customWidth="1"/>
    <col min="2050" max="2304" width="9.140625" style="2031"/>
    <col min="2305" max="2305" width="100.7109375" style="2031" customWidth="1"/>
    <col min="2306" max="2560" width="9.140625" style="2031"/>
    <col min="2561" max="2561" width="100.7109375" style="2031" customWidth="1"/>
    <col min="2562" max="2816" width="9.140625" style="2031"/>
    <col min="2817" max="2817" width="100.7109375" style="2031" customWidth="1"/>
    <col min="2818" max="3072" width="9.140625" style="2031"/>
    <col min="3073" max="3073" width="100.7109375" style="2031" customWidth="1"/>
    <col min="3074" max="3328" width="9.140625" style="2031"/>
    <col min="3329" max="3329" width="100.7109375" style="2031" customWidth="1"/>
    <col min="3330" max="3584" width="9.140625" style="2031"/>
    <col min="3585" max="3585" width="100.7109375" style="2031" customWidth="1"/>
    <col min="3586" max="3840" width="9.140625" style="2031"/>
    <col min="3841" max="3841" width="100.7109375" style="2031" customWidth="1"/>
    <col min="3842" max="4096" width="9.140625" style="2031"/>
    <col min="4097" max="4097" width="100.7109375" style="2031" customWidth="1"/>
    <col min="4098" max="4352" width="9.140625" style="2031"/>
    <col min="4353" max="4353" width="100.7109375" style="2031" customWidth="1"/>
    <col min="4354" max="4608" width="9.140625" style="2031"/>
    <col min="4609" max="4609" width="100.7109375" style="2031" customWidth="1"/>
    <col min="4610" max="4864" width="9.140625" style="2031"/>
    <col min="4865" max="4865" width="100.7109375" style="2031" customWidth="1"/>
    <col min="4866" max="5120" width="9.140625" style="2031"/>
    <col min="5121" max="5121" width="100.7109375" style="2031" customWidth="1"/>
    <col min="5122" max="5376" width="9.140625" style="2031"/>
    <col min="5377" max="5377" width="100.7109375" style="2031" customWidth="1"/>
    <col min="5378" max="5632" width="9.140625" style="2031"/>
    <col min="5633" max="5633" width="100.7109375" style="2031" customWidth="1"/>
    <col min="5634" max="5888" width="9.140625" style="2031"/>
    <col min="5889" max="5889" width="100.7109375" style="2031" customWidth="1"/>
    <col min="5890" max="6144" width="9.140625" style="2031"/>
    <col min="6145" max="6145" width="100.7109375" style="2031" customWidth="1"/>
    <col min="6146" max="6400" width="9.140625" style="2031"/>
    <col min="6401" max="6401" width="100.7109375" style="2031" customWidth="1"/>
    <col min="6402" max="6656" width="9.140625" style="2031"/>
    <col min="6657" max="6657" width="100.7109375" style="2031" customWidth="1"/>
    <col min="6658" max="6912" width="9.140625" style="2031"/>
    <col min="6913" max="6913" width="100.7109375" style="2031" customWidth="1"/>
    <col min="6914" max="7168" width="9.140625" style="2031"/>
    <col min="7169" max="7169" width="100.7109375" style="2031" customWidth="1"/>
    <col min="7170" max="7424" width="9.140625" style="2031"/>
    <col min="7425" max="7425" width="100.7109375" style="2031" customWidth="1"/>
    <col min="7426" max="7680" width="9.140625" style="2031"/>
    <col min="7681" max="7681" width="100.7109375" style="2031" customWidth="1"/>
    <col min="7682" max="7936" width="9.140625" style="2031"/>
    <col min="7937" max="7937" width="100.7109375" style="2031" customWidth="1"/>
    <col min="7938" max="8192" width="9.140625" style="2031"/>
    <col min="8193" max="8193" width="100.7109375" style="2031" customWidth="1"/>
    <col min="8194" max="8448" width="9.140625" style="2031"/>
    <col min="8449" max="8449" width="100.7109375" style="2031" customWidth="1"/>
    <col min="8450" max="8704" width="9.140625" style="2031"/>
    <col min="8705" max="8705" width="100.7109375" style="2031" customWidth="1"/>
    <col min="8706" max="8960" width="9.140625" style="2031"/>
    <col min="8961" max="8961" width="100.7109375" style="2031" customWidth="1"/>
    <col min="8962" max="9216" width="9.140625" style="2031"/>
    <col min="9217" max="9217" width="100.7109375" style="2031" customWidth="1"/>
    <col min="9218" max="9472" width="9.140625" style="2031"/>
    <col min="9473" max="9473" width="100.7109375" style="2031" customWidth="1"/>
    <col min="9474" max="9728" width="9.140625" style="2031"/>
    <col min="9729" max="9729" width="100.7109375" style="2031" customWidth="1"/>
    <col min="9730" max="9984" width="9.140625" style="2031"/>
    <col min="9985" max="9985" width="100.7109375" style="2031" customWidth="1"/>
    <col min="9986" max="10240" width="9.140625" style="2031"/>
    <col min="10241" max="10241" width="100.7109375" style="2031" customWidth="1"/>
    <col min="10242" max="10496" width="9.140625" style="2031"/>
    <col min="10497" max="10497" width="100.7109375" style="2031" customWidth="1"/>
    <col min="10498" max="10752" width="9.140625" style="2031"/>
    <col min="10753" max="10753" width="100.7109375" style="2031" customWidth="1"/>
    <col min="10754" max="11008" width="9.140625" style="2031"/>
    <col min="11009" max="11009" width="100.7109375" style="2031" customWidth="1"/>
    <col min="11010" max="11264" width="9.140625" style="2031"/>
    <col min="11265" max="11265" width="100.7109375" style="2031" customWidth="1"/>
    <col min="11266" max="11520" width="9.140625" style="2031"/>
    <col min="11521" max="11521" width="100.7109375" style="2031" customWidth="1"/>
    <col min="11522" max="11776" width="9.140625" style="2031"/>
    <col min="11777" max="11777" width="100.7109375" style="2031" customWidth="1"/>
    <col min="11778" max="12032" width="9.140625" style="2031"/>
    <col min="12033" max="12033" width="100.7109375" style="2031" customWidth="1"/>
    <col min="12034" max="12288" width="9.140625" style="2031"/>
    <col min="12289" max="12289" width="100.7109375" style="2031" customWidth="1"/>
    <col min="12290" max="12544" width="9.140625" style="2031"/>
    <col min="12545" max="12545" width="100.7109375" style="2031" customWidth="1"/>
    <col min="12546" max="12800" width="9.140625" style="2031"/>
    <col min="12801" max="12801" width="100.7109375" style="2031" customWidth="1"/>
    <col min="12802" max="13056" width="9.140625" style="2031"/>
    <col min="13057" max="13057" width="100.7109375" style="2031" customWidth="1"/>
    <col min="13058" max="13312" width="9.140625" style="2031"/>
    <col min="13313" max="13313" width="100.7109375" style="2031" customWidth="1"/>
    <col min="13314" max="13568" width="9.140625" style="2031"/>
    <col min="13569" max="13569" width="100.7109375" style="2031" customWidth="1"/>
    <col min="13570" max="13824" width="9.140625" style="2031"/>
    <col min="13825" max="13825" width="100.7109375" style="2031" customWidth="1"/>
    <col min="13826" max="14080" width="9.140625" style="2031"/>
    <col min="14081" max="14081" width="100.7109375" style="2031" customWidth="1"/>
    <col min="14082" max="14336" width="9.140625" style="2031"/>
    <col min="14337" max="14337" width="100.7109375" style="2031" customWidth="1"/>
    <col min="14338" max="14592" width="9.140625" style="2031"/>
    <col min="14593" max="14593" width="100.7109375" style="2031" customWidth="1"/>
    <col min="14594" max="14848" width="9.140625" style="2031"/>
    <col min="14849" max="14849" width="100.7109375" style="2031" customWidth="1"/>
    <col min="14850" max="15104" width="9.140625" style="2031"/>
    <col min="15105" max="15105" width="100.7109375" style="2031" customWidth="1"/>
    <col min="15106" max="15360" width="9.140625" style="2031"/>
    <col min="15361" max="15361" width="100.7109375" style="2031" customWidth="1"/>
    <col min="15362" max="15616" width="9.140625" style="2031"/>
    <col min="15617" max="15617" width="100.7109375" style="2031" customWidth="1"/>
    <col min="15618" max="15872" width="9.140625" style="2031"/>
    <col min="15873" max="15873" width="100.7109375" style="2031" customWidth="1"/>
    <col min="15874" max="16128" width="9.140625" style="2031"/>
    <col min="16129" max="16129" width="100.7109375" style="2031" customWidth="1"/>
    <col min="16130" max="16384" width="9.140625" style="2031"/>
  </cols>
  <sheetData>
    <row r="1" spans="1:8" ht="30" customHeight="1">
      <c r="A1" s="2029"/>
      <c r="B1" s="2030"/>
      <c r="C1" s="2030"/>
      <c r="D1" s="2030"/>
      <c r="E1" s="2030"/>
      <c r="F1" s="2030"/>
      <c r="G1" s="2030"/>
      <c r="H1" s="2030"/>
    </row>
    <row r="2" spans="1:8" ht="14.25">
      <c r="A2" s="2032" t="s">
        <v>1261</v>
      </c>
      <c r="B2" s="2030"/>
      <c r="C2" s="2030"/>
      <c r="D2" s="2030"/>
      <c r="E2" s="2030"/>
      <c r="F2" s="2030"/>
      <c r="G2" s="2030"/>
      <c r="H2" s="2030"/>
    </row>
    <row r="3" spans="1:8" ht="14.25">
      <c r="A3" s="2032" t="s">
        <v>1262</v>
      </c>
      <c r="B3" s="2030"/>
      <c r="C3" s="2030"/>
      <c r="D3" s="2030"/>
      <c r="E3" s="2030"/>
      <c r="F3" s="2030"/>
      <c r="G3" s="2030"/>
      <c r="H3" s="2030"/>
    </row>
    <row r="4" spans="1:8" ht="14.25">
      <c r="A4" s="2032" t="s">
        <v>1263</v>
      </c>
      <c r="B4" s="2030"/>
      <c r="C4" s="2030"/>
      <c r="D4" s="2030"/>
      <c r="E4" s="2030"/>
      <c r="F4" s="2030"/>
      <c r="G4" s="2030"/>
      <c r="H4" s="2030"/>
    </row>
    <row r="5" spans="1:8" ht="14.25">
      <c r="A5" s="2032" t="s">
        <v>1264</v>
      </c>
      <c r="B5" s="2030"/>
      <c r="C5" s="2030"/>
      <c r="D5" s="2030"/>
      <c r="E5" s="2030"/>
      <c r="F5" s="2030"/>
      <c r="G5" s="2030"/>
      <c r="H5" s="2030"/>
    </row>
    <row r="6" spans="1:8" ht="14.25">
      <c r="A6" s="2032"/>
      <c r="B6" s="2030"/>
      <c r="C6" s="2030"/>
      <c r="D6" s="2030"/>
      <c r="E6" s="2030"/>
      <c r="F6" s="2030"/>
      <c r="G6" s="2030"/>
      <c r="H6" s="2030"/>
    </row>
    <row r="7" spans="1:8">
      <c r="A7" s="2029" t="s">
        <v>1265</v>
      </c>
      <c r="B7" s="2030"/>
      <c r="C7" s="2030"/>
      <c r="D7" s="2030"/>
      <c r="E7" s="2030"/>
      <c r="F7" s="2030"/>
      <c r="G7" s="2030"/>
      <c r="H7" s="2030"/>
    </row>
    <row r="8" spans="1:8">
      <c r="A8" s="2029" t="s">
        <v>1266</v>
      </c>
      <c r="B8" s="2030"/>
      <c r="C8" s="2030"/>
      <c r="D8" s="2030"/>
      <c r="E8" s="2030"/>
      <c r="F8" s="2030"/>
      <c r="G8" s="2030"/>
      <c r="H8" s="2030"/>
    </row>
    <row r="9" spans="1:8">
      <c r="A9" s="2029"/>
      <c r="B9" s="2030"/>
      <c r="C9" s="2030"/>
      <c r="D9" s="2030"/>
      <c r="E9" s="2030"/>
      <c r="F9" s="2030"/>
      <c r="G9" s="2030"/>
      <c r="H9" s="2030"/>
    </row>
    <row r="10" spans="1:8">
      <c r="A10" s="2033" t="s">
        <v>1267</v>
      </c>
      <c r="B10" s="2030"/>
      <c r="C10" s="2030"/>
      <c r="D10" s="2030"/>
      <c r="E10" s="2030"/>
      <c r="F10" s="2030"/>
      <c r="G10" s="2030"/>
      <c r="H10" s="2030"/>
    </row>
    <row r="11" spans="1:8">
      <c r="A11" s="2033" t="s">
        <v>1268</v>
      </c>
      <c r="B11" s="2030"/>
      <c r="C11" s="2030"/>
      <c r="D11" s="2030"/>
      <c r="E11" s="2030"/>
      <c r="F11" s="2030"/>
      <c r="G11" s="2030"/>
      <c r="H11" s="2030"/>
    </row>
    <row r="12" spans="1:8">
      <c r="A12" s="2033" t="s">
        <v>1269</v>
      </c>
      <c r="B12" s="2030"/>
      <c r="C12" s="2030"/>
      <c r="D12" s="2030"/>
      <c r="E12" s="2030"/>
      <c r="F12" s="2030"/>
      <c r="G12" s="2030"/>
      <c r="H12" s="2030"/>
    </row>
    <row r="13" spans="1:8">
      <c r="A13" s="2033" t="s">
        <v>1270</v>
      </c>
      <c r="B13" s="2030"/>
      <c r="C13" s="2030"/>
      <c r="D13" s="2030"/>
      <c r="E13" s="2030"/>
      <c r="F13" s="2030"/>
      <c r="G13" s="2030"/>
      <c r="H13" s="2030"/>
    </row>
    <row r="14" spans="1:8">
      <c r="A14" s="2033" t="s">
        <v>1271</v>
      </c>
      <c r="B14" s="2030"/>
      <c r="C14" s="2030"/>
      <c r="D14" s="2030"/>
      <c r="E14" s="2030"/>
      <c r="F14" s="2030"/>
      <c r="G14" s="2030"/>
      <c r="H14" s="2030"/>
    </row>
    <row r="15" spans="1:8">
      <c r="A15" s="2033" t="s">
        <v>1272</v>
      </c>
      <c r="B15" s="2030"/>
      <c r="C15" s="2030"/>
      <c r="D15" s="2030"/>
      <c r="E15" s="2030"/>
      <c r="F15" s="2030"/>
      <c r="G15" s="2030"/>
      <c r="H15" s="2030"/>
    </row>
    <row r="16" spans="1:8">
      <c r="A16" s="2033"/>
      <c r="B16" s="2030"/>
      <c r="C16" s="2030"/>
      <c r="D16" s="2030"/>
      <c r="E16" s="2030"/>
      <c r="F16" s="2030"/>
      <c r="G16" s="2030"/>
      <c r="H16" s="2030"/>
    </row>
    <row r="17" spans="1:8">
      <c r="A17" s="2033" t="s">
        <v>1258</v>
      </c>
      <c r="B17" s="2030"/>
      <c r="C17" s="2030"/>
      <c r="D17" s="2030"/>
      <c r="E17" s="2030"/>
      <c r="F17" s="2030"/>
      <c r="G17" s="2030"/>
      <c r="H17" s="2030"/>
    </row>
    <row r="18" spans="1:8">
      <c r="A18" s="2033"/>
      <c r="B18" s="2030"/>
      <c r="C18" s="2030"/>
      <c r="D18" s="2030"/>
      <c r="E18" s="2030"/>
      <c r="F18" s="2030"/>
      <c r="G18" s="2030"/>
      <c r="H18" s="2030"/>
    </row>
    <row r="19" spans="1:8">
      <c r="A19" s="2033" t="s">
        <v>1259</v>
      </c>
      <c r="B19" s="2030"/>
      <c r="C19" s="2030"/>
      <c r="D19" s="2030"/>
      <c r="E19" s="2030"/>
      <c r="F19" s="2030"/>
      <c r="G19" s="2030"/>
      <c r="H19" s="2030"/>
    </row>
    <row r="20" spans="1:8">
      <c r="A20" s="2029"/>
      <c r="B20" s="2030"/>
      <c r="C20" s="2030"/>
      <c r="D20" s="2030"/>
      <c r="E20" s="2030"/>
      <c r="F20" s="2030"/>
      <c r="G20" s="2030"/>
      <c r="H20" s="2030"/>
    </row>
    <row r="21" spans="1:8">
      <c r="A21" s="2034" t="s">
        <v>1260</v>
      </c>
      <c r="B21" s="2030"/>
      <c r="C21" s="2030"/>
      <c r="D21" s="2030"/>
      <c r="E21" s="2030"/>
      <c r="F21" s="2030"/>
      <c r="G21" s="2030"/>
      <c r="H21" s="2030"/>
    </row>
    <row r="22" spans="1:8">
      <c r="A22" s="2035"/>
      <c r="B22" s="2035"/>
      <c r="C22" s="2035"/>
      <c r="D22" s="2035"/>
      <c r="E22" s="2035"/>
      <c r="F22" s="2035"/>
      <c r="G22" s="2035"/>
      <c r="H22" s="2035"/>
    </row>
    <row r="23" spans="1:8">
      <c r="A23" s="2036" t="s">
        <v>1552</v>
      </c>
      <c r="B23" s="2035"/>
      <c r="C23" s="2035"/>
      <c r="D23" s="2035"/>
      <c r="E23" s="2035"/>
      <c r="F23" s="2035"/>
      <c r="G23" s="2035"/>
      <c r="H23" s="2035"/>
    </row>
    <row r="24" spans="1:8">
      <c r="A24" s="2036" t="s">
        <v>1553</v>
      </c>
      <c r="B24" s="2035"/>
      <c r="C24" s="2035"/>
      <c r="D24" s="2035"/>
      <c r="E24" s="2035"/>
      <c r="F24" s="2035"/>
      <c r="G24" s="2035"/>
      <c r="H24" s="2035"/>
    </row>
    <row r="25" spans="1:8">
      <c r="A25" s="2036" t="s">
        <v>1554</v>
      </c>
      <c r="B25" s="2035"/>
      <c r="C25" s="2035"/>
      <c r="D25" s="2035"/>
      <c r="E25" s="2035"/>
      <c r="F25" s="2035"/>
      <c r="G25" s="2035"/>
      <c r="H25" s="2035"/>
    </row>
    <row r="26" spans="1:8">
      <c r="A26" s="2036" t="s">
        <v>1555</v>
      </c>
      <c r="B26" s="2035"/>
      <c r="C26" s="2035"/>
      <c r="D26" s="2035"/>
      <c r="E26" s="2035"/>
      <c r="F26" s="2035"/>
      <c r="G26" s="2035"/>
      <c r="H26" s="2035"/>
    </row>
    <row r="27" spans="1:8">
      <c r="A27" s="2035"/>
      <c r="B27" s="2035"/>
      <c r="C27" s="2035"/>
      <c r="D27" s="2035"/>
      <c r="E27" s="2035"/>
      <c r="F27" s="2035"/>
      <c r="G27" s="2035"/>
      <c r="H27" s="2035"/>
    </row>
    <row r="28" spans="1:8">
      <c r="A28" s="2035"/>
      <c r="B28" s="2035"/>
      <c r="C28" s="2035"/>
      <c r="D28" s="2035"/>
      <c r="E28" s="2035"/>
      <c r="F28" s="2035"/>
      <c r="G28" s="2035"/>
      <c r="H28" s="2035"/>
    </row>
    <row r="29" spans="1:8">
      <c r="A29" s="2036" t="s">
        <v>1547</v>
      </c>
      <c r="B29" s="2035"/>
      <c r="C29" s="2035"/>
      <c r="D29" s="2035"/>
      <c r="E29" s="2035"/>
      <c r="F29" s="2035"/>
      <c r="G29" s="2035"/>
      <c r="H29" s="2035"/>
    </row>
    <row r="30" spans="1:8">
      <c r="A30" s="2036" t="s">
        <v>1548</v>
      </c>
      <c r="B30" s="2035"/>
      <c r="C30" s="2035"/>
      <c r="D30" s="2035"/>
      <c r="E30" s="2035"/>
      <c r="F30" s="2035"/>
      <c r="G30" s="2035"/>
      <c r="H30" s="2035"/>
    </row>
    <row r="31" spans="1:8">
      <c r="A31" s="2036" t="s">
        <v>1549</v>
      </c>
      <c r="B31" s="2035"/>
      <c r="C31" s="2035"/>
      <c r="D31" s="2035"/>
      <c r="E31" s="2035"/>
      <c r="F31" s="2035"/>
      <c r="G31" s="2035"/>
      <c r="H31" s="2035"/>
    </row>
    <row r="32" spans="1:8">
      <c r="A32" s="2036" t="s">
        <v>1550</v>
      </c>
      <c r="B32" s="2035"/>
      <c r="C32" s="2035"/>
      <c r="D32" s="2035"/>
      <c r="E32" s="2035"/>
      <c r="F32" s="2035"/>
      <c r="G32" s="2035"/>
      <c r="H32" s="2035"/>
    </row>
    <row r="33" spans="1:8">
      <c r="A33" s="2036" t="s">
        <v>1551</v>
      </c>
      <c r="B33" s="2035"/>
      <c r="C33" s="2035"/>
      <c r="D33" s="2035"/>
      <c r="E33" s="2035"/>
      <c r="F33" s="2035"/>
      <c r="G33" s="2035"/>
      <c r="H33" s="2035"/>
    </row>
    <row r="34" spans="1:8">
      <c r="A34" s="2035"/>
      <c r="B34" s="2035"/>
      <c r="C34" s="2035"/>
      <c r="D34" s="2035"/>
      <c r="E34" s="2035"/>
      <c r="F34" s="2035"/>
      <c r="G34" s="2035"/>
      <c r="H34" s="2035"/>
    </row>
    <row r="35" spans="1:8">
      <c r="A35" s="2036" t="s">
        <v>1543</v>
      </c>
      <c r="B35" s="2035"/>
      <c r="C35" s="2035"/>
      <c r="D35" s="2035"/>
      <c r="E35" s="2035"/>
      <c r="F35" s="2035"/>
      <c r="G35" s="2035"/>
      <c r="H35" s="2035"/>
    </row>
    <row r="36" spans="1:8">
      <c r="A36" s="2036" t="s">
        <v>1544</v>
      </c>
      <c r="B36" s="2035"/>
      <c r="C36" s="2035"/>
      <c r="D36" s="2035"/>
      <c r="E36" s="2035"/>
      <c r="F36" s="2035"/>
      <c r="G36" s="2035"/>
      <c r="H36" s="2035"/>
    </row>
    <row r="37" spans="1:8">
      <c r="A37" s="2036" t="s">
        <v>1545</v>
      </c>
      <c r="B37" s="2035"/>
      <c r="C37" s="2035"/>
      <c r="D37" s="2035"/>
      <c r="E37" s="2035"/>
      <c r="F37" s="2035"/>
      <c r="G37" s="2035"/>
      <c r="H37" s="2035"/>
    </row>
    <row r="38" spans="1:8">
      <c r="A38" s="2036" t="s">
        <v>1546</v>
      </c>
      <c r="B38" s="2035"/>
      <c r="C38" s="2035"/>
      <c r="D38" s="2035"/>
      <c r="E38" s="2035"/>
      <c r="F38" s="2035"/>
      <c r="G38" s="2035"/>
      <c r="H38" s="2035"/>
    </row>
    <row r="39" spans="1:8">
      <c r="A39" s="2035"/>
      <c r="B39" s="2035"/>
      <c r="C39" s="2035"/>
      <c r="D39" s="2035"/>
      <c r="E39" s="2035"/>
      <c r="F39" s="2035"/>
      <c r="G39" s="2035"/>
      <c r="H39" s="2035"/>
    </row>
    <row r="40" spans="1:8">
      <c r="A40" s="2036" t="s">
        <v>1537</v>
      </c>
      <c r="B40" s="2035"/>
      <c r="C40" s="2035"/>
      <c r="D40" s="2035"/>
      <c r="E40" s="2035"/>
      <c r="F40" s="2035"/>
      <c r="G40" s="2035"/>
      <c r="H40" s="2035"/>
    </row>
    <row r="41" spans="1:8">
      <c r="A41" s="2036" t="s">
        <v>1538</v>
      </c>
      <c r="B41" s="2035"/>
      <c r="C41" s="2035"/>
      <c r="D41" s="2035"/>
      <c r="E41" s="2035"/>
      <c r="F41" s="2035"/>
      <c r="G41" s="2035"/>
      <c r="H41" s="2035"/>
    </row>
    <row r="42" spans="1:8">
      <c r="A42" s="2036" t="s">
        <v>1539</v>
      </c>
      <c r="B42" s="2035"/>
      <c r="C42" s="2035"/>
      <c r="D42" s="2035"/>
      <c r="E42" s="2035"/>
      <c r="F42" s="2035"/>
      <c r="G42" s="2035"/>
      <c r="H42" s="2035"/>
    </row>
    <row r="43" spans="1:8">
      <c r="A43" s="2036" t="s">
        <v>1540</v>
      </c>
      <c r="B43" s="2035"/>
      <c r="C43" s="2035"/>
      <c r="D43" s="2035"/>
      <c r="E43" s="2035"/>
      <c r="F43" s="2035"/>
      <c r="G43" s="2035"/>
      <c r="H43" s="2035"/>
    </row>
    <row r="44" spans="1:8">
      <c r="A44" s="2036" t="s">
        <v>1541</v>
      </c>
      <c r="B44" s="2035"/>
      <c r="C44" s="2035"/>
      <c r="D44" s="2035"/>
      <c r="E44" s="2035"/>
      <c r="F44" s="2035"/>
      <c r="G44" s="2035"/>
      <c r="H44" s="2035"/>
    </row>
    <row r="45" spans="1:8">
      <c r="A45" s="2036" t="s">
        <v>1542</v>
      </c>
      <c r="B45" s="2035"/>
      <c r="C45" s="2035"/>
      <c r="D45" s="2035"/>
      <c r="E45" s="2035"/>
      <c r="F45" s="2035"/>
      <c r="G45" s="2035"/>
      <c r="H45" s="2035"/>
    </row>
    <row r="46" spans="1:8">
      <c r="A46" s="2035"/>
      <c r="B46" s="2035"/>
      <c r="C46" s="2035"/>
      <c r="D46" s="2035"/>
      <c r="E46" s="2035"/>
      <c r="F46" s="2035"/>
      <c r="G46" s="2035"/>
      <c r="H46" s="2035"/>
    </row>
    <row r="47" spans="1:8" ht="15.75">
      <c r="A47" s="2037" t="s">
        <v>1273</v>
      </c>
      <c r="B47" s="2035"/>
      <c r="C47" s="2035"/>
      <c r="D47" s="2035"/>
      <c r="E47" s="2035"/>
      <c r="F47" s="2035"/>
      <c r="G47" s="2035"/>
      <c r="H47" s="2035"/>
    </row>
    <row r="48" spans="1:8">
      <c r="A48" s="2035"/>
      <c r="B48" s="2035"/>
      <c r="C48" s="2035"/>
      <c r="D48" s="2035"/>
      <c r="E48" s="2035"/>
      <c r="F48" s="2035"/>
      <c r="G48" s="2035"/>
      <c r="H48" s="2035"/>
    </row>
    <row r="49" spans="1:8">
      <c r="A49" s="2036" t="s">
        <v>1533</v>
      </c>
      <c r="B49" s="2035"/>
      <c r="C49" s="2035"/>
      <c r="D49" s="2035"/>
      <c r="E49" s="2035"/>
      <c r="F49" s="2035"/>
      <c r="G49" s="2035"/>
      <c r="H49" s="2035"/>
    </row>
    <row r="50" spans="1:8">
      <c r="A50" s="2036" t="s">
        <v>1534</v>
      </c>
      <c r="B50" s="2035"/>
      <c r="C50" s="2035"/>
      <c r="D50" s="2035"/>
      <c r="E50" s="2035"/>
      <c r="F50" s="2035"/>
      <c r="G50" s="2035"/>
      <c r="H50" s="2035"/>
    </row>
    <row r="51" spans="1:8">
      <c r="A51" s="2036" t="s">
        <v>1535</v>
      </c>
      <c r="B51" s="2035"/>
      <c r="C51" s="2035"/>
      <c r="D51" s="2035"/>
      <c r="E51" s="2035"/>
      <c r="F51" s="2035"/>
      <c r="G51" s="2035"/>
      <c r="H51" s="2035"/>
    </row>
    <row r="52" spans="1:8">
      <c r="A52" s="2036" t="s">
        <v>1536</v>
      </c>
      <c r="B52" s="2035"/>
      <c r="C52" s="2035"/>
      <c r="D52" s="2035"/>
      <c r="E52" s="2035"/>
      <c r="F52" s="2035"/>
      <c r="G52" s="2035"/>
      <c r="H52" s="2035"/>
    </row>
    <row r="53" spans="1:8">
      <c r="A53" s="2035"/>
      <c r="B53" s="2035"/>
      <c r="C53" s="2035"/>
      <c r="D53" s="2035"/>
      <c r="E53" s="2035"/>
      <c r="F53" s="2035"/>
      <c r="G53" s="2035"/>
      <c r="H53" s="2035"/>
    </row>
    <row r="54" spans="1:8">
      <c r="A54" s="2036" t="s">
        <v>1274</v>
      </c>
      <c r="B54" s="2035"/>
      <c r="C54" s="2035"/>
      <c r="D54" s="2035"/>
      <c r="E54" s="2035"/>
      <c r="F54" s="2035"/>
      <c r="G54" s="2035"/>
      <c r="H54" s="2035"/>
    </row>
    <row r="55" spans="1:8">
      <c r="A55" s="2035"/>
      <c r="B55" s="2035"/>
      <c r="C55" s="2035"/>
      <c r="D55" s="2035"/>
      <c r="E55" s="2035"/>
      <c r="F55" s="2035"/>
      <c r="G55" s="2035"/>
      <c r="H55" s="2035"/>
    </row>
    <row r="56" spans="1:8" ht="15.75">
      <c r="A56" s="2037" t="s">
        <v>1275</v>
      </c>
      <c r="B56" s="2035"/>
      <c r="C56" s="2035"/>
      <c r="D56" s="2035"/>
      <c r="E56" s="2035"/>
      <c r="F56" s="2035"/>
      <c r="G56" s="2035"/>
      <c r="H56" s="2035"/>
    </row>
    <row r="57" spans="1:8">
      <c r="A57" s="2035"/>
      <c r="B57" s="2035"/>
      <c r="C57" s="2035"/>
      <c r="D57" s="2035"/>
      <c r="E57" s="2035"/>
      <c r="F57" s="2035"/>
      <c r="G57" s="2035"/>
      <c r="H57" s="2035"/>
    </row>
    <row r="58" spans="1:8">
      <c r="A58" s="2036" t="s">
        <v>1531</v>
      </c>
      <c r="B58" s="2035"/>
      <c r="C58" s="2035"/>
      <c r="D58" s="2035"/>
      <c r="E58" s="2035"/>
      <c r="F58" s="2035"/>
      <c r="G58" s="2035"/>
      <c r="H58" s="2035"/>
    </row>
    <row r="59" spans="1:8">
      <c r="A59" s="2036" t="s">
        <v>1532</v>
      </c>
      <c r="B59" s="2035"/>
      <c r="C59" s="2035"/>
      <c r="D59" s="2035"/>
      <c r="E59" s="2035"/>
      <c r="F59" s="2035"/>
      <c r="G59" s="2035"/>
      <c r="H59" s="2035"/>
    </row>
    <row r="60" spans="1:8">
      <c r="A60" s="2035"/>
      <c r="B60" s="2035"/>
      <c r="C60" s="2035"/>
      <c r="D60" s="2035"/>
      <c r="E60" s="2035"/>
      <c r="F60" s="2035"/>
      <c r="G60" s="2035"/>
      <c r="H60" s="2035"/>
    </row>
    <row r="61" spans="1:8" ht="15.75">
      <c r="A61" s="2037" t="s">
        <v>1276</v>
      </c>
      <c r="B61" s="2035"/>
      <c r="C61" s="2035"/>
      <c r="D61" s="2035"/>
      <c r="E61" s="2035"/>
      <c r="F61" s="2035"/>
      <c r="G61" s="2035"/>
      <c r="H61" s="2035"/>
    </row>
    <row r="62" spans="1:8">
      <c r="A62" s="2035"/>
      <c r="B62" s="2035"/>
      <c r="C62" s="2035"/>
      <c r="D62" s="2035"/>
      <c r="E62" s="2035"/>
      <c r="F62" s="2035"/>
      <c r="G62" s="2035"/>
      <c r="H62" s="2035"/>
    </row>
    <row r="63" spans="1:8">
      <c r="A63" s="2036" t="s">
        <v>1529</v>
      </c>
      <c r="B63" s="2035"/>
      <c r="C63" s="2035"/>
      <c r="D63" s="2035"/>
      <c r="E63" s="2035"/>
      <c r="F63" s="2035"/>
      <c r="G63" s="2035"/>
      <c r="H63" s="2035"/>
    </row>
    <row r="64" spans="1:8">
      <c r="A64" s="2036" t="s">
        <v>1530</v>
      </c>
      <c r="B64" s="2035"/>
      <c r="C64" s="2035"/>
      <c r="D64" s="2035"/>
      <c r="E64" s="2035"/>
      <c r="F64" s="2035"/>
      <c r="G64" s="2035"/>
      <c r="H64" s="2035"/>
    </row>
    <row r="65" spans="1:8">
      <c r="A65" s="2035"/>
      <c r="B65" s="2035"/>
      <c r="C65" s="2035"/>
      <c r="D65" s="2035"/>
      <c r="E65" s="2035"/>
      <c r="F65" s="2035"/>
      <c r="G65" s="2035"/>
      <c r="H65" s="2035"/>
    </row>
    <row r="66" spans="1:8">
      <c r="A66" s="2036" t="s">
        <v>1527</v>
      </c>
      <c r="B66" s="2035"/>
      <c r="C66" s="2035"/>
      <c r="D66" s="2035"/>
      <c r="E66" s="2035"/>
      <c r="F66" s="2035"/>
      <c r="G66" s="2035"/>
      <c r="H66" s="2035"/>
    </row>
    <row r="67" spans="1:8">
      <c r="A67" s="2036" t="s">
        <v>1528</v>
      </c>
      <c r="B67" s="2035"/>
      <c r="C67" s="2035"/>
      <c r="D67" s="2035"/>
      <c r="E67" s="2035"/>
      <c r="F67" s="2035"/>
      <c r="G67" s="2035"/>
      <c r="H67" s="2035"/>
    </row>
    <row r="68" spans="1:8">
      <c r="A68" s="2035"/>
      <c r="B68" s="2035"/>
      <c r="C68" s="2035"/>
      <c r="D68" s="2035"/>
      <c r="E68" s="2035"/>
      <c r="F68" s="2035"/>
      <c r="G68" s="2035"/>
      <c r="H68" s="2035"/>
    </row>
    <row r="69" spans="1:8">
      <c r="A69" s="2036" t="s">
        <v>1525</v>
      </c>
      <c r="B69" s="2035"/>
      <c r="C69" s="2035"/>
      <c r="D69" s="2035"/>
      <c r="E69" s="2035"/>
      <c r="F69" s="2035"/>
      <c r="G69" s="2035"/>
      <c r="H69" s="2035"/>
    </row>
    <row r="70" spans="1:8">
      <c r="A70" s="2036" t="s">
        <v>1526</v>
      </c>
      <c r="B70" s="2035"/>
      <c r="C70" s="2035"/>
      <c r="D70" s="2035"/>
      <c r="E70" s="2035"/>
      <c r="F70" s="2035"/>
      <c r="G70" s="2035"/>
      <c r="H70" s="2035"/>
    </row>
    <row r="71" spans="1:8">
      <c r="A71" s="2035"/>
      <c r="B71" s="2035"/>
      <c r="C71" s="2035"/>
      <c r="D71" s="2035"/>
      <c r="E71" s="2035"/>
      <c r="F71" s="2035"/>
      <c r="G71" s="2035"/>
      <c r="H71" s="2035"/>
    </row>
    <row r="72" spans="1:8">
      <c r="A72" s="2036" t="s">
        <v>1523</v>
      </c>
      <c r="B72" s="2035"/>
      <c r="C72" s="2035"/>
      <c r="D72" s="2035"/>
      <c r="E72" s="2035"/>
      <c r="F72" s="2035"/>
      <c r="G72" s="2035"/>
      <c r="H72" s="2035"/>
    </row>
    <row r="73" spans="1:8">
      <c r="A73" s="2036" t="s">
        <v>1524</v>
      </c>
      <c r="B73" s="2035"/>
      <c r="C73" s="2035"/>
      <c r="D73" s="2035"/>
      <c r="E73" s="2035"/>
      <c r="F73" s="2035"/>
      <c r="G73" s="2035"/>
      <c r="H73" s="2035"/>
    </row>
    <row r="74" spans="1:8">
      <c r="A74" s="2035"/>
      <c r="B74" s="2035"/>
      <c r="C74" s="2035"/>
      <c r="D74" s="2035"/>
      <c r="E74" s="2035"/>
      <c r="F74" s="2035"/>
      <c r="G74" s="2035"/>
      <c r="H74" s="2035"/>
    </row>
    <row r="75" spans="1:8">
      <c r="A75" s="2036" t="s">
        <v>1521</v>
      </c>
      <c r="B75" s="2035"/>
      <c r="C75" s="2035"/>
      <c r="D75" s="2035"/>
      <c r="E75" s="2035"/>
      <c r="F75" s="2035"/>
      <c r="G75" s="2035"/>
      <c r="H75" s="2035"/>
    </row>
    <row r="76" spans="1:8">
      <c r="A76" s="2036" t="s">
        <v>1522</v>
      </c>
      <c r="B76" s="2035"/>
      <c r="C76" s="2035"/>
      <c r="D76" s="2035"/>
      <c r="E76" s="2035"/>
      <c r="F76" s="2035"/>
      <c r="G76" s="2035"/>
      <c r="H76" s="2035"/>
    </row>
    <row r="77" spans="1:8">
      <c r="A77" s="2035"/>
      <c r="B77" s="2035"/>
      <c r="C77" s="2035"/>
      <c r="D77" s="2035"/>
      <c r="E77" s="2035"/>
      <c r="F77" s="2035"/>
      <c r="G77" s="2035"/>
      <c r="H77" s="2035"/>
    </row>
    <row r="78" spans="1:8">
      <c r="A78" s="2036" t="s">
        <v>1518</v>
      </c>
      <c r="B78" s="2035"/>
      <c r="C78" s="2035"/>
      <c r="D78" s="2035"/>
      <c r="E78" s="2035"/>
      <c r="F78" s="2035"/>
      <c r="G78" s="2035"/>
      <c r="H78" s="2035"/>
    </row>
    <row r="79" spans="1:8">
      <c r="A79" s="2036" t="s">
        <v>1519</v>
      </c>
      <c r="B79" s="2035"/>
      <c r="C79" s="2035"/>
      <c r="D79" s="2035"/>
      <c r="E79" s="2035"/>
      <c r="F79" s="2035"/>
      <c r="G79" s="2035"/>
      <c r="H79" s="2035"/>
    </row>
    <row r="80" spans="1:8">
      <c r="A80" s="2036" t="s">
        <v>1520</v>
      </c>
      <c r="B80" s="2035"/>
      <c r="C80" s="2035"/>
      <c r="D80" s="2035"/>
      <c r="E80" s="2035"/>
      <c r="F80" s="2035"/>
      <c r="G80" s="2035"/>
      <c r="H80" s="2035"/>
    </row>
    <row r="81" spans="1:8">
      <c r="A81" s="2035"/>
      <c r="B81" s="2035"/>
      <c r="C81" s="2035"/>
      <c r="D81" s="2035"/>
      <c r="E81" s="2035"/>
      <c r="F81" s="2035"/>
      <c r="G81" s="2035"/>
      <c r="H81" s="2035"/>
    </row>
    <row r="82" spans="1:8">
      <c r="A82" s="2036" t="s">
        <v>1277</v>
      </c>
      <c r="B82" s="2035"/>
      <c r="C82" s="2035"/>
      <c r="D82" s="2035"/>
      <c r="E82" s="2035"/>
      <c r="F82" s="2035"/>
      <c r="G82" s="2035"/>
      <c r="H82" s="2035"/>
    </row>
    <row r="83" spans="1:8">
      <c r="A83" s="2035"/>
      <c r="B83" s="2035"/>
      <c r="C83" s="2035"/>
      <c r="D83" s="2035"/>
      <c r="E83" s="2035"/>
      <c r="F83" s="2035"/>
      <c r="G83" s="2035"/>
      <c r="H83" s="2035"/>
    </row>
    <row r="84" spans="1:8">
      <c r="A84" s="2036" t="s">
        <v>1513</v>
      </c>
      <c r="B84" s="2035"/>
      <c r="C84" s="2035"/>
      <c r="D84" s="2035"/>
      <c r="E84" s="2035"/>
      <c r="F84" s="2035"/>
      <c r="G84" s="2035"/>
      <c r="H84" s="2035"/>
    </row>
    <row r="85" spans="1:8">
      <c r="A85" s="2036" t="s">
        <v>1514</v>
      </c>
      <c r="B85" s="2035"/>
      <c r="C85" s="2035"/>
      <c r="D85" s="2035"/>
      <c r="E85" s="2035"/>
      <c r="F85" s="2035"/>
      <c r="G85" s="2035"/>
      <c r="H85" s="2035"/>
    </row>
    <row r="86" spans="1:8">
      <c r="A86" s="2036" t="s">
        <v>1515</v>
      </c>
      <c r="B86" s="2035"/>
      <c r="C86" s="2035"/>
      <c r="D86" s="2035"/>
      <c r="E86" s="2035"/>
      <c r="F86" s="2035"/>
      <c r="G86" s="2035"/>
      <c r="H86" s="2035"/>
    </row>
    <row r="87" spans="1:8">
      <c r="A87" s="2036" t="s">
        <v>1516</v>
      </c>
      <c r="B87" s="2035"/>
      <c r="C87" s="2035"/>
      <c r="D87" s="2035"/>
      <c r="E87" s="2035"/>
      <c r="F87" s="2035"/>
      <c r="G87" s="2035"/>
      <c r="H87" s="2035"/>
    </row>
    <row r="88" spans="1:8">
      <c r="A88" s="2036" t="s">
        <v>1517</v>
      </c>
      <c r="B88" s="2035"/>
      <c r="C88" s="2035"/>
      <c r="D88" s="2035"/>
      <c r="E88" s="2035"/>
      <c r="F88" s="2035"/>
      <c r="G88" s="2035"/>
      <c r="H88" s="2035"/>
    </row>
    <row r="89" spans="1:8">
      <c r="A89" s="2036" t="s">
        <v>1402</v>
      </c>
      <c r="B89" s="2035"/>
      <c r="C89" s="2035"/>
      <c r="D89" s="2035"/>
      <c r="E89" s="2035"/>
      <c r="F89" s="2035"/>
      <c r="G89" s="2035"/>
      <c r="H89" s="2035"/>
    </row>
    <row r="90" spans="1:8">
      <c r="A90" s="2035"/>
      <c r="B90" s="2035"/>
      <c r="C90" s="2035"/>
      <c r="D90" s="2035"/>
      <c r="E90" s="2035"/>
      <c r="F90" s="2035"/>
      <c r="G90" s="2035"/>
      <c r="H90" s="2035"/>
    </row>
    <row r="91" spans="1:8">
      <c r="A91" s="2036" t="s">
        <v>1506</v>
      </c>
      <c r="B91" s="2035"/>
      <c r="C91" s="2035"/>
      <c r="D91" s="2035"/>
      <c r="E91" s="2035"/>
      <c r="F91" s="2035"/>
      <c r="G91" s="2035"/>
      <c r="H91" s="2035"/>
    </row>
    <row r="92" spans="1:8">
      <c r="A92" s="2036" t="s">
        <v>1507</v>
      </c>
      <c r="B92" s="2035"/>
      <c r="C92" s="2035"/>
      <c r="D92" s="2035"/>
      <c r="E92" s="2035"/>
      <c r="F92" s="2035"/>
      <c r="G92" s="2035"/>
      <c r="H92" s="2035"/>
    </row>
    <row r="93" spans="1:8">
      <c r="A93" s="2036" t="s">
        <v>1508</v>
      </c>
      <c r="B93" s="2035"/>
      <c r="C93" s="2035"/>
      <c r="D93" s="2035"/>
      <c r="E93" s="2035"/>
      <c r="F93" s="2035"/>
      <c r="G93" s="2035"/>
      <c r="H93" s="2035"/>
    </row>
    <row r="94" spans="1:8">
      <c r="A94" s="2036" t="s">
        <v>1509</v>
      </c>
      <c r="B94" s="2035"/>
      <c r="C94" s="2035"/>
      <c r="D94" s="2035"/>
      <c r="E94" s="2035"/>
      <c r="F94" s="2035"/>
      <c r="G94" s="2035"/>
      <c r="H94" s="2035"/>
    </row>
    <row r="95" spans="1:8">
      <c r="A95" s="2036" t="s">
        <v>1510</v>
      </c>
      <c r="B95" s="2035"/>
      <c r="C95" s="2035"/>
      <c r="D95" s="2035"/>
      <c r="E95" s="2035"/>
      <c r="F95" s="2035"/>
      <c r="G95" s="2035"/>
      <c r="H95" s="2035"/>
    </row>
    <row r="96" spans="1:8">
      <c r="A96" s="2036" t="s">
        <v>1511</v>
      </c>
      <c r="B96" s="2035"/>
      <c r="C96" s="2035"/>
      <c r="D96" s="2035"/>
      <c r="E96" s="2035"/>
      <c r="F96" s="2035"/>
      <c r="G96" s="2035"/>
      <c r="H96" s="2035"/>
    </row>
    <row r="97" spans="1:8">
      <c r="A97" s="2036" t="s">
        <v>1512</v>
      </c>
      <c r="B97" s="2035"/>
      <c r="C97" s="2035"/>
      <c r="D97" s="2035"/>
      <c r="E97" s="2035"/>
      <c r="F97" s="2035"/>
      <c r="G97" s="2035"/>
      <c r="H97" s="2035"/>
    </row>
    <row r="98" spans="1:8">
      <c r="A98" s="2035"/>
      <c r="B98" s="2035"/>
      <c r="C98" s="2035"/>
      <c r="D98" s="2035"/>
      <c r="E98" s="2035"/>
      <c r="F98" s="2035"/>
      <c r="G98" s="2035"/>
      <c r="H98" s="2035"/>
    </row>
    <row r="99" spans="1:8">
      <c r="A99" s="2036" t="s">
        <v>1504</v>
      </c>
      <c r="B99" s="2035"/>
      <c r="C99" s="2035"/>
      <c r="D99" s="2035"/>
      <c r="E99" s="2035"/>
      <c r="F99" s="2035"/>
      <c r="G99" s="2035"/>
      <c r="H99" s="2035"/>
    </row>
    <row r="100" spans="1:8">
      <c r="A100" s="2036" t="s">
        <v>1505</v>
      </c>
      <c r="B100" s="2035"/>
      <c r="C100" s="2035"/>
      <c r="D100" s="2035"/>
      <c r="E100" s="2035"/>
      <c r="F100" s="2035"/>
      <c r="G100" s="2035"/>
      <c r="H100" s="2035"/>
    </row>
    <row r="101" spans="1:8">
      <c r="A101" s="2035"/>
      <c r="B101" s="2035"/>
      <c r="C101" s="2035"/>
      <c r="D101" s="2035"/>
      <c r="E101" s="2035"/>
      <c r="F101" s="2035"/>
      <c r="G101" s="2035"/>
      <c r="H101" s="2035"/>
    </row>
    <row r="102" spans="1:8" ht="15.75">
      <c r="A102" s="2037" t="s">
        <v>1278</v>
      </c>
      <c r="B102" s="2035"/>
      <c r="C102" s="2035"/>
      <c r="D102" s="2035"/>
      <c r="E102" s="2035"/>
      <c r="F102" s="2035"/>
      <c r="G102" s="2035"/>
      <c r="H102" s="2035"/>
    </row>
    <row r="103" spans="1:8">
      <c r="A103" s="2035"/>
      <c r="B103" s="2035"/>
      <c r="C103" s="2035"/>
      <c r="D103" s="2035"/>
      <c r="E103" s="2035"/>
      <c r="F103" s="2035"/>
      <c r="G103" s="2035"/>
      <c r="H103" s="2035"/>
    </row>
    <row r="104" spans="1:8">
      <c r="A104" s="2036" t="s">
        <v>1495</v>
      </c>
      <c r="B104" s="2035"/>
      <c r="C104" s="2035"/>
      <c r="D104" s="2035"/>
      <c r="E104" s="2035"/>
      <c r="F104" s="2035"/>
      <c r="G104" s="2035"/>
      <c r="H104" s="2035"/>
    </row>
    <row r="105" spans="1:8">
      <c r="A105" s="2036" t="s">
        <v>1496</v>
      </c>
      <c r="B105" s="2035"/>
      <c r="C105" s="2035"/>
      <c r="D105" s="2035"/>
      <c r="E105" s="2035"/>
      <c r="F105" s="2035"/>
      <c r="G105" s="2035"/>
      <c r="H105" s="2035"/>
    </row>
    <row r="106" spans="1:8">
      <c r="A106" s="2036" t="s">
        <v>1497</v>
      </c>
      <c r="B106" s="2035"/>
      <c r="C106" s="2035"/>
      <c r="D106" s="2035"/>
      <c r="E106" s="2035"/>
      <c r="F106" s="2035"/>
      <c r="G106" s="2035"/>
      <c r="H106" s="2035"/>
    </row>
    <row r="107" spans="1:8">
      <c r="A107" s="2036" t="s">
        <v>1498</v>
      </c>
      <c r="B107" s="2035"/>
      <c r="C107" s="2035"/>
      <c r="D107" s="2035"/>
      <c r="E107" s="2035"/>
      <c r="F107" s="2035"/>
      <c r="G107" s="2035"/>
      <c r="H107" s="2035"/>
    </row>
    <row r="108" spans="1:8">
      <c r="A108" s="2036" t="s">
        <v>1499</v>
      </c>
      <c r="B108" s="2035"/>
      <c r="C108" s="2035"/>
      <c r="D108" s="2035"/>
      <c r="E108" s="2035"/>
      <c r="F108" s="2035"/>
      <c r="G108" s="2035"/>
      <c r="H108" s="2035"/>
    </row>
    <row r="109" spans="1:8">
      <c r="A109" s="2036" t="s">
        <v>1500</v>
      </c>
      <c r="B109" s="2035"/>
      <c r="C109" s="2035"/>
      <c r="D109" s="2035"/>
      <c r="E109" s="2035"/>
      <c r="F109" s="2035"/>
      <c r="G109" s="2035"/>
      <c r="H109" s="2035"/>
    </row>
    <row r="110" spans="1:8">
      <c r="A110" s="2036" t="s">
        <v>1501</v>
      </c>
      <c r="B110" s="2035"/>
      <c r="C110" s="2035"/>
      <c r="D110" s="2035"/>
      <c r="E110" s="2035"/>
      <c r="F110" s="2035"/>
      <c r="G110" s="2035"/>
      <c r="H110" s="2035"/>
    </row>
    <row r="111" spans="1:8">
      <c r="A111" s="2036" t="s">
        <v>1502</v>
      </c>
      <c r="B111" s="2035"/>
      <c r="C111" s="2035"/>
      <c r="D111" s="2035"/>
      <c r="E111" s="2035"/>
      <c r="F111" s="2035"/>
      <c r="G111" s="2035"/>
      <c r="H111" s="2035"/>
    </row>
    <row r="112" spans="1:8">
      <c r="A112" s="2036" t="s">
        <v>1503</v>
      </c>
      <c r="B112" s="2035"/>
      <c r="C112" s="2035"/>
      <c r="D112" s="2035"/>
      <c r="E112" s="2035"/>
      <c r="F112" s="2035"/>
      <c r="G112" s="2035"/>
      <c r="H112" s="2035"/>
    </row>
    <row r="113" spans="1:8">
      <c r="A113" s="2035"/>
      <c r="B113" s="2035"/>
      <c r="C113" s="2035"/>
      <c r="D113" s="2035"/>
      <c r="E113" s="2035"/>
      <c r="F113" s="2035"/>
      <c r="G113" s="2035"/>
      <c r="H113" s="2035"/>
    </row>
    <row r="114" spans="1:8" ht="15.75">
      <c r="A114" s="2038" t="s">
        <v>1279</v>
      </c>
      <c r="B114" s="2038"/>
      <c r="C114" s="2038"/>
      <c r="D114" s="2038"/>
      <c r="E114" s="2038"/>
      <c r="F114" s="2038"/>
      <c r="G114" s="2038"/>
      <c r="H114" s="2038"/>
    </row>
    <row r="115" spans="1:8">
      <c r="A115" s="2039" t="s">
        <v>1280</v>
      </c>
      <c r="B115" s="2039"/>
      <c r="C115" s="2039"/>
      <c r="D115" s="2039"/>
      <c r="E115" s="2039"/>
      <c r="F115" s="2039"/>
      <c r="G115" s="2039"/>
      <c r="H115" s="2039"/>
    </row>
    <row r="116" spans="1:8">
      <c r="A116" s="2040"/>
      <c r="B116" s="2040"/>
      <c r="C116" s="2040"/>
      <c r="D116" s="2040"/>
      <c r="E116" s="2040"/>
      <c r="F116" s="2040"/>
      <c r="G116" s="2040"/>
      <c r="H116" s="2040"/>
    </row>
    <row r="117" spans="1:8">
      <c r="A117" s="2039" t="s">
        <v>1493</v>
      </c>
      <c r="B117" s="2039"/>
      <c r="C117" s="2039"/>
      <c r="D117" s="2039"/>
      <c r="E117" s="2039"/>
      <c r="F117" s="2039"/>
      <c r="G117" s="2039"/>
      <c r="H117" s="2039"/>
    </row>
    <row r="118" spans="1:8">
      <c r="A118" s="2036" t="s">
        <v>1494</v>
      </c>
      <c r="B118" s="2036"/>
      <c r="C118" s="2036"/>
      <c r="D118" s="2036"/>
      <c r="E118" s="2036"/>
      <c r="F118" s="2036"/>
      <c r="G118" s="2036"/>
      <c r="H118" s="2036"/>
    </row>
    <row r="119" spans="1:8">
      <c r="A119" s="2040"/>
      <c r="B119" s="2040"/>
      <c r="C119" s="2040"/>
      <c r="D119" s="2040"/>
      <c r="E119" s="2040"/>
      <c r="F119" s="2040"/>
      <c r="G119" s="2040"/>
      <c r="H119" s="2040"/>
    </row>
    <row r="120" spans="1:8">
      <c r="A120" s="2039" t="s">
        <v>1486</v>
      </c>
      <c r="B120" s="2039"/>
      <c r="C120" s="2039"/>
      <c r="D120" s="2039"/>
      <c r="E120" s="2039"/>
      <c r="F120" s="2039"/>
      <c r="G120" s="2039"/>
      <c r="H120" s="2039"/>
    </row>
    <row r="121" spans="1:8">
      <c r="A121" s="2036" t="s">
        <v>1487</v>
      </c>
      <c r="B121" s="2036"/>
      <c r="C121" s="2036"/>
      <c r="D121" s="2036"/>
      <c r="E121" s="2036"/>
      <c r="F121" s="2036"/>
      <c r="G121" s="2036"/>
      <c r="H121" s="2036"/>
    </row>
    <row r="122" spans="1:8">
      <c r="A122" s="2036" t="s">
        <v>1488</v>
      </c>
      <c r="B122" s="2036"/>
      <c r="C122" s="2036"/>
      <c r="D122" s="2036"/>
      <c r="E122" s="2036"/>
      <c r="F122" s="2036"/>
      <c r="G122" s="2036"/>
      <c r="H122" s="2036"/>
    </row>
    <row r="123" spans="1:8">
      <c r="A123" s="2036" t="s">
        <v>1489</v>
      </c>
      <c r="B123" s="2036"/>
      <c r="C123" s="2036"/>
      <c r="D123" s="2036"/>
      <c r="E123" s="2036"/>
      <c r="F123" s="2036"/>
      <c r="G123" s="2036"/>
      <c r="H123" s="2036"/>
    </row>
    <row r="124" spans="1:8">
      <c r="A124" s="2036" t="s">
        <v>1490</v>
      </c>
      <c r="B124" s="2036"/>
      <c r="C124" s="2036"/>
      <c r="D124" s="2036"/>
      <c r="E124" s="2036"/>
      <c r="F124" s="2036"/>
      <c r="G124" s="2036"/>
      <c r="H124" s="2036"/>
    </row>
    <row r="125" spans="1:8">
      <c r="A125" s="2036" t="s">
        <v>1491</v>
      </c>
      <c r="B125" s="2036"/>
      <c r="C125" s="2036"/>
      <c r="D125" s="2036"/>
      <c r="E125" s="2036"/>
      <c r="F125" s="2036"/>
      <c r="G125" s="2036"/>
      <c r="H125" s="2036"/>
    </row>
    <row r="126" spans="1:8">
      <c r="A126" s="2036" t="s">
        <v>1492</v>
      </c>
      <c r="B126" s="2036"/>
      <c r="C126" s="2036"/>
      <c r="D126" s="2036"/>
      <c r="E126" s="2036"/>
      <c r="F126" s="2036"/>
      <c r="G126" s="2036"/>
      <c r="H126" s="2036"/>
    </row>
    <row r="127" spans="1:8">
      <c r="A127" s="2041"/>
      <c r="B127" s="2041"/>
      <c r="C127" s="2041"/>
      <c r="D127" s="2041"/>
      <c r="E127" s="2041"/>
      <c r="F127" s="2041"/>
      <c r="G127" s="2041"/>
      <c r="H127" s="2041"/>
    </row>
    <row r="128" spans="1:8">
      <c r="A128" s="2042"/>
      <c r="B128" s="2043" t="s">
        <v>1281</v>
      </c>
      <c r="C128" s="2044"/>
      <c r="D128" s="2043" t="s">
        <v>1282</v>
      </c>
      <c r="E128" s="2045"/>
      <c r="F128" s="2044"/>
      <c r="G128" s="2043" t="s">
        <v>1283</v>
      </c>
      <c r="H128" s="2044"/>
    </row>
    <row r="129" spans="1:8">
      <c r="A129" s="2042" t="s">
        <v>1284</v>
      </c>
      <c r="B129" s="2042" t="s">
        <v>434</v>
      </c>
      <c r="C129" s="2042" t="s">
        <v>713</v>
      </c>
      <c r="D129" s="2042" t="s">
        <v>434</v>
      </c>
      <c r="E129" s="2042" t="s">
        <v>1285</v>
      </c>
      <c r="F129" s="2042" t="s">
        <v>1286</v>
      </c>
      <c r="G129" s="2042" t="s">
        <v>434</v>
      </c>
      <c r="H129" s="2042" t="s">
        <v>1287</v>
      </c>
    </row>
    <row r="130" spans="1:8">
      <c r="A130" s="2042" t="s">
        <v>1288</v>
      </c>
      <c r="B130" s="2042">
        <v>1189</v>
      </c>
      <c r="C130" s="2046">
        <v>0.38</v>
      </c>
      <c r="D130" s="2042">
        <v>315</v>
      </c>
      <c r="E130" s="2046">
        <v>0.41</v>
      </c>
      <c r="F130" s="2046">
        <v>0.26</v>
      </c>
      <c r="G130" s="2042">
        <v>555</v>
      </c>
      <c r="H130" s="2046">
        <v>0.39</v>
      </c>
    </row>
    <row r="131" spans="1:8">
      <c r="A131" s="2042" t="s">
        <v>1289</v>
      </c>
      <c r="B131" s="2042">
        <v>1355</v>
      </c>
      <c r="C131" s="2046">
        <v>0.43</v>
      </c>
      <c r="D131" s="2042">
        <v>364</v>
      </c>
      <c r="E131" s="2046">
        <v>0.47</v>
      </c>
      <c r="F131" s="2046">
        <v>0.27</v>
      </c>
      <c r="G131" s="2042">
        <v>644</v>
      </c>
      <c r="H131" s="2046">
        <v>0.45</v>
      </c>
    </row>
    <row r="132" spans="1:8">
      <c r="A132" s="2042" t="s">
        <v>1290</v>
      </c>
      <c r="B132" s="2042">
        <v>53</v>
      </c>
      <c r="C132" s="2046">
        <v>0.02</v>
      </c>
      <c r="D132" s="2042">
        <v>4</v>
      </c>
      <c r="E132" s="2046">
        <v>0.01</v>
      </c>
      <c r="F132" s="2046">
        <v>0.08</v>
      </c>
      <c r="G132" s="2042">
        <v>7</v>
      </c>
      <c r="H132" s="2046">
        <v>0</v>
      </c>
    </row>
    <row r="133" spans="1:8">
      <c r="A133" s="2042" t="s">
        <v>1291</v>
      </c>
      <c r="B133" s="2042">
        <v>545</v>
      </c>
      <c r="C133" s="2046">
        <v>0.17</v>
      </c>
      <c r="D133" s="2042">
        <v>84</v>
      </c>
      <c r="E133" s="2046">
        <v>0.11</v>
      </c>
      <c r="F133" s="2046">
        <v>0.15</v>
      </c>
      <c r="G133" s="2042">
        <v>214</v>
      </c>
      <c r="H133" s="2046">
        <v>0.15</v>
      </c>
    </row>
    <row r="134" spans="1:8">
      <c r="A134" s="2042" t="s">
        <v>283</v>
      </c>
      <c r="B134" s="2047">
        <v>3142</v>
      </c>
      <c r="C134" s="2042"/>
      <c r="D134" s="2042">
        <v>767</v>
      </c>
      <c r="E134" s="2042"/>
      <c r="F134" s="2042"/>
      <c r="G134" s="2042">
        <v>1420</v>
      </c>
      <c r="H134" s="2042"/>
    </row>
    <row r="135" spans="1:8">
      <c r="A135" s="2048"/>
      <c r="B135" s="2048"/>
      <c r="C135" s="2048"/>
      <c r="D135" s="2048"/>
      <c r="E135" s="2048"/>
      <c r="F135" s="2048"/>
      <c r="G135" s="2048"/>
      <c r="H135" s="2048"/>
    </row>
    <row r="136" spans="1:8">
      <c r="A136" s="2039" t="s">
        <v>1482</v>
      </c>
      <c r="B136" s="2039"/>
      <c r="C136" s="2039"/>
      <c r="D136" s="2039"/>
      <c r="E136" s="2039"/>
      <c r="F136" s="2039"/>
      <c r="G136" s="2039"/>
      <c r="H136" s="2039"/>
    </row>
    <row r="137" spans="1:8">
      <c r="A137" s="2036" t="s">
        <v>1483</v>
      </c>
      <c r="B137" s="2036"/>
      <c r="C137" s="2036"/>
      <c r="D137" s="2036"/>
      <c r="E137" s="2036"/>
      <c r="F137" s="2036"/>
      <c r="G137" s="2036"/>
      <c r="H137" s="2036"/>
    </row>
    <row r="138" spans="1:8">
      <c r="A138" s="2036" t="s">
        <v>1484</v>
      </c>
      <c r="B138" s="2036"/>
      <c r="C138" s="2036"/>
      <c r="D138" s="2036"/>
      <c r="E138" s="2036"/>
      <c r="F138" s="2036"/>
      <c r="G138" s="2036"/>
      <c r="H138" s="2036"/>
    </row>
    <row r="139" spans="1:8">
      <c r="A139" s="2036" t="s">
        <v>1485</v>
      </c>
      <c r="B139" s="2036"/>
      <c r="C139" s="2036"/>
      <c r="D139" s="2036"/>
      <c r="E139" s="2036"/>
      <c r="F139" s="2036"/>
      <c r="G139" s="2036"/>
      <c r="H139" s="2036"/>
    </row>
    <row r="140" spans="1:8">
      <c r="A140" s="2035"/>
      <c r="B140" s="2035"/>
      <c r="C140" s="2035"/>
      <c r="D140" s="2035"/>
      <c r="E140" s="2035"/>
      <c r="F140" s="2035"/>
      <c r="G140" s="2035"/>
      <c r="H140" s="2035"/>
    </row>
    <row r="141" spans="1:8" ht="15.75">
      <c r="A141" s="2037" t="s">
        <v>1292</v>
      </c>
      <c r="B141" s="2035"/>
      <c r="C141" s="2035"/>
      <c r="D141" s="2035"/>
      <c r="E141" s="2035"/>
      <c r="F141" s="2035"/>
      <c r="G141" s="2035"/>
      <c r="H141" s="2035"/>
    </row>
    <row r="142" spans="1:8">
      <c r="A142" s="2035"/>
      <c r="B142" s="2035"/>
      <c r="C142" s="2035"/>
      <c r="D142" s="2035"/>
      <c r="E142" s="2035"/>
      <c r="F142" s="2035"/>
      <c r="G142" s="2035"/>
      <c r="H142" s="2035"/>
    </row>
    <row r="143" spans="1:8">
      <c r="A143" s="2036" t="s">
        <v>1480</v>
      </c>
      <c r="B143" s="2035"/>
      <c r="C143" s="2035"/>
      <c r="D143" s="2035"/>
      <c r="E143" s="2035"/>
      <c r="F143" s="2035"/>
      <c r="G143" s="2035"/>
      <c r="H143" s="2035"/>
    </row>
    <row r="144" spans="1:8">
      <c r="A144" s="2036" t="s">
        <v>1481</v>
      </c>
      <c r="B144" s="2035"/>
      <c r="C144" s="2035"/>
      <c r="D144" s="2035"/>
      <c r="E144" s="2035"/>
      <c r="F144" s="2035"/>
      <c r="G144" s="2035"/>
      <c r="H144" s="2035"/>
    </row>
    <row r="145" spans="1:8">
      <c r="A145" s="2035"/>
      <c r="B145" s="2035"/>
      <c r="C145" s="2035"/>
      <c r="D145" s="2035"/>
      <c r="E145" s="2035"/>
      <c r="F145" s="2035"/>
      <c r="G145" s="2035"/>
      <c r="H145" s="2035"/>
    </row>
    <row r="146" spans="1:8">
      <c r="A146" s="2036" t="s">
        <v>1477</v>
      </c>
      <c r="B146" s="2035"/>
      <c r="C146" s="2035"/>
      <c r="D146" s="2035"/>
      <c r="E146" s="2035"/>
      <c r="F146" s="2035"/>
      <c r="G146" s="2035"/>
      <c r="H146" s="2035"/>
    </row>
    <row r="147" spans="1:8">
      <c r="A147" s="2036" t="s">
        <v>1478</v>
      </c>
      <c r="B147" s="2035"/>
      <c r="C147" s="2035"/>
      <c r="D147" s="2035"/>
      <c r="E147" s="2035"/>
      <c r="F147" s="2035"/>
      <c r="G147" s="2035"/>
      <c r="H147" s="2035"/>
    </row>
    <row r="148" spans="1:8">
      <c r="A148" s="2036" t="s">
        <v>1479</v>
      </c>
      <c r="B148" s="2035"/>
      <c r="C148" s="2035"/>
      <c r="D148" s="2035"/>
      <c r="E148" s="2035"/>
      <c r="F148" s="2035"/>
      <c r="G148" s="2035"/>
      <c r="H148" s="2035"/>
    </row>
    <row r="149" spans="1:8">
      <c r="A149" s="2035"/>
      <c r="B149" s="2035"/>
      <c r="C149" s="2035"/>
      <c r="D149" s="2035"/>
      <c r="E149" s="2035"/>
      <c r="F149" s="2035"/>
      <c r="G149" s="2035"/>
      <c r="H149" s="2035"/>
    </row>
    <row r="150" spans="1:8">
      <c r="A150" s="2036" t="s">
        <v>1474</v>
      </c>
      <c r="B150" s="2035"/>
      <c r="C150" s="2035"/>
      <c r="D150" s="2035"/>
      <c r="E150" s="2035"/>
      <c r="F150" s="2035"/>
      <c r="G150" s="2035"/>
      <c r="H150" s="2035"/>
    </row>
    <row r="151" spans="1:8">
      <c r="A151" s="2036" t="s">
        <v>1475</v>
      </c>
      <c r="B151" s="2035"/>
      <c r="C151" s="2035"/>
      <c r="D151" s="2035"/>
      <c r="E151" s="2035"/>
      <c r="F151" s="2035"/>
      <c r="G151" s="2035"/>
      <c r="H151" s="2035"/>
    </row>
    <row r="152" spans="1:8">
      <c r="A152" s="2036" t="s">
        <v>1476</v>
      </c>
      <c r="B152" s="2035"/>
      <c r="C152" s="2035"/>
      <c r="D152" s="2035"/>
      <c r="E152" s="2035"/>
      <c r="F152" s="2035"/>
      <c r="G152" s="2035"/>
      <c r="H152" s="2035"/>
    </row>
    <row r="153" spans="1:8">
      <c r="A153" s="2035"/>
      <c r="B153" s="2035"/>
      <c r="C153" s="2035"/>
      <c r="D153" s="2035"/>
      <c r="E153" s="2035"/>
      <c r="F153" s="2035"/>
      <c r="G153" s="2035"/>
      <c r="H153" s="2035"/>
    </row>
    <row r="154" spans="1:8">
      <c r="A154" s="2036" t="s">
        <v>1471</v>
      </c>
      <c r="B154" s="2035"/>
      <c r="C154" s="2035"/>
      <c r="D154" s="2035"/>
      <c r="E154" s="2035"/>
      <c r="F154" s="2035"/>
      <c r="G154" s="2035"/>
      <c r="H154" s="2035"/>
    </row>
    <row r="155" spans="1:8">
      <c r="A155" s="2036" t="s">
        <v>1472</v>
      </c>
      <c r="B155" s="2035"/>
      <c r="C155" s="2035"/>
      <c r="D155" s="2035"/>
      <c r="E155" s="2035"/>
      <c r="F155" s="2035"/>
      <c r="G155" s="2035"/>
      <c r="H155" s="2035"/>
    </row>
    <row r="156" spans="1:8">
      <c r="A156" s="2036" t="s">
        <v>1473</v>
      </c>
      <c r="B156" s="2035"/>
      <c r="C156" s="2035"/>
      <c r="D156" s="2035"/>
      <c r="E156" s="2035"/>
      <c r="F156" s="2035"/>
      <c r="G156" s="2035"/>
      <c r="H156" s="2035"/>
    </row>
    <row r="157" spans="1:8">
      <c r="A157" s="2035"/>
      <c r="B157" s="2035"/>
      <c r="C157" s="2035"/>
      <c r="D157" s="2035"/>
      <c r="E157" s="2035"/>
      <c r="F157" s="2035"/>
      <c r="G157" s="2035"/>
      <c r="H157" s="2035"/>
    </row>
    <row r="158" spans="1:8">
      <c r="A158" s="2036" t="s">
        <v>1469</v>
      </c>
      <c r="B158" s="2035"/>
      <c r="C158" s="2035"/>
      <c r="D158" s="2035"/>
      <c r="E158" s="2035"/>
      <c r="F158" s="2035"/>
      <c r="G158" s="2035"/>
      <c r="H158" s="2035"/>
    </row>
    <row r="159" spans="1:8">
      <c r="A159" s="2036" t="s">
        <v>1470</v>
      </c>
      <c r="B159" s="2035"/>
      <c r="C159" s="2035"/>
      <c r="D159" s="2035"/>
      <c r="E159" s="2035"/>
      <c r="F159" s="2035"/>
      <c r="G159" s="2035"/>
      <c r="H159" s="2035"/>
    </row>
    <row r="160" spans="1:8">
      <c r="A160" s="2035"/>
      <c r="B160" s="2035"/>
      <c r="C160" s="2035"/>
      <c r="D160" s="2035"/>
      <c r="E160" s="2035"/>
      <c r="F160" s="2035"/>
      <c r="G160" s="2035"/>
      <c r="H160" s="2035"/>
    </row>
    <row r="161" spans="1:8" ht="15.75">
      <c r="A161" s="2037" t="s">
        <v>1293</v>
      </c>
      <c r="B161" s="2035"/>
      <c r="C161" s="2035"/>
      <c r="D161" s="2035"/>
      <c r="E161" s="2035"/>
      <c r="F161" s="2035"/>
      <c r="G161" s="2035"/>
      <c r="H161" s="2035"/>
    </row>
    <row r="162" spans="1:8">
      <c r="A162" s="2035"/>
      <c r="B162" s="2035"/>
      <c r="C162" s="2035"/>
      <c r="D162" s="2035"/>
      <c r="E162" s="2035"/>
      <c r="F162" s="2035"/>
      <c r="G162" s="2035"/>
      <c r="H162" s="2035"/>
    </row>
    <row r="163" spans="1:8">
      <c r="A163" s="2036" t="s">
        <v>1467</v>
      </c>
      <c r="B163" s="2035"/>
      <c r="C163" s="2035"/>
      <c r="D163" s="2035"/>
      <c r="E163" s="2035"/>
      <c r="F163" s="2035"/>
      <c r="G163" s="2035"/>
      <c r="H163" s="2035"/>
    </row>
    <row r="164" spans="1:8">
      <c r="A164" s="2036" t="s">
        <v>1468</v>
      </c>
      <c r="B164" s="2035"/>
      <c r="C164" s="2035"/>
      <c r="D164" s="2035"/>
      <c r="E164" s="2035"/>
      <c r="F164" s="2035"/>
      <c r="G164" s="2035"/>
      <c r="H164" s="2035"/>
    </row>
    <row r="165" spans="1:8">
      <c r="A165" s="2035"/>
      <c r="B165" s="2035"/>
      <c r="C165" s="2035"/>
      <c r="D165" s="2035"/>
      <c r="E165" s="2035"/>
      <c r="F165" s="2035"/>
      <c r="G165" s="2035"/>
      <c r="H165" s="2035"/>
    </row>
    <row r="166" spans="1:8">
      <c r="A166" s="2036" t="s">
        <v>1465</v>
      </c>
      <c r="B166" s="2035"/>
      <c r="C166" s="2035"/>
      <c r="D166" s="2035"/>
      <c r="E166" s="2035"/>
      <c r="F166" s="2035"/>
      <c r="G166" s="2035"/>
      <c r="H166" s="2035"/>
    </row>
    <row r="167" spans="1:8">
      <c r="A167" s="2036" t="s">
        <v>1466</v>
      </c>
      <c r="B167" s="2035"/>
      <c r="C167" s="2035"/>
      <c r="D167" s="2035"/>
      <c r="E167" s="2035"/>
      <c r="F167" s="2035"/>
      <c r="G167" s="2035"/>
      <c r="H167" s="2035"/>
    </row>
    <row r="168" spans="1:8">
      <c r="A168" s="2035"/>
      <c r="B168" s="2035"/>
      <c r="C168" s="2035"/>
      <c r="D168" s="2035"/>
      <c r="E168" s="2035"/>
      <c r="F168" s="2035"/>
      <c r="G168" s="2035"/>
      <c r="H168" s="2035"/>
    </row>
    <row r="169" spans="1:8">
      <c r="A169" s="2036" t="s">
        <v>1463</v>
      </c>
      <c r="B169" s="2035"/>
      <c r="C169" s="2035"/>
      <c r="D169" s="2035"/>
      <c r="E169" s="2035"/>
      <c r="F169" s="2035"/>
      <c r="G169" s="2035"/>
      <c r="H169" s="2035"/>
    </row>
    <row r="170" spans="1:8">
      <c r="A170" s="2036" t="s">
        <v>1464</v>
      </c>
      <c r="B170" s="2035"/>
      <c r="C170" s="2035"/>
      <c r="D170" s="2035"/>
      <c r="E170" s="2035"/>
      <c r="F170" s="2035"/>
      <c r="G170" s="2035"/>
      <c r="H170" s="2035"/>
    </row>
    <row r="171" spans="1:8">
      <c r="A171" s="2035"/>
      <c r="B171" s="2035"/>
      <c r="C171" s="2035"/>
      <c r="D171" s="2035"/>
      <c r="E171" s="2035"/>
      <c r="F171" s="2035"/>
      <c r="G171" s="2035"/>
      <c r="H171" s="2035"/>
    </row>
    <row r="172" spans="1:8">
      <c r="A172" s="2036" t="s">
        <v>1460</v>
      </c>
      <c r="B172" s="2035"/>
      <c r="C172" s="2035"/>
      <c r="D172" s="2035"/>
      <c r="E172" s="2035"/>
      <c r="F172" s="2035"/>
      <c r="G172" s="2035"/>
      <c r="H172" s="2035"/>
    </row>
    <row r="173" spans="1:8">
      <c r="A173" s="2036" t="s">
        <v>1461</v>
      </c>
      <c r="B173" s="2035"/>
      <c r="C173" s="2035"/>
      <c r="D173" s="2035"/>
      <c r="E173" s="2035"/>
      <c r="F173" s="2035"/>
      <c r="G173" s="2035"/>
      <c r="H173" s="2035"/>
    </row>
    <row r="174" spans="1:8">
      <c r="A174" s="2036" t="s">
        <v>1462</v>
      </c>
      <c r="B174" s="2035"/>
      <c r="C174" s="2035"/>
      <c r="D174" s="2035"/>
      <c r="E174" s="2035"/>
      <c r="F174" s="2035"/>
      <c r="G174" s="2035"/>
      <c r="H174" s="2035"/>
    </row>
    <row r="175" spans="1:8">
      <c r="A175" s="2035"/>
      <c r="B175" s="2035"/>
      <c r="C175" s="2035"/>
      <c r="D175" s="2035"/>
      <c r="E175" s="2035"/>
      <c r="F175" s="2035"/>
      <c r="G175" s="2035"/>
      <c r="H175" s="2035"/>
    </row>
    <row r="176" spans="1:8">
      <c r="A176" s="2035"/>
      <c r="B176" s="2035"/>
      <c r="C176" s="2035"/>
      <c r="D176" s="2035"/>
      <c r="E176" s="2035"/>
      <c r="F176" s="2035"/>
      <c r="G176" s="2035"/>
      <c r="H176" s="2035"/>
    </row>
    <row r="177" spans="1:8">
      <c r="A177" s="2036" t="s">
        <v>1294</v>
      </c>
      <c r="B177" s="2035"/>
      <c r="C177" s="2035"/>
      <c r="D177" s="2035"/>
      <c r="E177" s="2035"/>
      <c r="F177" s="2035"/>
      <c r="G177" s="2035"/>
      <c r="H177" s="2035"/>
    </row>
    <row r="178" spans="1:8">
      <c r="A178" s="2035"/>
      <c r="B178" s="2035"/>
      <c r="C178" s="2035"/>
      <c r="D178" s="2035"/>
      <c r="E178" s="2035"/>
      <c r="F178" s="2035"/>
      <c r="G178" s="2035"/>
      <c r="H178" s="2035"/>
    </row>
    <row r="179" spans="1:8" ht="15.75">
      <c r="A179" s="2037" t="s">
        <v>1295</v>
      </c>
      <c r="B179" s="2035"/>
      <c r="C179" s="2035"/>
      <c r="D179" s="2035"/>
      <c r="E179" s="2035"/>
      <c r="F179" s="2035"/>
      <c r="G179" s="2035"/>
      <c r="H179" s="2035"/>
    </row>
    <row r="180" spans="1:8">
      <c r="A180" s="2035"/>
      <c r="B180" s="2035"/>
      <c r="C180" s="2035"/>
      <c r="D180" s="2035"/>
      <c r="E180" s="2035"/>
      <c r="F180" s="2035"/>
      <c r="G180" s="2035"/>
      <c r="H180" s="2035"/>
    </row>
    <row r="181" spans="1:8">
      <c r="A181" s="2035"/>
      <c r="B181" s="2035"/>
      <c r="C181" s="2035"/>
      <c r="D181" s="2035"/>
      <c r="E181" s="2035"/>
      <c r="F181" s="2035"/>
      <c r="G181" s="2035"/>
      <c r="H181" s="2035"/>
    </row>
    <row r="182" spans="1:8">
      <c r="A182" s="2035"/>
      <c r="B182" s="2035"/>
      <c r="C182" s="2035"/>
      <c r="D182" s="2035"/>
      <c r="E182" s="2035"/>
      <c r="F182" s="2035"/>
      <c r="G182" s="2035"/>
      <c r="H182" s="2035"/>
    </row>
    <row r="183" spans="1:8">
      <c r="A183" s="2035"/>
      <c r="B183" s="2035"/>
      <c r="C183" s="2035"/>
      <c r="D183" s="2035"/>
      <c r="E183" s="2035"/>
      <c r="F183" s="2035"/>
      <c r="G183" s="2035"/>
      <c r="H183" s="2035"/>
    </row>
    <row r="184" spans="1:8">
      <c r="A184" s="2035"/>
      <c r="B184" s="2035"/>
      <c r="C184" s="2035"/>
      <c r="D184" s="2035"/>
      <c r="E184" s="2035"/>
      <c r="F184" s="2035"/>
      <c r="G184" s="2035"/>
      <c r="H184" s="2035"/>
    </row>
    <row r="185" spans="1:8">
      <c r="A185" s="2035"/>
      <c r="B185" s="2035"/>
      <c r="C185" s="2035"/>
      <c r="D185" s="2035"/>
      <c r="E185" s="2035"/>
      <c r="F185" s="2035"/>
      <c r="G185" s="2035"/>
      <c r="H185" s="2035"/>
    </row>
    <row r="186" spans="1:8">
      <c r="A186" s="2035"/>
      <c r="B186" s="2035"/>
      <c r="C186" s="2035"/>
      <c r="D186" s="2035"/>
      <c r="E186" s="2035"/>
      <c r="F186" s="2035"/>
      <c r="G186" s="2035"/>
      <c r="H186" s="2035"/>
    </row>
    <row r="187" spans="1:8">
      <c r="A187" s="2035"/>
      <c r="B187" s="2035"/>
      <c r="C187" s="2035"/>
      <c r="D187" s="2035"/>
      <c r="E187" s="2035"/>
      <c r="F187" s="2035"/>
      <c r="G187" s="2035"/>
      <c r="H187" s="2035"/>
    </row>
    <row r="188" spans="1:8">
      <c r="A188" s="2035"/>
      <c r="B188" s="2035"/>
      <c r="C188" s="2035"/>
      <c r="D188" s="2035"/>
      <c r="E188" s="2035"/>
      <c r="F188" s="2035"/>
      <c r="G188" s="2035"/>
      <c r="H188" s="2035"/>
    </row>
    <row r="189" spans="1:8">
      <c r="A189" s="2035"/>
      <c r="B189" s="2035"/>
      <c r="C189" s="2035"/>
      <c r="D189" s="2035"/>
      <c r="E189" s="2035"/>
      <c r="F189" s="2035"/>
      <c r="G189" s="2035"/>
      <c r="H189" s="2035"/>
    </row>
    <row r="190" spans="1:8">
      <c r="A190" s="2035"/>
      <c r="B190" s="2035"/>
      <c r="C190" s="2035"/>
      <c r="D190" s="2035"/>
      <c r="E190" s="2035"/>
      <c r="F190" s="2035"/>
      <c r="G190" s="2035"/>
      <c r="H190" s="2035"/>
    </row>
    <row r="191" spans="1:8">
      <c r="A191" s="2035"/>
      <c r="B191" s="2035"/>
      <c r="C191" s="2035"/>
      <c r="D191" s="2035"/>
      <c r="E191" s="2035"/>
      <c r="F191" s="2035"/>
      <c r="G191" s="2035"/>
      <c r="H191" s="2035"/>
    </row>
    <row r="192" spans="1:8">
      <c r="A192" s="2035"/>
      <c r="B192" s="2035"/>
      <c r="C192" s="2035"/>
      <c r="D192" s="2035"/>
      <c r="E192" s="2035"/>
      <c r="F192" s="2035"/>
      <c r="G192" s="2035"/>
      <c r="H192" s="2035"/>
    </row>
    <row r="193" spans="1:8">
      <c r="A193" s="2035"/>
      <c r="B193" s="2035"/>
      <c r="C193" s="2035"/>
      <c r="D193" s="2035"/>
      <c r="E193" s="2035"/>
      <c r="F193" s="2035"/>
      <c r="G193" s="2035"/>
      <c r="H193" s="2035"/>
    </row>
    <row r="194" spans="1:8">
      <c r="A194" s="2035"/>
      <c r="B194" s="2035"/>
      <c r="C194" s="2035"/>
      <c r="D194" s="2035"/>
      <c r="E194" s="2035"/>
      <c r="F194" s="2035"/>
      <c r="G194" s="2035"/>
      <c r="H194" s="2035"/>
    </row>
    <row r="195" spans="1:8">
      <c r="A195" s="2035"/>
      <c r="B195" s="2035"/>
      <c r="C195" s="2035"/>
      <c r="D195" s="2035"/>
      <c r="E195" s="2035"/>
      <c r="F195" s="2035"/>
      <c r="G195" s="2035"/>
      <c r="H195" s="2035"/>
    </row>
    <row r="196" spans="1:8">
      <c r="A196" s="2035"/>
      <c r="B196" s="2035"/>
      <c r="C196" s="2035"/>
      <c r="D196" s="2035"/>
      <c r="E196" s="2035"/>
      <c r="F196" s="2035"/>
      <c r="G196" s="2035"/>
      <c r="H196" s="2035"/>
    </row>
    <row r="197" spans="1:8">
      <c r="A197" s="2035"/>
      <c r="B197" s="2035"/>
      <c r="C197" s="2035"/>
      <c r="D197" s="2035"/>
      <c r="E197" s="2035"/>
      <c r="F197" s="2035"/>
      <c r="G197" s="2035"/>
      <c r="H197" s="2035"/>
    </row>
    <row r="198" spans="1:8">
      <c r="A198" s="2035"/>
      <c r="B198" s="2035"/>
      <c r="C198" s="2035"/>
      <c r="D198" s="2035"/>
      <c r="E198" s="2035"/>
      <c r="F198" s="2035"/>
      <c r="G198" s="2035"/>
      <c r="H198" s="2035"/>
    </row>
    <row r="199" spans="1:8">
      <c r="A199" s="2035"/>
      <c r="B199" s="2035"/>
      <c r="C199" s="2035"/>
      <c r="D199" s="2035"/>
      <c r="E199" s="2035"/>
      <c r="F199" s="2035"/>
      <c r="G199" s="2035"/>
      <c r="H199" s="2035"/>
    </row>
    <row r="200" spans="1:8">
      <c r="A200" s="2035"/>
      <c r="B200" s="2035"/>
      <c r="C200" s="2035"/>
      <c r="D200" s="2035"/>
      <c r="E200" s="2035"/>
      <c r="F200" s="2035"/>
      <c r="G200" s="2035"/>
      <c r="H200" s="2035"/>
    </row>
    <row r="201" spans="1:8">
      <c r="A201" s="2035"/>
      <c r="B201" s="2035"/>
      <c r="C201" s="2035"/>
      <c r="D201" s="2035"/>
      <c r="E201" s="2035"/>
      <c r="F201" s="2035"/>
      <c r="G201" s="2035"/>
      <c r="H201" s="2035"/>
    </row>
    <row r="202" spans="1:8">
      <c r="A202" s="2035"/>
      <c r="B202" s="2035"/>
      <c r="C202" s="2035"/>
      <c r="D202" s="2035"/>
      <c r="E202" s="2035"/>
      <c r="F202" s="2035"/>
      <c r="G202" s="2035"/>
      <c r="H202" s="2035"/>
    </row>
    <row r="203" spans="1:8">
      <c r="A203" s="2035"/>
      <c r="B203" s="2035"/>
      <c r="C203" s="2035"/>
      <c r="D203" s="2035"/>
      <c r="E203" s="2035"/>
      <c r="F203" s="2035"/>
      <c r="G203" s="2035"/>
      <c r="H203" s="2035"/>
    </row>
    <row r="204" spans="1:8">
      <c r="A204" s="2035"/>
      <c r="B204" s="2035"/>
      <c r="C204" s="2035"/>
      <c r="D204" s="2035"/>
      <c r="E204" s="2035"/>
      <c r="F204" s="2035"/>
      <c r="G204" s="2035"/>
      <c r="H204" s="2035"/>
    </row>
    <row r="205" spans="1:8">
      <c r="A205" s="2035"/>
      <c r="B205" s="2035"/>
      <c r="C205" s="2035"/>
      <c r="D205" s="2035"/>
      <c r="E205" s="2035"/>
      <c r="F205" s="2035"/>
      <c r="G205" s="2035"/>
      <c r="H205" s="2035"/>
    </row>
    <row r="206" spans="1:8" ht="15.75">
      <c r="A206" s="2037" t="s">
        <v>1296</v>
      </c>
      <c r="B206" s="2035"/>
      <c r="C206" s="2035"/>
      <c r="D206" s="2035"/>
      <c r="E206" s="2035"/>
      <c r="F206" s="2035"/>
      <c r="G206" s="2035"/>
      <c r="H206" s="2035"/>
    </row>
    <row r="207" spans="1:8">
      <c r="A207" s="2035"/>
      <c r="B207" s="2035"/>
      <c r="C207" s="2035"/>
      <c r="D207" s="2035"/>
      <c r="E207" s="2035"/>
      <c r="F207" s="2035"/>
      <c r="G207" s="2035"/>
      <c r="H207" s="2035"/>
    </row>
    <row r="208" spans="1:8">
      <c r="A208" s="2036" t="s">
        <v>1455</v>
      </c>
      <c r="B208" s="2035"/>
      <c r="C208" s="2035"/>
      <c r="D208" s="2035"/>
      <c r="E208" s="2035"/>
      <c r="F208" s="2035"/>
      <c r="G208" s="2035"/>
      <c r="H208" s="2035"/>
    </row>
    <row r="209" spans="1:8">
      <c r="A209" s="2036" t="s">
        <v>1456</v>
      </c>
      <c r="B209" s="2035"/>
      <c r="C209" s="2035"/>
      <c r="D209" s="2035"/>
      <c r="E209" s="2035"/>
      <c r="F209" s="2035"/>
      <c r="G209" s="2035"/>
      <c r="H209" s="2035"/>
    </row>
    <row r="210" spans="1:8">
      <c r="A210" s="2036" t="s">
        <v>1457</v>
      </c>
      <c r="B210" s="2035"/>
      <c r="C210" s="2035"/>
      <c r="D210" s="2035"/>
      <c r="E210" s="2035"/>
      <c r="F210" s="2035"/>
      <c r="G210" s="2035"/>
      <c r="H210" s="2035"/>
    </row>
    <row r="211" spans="1:8">
      <c r="A211" s="2036" t="s">
        <v>1458</v>
      </c>
      <c r="B211" s="2035"/>
      <c r="C211" s="2035"/>
      <c r="D211" s="2035"/>
      <c r="E211" s="2035"/>
      <c r="F211" s="2035"/>
      <c r="G211" s="2035"/>
      <c r="H211" s="2035"/>
    </row>
    <row r="212" spans="1:8">
      <c r="A212" s="2036" t="s">
        <v>1459</v>
      </c>
      <c r="B212" s="2035"/>
      <c r="C212" s="2035"/>
      <c r="D212" s="2035"/>
      <c r="E212" s="2035"/>
      <c r="F212" s="2035"/>
      <c r="G212" s="2035"/>
      <c r="H212" s="2035"/>
    </row>
    <row r="213" spans="1:8">
      <c r="A213" s="2035"/>
      <c r="B213" s="2035"/>
      <c r="C213" s="2035"/>
      <c r="D213" s="2035"/>
      <c r="E213" s="2035"/>
      <c r="F213" s="2035"/>
      <c r="G213" s="2035"/>
      <c r="H213" s="2035"/>
    </row>
    <row r="214" spans="1:8">
      <c r="A214" s="2036" t="s">
        <v>1452</v>
      </c>
      <c r="B214" s="2035"/>
      <c r="C214" s="2035"/>
      <c r="D214" s="2035"/>
      <c r="E214" s="2035"/>
      <c r="F214" s="2035"/>
      <c r="G214" s="2035"/>
      <c r="H214" s="2035"/>
    </row>
    <row r="215" spans="1:8">
      <c r="A215" s="2036" t="s">
        <v>1453</v>
      </c>
      <c r="B215" s="2035"/>
      <c r="C215" s="2035"/>
      <c r="D215" s="2035"/>
      <c r="E215" s="2035"/>
      <c r="F215" s="2035"/>
      <c r="G215" s="2035"/>
      <c r="H215" s="2035"/>
    </row>
    <row r="216" spans="1:8">
      <c r="A216" s="2036" t="s">
        <v>1454</v>
      </c>
      <c r="B216" s="2035"/>
      <c r="C216" s="2035"/>
      <c r="D216" s="2035"/>
      <c r="E216" s="2035"/>
      <c r="F216" s="2035"/>
      <c r="G216" s="2035"/>
      <c r="H216" s="2035"/>
    </row>
    <row r="217" spans="1:8" ht="15.75">
      <c r="A217" s="2037" t="s">
        <v>1297</v>
      </c>
      <c r="B217" s="2035"/>
      <c r="C217" s="2035"/>
      <c r="D217" s="2035"/>
      <c r="E217" s="2035"/>
      <c r="F217" s="2035"/>
      <c r="G217" s="2035"/>
      <c r="H217" s="2035"/>
    </row>
    <row r="218" spans="1:8">
      <c r="A218" s="2035"/>
      <c r="B218" s="2035"/>
      <c r="C218" s="2035"/>
      <c r="D218" s="2035"/>
      <c r="E218" s="2035"/>
      <c r="F218" s="2035"/>
      <c r="G218" s="2035"/>
      <c r="H218" s="2035"/>
    </row>
    <row r="219" spans="1:8">
      <c r="A219" s="2036" t="s">
        <v>1445</v>
      </c>
      <c r="B219" s="2035"/>
      <c r="C219" s="2035"/>
      <c r="D219" s="2035"/>
      <c r="E219" s="2035"/>
      <c r="F219" s="2035"/>
      <c r="G219" s="2035"/>
      <c r="H219" s="2035"/>
    </row>
    <row r="220" spans="1:8">
      <c r="A220" s="2036" t="s">
        <v>1446</v>
      </c>
      <c r="B220" s="2035"/>
      <c r="C220" s="2035"/>
      <c r="D220" s="2035"/>
      <c r="E220" s="2035"/>
      <c r="F220" s="2035"/>
      <c r="G220" s="2035"/>
      <c r="H220" s="2035"/>
    </row>
    <row r="221" spans="1:8">
      <c r="A221" s="2036" t="s">
        <v>1447</v>
      </c>
      <c r="B221" s="2035"/>
      <c r="C221" s="2035"/>
      <c r="D221" s="2035"/>
      <c r="E221" s="2035"/>
      <c r="F221" s="2035"/>
      <c r="G221" s="2035"/>
      <c r="H221" s="2035"/>
    </row>
    <row r="222" spans="1:8">
      <c r="A222" s="2036" t="s">
        <v>1448</v>
      </c>
      <c r="B222" s="2035"/>
      <c r="C222" s="2035"/>
      <c r="D222" s="2035"/>
      <c r="E222" s="2035"/>
      <c r="F222" s="2035"/>
      <c r="G222" s="2035"/>
      <c r="H222" s="2035"/>
    </row>
    <row r="223" spans="1:8">
      <c r="A223" s="2036" t="s">
        <v>1449</v>
      </c>
      <c r="B223" s="2035"/>
      <c r="C223" s="2035"/>
      <c r="D223" s="2035"/>
      <c r="E223" s="2035"/>
      <c r="F223" s="2035"/>
      <c r="G223" s="2035"/>
      <c r="H223" s="2035"/>
    </row>
    <row r="224" spans="1:8">
      <c r="A224" s="2036" t="s">
        <v>1450</v>
      </c>
      <c r="B224" s="2035"/>
      <c r="C224" s="2035"/>
      <c r="D224" s="2035"/>
      <c r="E224" s="2035"/>
      <c r="F224" s="2035"/>
      <c r="G224" s="2035"/>
      <c r="H224" s="2035"/>
    </row>
    <row r="225" spans="1:8">
      <c r="A225" s="2036" t="s">
        <v>1451</v>
      </c>
      <c r="B225" s="2035"/>
      <c r="C225" s="2035"/>
      <c r="D225" s="2035"/>
      <c r="E225" s="2035"/>
      <c r="F225" s="2035"/>
      <c r="G225" s="2035"/>
      <c r="H225" s="2035"/>
    </row>
    <row r="226" spans="1:8">
      <c r="A226" s="2035"/>
      <c r="B226" s="2035"/>
      <c r="C226" s="2035"/>
      <c r="D226" s="2035"/>
      <c r="E226" s="2035"/>
      <c r="F226" s="2035"/>
      <c r="G226" s="2035"/>
      <c r="H226" s="2035"/>
    </row>
    <row r="227" spans="1:8">
      <c r="A227" s="2036" t="s">
        <v>1442</v>
      </c>
      <c r="B227" s="2035"/>
      <c r="C227" s="2035"/>
      <c r="D227" s="2035"/>
      <c r="E227" s="2035"/>
      <c r="F227" s="2035"/>
      <c r="G227" s="2035"/>
      <c r="H227" s="2035"/>
    </row>
    <row r="228" spans="1:8">
      <c r="A228" s="2036" t="s">
        <v>1443</v>
      </c>
      <c r="B228" s="2035"/>
      <c r="C228" s="2035"/>
      <c r="D228" s="2035"/>
      <c r="E228" s="2035"/>
      <c r="F228" s="2035"/>
      <c r="G228" s="2035"/>
      <c r="H228" s="2035"/>
    </row>
    <row r="229" spans="1:8">
      <c r="A229" s="2036" t="s">
        <v>1444</v>
      </c>
      <c r="B229" s="2035"/>
      <c r="C229" s="2035"/>
      <c r="D229" s="2035"/>
      <c r="E229" s="2035"/>
      <c r="F229" s="2035"/>
      <c r="G229" s="2035"/>
      <c r="H229" s="2035"/>
    </row>
    <row r="230" spans="1:8">
      <c r="A230" s="2035"/>
      <c r="B230" s="2035"/>
      <c r="C230" s="2035"/>
      <c r="D230" s="2035"/>
      <c r="E230" s="2035"/>
      <c r="F230" s="2035"/>
      <c r="G230" s="2035"/>
      <c r="H230" s="2035"/>
    </row>
    <row r="231" spans="1:8">
      <c r="A231" s="2036" t="s">
        <v>1437</v>
      </c>
      <c r="B231" s="2035"/>
      <c r="C231" s="2035"/>
      <c r="D231" s="2035"/>
      <c r="E231" s="2035"/>
      <c r="F231" s="2035"/>
      <c r="G231" s="2035"/>
      <c r="H231" s="2035"/>
    </row>
    <row r="232" spans="1:8">
      <c r="A232" s="2036" t="s">
        <v>1438</v>
      </c>
      <c r="B232" s="2035"/>
      <c r="C232" s="2035"/>
      <c r="D232" s="2035"/>
      <c r="E232" s="2035"/>
      <c r="F232" s="2035"/>
      <c r="G232" s="2035"/>
      <c r="H232" s="2035"/>
    </row>
    <row r="233" spans="1:8">
      <c r="A233" s="2036" t="s">
        <v>1439</v>
      </c>
      <c r="B233" s="2035"/>
      <c r="C233" s="2035"/>
      <c r="D233" s="2035"/>
      <c r="E233" s="2035"/>
      <c r="F233" s="2035"/>
      <c r="G233" s="2035"/>
      <c r="H233" s="2035"/>
    </row>
    <row r="234" spans="1:8">
      <c r="A234" s="2036" t="s">
        <v>1440</v>
      </c>
      <c r="B234" s="2035"/>
      <c r="C234" s="2035"/>
      <c r="D234" s="2035"/>
      <c r="E234" s="2035"/>
      <c r="F234" s="2035"/>
      <c r="G234" s="2035"/>
      <c r="H234" s="2035"/>
    </row>
    <row r="235" spans="1:8">
      <c r="A235" s="2036" t="s">
        <v>1441</v>
      </c>
      <c r="B235" s="2035"/>
      <c r="C235" s="2035"/>
      <c r="D235" s="2035"/>
      <c r="E235" s="2035"/>
      <c r="F235" s="2035"/>
      <c r="G235" s="2035"/>
      <c r="H235" s="2035"/>
    </row>
    <row r="236" spans="1:8">
      <c r="A236" s="2035"/>
      <c r="B236" s="2035"/>
      <c r="C236" s="2035"/>
      <c r="D236" s="2035"/>
      <c r="E236" s="2035"/>
      <c r="F236" s="2035"/>
      <c r="G236" s="2035"/>
      <c r="H236" s="2035"/>
    </row>
    <row r="237" spans="1:8">
      <c r="A237" s="2036" t="s">
        <v>1431</v>
      </c>
      <c r="B237" s="2035"/>
      <c r="C237" s="2035"/>
      <c r="D237" s="2035"/>
      <c r="E237" s="2035"/>
      <c r="F237" s="2035"/>
      <c r="G237" s="2035"/>
      <c r="H237" s="2035"/>
    </row>
    <row r="238" spans="1:8">
      <c r="A238" s="2036" t="s">
        <v>1432</v>
      </c>
      <c r="B238" s="2035"/>
      <c r="C238" s="2035"/>
      <c r="D238" s="2035"/>
      <c r="E238" s="2035"/>
      <c r="F238" s="2035"/>
      <c r="G238" s="2035"/>
      <c r="H238" s="2035"/>
    </row>
    <row r="239" spans="1:8">
      <c r="A239" s="2036" t="s">
        <v>1433</v>
      </c>
      <c r="B239" s="2035"/>
      <c r="C239" s="2035"/>
      <c r="D239" s="2035"/>
      <c r="E239" s="2035"/>
      <c r="F239" s="2035"/>
      <c r="G239" s="2035"/>
      <c r="H239" s="2035"/>
    </row>
    <row r="240" spans="1:8">
      <c r="A240" s="2036" t="s">
        <v>1434</v>
      </c>
      <c r="B240" s="2035"/>
      <c r="C240" s="2035"/>
      <c r="D240" s="2035"/>
      <c r="E240" s="2035"/>
      <c r="F240" s="2035"/>
      <c r="G240" s="2035"/>
      <c r="H240" s="2035"/>
    </row>
    <row r="241" spans="1:8">
      <c r="A241" s="2036" t="s">
        <v>1435</v>
      </c>
      <c r="B241" s="2035"/>
      <c r="C241" s="2035"/>
      <c r="D241" s="2035"/>
      <c r="E241" s="2035"/>
      <c r="F241" s="2035"/>
      <c r="G241" s="2035"/>
      <c r="H241" s="2035"/>
    </row>
    <row r="242" spans="1:8">
      <c r="A242" s="2036" t="s">
        <v>1436</v>
      </c>
      <c r="B242" s="2035"/>
      <c r="C242" s="2035"/>
      <c r="D242" s="2035"/>
      <c r="E242" s="2035"/>
      <c r="F242" s="2035"/>
      <c r="G242" s="2035"/>
      <c r="H242" s="2035"/>
    </row>
    <row r="243" spans="1:8">
      <c r="A243" s="2035"/>
      <c r="B243" s="2035"/>
      <c r="C243" s="2035"/>
      <c r="D243" s="2035"/>
      <c r="E243" s="2035"/>
      <c r="F243" s="2035"/>
      <c r="G243" s="2035"/>
      <c r="H243" s="2035"/>
    </row>
    <row r="244" spans="1:8">
      <c r="A244" s="2036" t="s">
        <v>1421</v>
      </c>
      <c r="B244" s="2035"/>
      <c r="C244" s="2035"/>
      <c r="D244" s="2035"/>
      <c r="E244" s="2035"/>
      <c r="F244" s="2035"/>
      <c r="G244" s="2035"/>
      <c r="H244" s="2035"/>
    </row>
    <row r="245" spans="1:8">
      <c r="A245" s="2036" t="s">
        <v>1422</v>
      </c>
      <c r="B245" s="2035"/>
      <c r="C245" s="2035"/>
      <c r="D245" s="2035"/>
      <c r="E245" s="2035"/>
      <c r="F245" s="2035"/>
      <c r="G245" s="2035"/>
      <c r="H245" s="2035"/>
    </row>
    <row r="246" spans="1:8">
      <c r="A246" s="2036" t="s">
        <v>1423</v>
      </c>
      <c r="B246" s="2035"/>
      <c r="C246" s="2035"/>
      <c r="D246" s="2035"/>
      <c r="E246" s="2035"/>
      <c r="F246" s="2035"/>
      <c r="G246" s="2035"/>
      <c r="H246" s="2035"/>
    </row>
    <row r="247" spans="1:8">
      <c r="A247" s="2036" t="s">
        <v>1424</v>
      </c>
      <c r="B247" s="2035"/>
      <c r="C247" s="2035"/>
      <c r="D247" s="2035"/>
      <c r="E247" s="2035"/>
      <c r="F247" s="2035"/>
      <c r="G247" s="2035"/>
      <c r="H247" s="2035"/>
    </row>
    <row r="248" spans="1:8">
      <c r="A248" s="2036" t="s">
        <v>1425</v>
      </c>
      <c r="B248" s="2035"/>
      <c r="C248" s="2035"/>
      <c r="D248" s="2035"/>
      <c r="E248" s="2035"/>
      <c r="F248" s="2035"/>
      <c r="G248" s="2035"/>
      <c r="H248" s="2035"/>
    </row>
    <row r="249" spans="1:8">
      <c r="A249" s="2036" t="s">
        <v>1426</v>
      </c>
      <c r="B249" s="2035"/>
      <c r="C249" s="2035"/>
      <c r="D249" s="2035"/>
      <c r="E249" s="2035"/>
      <c r="F249" s="2035"/>
      <c r="G249" s="2035"/>
      <c r="H249" s="2035"/>
    </row>
    <row r="250" spans="1:8">
      <c r="A250" s="2036" t="s">
        <v>1427</v>
      </c>
      <c r="B250" s="2035"/>
      <c r="C250" s="2035"/>
      <c r="D250" s="2035"/>
      <c r="E250" s="2035"/>
      <c r="F250" s="2035"/>
      <c r="G250" s="2035"/>
      <c r="H250" s="2035"/>
    </row>
    <row r="251" spans="1:8">
      <c r="A251" s="2036" t="s">
        <v>1428</v>
      </c>
      <c r="B251" s="2035"/>
      <c r="C251" s="2035"/>
      <c r="D251" s="2035"/>
      <c r="E251" s="2035"/>
      <c r="F251" s="2035"/>
      <c r="G251" s="2035"/>
      <c r="H251" s="2035"/>
    </row>
    <row r="252" spans="1:8">
      <c r="A252" s="2036" t="s">
        <v>1429</v>
      </c>
      <c r="B252" s="2035"/>
      <c r="C252" s="2035"/>
      <c r="D252" s="2035"/>
      <c r="E252" s="2035"/>
      <c r="F252" s="2035"/>
      <c r="G252" s="2035"/>
      <c r="H252" s="2035"/>
    </row>
    <row r="253" spans="1:8">
      <c r="A253" s="2036" t="s">
        <v>1430</v>
      </c>
      <c r="B253" s="2035"/>
      <c r="C253" s="2035"/>
      <c r="D253" s="2035"/>
      <c r="E253" s="2035"/>
      <c r="F253" s="2035"/>
      <c r="G253" s="2035"/>
      <c r="H253" s="2035"/>
    </row>
    <row r="254" spans="1:8">
      <c r="A254" s="2035"/>
      <c r="B254" s="2035"/>
      <c r="C254" s="2035"/>
      <c r="D254" s="2035"/>
      <c r="E254" s="2035"/>
      <c r="F254" s="2035"/>
      <c r="G254" s="2035"/>
      <c r="H254" s="2035"/>
    </row>
    <row r="255" spans="1:8">
      <c r="A255" s="2036" t="s">
        <v>1419</v>
      </c>
      <c r="B255" s="2035"/>
      <c r="C255" s="2035"/>
      <c r="D255" s="2035"/>
      <c r="E255" s="2035"/>
      <c r="F255" s="2035"/>
      <c r="G255" s="2035"/>
      <c r="H255" s="2035"/>
    </row>
    <row r="256" spans="1:8">
      <c r="A256" s="2036" t="s">
        <v>1420</v>
      </c>
      <c r="B256" s="2035"/>
      <c r="C256" s="2035"/>
      <c r="D256" s="2035"/>
      <c r="E256" s="2035"/>
      <c r="F256" s="2035"/>
      <c r="G256" s="2035"/>
      <c r="H256" s="2035"/>
    </row>
    <row r="257" spans="1:8">
      <c r="A257" s="2035"/>
      <c r="B257" s="2035"/>
      <c r="C257" s="2035"/>
      <c r="D257" s="2035"/>
      <c r="E257" s="2035"/>
      <c r="F257" s="2035"/>
      <c r="G257" s="2035"/>
      <c r="H257" s="2035"/>
    </row>
    <row r="258" spans="1:8">
      <c r="A258" s="2036" t="s">
        <v>1403</v>
      </c>
      <c r="B258" s="2035"/>
      <c r="C258" s="2035"/>
      <c r="D258" s="2035"/>
      <c r="E258" s="2035"/>
      <c r="F258" s="2035"/>
      <c r="G258" s="2035"/>
      <c r="H258" s="2035"/>
    </row>
    <row r="259" spans="1:8">
      <c r="A259" s="2036" t="s">
        <v>1404</v>
      </c>
      <c r="B259" s="2035"/>
      <c r="C259" s="2035"/>
      <c r="D259" s="2035"/>
      <c r="E259" s="2035"/>
      <c r="F259" s="2035"/>
      <c r="G259" s="2035"/>
      <c r="H259" s="2035"/>
    </row>
    <row r="260" spans="1:8">
      <c r="A260" s="2036" t="s">
        <v>1405</v>
      </c>
      <c r="B260" s="2035"/>
      <c r="C260" s="2035"/>
      <c r="D260" s="2035"/>
      <c r="E260" s="2035"/>
      <c r="F260" s="2035"/>
      <c r="G260" s="2035"/>
      <c r="H260" s="2035"/>
    </row>
    <row r="261" spans="1:8">
      <c r="A261" s="2036" t="s">
        <v>1406</v>
      </c>
      <c r="B261" s="2035"/>
      <c r="C261" s="2035"/>
      <c r="D261" s="2035"/>
      <c r="E261" s="2035"/>
      <c r="F261" s="2035"/>
      <c r="G261" s="2035"/>
      <c r="H261" s="2035"/>
    </row>
    <row r="262" spans="1:8">
      <c r="A262" s="2036" t="s">
        <v>1407</v>
      </c>
      <c r="B262" s="2035"/>
      <c r="C262" s="2035"/>
      <c r="D262" s="2035"/>
      <c r="E262" s="2035"/>
      <c r="F262" s="2035"/>
      <c r="G262" s="2035"/>
      <c r="H262" s="2035"/>
    </row>
    <row r="263" spans="1:8">
      <c r="A263" s="2036" t="s">
        <v>1408</v>
      </c>
      <c r="B263" s="2035"/>
      <c r="C263" s="2035"/>
      <c r="D263" s="2035"/>
      <c r="E263" s="2035"/>
      <c r="F263" s="2035"/>
      <c r="G263" s="2035"/>
      <c r="H263" s="2035"/>
    </row>
    <row r="264" spans="1:8">
      <c r="A264" s="2036" t="s">
        <v>1409</v>
      </c>
      <c r="B264" s="2035"/>
      <c r="C264" s="2035"/>
      <c r="D264" s="2035"/>
      <c r="E264" s="2035"/>
      <c r="F264" s="2035"/>
      <c r="G264" s="2035"/>
      <c r="H264" s="2035"/>
    </row>
    <row r="265" spans="1:8">
      <c r="A265" s="2036" t="s">
        <v>1410</v>
      </c>
      <c r="B265" s="2035"/>
      <c r="C265" s="2035"/>
      <c r="D265" s="2035"/>
      <c r="E265" s="2035"/>
      <c r="F265" s="2035"/>
      <c r="G265" s="2035"/>
      <c r="H265" s="2035"/>
    </row>
    <row r="266" spans="1:8">
      <c r="A266" s="2036" t="s">
        <v>1411</v>
      </c>
      <c r="B266" s="2035"/>
      <c r="C266" s="2035"/>
      <c r="D266" s="2035"/>
      <c r="E266" s="2035"/>
      <c r="F266" s="2035"/>
      <c r="G266" s="2035"/>
      <c r="H266" s="2035"/>
    </row>
    <row r="267" spans="1:8">
      <c r="A267" s="2036" t="s">
        <v>1412</v>
      </c>
      <c r="B267" s="2035"/>
      <c r="C267" s="2035"/>
      <c r="D267" s="2035"/>
      <c r="E267" s="2035"/>
      <c r="F267" s="2035"/>
      <c r="G267" s="2035"/>
      <c r="H267" s="2035"/>
    </row>
    <row r="268" spans="1:8">
      <c r="A268" s="2036" t="s">
        <v>1413</v>
      </c>
      <c r="B268" s="2035"/>
      <c r="C268" s="2035"/>
      <c r="D268" s="2035"/>
      <c r="E268" s="2035"/>
      <c r="F268" s="2035"/>
      <c r="G268" s="2035"/>
      <c r="H268" s="2035"/>
    </row>
    <row r="269" spans="1:8">
      <c r="A269" s="2036" t="s">
        <v>1414</v>
      </c>
      <c r="B269" s="2035"/>
      <c r="C269" s="2035"/>
      <c r="D269" s="2035"/>
      <c r="E269" s="2035"/>
      <c r="F269" s="2035"/>
      <c r="G269" s="2035"/>
      <c r="H269" s="2035"/>
    </row>
    <row r="270" spans="1:8">
      <c r="A270" s="2036" t="s">
        <v>1415</v>
      </c>
      <c r="B270" s="2035"/>
      <c r="C270" s="2035"/>
      <c r="D270" s="2035"/>
      <c r="E270" s="2035"/>
      <c r="F270" s="2035"/>
      <c r="G270" s="2035"/>
      <c r="H270" s="2035"/>
    </row>
    <row r="271" spans="1:8">
      <c r="A271" s="2036" t="s">
        <v>1416</v>
      </c>
      <c r="B271" s="2035"/>
      <c r="C271" s="2035"/>
      <c r="D271" s="2035"/>
      <c r="E271" s="2035"/>
      <c r="F271" s="2035"/>
      <c r="G271" s="2035"/>
      <c r="H271" s="2035"/>
    </row>
    <row r="272" spans="1:8">
      <c r="A272" s="2036" t="s">
        <v>1417</v>
      </c>
      <c r="B272" s="2035"/>
      <c r="C272" s="2035"/>
      <c r="D272" s="2035"/>
      <c r="E272" s="2035"/>
      <c r="F272" s="2035"/>
      <c r="G272" s="2035"/>
      <c r="H272" s="2035"/>
    </row>
    <row r="273" spans="1:8">
      <c r="A273" s="2036" t="s">
        <v>1418</v>
      </c>
      <c r="B273" s="2035"/>
      <c r="C273" s="2035"/>
      <c r="D273" s="2035"/>
      <c r="E273" s="2035"/>
      <c r="F273" s="2035"/>
      <c r="G273" s="2035"/>
      <c r="H273" s="2035"/>
    </row>
    <row r="274" spans="1:8">
      <c r="A274" s="2035"/>
      <c r="B274" s="2035"/>
      <c r="C274" s="2035"/>
      <c r="D274" s="2035"/>
      <c r="E274" s="2035"/>
      <c r="F274" s="2035"/>
      <c r="G274" s="2035"/>
      <c r="H274" s="2035"/>
    </row>
    <row r="275" spans="1:8">
      <c r="A275" s="2036" t="s">
        <v>1396</v>
      </c>
      <c r="B275" s="2035"/>
      <c r="C275" s="2035"/>
      <c r="D275" s="2035"/>
      <c r="E275" s="2035"/>
      <c r="F275" s="2035"/>
      <c r="G275" s="2035"/>
      <c r="H275" s="2035"/>
    </row>
    <row r="276" spans="1:8">
      <c r="A276" s="2036" t="s">
        <v>1397</v>
      </c>
      <c r="B276" s="2035"/>
      <c r="C276" s="2035"/>
      <c r="D276" s="2035"/>
      <c r="E276" s="2035"/>
      <c r="F276" s="2035"/>
      <c r="G276" s="2035"/>
      <c r="H276" s="2035"/>
    </row>
    <row r="277" spans="1:8">
      <c r="A277" s="2036" t="s">
        <v>1398</v>
      </c>
      <c r="B277" s="2035"/>
      <c r="C277" s="2035"/>
      <c r="D277" s="2035"/>
      <c r="E277" s="2035"/>
      <c r="F277" s="2035"/>
      <c r="G277" s="2035"/>
      <c r="H277" s="2035"/>
    </row>
    <row r="278" spans="1:8">
      <c r="A278" s="2036" t="s">
        <v>1399</v>
      </c>
      <c r="B278" s="2035"/>
      <c r="C278" s="2035"/>
      <c r="D278" s="2035"/>
      <c r="E278" s="2035"/>
      <c r="F278" s="2035"/>
      <c r="G278" s="2035"/>
      <c r="H278" s="2035"/>
    </row>
    <row r="279" spans="1:8">
      <c r="A279" s="2036" t="s">
        <v>1400</v>
      </c>
      <c r="B279" s="2035"/>
      <c r="C279" s="2035"/>
      <c r="D279" s="2035"/>
      <c r="E279" s="2035"/>
      <c r="F279" s="2035"/>
      <c r="G279" s="2035"/>
      <c r="H279" s="2035"/>
    </row>
    <row r="280" spans="1:8">
      <c r="A280" s="2036" t="s">
        <v>1401</v>
      </c>
      <c r="B280" s="2035"/>
      <c r="C280" s="2035"/>
      <c r="D280" s="2035"/>
      <c r="E280" s="2035"/>
      <c r="F280" s="2035"/>
      <c r="G280" s="2035"/>
      <c r="H280" s="2035"/>
    </row>
    <row r="281" spans="1:8">
      <c r="A281" s="2036" t="s">
        <v>1402</v>
      </c>
      <c r="B281" s="2035"/>
      <c r="C281" s="2035"/>
      <c r="D281" s="2035"/>
      <c r="E281" s="2035"/>
      <c r="F281" s="2035"/>
      <c r="G281" s="2035"/>
      <c r="H281" s="2035"/>
    </row>
    <row r="282" spans="1:8">
      <c r="A282" s="2035"/>
      <c r="B282" s="2035"/>
      <c r="C282" s="2035"/>
      <c r="D282" s="2035"/>
      <c r="E282" s="2035"/>
      <c r="F282" s="2035"/>
      <c r="G282" s="2035"/>
      <c r="H282" s="2035"/>
    </row>
    <row r="283" spans="1:8">
      <c r="A283" s="2036" t="s">
        <v>1387</v>
      </c>
      <c r="B283" s="2035"/>
      <c r="C283" s="2035"/>
      <c r="D283" s="2035"/>
      <c r="E283" s="2035"/>
      <c r="F283" s="2035"/>
      <c r="G283" s="2035"/>
      <c r="H283" s="2035"/>
    </row>
    <row r="284" spans="1:8">
      <c r="A284" s="2036" t="s">
        <v>1388</v>
      </c>
      <c r="B284" s="2035"/>
      <c r="C284" s="2035"/>
      <c r="D284" s="2035"/>
      <c r="E284" s="2035"/>
      <c r="F284" s="2035"/>
      <c r="G284" s="2035"/>
      <c r="H284" s="2035"/>
    </row>
    <row r="285" spans="1:8">
      <c r="A285" s="2036" t="s">
        <v>1389</v>
      </c>
      <c r="B285" s="2035"/>
      <c r="C285" s="2035"/>
      <c r="D285" s="2035"/>
      <c r="E285" s="2035"/>
      <c r="F285" s="2035"/>
      <c r="G285" s="2035"/>
      <c r="H285" s="2035"/>
    </row>
    <row r="286" spans="1:8">
      <c r="A286" s="2036" t="s">
        <v>1390</v>
      </c>
      <c r="B286" s="2035"/>
      <c r="C286" s="2035"/>
      <c r="D286" s="2035"/>
      <c r="E286" s="2035"/>
      <c r="F286" s="2035"/>
      <c r="G286" s="2035"/>
      <c r="H286" s="2035"/>
    </row>
    <row r="287" spans="1:8">
      <c r="A287" s="2036" t="s">
        <v>1391</v>
      </c>
      <c r="B287" s="2035"/>
      <c r="C287" s="2035"/>
      <c r="D287" s="2035"/>
      <c r="E287" s="2035"/>
      <c r="F287" s="2035"/>
      <c r="G287" s="2035"/>
      <c r="H287" s="2035"/>
    </row>
    <row r="288" spans="1:8">
      <c r="A288" s="2036" t="s">
        <v>1392</v>
      </c>
      <c r="B288" s="2035"/>
      <c r="C288" s="2035"/>
      <c r="D288" s="2035"/>
      <c r="E288" s="2035"/>
      <c r="F288" s="2035"/>
      <c r="G288" s="2035"/>
      <c r="H288" s="2035"/>
    </row>
    <row r="289" spans="1:8">
      <c r="A289" s="2036" t="s">
        <v>1393</v>
      </c>
      <c r="B289" s="2035"/>
      <c r="C289" s="2035"/>
      <c r="D289" s="2035"/>
      <c r="E289" s="2035"/>
      <c r="F289" s="2035"/>
      <c r="G289" s="2035"/>
      <c r="H289" s="2035"/>
    </row>
    <row r="290" spans="1:8">
      <c r="A290" s="2036" t="s">
        <v>1394</v>
      </c>
      <c r="B290" s="2035"/>
      <c r="C290" s="2035"/>
      <c r="D290" s="2035"/>
      <c r="E290" s="2035"/>
      <c r="F290" s="2035"/>
      <c r="G290" s="2035"/>
      <c r="H290" s="2035"/>
    </row>
    <row r="291" spans="1:8">
      <c r="A291" s="2036" t="s">
        <v>1395</v>
      </c>
      <c r="B291" s="2035"/>
      <c r="C291" s="2035"/>
      <c r="D291" s="2035"/>
      <c r="E291" s="2035"/>
      <c r="F291" s="2035"/>
      <c r="G291" s="2035"/>
      <c r="H291" s="2035"/>
    </row>
    <row r="292" spans="1:8">
      <c r="A292" s="2035"/>
      <c r="B292" s="2035"/>
      <c r="C292" s="2035"/>
      <c r="D292" s="2035"/>
      <c r="E292" s="2035"/>
      <c r="F292" s="2035"/>
      <c r="G292" s="2035"/>
      <c r="H292" s="2035"/>
    </row>
    <row r="293" spans="1:8">
      <c r="A293" s="2036" t="s">
        <v>1380</v>
      </c>
      <c r="B293" s="2035"/>
      <c r="C293" s="2035"/>
      <c r="D293" s="2035"/>
      <c r="E293" s="2035"/>
      <c r="F293" s="2035"/>
      <c r="G293" s="2035"/>
      <c r="H293" s="2035"/>
    </row>
    <row r="294" spans="1:8">
      <c r="A294" s="2036" t="s">
        <v>1381</v>
      </c>
      <c r="B294" s="2035"/>
      <c r="C294" s="2035"/>
      <c r="D294" s="2035"/>
      <c r="E294" s="2035"/>
      <c r="F294" s="2035"/>
      <c r="G294" s="2035"/>
      <c r="H294" s="2035"/>
    </row>
    <row r="295" spans="1:8">
      <c r="A295" s="2036" t="s">
        <v>1382</v>
      </c>
      <c r="B295" s="2035"/>
      <c r="C295" s="2035"/>
      <c r="D295" s="2035"/>
      <c r="E295" s="2035"/>
      <c r="F295" s="2035"/>
      <c r="G295" s="2035"/>
      <c r="H295" s="2035"/>
    </row>
    <row r="296" spans="1:8">
      <c r="A296" s="2036" t="s">
        <v>1383</v>
      </c>
      <c r="B296" s="2035"/>
      <c r="C296" s="2035"/>
      <c r="D296" s="2035"/>
      <c r="E296" s="2035"/>
      <c r="F296" s="2035"/>
      <c r="G296" s="2035"/>
      <c r="H296" s="2035"/>
    </row>
    <row r="297" spans="1:8">
      <c r="A297" s="2036" t="s">
        <v>1384</v>
      </c>
      <c r="B297" s="2035"/>
      <c r="C297" s="2035"/>
      <c r="D297" s="2035"/>
      <c r="E297" s="2035"/>
      <c r="F297" s="2035"/>
      <c r="G297" s="2035"/>
      <c r="H297" s="2035"/>
    </row>
    <row r="298" spans="1:8">
      <c r="A298" s="2036" t="s">
        <v>1385</v>
      </c>
      <c r="B298" s="2035"/>
      <c r="C298" s="2035"/>
      <c r="D298" s="2035"/>
      <c r="E298" s="2035"/>
      <c r="F298" s="2035"/>
      <c r="G298" s="2035"/>
      <c r="H298" s="2035"/>
    </row>
    <row r="299" spans="1:8">
      <c r="A299" s="2036" t="s">
        <v>1386</v>
      </c>
      <c r="B299" s="2035"/>
      <c r="C299" s="2035"/>
      <c r="D299" s="2035"/>
      <c r="E299" s="2035"/>
      <c r="F299" s="2035"/>
      <c r="G299" s="2035"/>
      <c r="H299" s="2035"/>
    </row>
    <row r="300" spans="1:8">
      <c r="A300" s="2035"/>
      <c r="B300" s="2035"/>
      <c r="C300" s="2035"/>
      <c r="D300" s="2035"/>
      <c r="E300" s="2035"/>
      <c r="F300" s="2035"/>
      <c r="G300" s="2035"/>
      <c r="H300" s="2035"/>
    </row>
    <row r="301" spans="1:8">
      <c r="A301" s="2036" t="s">
        <v>1377</v>
      </c>
      <c r="B301" s="2035"/>
      <c r="C301" s="2035"/>
      <c r="D301" s="2035"/>
      <c r="E301" s="2035"/>
      <c r="F301" s="2035"/>
      <c r="G301" s="2035"/>
      <c r="H301" s="2035"/>
    </row>
    <row r="302" spans="1:8">
      <c r="A302" s="2036" t="s">
        <v>1378</v>
      </c>
      <c r="B302" s="2035"/>
      <c r="C302" s="2035"/>
      <c r="D302" s="2035"/>
      <c r="E302" s="2035"/>
      <c r="F302" s="2035"/>
      <c r="G302" s="2035"/>
      <c r="H302" s="2035"/>
    </row>
    <row r="303" spans="1:8">
      <c r="A303" s="2036" t="s">
        <v>1379</v>
      </c>
      <c r="B303" s="2035"/>
      <c r="C303" s="2035"/>
      <c r="D303" s="2035"/>
      <c r="E303" s="2035"/>
      <c r="F303" s="2035"/>
      <c r="G303" s="2035"/>
      <c r="H303" s="2035"/>
    </row>
    <row r="304" spans="1:8">
      <c r="A304" s="2035"/>
      <c r="B304" s="2035"/>
      <c r="C304" s="2035"/>
      <c r="D304" s="2035"/>
      <c r="E304" s="2035"/>
      <c r="F304" s="2035"/>
      <c r="G304" s="2035"/>
      <c r="H304" s="2035"/>
    </row>
    <row r="305" spans="1:8">
      <c r="A305" s="2036" t="s">
        <v>1375</v>
      </c>
      <c r="B305" s="2035"/>
      <c r="C305" s="2035"/>
      <c r="D305" s="2035"/>
      <c r="E305" s="2035"/>
      <c r="F305" s="2035"/>
      <c r="G305" s="2035"/>
      <c r="H305" s="2035"/>
    </row>
    <row r="306" spans="1:8">
      <c r="A306" s="2036" t="s">
        <v>1376</v>
      </c>
      <c r="B306" s="2035"/>
      <c r="C306" s="2035"/>
      <c r="D306" s="2035"/>
      <c r="E306" s="2035"/>
      <c r="F306" s="2035"/>
      <c r="G306" s="2035"/>
      <c r="H306" s="2035"/>
    </row>
    <row r="307" spans="1:8">
      <c r="A307" s="2035"/>
      <c r="B307" s="2035"/>
      <c r="C307" s="2035"/>
      <c r="D307" s="2035"/>
      <c r="E307" s="2035"/>
      <c r="F307" s="2035"/>
      <c r="G307" s="2035"/>
      <c r="H307" s="2035"/>
    </row>
    <row r="308" spans="1:8">
      <c r="A308" s="2036" t="s">
        <v>1362</v>
      </c>
      <c r="B308" s="2035"/>
      <c r="C308" s="2035"/>
      <c r="D308" s="2035"/>
      <c r="E308" s="2035"/>
      <c r="F308" s="2035"/>
      <c r="G308" s="2035"/>
      <c r="H308" s="2035"/>
    </row>
    <row r="309" spans="1:8">
      <c r="A309" s="2036" t="s">
        <v>1363</v>
      </c>
      <c r="B309" s="2035"/>
      <c r="C309" s="2035"/>
      <c r="D309" s="2035"/>
      <c r="E309" s="2035"/>
      <c r="F309" s="2035"/>
      <c r="G309" s="2035"/>
      <c r="H309" s="2035"/>
    </row>
    <row r="310" spans="1:8">
      <c r="A310" s="2036" t="s">
        <v>1364</v>
      </c>
      <c r="B310" s="2035"/>
      <c r="C310" s="2035"/>
      <c r="D310" s="2035"/>
      <c r="E310" s="2035"/>
      <c r="F310" s="2035"/>
      <c r="G310" s="2035"/>
      <c r="H310" s="2035"/>
    </row>
    <row r="311" spans="1:8">
      <c r="A311" s="2036" t="s">
        <v>1365</v>
      </c>
      <c r="B311" s="2035"/>
      <c r="C311" s="2035"/>
      <c r="D311" s="2035"/>
      <c r="E311" s="2035"/>
      <c r="F311" s="2035"/>
      <c r="G311" s="2035"/>
      <c r="H311" s="2035"/>
    </row>
    <row r="312" spans="1:8">
      <c r="A312" s="2036" t="s">
        <v>1366</v>
      </c>
      <c r="B312" s="2035"/>
      <c r="C312" s="2035"/>
      <c r="D312" s="2035"/>
      <c r="E312" s="2035"/>
      <c r="F312" s="2035"/>
      <c r="G312" s="2035"/>
      <c r="H312" s="2035"/>
    </row>
    <row r="313" spans="1:8">
      <c r="A313" s="2036" t="s">
        <v>1367</v>
      </c>
      <c r="B313" s="2035"/>
      <c r="C313" s="2035"/>
      <c r="D313" s="2035"/>
      <c r="E313" s="2035"/>
      <c r="F313" s="2035"/>
      <c r="G313" s="2035"/>
      <c r="H313" s="2035"/>
    </row>
    <row r="314" spans="1:8">
      <c r="A314" s="2036" t="s">
        <v>1368</v>
      </c>
      <c r="B314" s="2035"/>
      <c r="C314" s="2035"/>
      <c r="D314" s="2035"/>
      <c r="E314" s="2035"/>
      <c r="F314" s="2035"/>
      <c r="G314" s="2035"/>
      <c r="H314" s="2035"/>
    </row>
    <row r="315" spans="1:8">
      <c r="A315" s="2036" t="s">
        <v>1369</v>
      </c>
      <c r="B315" s="2035"/>
      <c r="C315" s="2035"/>
      <c r="D315" s="2035"/>
      <c r="E315" s="2035"/>
      <c r="F315" s="2035"/>
      <c r="G315" s="2035"/>
      <c r="H315" s="2035"/>
    </row>
    <row r="316" spans="1:8">
      <c r="A316" s="2036" t="s">
        <v>1370</v>
      </c>
      <c r="B316" s="2035"/>
      <c r="C316" s="2035"/>
      <c r="D316" s="2035"/>
      <c r="E316" s="2035"/>
      <c r="F316" s="2035"/>
      <c r="G316" s="2035"/>
      <c r="H316" s="2035"/>
    </row>
    <row r="317" spans="1:8">
      <c r="A317" s="2036" t="s">
        <v>1371</v>
      </c>
      <c r="B317" s="2035"/>
      <c r="C317" s="2035"/>
      <c r="D317" s="2035"/>
      <c r="E317" s="2035"/>
      <c r="F317" s="2035"/>
      <c r="G317" s="2035"/>
      <c r="H317" s="2035"/>
    </row>
    <row r="318" spans="1:8">
      <c r="A318" s="2036" t="s">
        <v>1372</v>
      </c>
      <c r="B318" s="2035"/>
      <c r="C318" s="2035"/>
      <c r="D318" s="2035"/>
      <c r="E318" s="2035"/>
      <c r="F318" s="2035"/>
      <c r="G318" s="2035"/>
      <c r="H318" s="2035"/>
    </row>
    <row r="319" spans="1:8">
      <c r="A319" s="2036" t="s">
        <v>1373</v>
      </c>
      <c r="B319" s="2035"/>
      <c r="C319" s="2035"/>
      <c r="D319" s="2035"/>
      <c r="E319" s="2035"/>
      <c r="F319" s="2035"/>
      <c r="G319" s="2035"/>
      <c r="H319" s="2035"/>
    </row>
    <row r="320" spans="1:8">
      <c r="A320" s="2036" t="s">
        <v>1374</v>
      </c>
      <c r="B320" s="2035"/>
      <c r="C320" s="2035"/>
      <c r="D320" s="2035"/>
      <c r="E320" s="2035"/>
      <c r="F320" s="2035"/>
      <c r="G320" s="2035"/>
      <c r="H320" s="2035"/>
    </row>
    <row r="321" spans="1:8">
      <c r="A321" s="2035"/>
      <c r="B321" s="2035"/>
      <c r="C321" s="2035"/>
      <c r="D321" s="2035"/>
      <c r="E321" s="2035"/>
      <c r="F321" s="2035"/>
      <c r="G321" s="2035"/>
      <c r="H321" s="2035"/>
    </row>
    <row r="322" spans="1:8">
      <c r="A322" s="2036" t="s">
        <v>1354</v>
      </c>
      <c r="B322" s="2035"/>
      <c r="C322" s="2035"/>
      <c r="D322" s="2035"/>
      <c r="E322" s="2035"/>
      <c r="F322" s="2035"/>
      <c r="G322" s="2035"/>
      <c r="H322" s="2035"/>
    </row>
    <row r="323" spans="1:8">
      <c r="A323" s="2036" t="s">
        <v>1355</v>
      </c>
      <c r="B323" s="2035"/>
      <c r="C323" s="2035"/>
      <c r="D323" s="2035"/>
      <c r="E323" s="2035"/>
      <c r="F323" s="2035"/>
      <c r="G323" s="2035"/>
      <c r="H323" s="2035"/>
    </row>
    <row r="324" spans="1:8">
      <c r="A324" s="2036" t="s">
        <v>1356</v>
      </c>
      <c r="B324" s="2035"/>
      <c r="C324" s="2035"/>
      <c r="D324" s="2035"/>
      <c r="E324" s="2035"/>
      <c r="F324" s="2035"/>
      <c r="G324" s="2035"/>
      <c r="H324" s="2035"/>
    </row>
    <row r="325" spans="1:8">
      <c r="A325" s="2036" t="s">
        <v>1357</v>
      </c>
      <c r="B325" s="2035"/>
      <c r="C325" s="2035"/>
      <c r="D325" s="2035"/>
      <c r="E325" s="2035"/>
      <c r="F325" s="2035"/>
      <c r="G325" s="2035"/>
      <c r="H325" s="2035"/>
    </row>
    <row r="326" spans="1:8">
      <c r="A326" s="2036" t="s">
        <v>1358</v>
      </c>
      <c r="B326" s="2035"/>
      <c r="C326" s="2035"/>
      <c r="D326" s="2035"/>
      <c r="E326" s="2035"/>
      <c r="F326" s="2035"/>
      <c r="G326" s="2035"/>
      <c r="H326" s="2035"/>
    </row>
    <row r="327" spans="1:8">
      <c r="A327" s="2036" t="s">
        <v>1359</v>
      </c>
      <c r="B327" s="2035"/>
      <c r="C327" s="2035"/>
      <c r="D327" s="2035"/>
      <c r="E327" s="2035"/>
      <c r="F327" s="2035"/>
      <c r="G327" s="2035"/>
      <c r="H327" s="2035"/>
    </row>
    <row r="328" spans="1:8">
      <c r="A328" s="2036" t="s">
        <v>1360</v>
      </c>
      <c r="B328" s="2035"/>
      <c r="C328" s="2035"/>
      <c r="D328" s="2035"/>
      <c r="E328" s="2035"/>
      <c r="F328" s="2035"/>
      <c r="G328" s="2035"/>
      <c r="H328" s="2035"/>
    </row>
    <row r="329" spans="1:8">
      <c r="A329" s="2036" t="s">
        <v>1361</v>
      </c>
      <c r="B329" s="2035"/>
      <c r="C329" s="2035"/>
      <c r="D329" s="2035"/>
      <c r="E329" s="2035"/>
      <c r="F329" s="2035"/>
      <c r="G329" s="2035"/>
      <c r="H329" s="2035"/>
    </row>
    <row r="330" spans="1:8">
      <c r="A330" s="2035"/>
      <c r="B330" s="2035"/>
      <c r="C330" s="2035"/>
      <c r="D330" s="2035"/>
      <c r="E330" s="2035"/>
      <c r="F330" s="2035"/>
      <c r="G330" s="2035"/>
      <c r="H330" s="2035"/>
    </row>
    <row r="331" spans="1:8">
      <c r="A331" s="2036" t="s">
        <v>1319</v>
      </c>
      <c r="B331" s="2035"/>
      <c r="C331" s="2035"/>
      <c r="D331" s="2035"/>
      <c r="E331" s="2035"/>
      <c r="F331" s="2035"/>
      <c r="G331" s="2035"/>
      <c r="H331" s="2035"/>
    </row>
    <row r="332" spans="1:8">
      <c r="A332" s="2036" t="s">
        <v>1320</v>
      </c>
      <c r="B332" s="2035"/>
      <c r="C332" s="2035"/>
      <c r="D332" s="2035"/>
      <c r="E332" s="2035"/>
      <c r="F332" s="2035"/>
      <c r="G332" s="2035"/>
      <c r="H332" s="2035"/>
    </row>
    <row r="333" spans="1:8">
      <c r="A333" s="2036" t="s">
        <v>1321</v>
      </c>
      <c r="B333" s="2035"/>
      <c r="C333" s="2035"/>
      <c r="D333" s="2035"/>
      <c r="E333" s="2035"/>
      <c r="F333" s="2035"/>
      <c r="G333" s="2035"/>
      <c r="H333" s="2035"/>
    </row>
    <row r="334" spans="1:8">
      <c r="A334" s="2036" t="s">
        <v>1322</v>
      </c>
      <c r="B334" s="2035"/>
      <c r="C334" s="2035"/>
      <c r="D334" s="2035"/>
      <c r="E334" s="2035"/>
      <c r="F334" s="2035"/>
      <c r="G334" s="2035"/>
      <c r="H334" s="2035"/>
    </row>
    <row r="335" spans="1:8">
      <c r="A335" s="2036" t="s">
        <v>1323</v>
      </c>
      <c r="B335" s="2035"/>
      <c r="C335" s="2035"/>
      <c r="D335" s="2035"/>
      <c r="E335" s="2035"/>
      <c r="F335" s="2035"/>
      <c r="G335" s="2035"/>
      <c r="H335" s="2035"/>
    </row>
    <row r="336" spans="1:8">
      <c r="A336" s="2036" t="s">
        <v>1324</v>
      </c>
      <c r="B336" s="2035"/>
      <c r="C336" s="2035"/>
      <c r="D336" s="2035"/>
      <c r="E336" s="2035"/>
      <c r="F336" s="2035"/>
      <c r="G336" s="2035"/>
      <c r="H336" s="2035"/>
    </row>
    <row r="337" spans="1:8">
      <c r="A337" s="2036" t="s">
        <v>1325</v>
      </c>
      <c r="B337" s="2035"/>
      <c r="C337" s="2035"/>
      <c r="D337" s="2035"/>
      <c r="E337" s="2035"/>
      <c r="F337" s="2035"/>
      <c r="G337" s="2035"/>
      <c r="H337" s="2035"/>
    </row>
    <row r="338" spans="1:8">
      <c r="A338" s="2036" t="s">
        <v>1326</v>
      </c>
      <c r="B338" s="2035"/>
      <c r="C338" s="2035"/>
      <c r="D338" s="2035"/>
      <c r="E338" s="2035"/>
      <c r="F338" s="2035"/>
      <c r="G338" s="2035"/>
      <c r="H338" s="2035"/>
    </row>
    <row r="339" spans="1:8">
      <c r="A339" s="2036" t="s">
        <v>1327</v>
      </c>
      <c r="B339" s="2035"/>
      <c r="C339" s="2035"/>
      <c r="D339" s="2035"/>
      <c r="E339" s="2035"/>
      <c r="F339" s="2035"/>
      <c r="G339" s="2035"/>
      <c r="H339" s="2035"/>
    </row>
    <row r="340" spans="1:8">
      <c r="A340" s="2036" t="s">
        <v>1328</v>
      </c>
      <c r="B340" s="2035"/>
      <c r="C340" s="2035"/>
      <c r="D340" s="2035"/>
      <c r="E340" s="2035"/>
      <c r="F340" s="2035"/>
      <c r="G340" s="2035"/>
      <c r="H340" s="2035"/>
    </row>
    <row r="341" spans="1:8">
      <c r="A341" s="2036" t="s">
        <v>1329</v>
      </c>
      <c r="B341" s="2035"/>
      <c r="C341" s="2035"/>
      <c r="D341" s="2035"/>
      <c r="E341" s="2035"/>
      <c r="F341" s="2035"/>
      <c r="G341" s="2035"/>
      <c r="H341" s="2035"/>
    </row>
    <row r="342" spans="1:8">
      <c r="A342" s="2036" t="s">
        <v>1330</v>
      </c>
      <c r="B342" s="2035"/>
      <c r="C342" s="2035"/>
      <c r="D342" s="2035"/>
      <c r="E342" s="2035"/>
      <c r="F342" s="2035"/>
      <c r="G342" s="2035"/>
      <c r="H342" s="2035"/>
    </row>
    <row r="343" spans="1:8">
      <c r="A343" s="2036" t="s">
        <v>1331</v>
      </c>
      <c r="B343" s="2035"/>
      <c r="C343" s="2035"/>
      <c r="D343" s="2035"/>
      <c r="E343" s="2035"/>
      <c r="F343" s="2035"/>
      <c r="G343" s="2035"/>
      <c r="H343" s="2035"/>
    </row>
    <row r="344" spans="1:8">
      <c r="A344" s="2036" t="s">
        <v>1332</v>
      </c>
      <c r="B344" s="2035"/>
      <c r="C344" s="2035"/>
      <c r="D344" s="2035"/>
      <c r="E344" s="2035"/>
      <c r="F344" s="2035"/>
      <c r="G344" s="2035"/>
      <c r="H344" s="2035"/>
    </row>
    <row r="345" spans="1:8">
      <c r="A345" s="2036" t="s">
        <v>1333</v>
      </c>
      <c r="B345" s="2035"/>
      <c r="C345" s="2035"/>
      <c r="D345" s="2035"/>
      <c r="E345" s="2035"/>
      <c r="F345" s="2035"/>
      <c r="G345" s="2035"/>
      <c r="H345" s="2035"/>
    </row>
    <row r="346" spans="1:8">
      <c r="A346" s="2036" t="s">
        <v>1334</v>
      </c>
      <c r="B346" s="2035"/>
      <c r="C346" s="2035"/>
      <c r="D346" s="2035"/>
      <c r="E346" s="2035"/>
      <c r="F346" s="2035"/>
      <c r="G346" s="2035"/>
      <c r="H346" s="2035"/>
    </row>
    <row r="347" spans="1:8">
      <c r="A347" s="2036" t="s">
        <v>1335</v>
      </c>
      <c r="B347" s="2035"/>
      <c r="C347" s="2035"/>
      <c r="D347" s="2035"/>
      <c r="E347" s="2035"/>
      <c r="F347" s="2035"/>
      <c r="G347" s="2035"/>
      <c r="H347" s="2035"/>
    </row>
    <row r="348" spans="1:8">
      <c r="A348" s="2036" t="s">
        <v>1336</v>
      </c>
      <c r="B348" s="2035"/>
      <c r="C348" s="2035"/>
      <c r="D348" s="2035"/>
      <c r="E348" s="2035"/>
      <c r="F348" s="2035"/>
      <c r="G348" s="2035"/>
      <c r="H348" s="2035"/>
    </row>
    <row r="349" spans="1:8">
      <c r="A349" s="2036" t="s">
        <v>1337</v>
      </c>
      <c r="B349" s="2035"/>
      <c r="C349" s="2035"/>
      <c r="D349" s="2035"/>
      <c r="E349" s="2035"/>
      <c r="F349" s="2035"/>
      <c r="G349" s="2035"/>
      <c r="H349" s="2035"/>
    </row>
    <row r="350" spans="1:8">
      <c r="A350" s="2036" t="s">
        <v>1338</v>
      </c>
      <c r="B350" s="2035"/>
      <c r="C350" s="2035"/>
      <c r="D350" s="2035"/>
      <c r="E350" s="2035"/>
      <c r="F350" s="2035"/>
      <c r="G350" s="2035"/>
      <c r="H350" s="2035"/>
    </row>
    <row r="351" spans="1:8">
      <c r="A351" s="2036" t="s">
        <v>1339</v>
      </c>
      <c r="B351" s="2035"/>
      <c r="C351" s="2035"/>
      <c r="D351" s="2035"/>
      <c r="E351" s="2035"/>
      <c r="F351" s="2035"/>
      <c r="G351" s="2035"/>
      <c r="H351" s="2035"/>
    </row>
    <row r="352" spans="1:8">
      <c r="A352" s="2036" t="s">
        <v>1340</v>
      </c>
      <c r="B352" s="2035"/>
      <c r="C352" s="2035"/>
      <c r="D352" s="2035"/>
      <c r="E352" s="2035"/>
      <c r="F352" s="2035"/>
      <c r="G352" s="2035"/>
      <c r="H352" s="2035"/>
    </row>
    <row r="353" spans="1:8">
      <c r="A353" s="2036" t="s">
        <v>1341</v>
      </c>
      <c r="B353" s="2035"/>
      <c r="C353" s="2035"/>
      <c r="D353" s="2035"/>
      <c r="E353" s="2035"/>
      <c r="F353" s="2035"/>
      <c r="G353" s="2035"/>
      <c r="H353" s="2035"/>
    </row>
    <row r="354" spans="1:8">
      <c r="A354" s="2036" t="s">
        <v>1342</v>
      </c>
      <c r="B354" s="2035"/>
      <c r="C354" s="2035"/>
      <c r="D354" s="2035"/>
      <c r="E354" s="2035"/>
      <c r="F354" s="2035"/>
      <c r="G354" s="2035"/>
      <c r="H354" s="2035"/>
    </row>
    <row r="355" spans="1:8">
      <c r="A355" s="2036" t="s">
        <v>1343</v>
      </c>
      <c r="B355" s="2035"/>
      <c r="C355" s="2035"/>
      <c r="D355" s="2035"/>
      <c r="E355" s="2035"/>
      <c r="F355" s="2035"/>
      <c r="G355" s="2035"/>
      <c r="H355" s="2035"/>
    </row>
    <row r="356" spans="1:8">
      <c r="A356" s="2036" t="s">
        <v>1344</v>
      </c>
      <c r="B356" s="2035"/>
      <c r="C356" s="2035"/>
      <c r="D356" s="2035"/>
      <c r="E356" s="2035"/>
      <c r="F356" s="2035"/>
      <c r="G356" s="2035"/>
      <c r="H356" s="2035"/>
    </row>
    <row r="357" spans="1:8">
      <c r="A357" s="2036" t="s">
        <v>1345</v>
      </c>
      <c r="B357" s="2035"/>
      <c r="C357" s="2035"/>
      <c r="D357" s="2035"/>
      <c r="E357" s="2035"/>
      <c r="F357" s="2035"/>
      <c r="G357" s="2035"/>
      <c r="H357" s="2035"/>
    </row>
    <row r="358" spans="1:8">
      <c r="A358" s="2036" t="s">
        <v>1346</v>
      </c>
      <c r="B358" s="2035"/>
      <c r="C358" s="2035"/>
      <c r="D358" s="2035"/>
      <c r="E358" s="2035"/>
      <c r="F358" s="2035"/>
      <c r="G358" s="2035"/>
      <c r="H358" s="2035"/>
    </row>
    <row r="359" spans="1:8">
      <c r="A359" s="2036" t="s">
        <v>1347</v>
      </c>
      <c r="B359" s="2035"/>
      <c r="C359" s="2035"/>
      <c r="D359" s="2035"/>
      <c r="E359" s="2035"/>
      <c r="F359" s="2035"/>
      <c r="G359" s="2035"/>
      <c r="H359" s="2035"/>
    </row>
    <row r="360" spans="1:8">
      <c r="A360" s="2036" t="s">
        <v>1348</v>
      </c>
      <c r="B360" s="2035"/>
      <c r="C360" s="2035"/>
      <c r="D360" s="2035"/>
      <c r="E360" s="2035"/>
      <c r="F360" s="2035"/>
      <c r="G360" s="2035"/>
      <c r="H360" s="2035"/>
    </row>
    <row r="361" spans="1:8">
      <c r="A361" s="2036" t="s">
        <v>1349</v>
      </c>
      <c r="B361" s="2035"/>
      <c r="C361" s="2035"/>
      <c r="D361" s="2035"/>
      <c r="E361" s="2035"/>
      <c r="F361" s="2035"/>
      <c r="G361" s="2035"/>
      <c r="H361" s="2035"/>
    </row>
    <row r="362" spans="1:8">
      <c r="A362" s="2036" t="s">
        <v>1350</v>
      </c>
      <c r="B362" s="2035"/>
      <c r="C362" s="2035"/>
      <c r="D362" s="2035"/>
      <c r="E362" s="2035"/>
      <c r="F362" s="2035"/>
      <c r="G362" s="2035"/>
      <c r="H362" s="2035"/>
    </row>
    <row r="363" spans="1:8">
      <c r="A363" s="2036" t="s">
        <v>1351</v>
      </c>
      <c r="B363" s="2035"/>
      <c r="C363" s="2035"/>
      <c r="D363" s="2035"/>
      <c r="E363" s="2035"/>
      <c r="F363" s="2035"/>
      <c r="G363" s="2035"/>
      <c r="H363" s="2035"/>
    </row>
    <row r="364" spans="1:8">
      <c r="A364" s="2036" t="s">
        <v>1352</v>
      </c>
      <c r="B364" s="2035"/>
      <c r="C364" s="2035"/>
      <c r="D364" s="2035"/>
      <c r="E364" s="2035"/>
      <c r="F364" s="2035"/>
      <c r="G364" s="2035"/>
      <c r="H364" s="2035"/>
    </row>
    <row r="365" spans="1:8">
      <c r="A365" s="2036" t="s">
        <v>1353</v>
      </c>
      <c r="B365" s="2035"/>
      <c r="C365" s="2035"/>
      <c r="D365" s="2035"/>
      <c r="E365" s="2035"/>
      <c r="F365" s="2035"/>
      <c r="G365" s="2035"/>
      <c r="H365" s="2035"/>
    </row>
    <row r="366" spans="1:8">
      <c r="A366" s="2035"/>
      <c r="B366" s="2035"/>
      <c r="C366" s="2035"/>
      <c r="D366" s="2035"/>
      <c r="E366" s="2035"/>
      <c r="F366" s="2035"/>
      <c r="G366" s="2035"/>
      <c r="H366" s="2035"/>
    </row>
    <row r="367" spans="1:8">
      <c r="A367" s="2036" t="s">
        <v>1311</v>
      </c>
      <c r="B367" s="2035"/>
      <c r="C367" s="2035"/>
      <c r="D367" s="2035"/>
      <c r="E367" s="2035"/>
      <c r="F367" s="2035"/>
      <c r="G367" s="2035"/>
      <c r="H367" s="2035"/>
    </row>
    <row r="368" spans="1:8">
      <c r="A368" s="2036" t="s">
        <v>1315</v>
      </c>
      <c r="B368" s="2035"/>
      <c r="C368" s="2035"/>
      <c r="D368" s="2035"/>
      <c r="E368" s="2035"/>
      <c r="F368" s="2035"/>
      <c r="G368" s="2035"/>
      <c r="H368" s="2035"/>
    </row>
    <row r="369" spans="1:8">
      <c r="A369" s="2036" t="s">
        <v>1316</v>
      </c>
      <c r="B369" s="2035"/>
      <c r="C369" s="2035"/>
      <c r="D369" s="2035"/>
      <c r="E369" s="2035"/>
      <c r="F369" s="2035"/>
      <c r="G369" s="2035"/>
      <c r="H369" s="2035"/>
    </row>
    <row r="370" spans="1:8">
      <c r="A370" s="2036" t="s">
        <v>1317</v>
      </c>
      <c r="B370" s="2035"/>
      <c r="C370" s="2035"/>
      <c r="D370" s="2035"/>
      <c r="E370" s="2035"/>
      <c r="F370" s="2035"/>
      <c r="G370" s="2035"/>
      <c r="H370" s="2035"/>
    </row>
    <row r="371" spans="1:8">
      <c r="A371" s="2036" t="s">
        <v>1318</v>
      </c>
      <c r="B371" s="2035"/>
      <c r="C371" s="2035"/>
      <c r="D371" s="2035"/>
      <c r="E371" s="2035"/>
      <c r="F371" s="2035"/>
      <c r="G371" s="2035"/>
      <c r="H371" s="2035"/>
    </row>
    <row r="372" spans="1:8">
      <c r="A372" s="2035"/>
      <c r="B372" s="2035"/>
      <c r="C372" s="2035"/>
      <c r="D372" s="2035"/>
      <c r="E372" s="2035"/>
      <c r="F372" s="2035"/>
      <c r="G372" s="2035"/>
      <c r="H372" s="2035"/>
    </row>
    <row r="373" spans="1:8">
      <c r="A373" s="2036" t="s">
        <v>1311</v>
      </c>
      <c r="B373" s="2035"/>
      <c r="C373" s="2035"/>
      <c r="D373" s="2035"/>
      <c r="E373" s="2035"/>
      <c r="F373" s="2035"/>
      <c r="G373" s="2035"/>
      <c r="H373" s="2035"/>
    </row>
    <row r="374" spans="1:8">
      <c r="A374" s="2036" t="s">
        <v>1312</v>
      </c>
      <c r="B374" s="2035"/>
      <c r="C374" s="2035"/>
      <c r="D374" s="2035"/>
      <c r="E374" s="2035"/>
      <c r="F374" s="2035"/>
      <c r="G374" s="2035"/>
      <c r="H374" s="2035"/>
    </row>
    <row r="375" spans="1:8">
      <c r="A375" s="2036" t="s">
        <v>1313</v>
      </c>
      <c r="B375" s="2035"/>
      <c r="C375" s="2035"/>
      <c r="D375" s="2035"/>
      <c r="E375" s="2035"/>
      <c r="F375" s="2035"/>
      <c r="G375" s="2035"/>
      <c r="H375" s="2035"/>
    </row>
    <row r="376" spans="1:8">
      <c r="A376" s="2036" t="s">
        <v>1314</v>
      </c>
      <c r="B376" s="2035"/>
      <c r="C376" s="2035"/>
      <c r="D376" s="2035"/>
      <c r="E376" s="2035"/>
      <c r="F376" s="2035"/>
      <c r="G376" s="2035"/>
      <c r="H376" s="2035"/>
    </row>
    <row r="377" spans="1:8">
      <c r="A377" s="2035"/>
      <c r="B377" s="2035"/>
      <c r="C377" s="2035"/>
      <c r="D377" s="2035"/>
      <c r="E377" s="2035"/>
      <c r="F377" s="2035"/>
      <c r="G377" s="2035"/>
      <c r="H377" s="2035"/>
    </row>
    <row r="378" spans="1:8">
      <c r="A378" s="2036" t="s">
        <v>1305</v>
      </c>
      <c r="B378" s="2035"/>
      <c r="C378" s="2035"/>
      <c r="D378" s="2035"/>
      <c r="E378" s="2035"/>
      <c r="F378" s="2035"/>
      <c r="G378" s="2035"/>
      <c r="H378" s="2035"/>
    </row>
    <row r="379" spans="1:8">
      <c r="A379" s="2036" t="s">
        <v>1306</v>
      </c>
      <c r="B379" s="2035"/>
      <c r="C379" s="2035"/>
      <c r="D379" s="2035"/>
      <c r="E379" s="2035"/>
      <c r="F379" s="2035"/>
      <c r="G379" s="2035"/>
      <c r="H379" s="2035"/>
    </row>
    <row r="380" spans="1:8">
      <c r="A380" s="2036" t="s">
        <v>1307</v>
      </c>
      <c r="B380" s="2035"/>
      <c r="C380" s="2035"/>
      <c r="D380" s="2035"/>
      <c r="E380" s="2035"/>
      <c r="F380" s="2035"/>
      <c r="G380" s="2035"/>
      <c r="H380" s="2035"/>
    </row>
    <row r="381" spans="1:8">
      <c r="A381" s="2036" t="s">
        <v>1308</v>
      </c>
      <c r="B381" s="2035"/>
      <c r="C381" s="2035"/>
      <c r="D381" s="2035"/>
      <c r="E381" s="2035"/>
      <c r="F381" s="2035"/>
      <c r="G381" s="2035"/>
      <c r="H381" s="2035"/>
    </row>
    <row r="382" spans="1:8">
      <c r="A382" s="2036" t="s">
        <v>1309</v>
      </c>
      <c r="B382" s="2035"/>
      <c r="C382" s="2035"/>
      <c r="D382" s="2035"/>
      <c r="E382" s="2035"/>
      <c r="F382" s="2035"/>
      <c r="G382" s="2035"/>
      <c r="H382" s="2035"/>
    </row>
    <row r="383" spans="1:8">
      <c r="A383" s="2036" t="s">
        <v>1310</v>
      </c>
      <c r="B383" s="2035"/>
      <c r="C383" s="2035"/>
      <c r="D383" s="2035"/>
      <c r="E383" s="2035"/>
      <c r="F383" s="2035"/>
      <c r="G383" s="2035"/>
      <c r="H383" s="2035"/>
    </row>
    <row r="384" spans="1:8">
      <c r="A384" s="2035"/>
      <c r="B384" s="2035"/>
      <c r="C384" s="2035"/>
      <c r="D384" s="2035"/>
      <c r="E384" s="2035"/>
      <c r="F384" s="2035"/>
      <c r="G384" s="2035"/>
      <c r="H384" s="2035"/>
    </row>
    <row r="385" spans="1:8">
      <c r="A385" s="2036" t="s">
        <v>1300</v>
      </c>
      <c r="B385" s="2035"/>
      <c r="C385" s="2035"/>
      <c r="D385" s="2035"/>
      <c r="E385" s="2035"/>
      <c r="F385" s="2035"/>
      <c r="G385" s="2035"/>
      <c r="H385" s="2035"/>
    </row>
    <row r="386" spans="1:8">
      <c r="A386" s="2036" t="s">
        <v>1301</v>
      </c>
      <c r="B386" s="2035"/>
      <c r="C386" s="2035"/>
      <c r="D386" s="2035"/>
      <c r="E386" s="2035"/>
      <c r="F386" s="2035"/>
      <c r="G386" s="2035"/>
      <c r="H386" s="2035"/>
    </row>
    <row r="387" spans="1:8">
      <c r="A387" s="2036" t="s">
        <v>1302</v>
      </c>
      <c r="B387" s="2035"/>
      <c r="C387" s="2035"/>
      <c r="D387" s="2035"/>
      <c r="E387" s="2035"/>
      <c r="F387" s="2035"/>
      <c r="G387" s="2035"/>
      <c r="H387" s="2035"/>
    </row>
    <row r="388" spans="1:8">
      <c r="A388" s="2036" t="s">
        <v>1303</v>
      </c>
      <c r="B388" s="2035"/>
      <c r="C388" s="2035"/>
      <c r="D388" s="2035"/>
      <c r="E388" s="2035"/>
      <c r="F388" s="2035"/>
      <c r="G388" s="2035"/>
      <c r="H388" s="2035"/>
    </row>
    <row r="389" spans="1:8">
      <c r="A389" s="2036" t="s">
        <v>1304</v>
      </c>
      <c r="B389" s="2035"/>
      <c r="C389" s="2035"/>
      <c r="D389" s="2035"/>
      <c r="E389" s="2035"/>
      <c r="F389" s="2035"/>
      <c r="G389" s="2035"/>
      <c r="H389" s="2035"/>
    </row>
    <row r="390" spans="1:8">
      <c r="A390" s="2035"/>
      <c r="B390" s="2035"/>
      <c r="C390" s="2035"/>
      <c r="D390" s="2035"/>
      <c r="E390" s="2035"/>
      <c r="F390" s="2035"/>
      <c r="G390" s="2035"/>
      <c r="H390" s="2035"/>
    </row>
    <row r="391" spans="1:8">
      <c r="A391" s="2036" t="s">
        <v>1298</v>
      </c>
      <c r="B391" s="2035"/>
      <c r="C391" s="2035"/>
      <c r="D391" s="2035"/>
      <c r="E391" s="2035"/>
      <c r="F391" s="2035"/>
      <c r="G391" s="2035"/>
      <c r="H391" s="2035"/>
    </row>
    <row r="392" spans="1:8">
      <c r="A392" s="2036" t="s">
        <v>1299</v>
      </c>
      <c r="B392" s="2035"/>
      <c r="C392" s="2035"/>
      <c r="D392" s="2035"/>
      <c r="E392" s="2035"/>
      <c r="F392" s="2035"/>
      <c r="G392" s="2035"/>
      <c r="H392" s="2035"/>
    </row>
    <row r="394" spans="1:8">
      <c r="A394" s="2031" t="s">
        <v>1556</v>
      </c>
    </row>
  </sheetData>
  <mergeCells count="12">
    <mergeCell ref="A135:H135"/>
    <mergeCell ref="A136:H136"/>
    <mergeCell ref="B128:C128"/>
    <mergeCell ref="D128:F128"/>
    <mergeCell ref="G128:H128"/>
    <mergeCell ref="A114:H114"/>
    <mergeCell ref="A115:H115"/>
    <mergeCell ref="A116:H116"/>
    <mergeCell ref="A117:H117"/>
    <mergeCell ref="A119:H119"/>
    <mergeCell ref="A120:H120"/>
    <mergeCell ref="A127:H127"/>
  </mergeCells>
  <pageMargins left="0.5" right="0.5" top="0.5" bottom="0.5" header="0.5" footer="0.5"/>
  <pageSetup orientation="portrait" horizontalDpi="300" verticalDpi="0" r:id="rId1"/>
  <headerFooter alignWithMargins="0"/>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enableFormatConditionsCalculation="0">
    <tabColor indexed="10"/>
    <pageSetUpPr autoPageBreaks="0" fitToPage="1"/>
  </sheetPr>
  <dimension ref="A1:EB391"/>
  <sheetViews>
    <sheetView zoomScaleNormal="100" workbookViewId="0">
      <pane xSplit="76" ySplit="7" topLeftCell="BY28" activePane="bottomRight" state="frozen"/>
      <selection pane="topRight" activeCell="BY1" sqref="BY1"/>
      <selection pane="bottomLeft" activeCell="A8" sqref="A8"/>
      <selection pane="bottomRight" activeCell="CL90" sqref="CL90"/>
    </sheetView>
  </sheetViews>
  <sheetFormatPr defaultRowHeight="12.75" outlineLevelRow="2" outlineLevelCol="2"/>
  <cols>
    <col min="1" max="1" width="28.42578125" style="656" customWidth="1"/>
    <col min="2" max="2" width="8.7109375" style="656" hidden="1" customWidth="1"/>
    <col min="3" max="5" width="8.7109375" style="656" hidden="1" customWidth="1" outlineLevel="1"/>
    <col min="6" max="10" width="8.7109375" style="656" hidden="1" customWidth="1" outlineLevel="2"/>
    <col min="11" max="11" width="8.7109375" style="656" hidden="1" customWidth="1" outlineLevel="1" collapsed="1"/>
    <col min="12" max="16" width="8.7109375" style="656" hidden="1" customWidth="1" outlineLevel="2"/>
    <col min="17" max="17" width="8.7109375" style="656" hidden="1" customWidth="1" outlineLevel="1" collapsed="1"/>
    <col min="18" max="22" width="8.7109375" style="656" hidden="1" customWidth="1" outlineLevel="2"/>
    <col min="23" max="23" width="8.7109375" style="656" hidden="1" customWidth="1" outlineLevel="1" collapsed="1"/>
    <col min="24" max="28" width="8.7109375" style="656" hidden="1" customWidth="1" outlineLevel="2"/>
    <col min="29" max="29" width="8.7109375" style="656" hidden="1" customWidth="1" outlineLevel="1" collapsed="1"/>
    <col min="30" max="30" width="8.7109375" style="656" hidden="1" customWidth="1"/>
    <col min="31" max="31" width="8.7109375" style="656" hidden="1" customWidth="1" outlineLevel="1"/>
    <col min="32" max="35" width="6.85546875" style="656" hidden="1" customWidth="1" outlineLevel="1"/>
    <col min="36" max="36" width="1.7109375" style="656" hidden="1" customWidth="1" outlineLevel="1"/>
    <col min="37" max="40" width="6.85546875" style="656" hidden="1" customWidth="1" outlineLevel="1"/>
    <col min="41" max="41" width="8.7109375" style="656" hidden="1" customWidth="1" collapsed="1"/>
    <col min="42" max="42" width="1.7109375" style="656" hidden="1" customWidth="1" outlineLevel="1"/>
    <col min="43" max="43" width="7.140625" style="656" hidden="1" customWidth="1" outlineLevel="1"/>
    <col min="44" max="47" width="6.85546875" style="656" hidden="1" customWidth="1" outlineLevel="1"/>
    <col min="48" max="48" width="1.140625" style="656" hidden="1" customWidth="1" collapsed="1"/>
    <col min="49" max="49" width="6.5703125" style="656" hidden="1" customWidth="1" outlineLevel="1"/>
    <col min="50" max="52" width="7.140625" style="656" hidden="1" customWidth="1" outlineLevel="1"/>
    <col min="53" max="53" width="7.140625" style="656" hidden="1" customWidth="1" collapsed="1"/>
    <col min="54" max="54" width="1.140625" style="656" hidden="1" customWidth="1"/>
    <col min="55" max="58" width="7" style="656" hidden="1" customWidth="1" outlineLevel="1"/>
    <col min="59" max="59" width="7" style="656" hidden="1" customWidth="1" collapsed="1"/>
    <col min="60" max="60" width="1.140625" style="656" hidden="1" customWidth="1"/>
    <col min="61" max="64" width="7" style="656" hidden="1" customWidth="1" outlineLevel="1"/>
    <col min="65" max="65" width="7" style="656" hidden="1" customWidth="1" collapsed="1"/>
    <col min="66" max="66" width="1.140625" style="656" hidden="1" customWidth="1"/>
    <col min="67" max="70" width="7" style="656" hidden="1" customWidth="1" outlineLevel="1"/>
    <col min="71" max="71" width="7" style="656" hidden="1" customWidth="1" collapsed="1"/>
    <col min="72" max="72" width="1.140625" style="656" hidden="1" customWidth="1"/>
    <col min="73" max="76" width="7" style="656" hidden="1" customWidth="1" outlineLevel="1"/>
    <col min="77" max="77" width="7" style="656" customWidth="1" collapsed="1"/>
    <col min="78" max="78" width="1.7109375" style="656" customWidth="1"/>
    <col min="79" max="79" width="6.42578125" style="656" hidden="1" customWidth="1" outlineLevel="1"/>
    <col min="80" max="82" width="7" style="656" hidden="1" customWidth="1" outlineLevel="1"/>
    <col min="83" max="83" width="6.7109375" style="656" customWidth="1" collapsed="1"/>
    <col min="84" max="84" width="1.7109375" style="656" customWidth="1"/>
    <col min="85" max="88" width="6.7109375" style="656" hidden="1" customWidth="1" outlineLevel="1"/>
    <col min="89" max="89" width="6.7109375" style="656" customWidth="1" collapsed="1"/>
    <col min="90" max="90" width="1.7109375" style="656" customWidth="1"/>
    <col min="91" max="91" width="6.7109375" style="656" hidden="1" customWidth="1" outlineLevel="1"/>
    <col min="92" max="92" width="7.85546875" style="656" hidden="1" customWidth="1" outlineLevel="1"/>
    <col min="93" max="94" width="6.7109375" style="656" hidden="1" customWidth="1" outlineLevel="1"/>
    <col min="95" max="95" width="6.85546875" style="656" customWidth="1" collapsed="1"/>
    <col min="96" max="96" width="1.7109375" style="656" customWidth="1"/>
    <col min="97" max="99" width="6.7109375" style="656" customWidth="1" outlineLevel="1"/>
    <col min="100" max="100" width="7.28515625" style="656" customWidth="1" outlineLevel="1"/>
    <col min="101" max="101" width="7.42578125" style="656" customWidth="1"/>
    <col min="102" max="102" width="1.7109375" style="656" customWidth="1"/>
    <col min="103" max="106" width="6.7109375" style="656" customWidth="1" outlineLevel="1"/>
    <col min="107" max="107" width="7.5703125" style="656" customWidth="1"/>
    <col min="108" max="108" width="1.7109375" style="656" customWidth="1"/>
    <col min="109" max="112" width="6.7109375" style="656" hidden="1" customWidth="1" outlineLevel="1"/>
    <col min="113" max="113" width="7.42578125" style="656" bestFit="1" customWidth="1" collapsed="1"/>
    <col min="114" max="114" width="1.7109375" style="656" customWidth="1"/>
    <col min="115" max="118" width="6.7109375" style="656" hidden="1" customWidth="1" outlineLevel="1"/>
    <col min="119" max="119" width="7.42578125" style="656" bestFit="1" customWidth="1" collapsed="1"/>
    <col min="120" max="120" width="6.7109375" style="656" customWidth="1"/>
    <col min="121" max="121" width="31.28515625" hidden="1" customWidth="1" outlineLevel="1"/>
    <col min="122" max="126" width="9.140625" hidden="1" customWidth="1" outlineLevel="1"/>
    <col min="127" max="127" width="20.5703125" style="656" bestFit="1" customWidth="1" collapsed="1"/>
    <col min="128" max="128" width="9.140625" style="656"/>
    <col min="129" max="129" width="12.7109375" style="656" customWidth="1"/>
    <col min="130" max="16384" width="9.140625" style="656"/>
  </cols>
  <sheetData>
    <row r="1" spans="1:126" ht="20.25">
      <c r="A1" s="678" t="s">
        <v>380</v>
      </c>
      <c r="B1" s="679"/>
      <c r="C1" s="680"/>
      <c r="D1" s="680"/>
      <c r="E1" s="681"/>
      <c r="F1" s="680"/>
      <c r="G1" s="680"/>
      <c r="H1" s="680"/>
      <c r="I1" s="680"/>
      <c r="J1" s="680"/>
      <c r="K1" s="681"/>
      <c r="L1" s="680"/>
      <c r="M1" s="680"/>
      <c r="N1" s="680"/>
      <c r="O1" s="680"/>
      <c r="P1" s="680"/>
      <c r="Q1" s="682"/>
      <c r="R1" s="683"/>
      <c r="S1" s="683"/>
      <c r="T1" s="683"/>
      <c r="U1" s="683"/>
      <c r="V1" s="683"/>
      <c r="W1" s="684"/>
      <c r="X1" s="683"/>
      <c r="Y1" s="685"/>
      <c r="Z1" s="683"/>
      <c r="AA1" s="683"/>
      <c r="AB1" s="683"/>
      <c r="AC1" s="684"/>
      <c r="AD1" s="683"/>
      <c r="AE1" s="683"/>
      <c r="AF1" s="686"/>
      <c r="AG1" s="687"/>
      <c r="AH1" s="683"/>
      <c r="AI1" s="684"/>
      <c r="AJ1" s="683"/>
      <c r="AK1" s="683"/>
      <c r="AL1" s="683"/>
      <c r="AM1" s="683"/>
      <c r="AN1" s="683"/>
      <c r="AO1" s="684"/>
      <c r="AP1" s="683"/>
      <c r="AQ1" s="686"/>
      <c r="AR1" s="682"/>
      <c r="AS1" s="683"/>
      <c r="AT1" s="688"/>
      <c r="AU1" s="684"/>
      <c r="AV1" s="683"/>
      <c r="AW1" s="683"/>
      <c r="AX1" s="683"/>
      <c r="AY1" s="683"/>
      <c r="AZ1" s="683"/>
      <c r="BA1" s="684"/>
      <c r="BB1" s="683"/>
      <c r="BC1" s="689"/>
      <c r="BD1" s="689"/>
      <c r="BE1" s="689"/>
      <c r="BF1" s="689"/>
      <c r="BG1" s="689"/>
      <c r="BH1" s="683"/>
      <c r="BI1" s="683"/>
      <c r="BJ1" s="683"/>
      <c r="BK1" s="683"/>
      <c r="BL1" s="683"/>
      <c r="BM1" s="690"/>
      <c r="BN1" s="683"/>
      <c r="BO1" s="683"/>
      <c r="BP1" s="683"/>
      <c r="BQ1" s="683"/>
      <c r="BR1" s="683"/>
      <c r="BS1" s="1594"/>
      <c r="BT1" s="683"/>
      <c r="BU1" s="1594"/>
      <c r="BV1" s="1594"/>
      <c r="BW1" s="1594"/>
      <c r="BX1" s="1594"/>
      <c r="BY1" s="1594"/>
      <c r="BZ1" s="683"/>
      <c r="CA1" s="1594"/>
      <c r="CB1" s="1627"/>
      <c r="CC1" s="1626"/>
      <c r="CD1" s="1594"/>
      <c r="CE1" s="1782"/>
      <c r="CF1" s="691"/>
      <c r="CG1" s="1920"/>
      <c r="CH1" s="691"/>
      <c r="CI1" s="1921"/>
      <c r="CJ1" s="691"/>
      <c r="CK1" s="1920"/>
      <c r="CL1" s="683"/>
      <c r="CM1" s="683"/>
      <c r="CN1" s="683"/>
      <c r="CO1" s="683"/>
      <c r="CP1" s="683"/>
      <c r="CQ1" s="690"/>
      <c r="CR1" s="690"/>
      <c r="CS1" s="1912"/>
      <c r="CT1" s="1912"/>
      <c r="CU1" s="1912"/>
      <c r="CV1" s="1912"/>
      <c r="CW1" s="1912"/>
      <c r="CX1" s="690"/>
      <c r="CY1" s="1912"/>
      <c r="CZ1" s="1912"/>
      <c r="DA1" s="1912"/>
      <c r="DB1" s="1912"/>
      <c r="DC1" s="1912"/>
      <c r="DD1" s="1912"/>
      <c r="DE1" s="1912"/>
      <c r="DF1" s="1912"/>
      <c r="DG1" s="1912"/>
      <c r="DH1" s="1912"/>
      <c r="DI1" s="1912"/>
      <c r="DJ1" s="1912"/>
      <c r="DK1" s="1912"/>
      <c r="DL1" s="1912"/>
      <c r="DM1" s="1912"/>
      <c r="DN1" s="1912"/>
      <c r="DO1" s="1912"/>
      <c r="DP1" s="1911"/>
    </row>
    <row r="2" spans="1:126" ht="20.25">
      <c r="A2" s="692" t="s">
        <v>85</v>
      </c>
      <c r="B2" s="693"/>
      <c r="C2" s="694"/>
      <c r="D2" s="694"/>
      <c r="E2" s="694"/>
      <c r="F2" s="695"/>
      <c r="G2" s="696"/>
      <c r="H2" s="696"/>
      <c r="I2" s="696"/>
      <c r="J2" s="696"/>
      <c r="K2" s="697"/>
      <c r="L2" s="695"/>
      <c r="M2" s="698"/>
      <c r="N2" s="698"/>
      <c r="O2" s="698"/>
      <c r="P2" s="698"/>
      <c r="Q2" s="699"/>
      <c r="R2" s="698"/>
      <c r="S2" s="700"/>
      <c r="T2" s="701"/>
      <c r="U2" s="698"/>
      <c r="V2" s="702"/>
      <c r="W2" s="703"/>
      <c r="X2" s="698"/>
      <c r="Y2" s="701"/>
      <c r="Z2" s="698"/>
      <c r="AA2" s="698"/>
      <c r="AB2" s="704"/>
      <c r="AC2" s="701"/>
      <c r="AD2" s="698"/>
      <c r="AE2" s="698"/>
      <c r="AF2" s="705"/>
      <c r="AG2" s="706"/>
      <c r="AH2" s="698"/>
      <c r="AI2" s="707"/>
      <c r="AJ2" s="698"/>
      <c r="AK2" s="698"/>
      <c r="AL2" s="698"/>
      <c r="AM2" s="698"/>
      <c r="AN2" s="708"/>
      <c r="AO2" s="709"/>
      <c r="AP2" s="698"/>
      <c r="AQ2" s="698"/>
      <c r="AR2" s="698"/>
      <c r="AS2" s="710"/>
      <c r="AT2" s="708"/>
      <c r="AU2" s="709"/>
      <c r="AV2" s="698"/>
      <c r="AW2" s="702"/>
      <c r="AX2" s="698"/>
      <c r="AY2" s="698">
        <f>17+9+4+7</f>
        <v>37</v>
      </c>
      <c r="AZ2" s="698"/>
      <c r="BA2" s="701"/>
      <c r="BB2" s="698"/>
      <c r="BC2" s="698"/>
      <c r="BD2" s="698"/>
      <c r="BE2" s="698"/>
      <c r="BF2" s="698"/>
      <c r="BG2" s="698"/>
      <c r="BH2" s="698"/>
      <c r="BI2" s="711"/>
      <c r="BJ2" s="698"/>
      <c r="BK2" s="698"/>
      <c r="BL2" s="698"/>
      <c r="BM2" s="698"/>
      <c r="BN2" s="698"/>
      <c r="BO2" s="698"/>
      <c r="BP2" s="698"/>
      <c r="BQ2" s="698"/>
      <c r="BR2" s="698"/>
      <c r="BS2" s="698"/>
      <c r="BT2" s="698"/>
      <c r="BU2" s="698"/>
      <c r="BV2" s="698"/>
      <c r="BW2" s="698"/>
      <c r="BX2" s="698"/>
      <c r="BY2" s="698"/>
      <c r="BZ2" s="698"/>
      <c r="CA2" s="712"/>
      <c r="CB2" s="698"/>
      <c r="CC2" s="1607"/>
      <c r="CD2" s="1632"/>
      <c r="CE2" s="1596"/>
      <c r="CF2" s="698"/>
      <c r="CG2" s="1628"/>
      <c r="CH2" s="698"/>
      <c r="CI2" s="698"/>
      <c r="CJ2" s="698"/>
      <c r="CK2" s="1596"/>
      <c r="CL2" s="698"/>
      <c r="CM2" s="698"/>
      <c r="CN2" s="698"/>
      <c r="CO2" s="698"/>
      <c r="CP2" s="698"/>
      <c r="CQ2" s="698"/>
      <c r="CR2" s="698"/>
      <c r="CS2" s="1935"/>
      <c r="CT2" s="698"/>
      <c r="CU2" s="698"/>
      <c r="CV2" s="698"/>
      <c r="CW2" s="1952"/>
      <c r="CX2" s="698"/>
      <c r="CY2" s="1912"/>
      <c r="CZ2" s="1912"/>
      <c r="DA2" s="1912"/>
      <c r="DB2" s="1912"/>
      <c r="DC2" s="1912"/>
      <c r="DD2" s="698"/>
      <c r="DE2" s="1912"/>
      <c r="DF2" s="1912"/>
      <c r="DG2" s="1912"/>
      <c r="DH2" s="1912"/>
      <c r="DI2" s="1912"/>
      <c r="DJ2" s="698"/>
      <c r="DK2" s="1912"/>
      <c r="DL2" s="1912"/>
      <c r="DM2" s="1912"/>
      <c r="DN2" s="1912"/>
      <c r="DO2" s="1912"/>
      <c r="DP2" s="548"/>
    </row>
    <row r="3" spans="1:126" customFormat="1" ht="12" hidden="1" customHeight="1" outlineLevel="1"/>
    <row r="4" spans="1:126" collapsed="1">
      <c r="A4" s="1706" t="s">
        <v>151</v>
      </c>
      <c r="B4" s="1707"/>
      <c r="C4" s="1708"/>
      <c r="D4" s="1708"/>
      <c r="E4" s="1708"/>
      <c r="F4" s="1708"/>
      <c r="G4" s="1708"/>
      <c r="H4" s="1708"/>
      <c r="I4" s="1708"/>
      <c r="J4" s="1708"/>
      <c r="K4" s="1708"/>
      <c r="L4" s="1708"/>
      <c r="M4" s="1708"/>
      <c r="N4" s="1708"/>
      <c r="O4" s="1708"/>
      <c r="P4" s="1708"/>
      <c r="Q4" s="1708"/>
      <c r="R4" s="1708"/>
      <c r="S4" s="1708"/>
      <c r="T4" s="1708"/>
      <c r="U4" s="1708"/>
      <c r="V4" s="1708"/>
      <c r="W4" s="1708"/>
      <c r="X4" s="1708"/>
      <c r="Y4" s="1708"/>
      <c r="Z4" s="1708"/>
      <c r="AA4" s="1708"/>
      <c r="AB4" s="1708"/>
      <c r="AC4" s="1708"/>
      <c r="AD4" s="1708"/>
      <c r="AE4" s="1708"/>
      <c r="AF4" s="1708"/>
      <c r="AG4" s="1708"/>
      <c r="AH4" s="1708"/>
      <c r="AI4" s="1708"/>
      <c r="AJ4" s="1708"/>
      <c r="AK4" s="1708"/>
      <c r="AL4" s="1708"/>
      <c r="AM4" s="1708"/>
      <c r="AN4" s="1708"/>
      <c r="AO4" s="1708"/>
      <c r="AP4" s="1708"/>
      <c r="AQ4" s="1708"/>
      <c r="AR4" s="1708"/>
      <c r="AS4" s="1708"/>
      <c r="AT4" s="1708"/>
      <c r="AU4" s="1708"/>
      <c r="AV4" s="1708"/>
      <c r="AW4" s="1708"/>
      <c r="AX4" s="1708"/>
      <c r="AY4" s="1708"/>
      <c r="AZ4" s="1708"/>
      <c r="BA4" s="1708"/>
      <c r="BB4" s="1708"/>
      <c r="BC4" s="1708"/>
      <c r="BD4" s="1708"/>
      <c r="BE4" s="1708"/>
      <c r="BF4" s="1708"/>
      <c r="BG4" s="1708"/>
      <c r="BH4" s="1708"/>
      <c r="BI4" s="1709"/>
      <c r="BJ4" s="1708"/>
      <c r="BK4" s="1708"/>
      <c r="BL4" s="1708"/>
      <c r="BM4" s="1708"/>
      <c r="BN4" s="1708"/>
      <c r="BO4" s="1708"/>
      <c r="BP4" s="1708"/>
      <c r="BQ4" s="1708"/>
      <c r="BR4" s="1708"/>
      <c r="BS4" s="1708"/>
      <c r="BT4" s="1708"/>
      <c r="BU4" s="1708"/>
      <c r="BV4" s="1708"/>
      <c r="BW4" s="1708"/>
      <c r="BX4" s="1708"/>
      <c r="BY4" s="1708"/>
      <c r="BZ4" s="1708"/>
      <c r="CA4" s="1708"/>
      <c r="CB4" s="1708"/>
      <c r="CC4" s="1708"/>
      <c r="CD4" s="1708"/>
      <c r="CE4" s="1708"/>
      <c r="CF4" s="1708"/>
      <c r="CG4" s="1708"/>
      <c r="CH4" s="1708"/>
      <c r="CI4" s="1708"/>
      <c r="CJ4" s="1708"/>
      <c r="CK4" s="1708"/>
      <c r="CL4" s="1708"/>
      <c r="CM4" s="1708"/>
      <c r="CN4" s="1708"/>
      <c r="CO4" s="1708"/>
      <c r="CP4" s="1708"/>
      <c r="CQ4" s="1708"/>
      <c r="CR4" s="1708"/>
      <c r="CS4" s="1708"/>
      <c r="CT4" s="1708"/>
      <c r="CU4" s="1708"/>
      <c r="CV4" s="1708"/>
      <c r="CW4" s="1708"/>
      <c r="CX4" s="1708"/>
      <c r="CY4" s="1708"/>
      <c r="CZ4" s="1708"/>
      <c r="DA4" s="1708"/>
      <c r="DB4" s="1708"/>
      <c r="DC4" s="1708"/>
      <c r="DD4" s="1708"/>
      <c r="DE4" s="1708"/>
      <c r="DF4" s="1708"/>
      <c r="DG4" s="1708"/>
      <c r="DH4" s="1708"/>
      <c r="DI4" s="1710"/>
      <c r="DJ4" s="1708"/>
      <c r="DK4" s="1708"/>
      <c r="DL4" s="1708"/>
      <c r="DM4" s="1708"/>
      <c r="DN4" s="1708"/>
      <c r="DO4" s="1710"/>
      <c r="DP4" s="916"/>
    </row>
    <row r="5" spans="1:126" ht="11.25" hidden="1" customHeight="1" outlineLevel="1">
      <c r="A5" s="1711" t="s">
        <v>522</v>
      </c>
      <c r="B5" s="238"/>
      <c r="C5" s="238" t="s">
        <v>612</v>
      </c>
      <c r="D5" s="238" t="s">
        <v>613</v>
      </c>
      <c r="E5" s="238" t="s">
        <v>834</v>
      </c>
      <c r="F5" s="238"/>
      <c r="G5" s="238" t="s">
        <v>614</v>
      </c>
      <c r="H5" s="238" t="s">
        <v>615</v>
      </c>
      <c r="I5" s="238" t="s">
        <v>616</v>
      </c>
      <c r="J5" s="238" t="s">
        <v>617</v>
      </c>
      <c r="K5" s="238" t="s">
        <v>144</v>
      </c>
      <c r="L5" s="238"/>
      <c r="M5" s="238" t="s">
        <v>835</v>
      </c>
      <c r="N5" s="238" t="s">
        <v>836</v>
      </c>
      <c r="O5" s="238" t="s">
        <v>837</v>
      </c>
      <c r="P5" s="238" t="s">
        <v>143</v>
      </c>
      <c r="Q5" s="238" t="s">
        <v>149</v>
      </c>
      <c r="R5" s="238"/>
      <c r="S5" s="238" t="s">
        <v>145</v>
      </c>
      <c r="T5" s="238" t="s">
        <v>146</v>
      </c>
      <c r="U5" s="238" t="s">
        <v>147</v>
      </c>
      <c r="V5" s="238" t="s">
        <v>148</v>
      </c>
      <c r="W5" s="238" t="s">
        <v>749</v>
      </c>
      <c r="X5" s="238"/>
      <c r="Y5" s="238" t="s">
        <v>745</v>
      </c>
      <c r="Z5" s="238" t="s">
        <v>746</v>
      </c>
      <c r="AA5" s="238" t="s">
        <v>747</v>
      </c>
      <c r="AB5" s="238" t="s">
        <v>748</v>
      </c>
      <c r="AC5" s="238" t="s">
        <v>843</v>
      </c>
      <c r="AD5" s="238"/>
      <c r="AE5" s="238" t="s">
        <v>844</v>
      </c>
      <c r="AF5" s="238" t="s">
        <v>845</v>
      </c>
      <c r="AG5" s="238" t="s">
        <v>846</v>
      </c>
      <c r="AH5" s="238" t="s">
        <v>847</v>
      </c>
      <c r="AI5" s="238" t="s">
        <v>848</v>
      </c>
      <c r="AJ5" s="238"/>
      <c r="AK5" s="238" t="s">
        <v>1004</v>
      </c>
      <c r="AL5" s="238" t="s">
        <v>1005</v>
      </c>
      <c r="AM5" s="238" t="s">
        <v>1006</v>
      </c>
      <c r="AN5" s="238" t="s">
        <v>1007</v>
      </c>
      <c r="AO5" s="238" t="s">
        <v>1008</v>
      </c>
      <c r="AP5" s="238"/>
      <c r="AQ5" s="238" t="s">
        <v>55</v>
      </c>
      <c r="AR5" s="238" t="s">
        <v>56</v>
      </c>
      <c r="AS5" s="238" t="s">
        <v>57</v>
      </c>
      <c r="AT5" s="238" t="s">
        <v>58</v>
      </c>
      <c r="AU5" s="238" t="s">
        <v>59</v>
      </c>
      <c r="AV5" s="238"/>
      <c r="AW5" s="238" t="s">
        <v>909</v>
      </c>
      <c r="AX5" s="238" t="s">
        <v>910</v>
      </c>
      <c r="AY5" s="238" t="s">
        <v>911</v>
      </c>
      <c r="AZ5" s="238" t="s">
        <v>912</v>
      </c>
      <c r="BA5" s="238" t="s">
        <v>913</v>
      </c>
      <c r="BB5" s="238"/>
      <c r="BC5" s="238" t="s">
        <v>35</v>
      </c>
      <c r="BD5" s="238" t="s">
        <v>36</v>
      </c>
      <c r="BE5" s="238" t="s">
        <v>407</v>
      </c>
      <c r="BF5" s="238" t="s">
        <v>408</v>
      </c>
      <c r="BG5" s="238" t="s">
        <v>409</v>
      </c>
      <c r="BH5" s="238"/>
      <c r="BI5" s="238" t="s">
        <v>411</v>
      </c>
      <c r="BJ5" s="238" t="s">
        <v>412</v>
      </c>
      <c r="BK5" s="238" t="s">
        <v>413</v>
      </c>
      <c r="BL5" s="238" t="s">
        <v>414</v>
      </c>
      <c r="BM5" s="238" t="s">
        <v>410</v>
      </c>
      <c r="BN5" s="238"/>
      <c r="BO5" s="238" t="s">
        <v>263</v>
      </c>
      <c r="BP5" s="238" t="s">
        <v>264</v>
      </c>
      <c r="BQ5" s="238" t="s">
        <v>265</v>
      </c>
      <c r="BR5" s="238" t="s">
        <v>266</v>
      </c>
      <c r="BS5" s="238" t="s">
        <v>267</v>
      </c>
      <c r="BT5" s="238"/>
      <c r="BU5" s="238" t="s">
        <v>512</v>
      </c>
      <c r="BV5" s="238" t="s">
        <v>513</v>
      </c>
      <c r="BW5" s="238" t="s">
        <v>514</v>
      </c>
      <c r="BX5" s="238" t="s">
        <v>515</v>
      </c>
      <c r="BY5" s="238" t="s">
        <v>516</v>
      </c>
      <c r="BZ5" s="238"/>
      <c r="CA5" s="238" t="s">
        <v>172</v>
      </c>
      <c r="CB5" s="238" t="s">
        <v>173</v>
      </c>
      <c r="CC5" s="238" t="s">
        <v>174</v>
      </c>
      <c r="CD5" s="238" t="s">
        <v>175</v>
      </c>
      <c r="CE5" s="238" t="s">
        <v>170</v>
      </c>
      <c r="CF5" s="238"/>
      <c r="CG5" s="238" t="s">
        <v>553</v>
      </c>
      <c r="CH5" s="238" t="s">
        <v>554</v>
      </c>
      <c r="CI5" s="238" t="s">
        <v>555</v>
      </c>
      <c r="CJ5" s="238" t="s">
        <v>556</v>
      </c>
      <c r="CK5" s="238" t="s">
        <v>552</v>
      </c>
      <c r="CL5" s="238"/>
      <c r="CM5" s="238" t="s">
        <v>1031</v>
      </c>
      <c r="CN5" s="238" t="s">
        <v>1032</v>
      </c>
      <c r="CO5" s="238" t="s">
        <v>1033</v>
      </c>
      <c r="CP5" s="238" t="s">
        <v>1034</v>
      </c>
      <c r="CQ5" s="238" t="s">
        <v>1035</v>
      </c>
      <c r="CR5" s="238"/>
      <c r="CS5" s="238" t="s">
        <v>1058</v>
      </c>
      <c r="CT5" s="238" t="s">
        <v>1059</v>
      </c>
      <c r="CU5" s="238" t="s">
        <v>1060</v>
      </c>
      <c r="CV5" s="238" t="s">
        <v>1061</v>
      </c>
      <c r="CW5" s="238" t="s">
        <v>1057</v>
      </c>
      <c r="CX5" s="238"/>
      <c r="CY5" s="238" t="s">
        <v>1109</v>
      </c>
      <c r="CZ5" s="238" t="s">
        <v>1110</v>
      </c>
      <c r="DA5" s="238" t="s">
        <v>1111</v>
      </c>
      <c r="DB5" s="238" t="s">
        <v>1112</v>
      </c>
      <c r="DC5" s="238" t="s">
        <v>1113</v>
      </c>
      <c r="DD5" s="238"/>
      <c r="DE5" s="238" t="s">
        <v>1187</v>
      </c>
      <c r="DF5" s="238" t="s">
        <v>1188</v>
      </c>
      <c r="DG5" s="238" t="s">
        <v>1189</v>
      </c>
      <c r="DH5" s="238" t="s">
        <v>1190</v>
      </c>
      <c r="DI5" s="1712" t="s">
        <v>1191</v>
      </c>
      <c r="DJ5" s="238"/>
      <c r="DK5" s="238" t="s">
        <v>1239</v>
      </c>
      <c r="DL5" s="238" t="s">
        <v>1240</v>
      </c>
      <c r="DM5" s="238" t="s">
        <v>1241</v>
      </c>
      <c r="DN5" s="238" t="s">
        <v>1242</v>
      </c>
      <c r="DO5" s="1712" t="s">
        <v>1243</v>
      </c>
      <c r="DP5" s="917"/>
    </row>
    <row r="6" spans="1:126" ht="11.25" customHeight="1" collapsed="1">
      <c r="A6" s="1713"/>
      <c r="B6" s="240"/>
      <c r="C6" s="241" t="s">
        <v>68</v>
      </c>
      <c r="D6" s="241"/>
      <c r="E6" s="241"/>
      <c r="F6" s="242"/>
      <c r="G6" s="243">
        <v>2003</v>
      </c>
      <c r="H6" s="241"/>
      <c r="I6" s="244"/>
      <c r="J6" s="241"/>
      <c r="K6" s="241"/>
      <c r="L6" s="242"/>
      <c r="M6" s="244" t="s">
        <v>842</v>
      </c>
      <c r="N6" s="241"/>
      <c r="O6" s="244"/>
      <c r="P6" s="241"/>
      <c r="Q6" s="241"/>
      <c r="R6" s="242"/>
      <c r="S6" s="244" t="s">
        <v>906</v>
      </c>
      <c r="T6" s="241"/>
      <c r="U6" s="244"/>
      <c r="V6" s="241"/>
      <c r="W6" s="241"/>
      <c r="X6" s="242"/>
      <c r="Y6" s="243">
        <v>2006</v>
      </c>
      <c r="Z6" s="241"/>
      <c r="AA6" s="244"/>
      <c r="AB6" s="241"/>
      <c r="AC6" s="241"/>
      <c r="AD6" s="241"/>
      <c r="AE6" s="240">
        <v>2007</v>
      </c>
      <c r="AF6" s="241"/>
      <c r="AG6" s="244"/>
      <c r="AH6" s="241"/>
      <c r="AI6" s="241"/>
      <c r="AJ6" s="241"/>
      <c r="AK6" s="240">
        <v>2008</v>
      </c>
      <c r="AL6" s="241"/>
      <c r="AM6" s="244"/>
      <c r="AN6" s="241"/>
      <c r="AO6" s="241"/>
      <c r="AP6" s="241"/>
      <c r="AQ6" s="243">
        <v>2009</v>
      </c>
      <c r="AR6" s="241"/>
      <c r="AS6" s="244"/>
      <c r="AT6" s="241"/>
      <c r="AU6" s="241"/>
      <c r="AV6" s="241"/>
      <c r="AW6" s="243">
        <v>2010</v>
      </c>
      <c r="AX6" s="241"/>
      <c r="AY6" s="245"/>
      <c r="AZ6" s="244"/>
      <c r="BA6" s="654"/>
      <c r="BB6" s="241"/>
      <c r="BC6" s="243">
        <v>2011</v>
      </c>
      <c r="BD6" s="241"/>
      <c r="BE6" s="244"/>
      <c r="BF6" s="241"/>
      <c r="BG6" s="247"/>
      <c r="BH6" s="241"/>
      <c r="BI6" s="248">
        <v>2012</v>
      </c>
      <c r="BJ6" s="249"/>
      <c r="BK6" s="249"/>
      <c r="BL6" s="249"/>
      <c r="BM6" s="654"/>
      <c r="BN6" s="241"/>
      <c r="BO6" s="248">
        <v>2013</v>
      </c>
      <c r="BP6" s="249"/>
      <c r="BQ6" s="249"/>
      <c r="BR6" s="249"/>
      <c r="BS6" s="250"/>
      <c r="BT6" s="241"/>
      <c r="BU6" s="248">
        <v>2014</v>
      </c>
      <c r="BV6" s="249"/>
      <c r="BW6" s="249"/>
      <c r="BX6" s="249"/>
      <c r="BY6" s="250"/>
      <c r="BZ6" s="241"/>
      <c r="CA6" s="2026">
        <v>2015</v>
      </c>
      <c r="CB6" s="2026"/>
      <c r="CC6" s="2026"/>
      <c r="CD6" s="2026"/>
      <c r="CE6" s="250"/>
      <c r="CF6" s="1714"/>
      <c r="CG6" s="2026">
        <v>2016</v>
      </c>
      <c r="CH6" s="2026"/>
      <c r="CI6" s="2026"/>
      <c r="CJ6" s="2026"/>
      <c r="CK6" s="1680"/>
      <c r="CL6" s="241"/>
      <c r="CM6" s="2026">
        <v>2017</v>
      </c>
      <c r="CN6" s="2026"/>
      <c r="CO6" s="2026"/>
      <c r="CP6" s="2026"/>
      <c r="CQ6" s="250"/>
      <c r="CR6" s="241"/>
      <c r="CS6" s="2026">
        <v>2018</v>
      </c>
      <c r="CT6" s="2026"/>
      <c r="CU6" s="2026"/>
      <c r="CV6" s="2026"/>
      <c r="CW6" s="250"/>
      <c r="CX6" s="241"/>
      <c r="CY6" s="2026" t="s">
        <v>1103</v>
      </c>
      <c r="CZ6" s="2026"/>
      <c r="DA6" s="2026"/>
      <c r="DB6" s="2026"/>
      <c r="DC6" s="250"/>
      <c r="DD6" s="250"/>
      <c r="DE6" s="2026" t="s">
        <v>1182</v>
      </c>
      <c r="DF6" s="2026"/>
      <c r="DG6" s="2026"/>
      <c r="DH6" s="2026"/>
      <c r="DI6" s="1715"/>
      <c r="DJ6" s="250"/>
      <c r="DK6" s="2026" t="s">
        <v>1238</v>
      </c>
      <c r="DL6" s="2026"/>
      <c r="DM6" s="2026"/>
      <c r="DN6" s="2026"/>
      <c r="DO6" s="1715"/>
      <c r="DP6" s="852"/>
    </row>
    <row r="7" spans="1:126">
      <c r="A7" s="251"/>
      <c r="B7" s="252"/>
      <c r="C7" s="252" t="s">
        <v>863</v>
      </c>
      <c r="D7" s="252" t="s">
        <v>864</v>
      </c>
      <c r="E7" s="252" t="s">
        <v>865</v>
      </c>
      <c r="F7" s="252"/>
      <c r="G7" s="252" t="s">
        <v>867</v>
      </c>
      <c r="H7" s="252" t="s">
        <v>652</v>
      </c>
      <c r="I7" s="252" t="s">
        <v>653</v>
      </c>
      <c r="J7" s="252" t="s">
        <v>654</v>
      </c>
      <c r="K7" s="252" t="s">
        <v>866</v>
      </c>
      <c r="L7" s="252"/>
      <c r="M7" s="252" t="s">
        <v>655</v>
      </c>
      <c r="N7" s="252" t="s">
        <v>838</v>
      </c>
      <c r="O7" s="252" t="s">
        <v>839</v>
      </c>
      <c r="P7" s="252" t="s">
        <v>840</v>
      </c>
      <c r="Q7" s="252" t="s">
        <v>841</v>
      </c>
      <c r="R7" s="252"/>
      <c r="S7" s="252" t="s">
        <v>683</v>
      </c>
      <c r="T7" s="252" t="s">
        <v>591</v>
      </c>
      <c r="U7" s="252" t="s">
        <v>421</v>
      </c>
      <c r="V7" s="252" t="s">
        <v>255</v>
      </c>
      <c r="W7" s="252" t="s">
        <v>64</v>
      </c>
      <c r="X7" s="252"/>
      <c r="Y7" s="252" t="s">
        <v>348</v>
      </c>
      <c r="Z7" s="252" t="s">
        <v>325</v>
      </c>
      <c r="AA7" s="252" t="s">
        <v>728</v>
      </c>
      <c r="AB7" s="252" t="s">
        <v>548</v>
      </c>
      <c r="AC7" s="252" t="s">
        <v>65</v>
      </c>
      <c r="AD7" s="252"/>
      <c r="AE7" s="252" t="s">
        <v>32</v>
      </c>
      <c r="AF7" s="252" t="s">
        <v>349</v>
      </c>
      <c r="AG7" s="252" t="s">
        <v>814</v>
      </c>
      <c r="AH7" s="252" t="s">
        <v>642</v>
      </c>
      <c r="AI7" s="253" t="s">
        <v>66</v>
      </c>
      <c r="AJ7" s="252"/>
      <c r="AK7" s="252" t="s">
        <v>430</v>
      </c>
      <c r="AL7" s="252" t="s">
        <v>907</v>
      </c>
      <c r="AM7" s="252" t="s">
        <v>123</v>
      </c>
      <c r="AN7" s="252" t="s">
        <v>126</v>
      </c>
      <c r="AO7" s="253" t="s">
        <v>229</v>
      </c>
      <c r="AP7" s="252"/>
      <c r="AQ7" s="252" t="s">
        <v>382</v>
      </c>
      <c r="AR7" s="252" t="s">
        <v>426</v>
      </c>
      <c r="AS7" s="252" t="s">
        <v>585</v>
      </c>
      <c r="AT7" s="252" t="s">
        <v>476</v>
      </c>
      <c r="AU7" s="253" t="s">
        <v>760</v>
      </c>
      <c r="AV7" s="252"/>
      <c r="AW7" s="252" t="s">
        <v>306</v>
      </c>
      <c r="AX7" s="252" t="s">
        <v>352</v>
      </c>
      <c r="AY7" s="252" t="s">
        <v>31</v>
      </c>
      <c r="AZ7" s="252" t="s">
        <v>262</v>
      </c>
      <c r="BA7" s="253" t="s">
        <v>483</v>
      </c>
      <c r="BB7" s="254"/>
      <c r="BC7" s="252" t="s">
        <v>16</v>
      </c>
      <c r="BD7" s="252" t="s">
        <v>868</v>
      </c>
      <c r="BE7" s="252" t="s">
        <v>309</v>
      </c>
      <c r="BF7" s="252" t="s">
        <v>422</v>
      </c>
      <c r="BG7" s="253" t="s">
        <v>206</v>
      </c>
      <c r="BH7" s="254"/>
      <c r="BI7" s="252" t="s">
        <v>896</v>
      </c>
      <c r="BJ7" s="252" t="s">
        <v>916</v>
      </c>
      <c r="BK7" s="252" t="s">
        <v>928</v>
      </c>
      <c r="BL7" s="252" t="s">
        <v>184</v>
      </c>
      <c r="BM7" s="254" t="s">
        <v>435</v>
      </c>
      <c r="BN7" s="252"/>
      <c r="BO7" s="252" t="s">
        <v>223</v>
      </c>
      <c r="BP7" s="252" t="s">
        <v>708</v>
      </c>
      <c r="BQ7" s="252" t="s">
        <v>487</v>
      </c>
      <c r="BR7" s="252" t="s">
        <v>583</v>
      </c>
      <c r="BS7" s="253" t="s">
        <v>368</v>
      </c>
      <c r="BT7" s="254"/>
      <c r="BU7" s="252" t="s">
        <v>725</v>
      </c>
      <c r="BV7" s="252" t="s">
        <v>957</v>
      </c>
      <c r="BW7" s="252" t="s">
        <v>810</v>
      </c>
      <c r="BX7" s="252" t="s">
        <v>1021</v>
      </c>
      <c r="BY7" s="253" t="s">
        <v>17</v>
      </c>
      <c r="BZ7" s="254"/>
      <c r="CA7" s="252" t="s">
        <v>1036</v>
      </c>
      <c r="CB7" s="252" t="s">
        <v>1046</v>
      </c>
      <c r="CC7" s="252" t="s">
        <v>1049</v>
      </c>
      <c r="CD7" s="252" t="s">
        <v>1069</v>
      </c>
      <c r="CE7" s="253" t="s">
        <v>1016</v>
      </c>
      <c r="CF7" s="254"/>
      <c r="CG7" s="252" t="s">
        <v>1080</v>
      </c>
      <c r="CH7" s="252" t="s">
        <v>1084</v>
      </c>
      <c r="CI7" s="252" t="s">
        <v>1101</v>
      </c>
      <c r="CJ7" s="252" t="s">
        <v>1120</v>
      </c>
      <c r="CK7" s="253" t="s">
        <v>1079</v>
      </c>
      <c r="CL7" s="254"/>
      <c r="CM7" s="252" t="s">
        <v>1126</v>
      </c>
      <c r="CN7" s="252" t="s">
        <v>1151</v>
      </c>
      <c r="CO7" s="252" t="s">
        <v>1175</v>
      </c>
      <c r="CP7" s="252" t="s">
        <v>1197</v>
      </c>
      <c r="CQ7" s="253" t="s">
        <v>1114</v>
      </c>
      <c r="CR7" s="254"/>
      <c r="CS7" s="252" t="s">
        <v>1203</v>
      </c>
      <c r="CT7" s="252" t="s">
        <v>1220</v>
      </c>
      <c r="CU7" s="252" t="s">
        <v>1227</v>
      </c>
      <c r="CV7" s="252" t="s">
        <v>1249</v>
      </c>
      <c r="CW7" s="253" t="s">
        <v>1226</v>
      </c>
      <c r="CX7" s="254"/>
      <c r="CY7" s="252" t="s">
        <v>1104</v>
      </c>
      <c r="CZ7" s="252" t="s">
        <v>1105</v>
      </c>
      <c r="DA7" s="252" t="s">
        <v>1106</v>
      </c>
      <c r="DB7" s="252" t="s">
        <v>1107</v>
      </c>
      <c r="DC7" s="253" t="s">
        <v>1108</v>
      </c>
      <c r="DD7" s="254"/>
      <c r="DE7" s="252" t="s">
        <v>1183</v>
      </c>
      <c r="DF7" s="252" t="s">
        <v>1184</v>
      </c>
      <c r="DG7" s="252" t="s">
        <v>1185</v>
      </c>
      <c r="DH7" s="252" t="s">
        <v>1186</v>
      </c>
      <c r="DI7" s="253" t="s">
        <v>1146</v>
      </c>
      <c r="DJ7" s="254"/>
      <c r="DK7" s="252" t="s">
        <v>1244</v>
      </c>
      <c r="DL7" s="252" t="s">
        <v>1245</v>
      </c>
      <c r="DM7" s="252" t="s">
        <v>1246</v>
      </c>
      <c r="DN7" s="252" t="s">
        <v>1247</v>
      </c>
      <c r="DO7" s="253" t="s">
        <v>1147</v>
      </c>
      <c r="DP7" s="855"/>
    </row>
    <row r="8" spans="1:126" ht="11.25" customHeight="1">
      <c r="A8" s="1716" t="s">
        <v>154</v>
      </c>
      <c r="B8" s="499"/>
      <c r="C8" s="541"/>
      <c r="D8" s="541"/>
      <c r="E8" s="541"/>
      <c r="F8" s="541"/>
      <c r="G8" s="541"/>
      <c r="H8" s="541"/>
      <c r="I8" s="541"/>
      <c r="J8" s="541"/>
      <c r="K8" s="541"/>
      <c r="L8" s="541"/>
      <c r="M8" s="541"/>
      <c r="N8" s="541"/>
      <c r="O8" s="541"/>
      <c r="P8" s="541"/>
      <c r="Q8" s="541"/>
      <c r="R8" s="541"/>
      <c r="S8" s="541"/>
      <c r="T8" s="541"/>
      <c r="U8" s="541"/>
      <c r="V8" s="541"/>
      <c r="W8" s="541"/>
      <c r="X8" s="541"/>
      <c r="Y8" s="541"/>
      <c r="Z8" s="541"/>
      <c r="AA8" s="541"/>
      <c r="AB8" s="541"/>
      <c r="AC8" s="541"/>
      <c r="AD8" s="541"/>
      <c r="AE8" s="541"/>
      <c r="AF8" s="541"/>
      <c r="AG8" s="541"/>
      <c r="AH8" s="541"/>
      <c r="AI8" s="542"/>
      <c r="AJ8" s="541"/>
      <c r="AK8" s="541"/>
      <c r="AL8" s="541"/>
      <c r="AM8" s="541"/>
      <c r="AN8" s="541"/>
      <c r="AO8" s="542"/>
      <c r="AP8" s="541"/>
      <c r="AQ8" s="541"/>
      <c r="AR8" s="541"/>
      <c r="AS8" s="541"/>
      <c r="AT8" s="541"/>
      <c r="AU8" s="542"/>
      <c r="AV8" s="541"/>
      <c r="AW8" s="541"/>
      <c r="AX8" s="541"/>
      <c r="AY8" s="541"/>
      <c r="AZ8" s="541"/>
      <c r="BA8" s="542"/>
      <c r="BB8" s="541"/>
      <c r="BC8" s="541"/>
      <c r="BD8" s="541"/>
      <c r="BE8" s="541"/>
      <c r="BF8" s="541"/>
      <c r="BG8" s="542"/>
      <c r="BH8" s="541"/>
      <c r="BI8" s="541"/>
      <c r="BJ8" s="541"/>
      <c r="BK8" s="541"/>
      <c r="BL8" s="541"/>
      <c r="BM8" s="542"/>
      <c r="BN8" s="541"/>
      <c r="BO8" s="541"/>
      <c r="BP8" s="541"/>
      <c r="BQ8" s="541"/>
      <c r="BR8" s="541"/>
      <c r="BS8" s="542"/>
      <c r="BT8" s="541"/>
      <c r="BU8" s="541"/>
      <c r="BV8" s="541"/>
      <c r="BW8" s="541"/>
      <c r="BX8" s="541"/>
      <c r="BY8" s="542"/>
      <c r="BZ8" s="541"/>
      <c r="CA8" s="541"/>
      <c r="CB8" s="541"/>
      <c r="CC8" s="541"/>
      <c r="CD8" s="541"/>
      <c r="CE8" s="542"/>
      <c r="CF8" s="541"/>
      <c r="CG8" s="541"/>
      <c r="CH8" s="541"/>
      <c r="CI8" s="541"/>
      <c r="CJ8" s="541"/>
      <c r="CK8" s="542"/>
      <c r="CL8" s="541"/>
      <c r="CM8" s="541"/>
      <c r="CN8" s="541"/>
      <c r="CO8" s="541"/>
      <c r="CP8" s="541"/>
      <c r="CQ8" s="542"/>
      <c r="CR8" s="541"/>
      <c r="CS8" s="541"/>
      <c r="CT8" s="541"/>
      <c r="CU8" s="541"/>
      <c r="CV8" s="541"/>
      <c r="CW8" s="542"/>
      <c r="CX8" s="541"/>
      <c r="CY8" s="541"/>
      <c r="CZ8" s="541"/>
      <c r="DA8" s="541"/>
      <c r="DB8" s="541"/>
      <c r="DC8" s="542"/>
      <c r="DD8" s="541"/>
      <c r="DE8" s="541"/>
      <c r="DF8" s="541"/>
      <c r="DG8" s="541"/>
      <c r="DH8" s="541"/>
      <c r="DI8" s="542"/>
      <c r="DJ8" s="541"/>
      <c r="DK8" s="541"/>
      <c r="DL8" s="541"/>
      <c r="DM8" s="541"/>
      <c r="DN8" s="541"/>
      <c r="DO8" s="542"/>
      <c r="DP8" s="541"/>
    </row>
    <row r="9" spans="1:126" ht="10.5" hidden="1" customHeight="1" outlineLevel="1">
      <c r="A9" s="1717" t="s">
        <v>992</v>
      </c>
      <c r="B9" s="1718" t="s">
        <v>545</v>
      </c>
      <c r="C9" s="1719" t="s">
        <v>88</v>
      </c>
      <c r="D9" s="1719" t="s">
        <v>88</v>
      </c>
      <c r="E9" s="1719">
        <v>20.305</v>
      </c>
      <c r="F9" s="516"/>
      <c r="G9" s="1719">
        <f>G19-G11-G10</f>
        <v>8.0423624757310126</v>
      </c>
      <c r="H9" s="1719">
        <f>H19-H11-H10</f>
        <v>10.220018532682239</v>
      </c>
      <c r="I9" s="1719">
        <f>I19-I11-I10</f>
        <v>12.205022552999548</v>
      </c>
      <c r="J9" s="1719">
        <f>J19-J11-J10</f>
        <v>13.387596438587202</v>
      </c>
      <c r="K9" s="510">
        <v>43.854999999999997</v>
      </c>
      <c r="L9" s="516"/>
      <c r="M9" s="1719">
        <v>16.045999999999999</v>
      </c>
      <c r="N9" s="1719">
        <v>17.908999999999999</v>
      </c>
      <c r="O9" s="1719">
        <v>20.646000000000001</v>
      </c>
      <c r="P9" s="1719">
        <v>24.357000000000003</v>
      </c>
      <c r="Q9" s="1719">
        <v>78.957999999999998</v>
      </c>
      <c r="R9" s="516"/>
      <c r="S9" s="1719">
        <v>28.335999999999999</v>
      </c>
      <c r="T9" s="1719">
        <v>32.506</v>
      </c>
      <c r="U9" s="1719">
        <v>37.15</v>
      </c>
      <c r="V9" s="1719">
        <v>42.878999999999998</v>
      </c>
      <c r="W9" s="1719">
        <v>140.87100000000001</v>
      </c>
      <c r="X9" s="516"/>
      <c r="Y9" s="1719">
        <v>50.911999999999999</v>
      </c>
      <c r="Z9" s="1719">
        <v>57.689</v>
      </c>
      <c r="AA9" s="1719">
        <v>66.021000000000001</v>
      </c>
      <c r="AB9" s="1719">
        <v>72.387</v>
      </c>
      <c r="AC9" s="1719">
        <v>247.00899999999999</v>
      </c>
      <c r="AD9" s="516"/>
      <c r="AE9" s="1719">
        <v>83.025000000000006</v>
      </c>
      <c r="AF9" s="1719">
        <v>92.552999999999997</v>
      </c>
      <c r="AG9" s="1719">
        <v>101.24</v>
      </c>
      <c r="AH9" s="1719">
        <v>110.752</v>
      </c>
      <c r="AI9" s="543">
        <f>SUM(AE9:AH9)</f>
        <v>387.57</v>
      </c>
      <c r="AJ9" s="516"/>
      <c r="AK9" s="1719">
        <v>124.452</v>
      </c>
      <c r="AL9" s="1719">
        <v>133.34299999999999</v>
      </c>
      <c r="AM9" s="1719">
        <v>141.68199999999999</v>
      </c>
      <c r="AN9" s="1719">
        <v>158.499</v>
      </c>
      <c r="AO9" s="543">
        <f>SUM(AK9:AN9)</f>
        <v>557.976</v>
      </c>
      <c r="AP9" s="516"/>
      <c r="AQ9" s="1719">
        <v>178.37100000000001</v>
      </c>
      <c r="AR9" s="1719">
        <v>188.56299999999999</v>
      </c>
      <c r="AS9" s="1719">
        <v>200.143</v>
      </c>
      <c r="AT9" s="1719">
        <v>209.41900000000001</v>
      </c>
      <c r="AU9" s="543">
        <f>AU19-AU10-AU11</f>
        <v>769.88983500000006</v>
      </c>
      <c r="AV9" s="516"/>
      <c r="AW9" s="1719">
        <v>220.65</v>
      </c>
      <c r="AX9" s="1719">
        <v>226.00800000000001</v>
      </c>
      <c r="AY9" s="1719">
        <v>232.80199999999999</v>
      </c>
      <c r="AZ9" s="1719">
        <v>244.36199999999999</v>
      </c>
      <c r="BA9" s="543">
        <f>BA19-BA10-BA11</f>
        <v>929.57509599999992</v>
      </c>
      <c r="BB9" s="516"/>
      <c r="BC9" s="1719">
        <v>259.28399999999999</v>
      </c>
      <c r="BD9" s="1719">
        <v>274.66899999999998</v>
      </c>
      <c r="BE9" s="1719">
        <v>292.54000000000002</v>
      </c>
      <c r="BF9" s="1719">
        <v>308.52600000000001</v>
      </c>
      <c r="BG9" s="543">
        <f>SUM(BC9:BF9)</f>
        <v>1135.019</v>
      </c>
      <c r="BH9" s="516"/>
      <c r="BI9" s="1719">
        <v>340.01799999999997</v>
      </c>
      <c r="BJ9" s="1719">
        <v>366.916</v>
      </c>
      <c r="BK9" s="1719">
        <v>397.11799999999999</v>
      </c>
      <c r="BL9" s="1719">
        <v>436</v>
      </c>
      <c r="BM9" s="543">
        <f>SUM(BI9:BL9)</f>
        <v>1540.0519999999999</v>
      </c>
      <c r="BN9" s="516"/>
      <c r="BO9" s="1719">
        <v>484.95299999999997</v>
      </c>
      <c r="BP9" s="1719">
        <v>507.97399999999999</v>
      </c>
      <c r="BQ9" s="1719">
        <v>547.399</v>
      </c>
      <c r="BR9" s="1719">
        <v>583.41</v>
      </c>
      <c r="BS9" s="543">
        <f>SUM(BO9:BR9)</f>
        <v>2123.7359999999999</v>
      </c>
      <c r="BT9" s="516"/>
      <c r="BU9" s="1719">
        <v>631.10799999999995</v>
      </c>
      <c r="BV9" s="1719">
        <v>678.53499999999997</v>
      </c>
      <c r="BW9" s="1719">
        <v>769.4</v>
      </c>
      <c r="BX9" s="1719">
        <v>820.79399999999998</v>
      </c>
      <c r="BY9" s="543">
        <f>SUM(BU9:BX9)</f>
        <v>2899.837</v>
      </c>
      <c r="BZ9" s="516"/>
      <c r="CA9" s="1719">
        <v>876.37699999999995</v>
      </c>
      <c r="CB9" s="1719">
        <v>940.94600000000003</v>
      </c>
      <c r="CC9" s="1719">
        <v>995.33100000000002</v>
      </c>
      <c r="CD9" s="1719">
        <v>1055.675</v>
      </c>
      <c r="CE9" s="543">
        <f>CE19-CE10-CE11</f>
        <v>3707.7743399999999</v>
      </c>
      <c r="CF9" s="516"/>
      <c r="CG9" s="1719">
        <v>1115.1199999999999</v>
      </c>
      <c r="CH9" s="1719">
        <v>1202.173</v>
      </c>
      <c r="CI9" s="1719">
        <v>1258.1479999999999</v>
      </c>
      <c r="CJ9" s="1719">
        <v>1335.3040000000001</v>
      </c>
      <c r="CK9" s="543">
        <f>CK19-CK10-CK11</f>
        <v>4367.0264800000004</v>
      </c>
      <c r="CL9" s="516"/>
      <c r="CM9" s="1719">
        <v>1413.229</v>
      </c>
      <c r="CN9" s="1719">
        <v>1495.201</v>
      </c>
      <c r="CO9" s="1719">
        <v>1598.3440000000001</v>
      </c>
      <c r="CP9" s="1719">
        <v>1718.1969999999999</v>
      </c>
      <c r="CQ9" s="543">
        <f>CQ19-CQ10-CQ11</f>
        <v>5496.7495200000003</v>
      </c>
      <c r="CR9" s="516"/>
      <c r="CS9" s="1719">
        <v>1755.3579999999999</v>
      </c>
      <c r="CT9" s="1719">
        <v>1854.1690000000001</v>
      </c>
      <c r="CU9" s="1719">
        <v>1927.405</v>
      </c>
      <c r="CV9" s="1719">
        <v>2042.184</v>
      </c>
      <c r="CW9" s="543">
        <f>CW19-CW10-CW11</f>
        <v>7545.6086399999995</v>
      </c>
      <c r="CX9" s="516"/>
      <c r="CY9" s="1719">
        <f>CY19-CY11-CY10</f>
        <v>1928.4651634316992</v>
      </c>
      <c r="CZ9" s="1719">
        <f>CZ19-CZ11-CZ10</f>
        <v>2041.4818489803979</v>
      </c>
      <c r="DA9" s="1719">
        <f>DA19-DA11-DA10</f>
        <v>2119.2323874831823</v>
      </c>
      <c r="DB9" s="1719">
        <f>DB19-DB11-DB10</f>
        <v>2235.6313543775605</v>
      </c>
      <c r="DC9" s="543">
        <f>DC19-DC10-DC11</f>
        <v>8324.8107542728412</v>
      </c>
      <c r="DD9" s="516"/>
      <c r="DE9" s="1719">
        <f>DE19-DE11-DE10</f>
        <v>2318.1605684644092</v>
      </c>
      <c r="DF9" s="1719">
        <f>DF19-DF11-DF10</f>
        <v>2455.8945407400101</v>
      </c>
      <c r="DG9" s="1719">
        <f>DG19-DG11-DG10</f>
        <v>2549.5588065248912</v>
      </c>
      <c r="DH9" s="1719">
        <f>DH19-DH11-DH10</f>
        <v>2673.5554214688054</v>
      </c>
      <c r="DI9" s="543">
        <f>DI19-DI10-DI11</f>
        <v>9997.1693371981164</v>
      </c>
      <c r="DJ9" s="516"/>
      <c r="DK9" s="1719">
        <f>DK19-DK11-DK10</f>
        <v>2774.6545697530914</v>
      </c>
      <c r="DL9" s="1719">
        <f>DL19-DL11-DL10</f>
        <v>2932.7992690513015</v>
      </c>
      <c r="DM9" s="1719">
        <f>DM19-DM11-DM10</f>
        <v>3041.5035122451995</v>
      </c>
      <c r="DN9" s="1719">
        <f>DN19-DN11-DN10</f>
        <v>3187.2458298032539</v>
      </c>
      <c r="DO9" s="543">
        <f>DO19-DO10-DO11</f>
        <v>11936.203180852846</v>
      </c>
      <c r="DP9" s="918"/>
    </row>
    <row r="10" spans="1:126" ht="10.5" hidden="1" customHeight="1" outlineLevel="1">
      <c r="A10" s="1717" t="s">
        <v>750</v>
      </c>
      <c r="B10" s="1718" t="s">
        <v>158</v>
      </c>
      <c r="C10" s="1719" t="s">
        <v>88</v>
      </c>
      <c r="D10" s="1719" t="s">
        <v>88</v>
      </c>
      <c r="E10" s="1719">
        <v>1.68</v>
      </c>
      <c r="F10" s="516"/>
      <c r="G10" s="1719">
        <f>K10/K19*G19</f>
        <v>0.98019444607871975</v>
      </c>
      <c r="H10" s="1719">
        <f>(K10-G10)*H19/(K19-G19)</f>
        <v>1.2456048126139907</v>
      </c>
      <c r="I10" s="1719">
        <f>(K10-H10-G10)*I19/(K19-H19-G19)</f>
        <v>1.4875349571493008</v>
      </c>
      <c r="J10" s="1719">
        <f>K10-I10-H10-G10</f>
        <v>1.6316657841579882</v>
      </c>
      <c r="K10" s="510">
        <v>5.3449999999999998</v>
      </c>
      <c r="L10" s="516"/>
      <c r="M10" s="1719">
        <v>2.0379999999999998</v>
      </c>
      <c r="N10" s="1719">
        <v>2.6920000000000002</v>
      </c>
      <c r="O10" s="1719">
        <v>3.1669999999999998</v>
      </c>
      <c r="P10" s="1719">
        <v>3.8569999999999998</v>
      </c>
      <c r="Q10" s="1719">
        <v>11.754</v>
      </c>
      <c r="R10" s="516"/>
      <c r="S10" s="1719">
        <v>4.6319999999999997</v>
      </c>
      <c r="T10" s="1719">
        <v>5.8280000000000003</v>
      </c>
      <c r="U10" s="1719">
        <v>6.5659999999999998</v>
      </c>
      <c r="V10" s="1719">
        <v>8.1750000000000007</v>
      </c>
      <c r="W10" s="1719">
        <v>25.201000000000001</v>
      </c>
      <c r="X10" s="516"/>
      <c r="Y10" s="1719">
        <v>9.3829999999999991</v>
      </c>
      <c r="Z10" s="1719">
        <v>10.038</v>
      </c>
      <c r="AA10" s="1719">
        <v>11.356</v>
      </c>
      <c r="AB10" s="1719">
        <v>12.8</v>
      </c>
      <c r="AC10" s="1719">
        <v>43.576999999999998</v>
      </c>
      <c r="AD10" s="516"/>
      <c r="AE10" s="1719">
        <v>14.95</v>
      </c>
      <c r="AF10" s="1719">
        <v>17.623999999999999</v>
      </c>
      <c r="AG10" s="1719">
        <v>19.821000000000002</v>
      </c>
      <c r="AH10" s="1719">
        <v>22.631</v>
      </c>
      <c r="AI10" s="543">
        <f>SUM(AE10:AH10)</f>
        <v>75.025999999999996</v>
      </c>
      <c r="AJ10" s="516"/>
      <c r="AK10" s="1719">
        <v>25.574000000000002</v>
      </c>
      <c r="AL10" s="1719">
        <v>29.16</v>
      </c>
      <c r="AM10" s="1719">
        <v>33.880000000000003</v>
      </c>
      <c r="AN10" s="1719">
        <v>38.396000000000001</v>
      </c>
      <c r="AO10" s="543">
        <f>SUM(AK10:AN10)</f>
        <v>127.01</v>
      </c>
      <c r="AP10" s="516"/>
      <c r="AQ10" s="1719">
        <v>45.164000000000001</v>
      </c>
      <c r="AR10" s="1719">
        <v>49.356000000000002</v>
      </c>
      <c r="AS10" s="1719">
        <v>48.076000000000001</v>
      </c>
      <c r="AT10" s="1719">
        <v>48.088000000000001</v>
      </c>
      <c r="AU10" s="543">
        <f>AU$19*0.19</f>
        <v>204.58610999999999</v>
      </c>
      <c r="AV10" s="516"/>
      <c r="AW10" s="1719">
        <v>51.601999999999997</v>
      </c>
      <c r="AX10" s="1719">
        <v>55.991999999999997</v>
      </c>
      <c r="AY10" s="1719">
        <v>60.761000000000003</v>
      </c>
      <c r="AZ10" s="1719">
        <v>64.012</v>
      </c>
      <c r="BA10" s="543">
        <f>BA$19*0.178</f>
        <v>232.39377400000001</v>
      </c>
      <c r="BB10" s="516"/>
      <c r="BC10" s="1719">
        <v>66.841999999999999</v>
      </c>
      <c r="BD10" s="1719">
        <v>65.545000000000002</v>
      </c>
      <c r="BE10" s="1719">
        <v>76.463999999999999</v>
      </c>
      <c r="BF10" s="1719">
        <v>82.933000000000007</v>
      </c>
      <c r="BG10" s="543">
        <f>SUM(BC10:BF10)</f>
        <v>291.78399999999999</v>
      </c>
      <c r="BH10" s="516"/>
      <c r="BI10" s="1719">
        <v>94.394999999999996</v>
      </c>
      <c r="BJ10" s="1719">
        <v>102.056</v>
      </c>
      <c r="BK10" s="1719">
        <v>103.864</v>
      </c>
      <c r="BL10" s="1719">
        <v>108</v>
      </c>
      <c r="BM10" s="543">
        <f>SUM(BI10:BL10)</f>
        <v>408.315</v>
      </c>
      <c r="BN10" s="516"/>
      <c r="BO10" s="1719">
        <v>118.294</v>
      </c>
      <c r="BP10" s="1719">
        <v>124.60899999999999</v>
      </c>
      <c r="BQ10" s="1719">
        <v>133.791</v>
      </c>
      <c r="BR10" s="1719">
        <v>148.61000000000001</v>
      </c>
      <c r="BS10" s="543">
        <f>SUM(BO10:BR10)</f>
        <v>525.30399999999997</v>
      </c>
      <c r="BT10" s="516"/>
      <c r="BU10" s="1719">
        <v>162.82599999999999</v>
      </c>
      <c r="BV10" s="1719">
        <v>173.70500000000001</v>
      </c>
      <c r="BW10" s="1719">
        <v>194.93199999999999</v>
      </c>
      <c r="BX10" s="1719">
        <v>209.75700000000001</v>
      </c>
      <c r="BY10" s="543">
        <f>SUM(BU10:BX10)</f>
        <v>741.22</v>
      </c>
      <c r="BZ10" s="516"/>
      <c r="CA10" s="1719">
        <v>230.81</v>
      </c>
      <c r="CB10" s="1719">
        <v>246.53200000000001</v>
      </c>
      <c r="CC10" s="1719">
        <v>252.982</v>
      </c>
      <c r="CD10" s="1719">
        <v>254.595</v>
      </c>
      <c r="CE10" s="543">
        <f>CE$19*0.19</f>
        <v>1020.98134</v>
      </c>
      <c r="CF10" s="516"/>
      <c r="CG10" s="1719">
        <v>258.80500000000001</v>
      </c>
      <c r="CH10" s="1719">
        <v>286.904</v>
      </c>
      <c r="CI10" s="1719">
        <v>302.70400000000001</v>
      </c>
      <c r="CJ10" s="1719">
        <v>314.39499999999998</v>
      </c>
      <c r="CK10" s="543">
        <f>CK$19*0.2</f>
        <v>1333.4432000000002</v>
      </c>
      <c r="CL10" s="516"/>
      <c r="CM10" s="1719">
        <v>327.85399999999998</v>
      </c>
      <c r="CN10" s="1719">
        <v>347.32</v>
      </c>
      <c r="CO10" s="1719">
        <v>337.49700000000001</v>
      </c>
      <c r="CP10" s="1719">
        <v>360.87599999999998</v>
      </c>
      <c r="CQ10" s="543">
        <f>CQ$19*0.2</f>
        <v>1678.3968000000002</v>
      </c>
      <c r="CR10" s="516"/>
      <c r="CS10" s="1719">
        <v>409.61500000000001</v>
      </c>
      <c r="CT10" s="1719">
        <v>464.37099999999998</v>
      </c>
      <c r="CU10" s="1719">
        <v>493.73200000000003</v>
      </c>
      <c r="CV10" s="1719">
        <v>535.80600000000004</v>
      </c>
      <c r="CW10" s="543">
        <f>CW$19*0.18</f>
        <v>1886.4021599999996</v>
      </c>
      <c r="CX10" s="516"/>
      <c r="CY10" s="1719">
        <f>DC10/DC19*CY19</f>
        <v>588.84432471196931</v>
      </c>
      <c r="CZ10" s="1719">
        <f>(DC10-CY10)*CZ19/(DC19-CY19)</f>
        <v>623.3532363298923</v>
      </c>
      <c r="DA10" s="1719">
        <f>(DC10-CZ10-CY10)*DA19/(DC19-CZ19-CY19)</f>
        <v>647.09385877349075</v>
      </c>
      <c r="DB10" s="1719">
        <f>DC10-DA10-CZ10-CY10</f>
        <v>682.63552805421716</v>
      </c>
      <c r="DC10" s="543">
        <f>DC$19*0.2</f>
        <v>2541.9269478695696</v>
      </c>
      <c r="DD10" s="516"/>
      <c r="DE10" s="1719">
        <f>DI10/DI19*DE19</f>
        <v>707.83528808073561</v>
      </c>
      <c r="DF10" s="1719">
        <f>(DI10-DE10)*DF19/(DI19-DE19)</f>
        <v>749.89146282137744</v>
      </c>
      <c r="DG10" s="1719">
        <f>(DI10-DF10-DE10)*DG19/(DI19-DF19-DE19)</f>
        <v>778.49123863355476</v>
      </c>
      <c r="DH10" s="1719">
        <f>DI10-DG10-DF10-DE10</f>
        <v>816.3528004484906</v>
      </c>
      <c r="DI10" s="543">
        <f>DI$19*0.2</f>
        <v>3052.5707899841582</v>
      </c>
      <c r="DJ10" s="516"/>
      <c r="DK10" s="1719">
        <f>DO10/DO19*DK19</f>
        <v>847.22276939025687</v>
      </c>
      <c r="DL10" s="1719">
        <f>(DO10-DK10)*DL19/(DO19-DK19)</f>
        <v>895.51122719123703</v>
      </c>
      <c r="DM10" s="1719">
        <f>(DO10-DL10-DK10)*DM19/(DO19-DL19-DK19)</f>
        <v>928.70336251761819</v>
      </c>
      <c r="DN10" s="1719">
        <f>DO10-DM10-DL10-DK10</f>
        <v>973.20483352771089</v>
      </c>
      <c r="DO10" s="543">
        <f>DO$19*0.2</f>
        <v>3644.6421926268231</v>
      </c>
      <c r="DP10" s="918"/>
    </row>
    <row r="11" spans="1:126" ht="11.25" hidden="1" customHeight="1" outlineLevel="1">
      <c r="A11" s="1717" t="s">
        <v>993</v>
      </c>
      <c r="B11" s="1718" t="s">
        <v>159</v>
      </c>
      <c r="C11" s="1719" t="s">
        <v>88</v>
      </c>
      <c r="D11" s="1719" t="s">
        <v>88</v>
      </c>
      <c r="E11" s="1719">
        <v>0.42399999999999999</v>
      </c>
      <c r="F11" s="516"/>
      <c r="G11" s="1719">
        <f>K11/K19*G19</f>
        <v>0.32844307819026891</v>
      </c>
      <c r="H11" s="1719">
        <f>(K11-G11)*H19/(K19-G19)</f>
        <v>0.41737665470377122</v>
      </c>
      <c r="I11" s="1719">
        <f>(K11-H11-G11)*I19/(K19-H19-G19)</f>
        <v>0.49844248985115019</v>
      </c>
      <c r="J11" s="1719">
        <f>K11-I11-H11-G11</f>
        <v>0.54673777725480965</v>
      </c>
      <c r="K11" s="510">
        <v>1.7909999999999999</v>
      </c>
      <c r="L11" s="516"/>
      <c r="M11" s="1719">
        <v>0.82899999999999996</v>
      </c>
      <c r="N11" s="1719">
        <v>1.022</v>
      </c>
      <c r="O11" s="1719">
        <v>1.621</v>
      </c>
      <c r="P11" s="1719">
        <v>1.8390000000000002</v>
      </c>
      <c r="Q11" s="1719">
        <v>5.3109999999999999</v>
      </c>
      <c r="R11" s="516"/>
      <c r="S11" s="1719">
        <v>1.871</v>
      </c>
      <c r="T11" s="1719">
        <v>2.2469999999999999</v>
      </c>
      <c r="U11" s="1719">
        <v>2.645</v>
      </c>
      <c r="V11" s="1719">
        <v>3.54</v>
      </c>
      <c r="W11" s="1719">
        <v>10.303000000000001</v>
      </c>
      <c r="X11" s="516"/>
      <c r="Y11" s="1719">
        <v>3.8819999999999979</v>
      </c>
      <c r="Z11" s="1719">
        <v>4.2160000000000002</v>
      </c>
      <c r="AA11" s="1719">
        <v>5.2960000000000003</v>
      </c>
      <c r="AB11" s="1719">
        <v>5.8769999999999998</v>
      </c>
      <c r="AC11" s="1719">
        <v>19.271000000000001</v>
      </c>
      <c r="AD11" s="516"/>
      <c r="AE11" s="1719">
        <v>6.7110000000000003</v>
      </c>
      <c r="AF11" s="1719">
        <v>7.96</v>
      </c>
      <c r="AG11" s="1719">
        <v>8.9920000000000009</v>
      </c>
      <c r="AH11" s="1719">
        <v>10.839</v>
      </c>
      <c r="AI11" s="543">
        <f>SUM(AE11:AH11)</f>
        <v>34.502000000000002</v>
      </c>
      <c r="AJ11" s="516"/>
      <c r="AK11" s="1719">
        <v>12.385999999999999</v>
      </c>
      <c r="AL11" s="1719">
        <v>14.076000000000001</v>
      </c>
      <c r="AM11" s="1719">
        <v>17.241</v>
      </c>
      <c r="AN11" s="1719">
        <v>20.010999999999999</v>
      </c>
      <c r="AO11" s="543">
        <f>SUM(AK11:AN11)</f>
        <v>63.713999999999999</v>
      </c>
      <c r="AP11" s="516"/>
      <c r="AQ11" s="1719">
        <v>24.087</v>
      </c>
      <c r="AR11" s="1719">
        <v>25.158000000000001</v>
      </c>
      <c r="AS11" s="1719">
        <v>28.268000000000001</v>
      </c>
      <c r="AT11" s="1719">
        <v>32.076000000000001</v>
      </c>
      <c r="AU11" s="543">
        <f>AU$19*0.095</f>
        <v>102.293055</v>
      </c>
      <c r="AV11" s="516"/>
      <c r="AW11" s="1719">
        <v>32.671999999999997</v>
      </c>
      <c r="AX11" s="1719">
        <v>34.061</v>
      </c>
      <c r="AY11" s="1719">
        <v>36.985999999999997</v>
      </c>
      <c r="AZ11" s="1719">
        <v>45.674999999999997</v>
      </c>
      <c r="BA11" s="543">
        <f>BA$19*0.11</f>
        <v>143.61413000000002</v>
      </c>
      <c r="BB11" s="516"/>
      <c r="BC11" s="1719">
        <v>50.686999999999998</v>
      </c>
      <c r="BD11" s="1719">
        <v>54.158000000000001</v>
      </c>
      <c r="BE11" s="1719">
        <v>60.082999999999998</v>
      </c>
      <c r="BF11" s="1719">
        <v>65.048000000000002</v>
      </c>
      <c r="BG11" s="543">
        <f>SUM(BC11:BF11)</f>
        <v>229.976</v>
      </c>
      <c r="BH11" s="516"/>
      <c r="BI11" s="1719">
        <v>69.950999999999993</v>
      </c>
      <c r="BJ11" s="1719">
        <v>77.03</v>
      </c>
      <c r="BK11" s="1719">
        <v>83.278000000000006</v>
      </c>
      <c r="BL11" s="1719">
        <v>88</v>
      </c>
      <c r="BM11" s="543">
        <f>SUM(BI11:BL11)</f>
        <v>318.25900000000001</v>
      </c>
      <c r="BN11" s="516"/>
      <c r="BO11" s="1719">
        <v>92.22</v>
      </c>
      <c r="BP11" s="1719">
        <v>99.066000000000003</v>
      </c>
      <c r="BQ11" s="1719">
        <v>107.208</v>
      </c>
      <c r="BR11" s="1719">
        <v>102.661</v>
      </c>
      <c r="BS11" s="543">
        <f>SUM(BO11:BR11)</f>
        <v>401.15500000000003</v>
      </c>
      <c r="BT11" s="516"/>
      <c r="BU11" s="1719">
        <v>98.698999999999998</v>
      </c>
      <c r="BV11" s="1719">
        <v>104.854</v>
      </c>
      <c r="BW11" s="1719">
        <v>111.702</v>
      </c>
      <c r="BX11" s="1719">
        <v>114.691</v>
      </c>
      <c r="BY11" s="543">
        <f>SUM(BU11:BX11)</f>
        <v>429.94600000000003</v>
      </c>
      <c r="BZ11" s="516"/>
      <c r="CA11" s="1719">
        <v>119.58499999999999</v>
      </c>
      <c r="CB11" s="1719">
        <v>131.07300000000001</v>
      </c>
      <c r="CC11" s="1719">
        <v>135.34200000000001</v>
      </c>
      <c r="CD11" s="1719">
        <v>134.33799999999999</v>
      </c>
      <c r="CE11" s="543">
        <f>CE$19*0.12</f>
        <v>644.83032000000003</v>
      </c>
      <c r="CF11" s="516"/>
      <c r="CG11" s="1719">
        <v>137.24199999999999</v>
      </c>
      <c r="CH11" s="1719">
        <v>145.607</v>
      </c>
      <c r="CI11" s="1719">
        <v>151.11500000000001</v>
      </c>
      <c r="CJ11" s="1719">
        <v>159.69900000000001</v>
      </c>
      <c r="CK11" s="543">
        <f>CK$19*0.145</f>
        <v>966.74631999999997</v>
      </c>
      <c r="CL11" s="516"/>
      <c r="CM11" s="1719">
        <v>175.52</v>
      </c>
      <c r="CN11" s="1719">
        <v>194.09700000000001</v>
      </c>
      <c r="CO11" s="1719">
        <v>208.934</v>
      </c>
      <c r="CP11" s="1719">
        <v>214.91499999999999</v>
      </c>
      <c r="CQ11" s="543">
        <f>CQ$19*0.145</f>
        <v>1216.8376799999999</v>
      </c>
      <c r="CR11" s="516"/>
      <c r="CS11" s="1719">
        <v>222.60599999999999</v>
      </c>
      <c r="CT11" s="1719">
        <v>243.04900000000001</v>
      </c>
      <c r="CU11" s="1719">
        <v>258.70400000000001</v>
      </c>
      <c r="CV11" s="1719">
        <v>273.10300000000001</v>
      </c>
      <c r="CW11" s="543">
        <f>CW$19*0.1</f>
        <v>1048.0011999999999</v>
      </c>
      <c r="CX11" s="516"/>
      <c r="CY11" s="1719">
        <f>DC11/DC19*CY19</f>
        <v>426.91213541617765</v>
      </c>
      <c r="CZ11" s="1719">
        <f>(DC11-CY11)*CZ19/(DC19-CY19)</f>
        <v>451.93109633917197</v>
      </c>
      <c r="DA11" s="1719">
        <f>(DC11-CZ11-CY11)*DA19/(DC19-CZ19-CY19)</f>
        <v>469.14304761078074</v>
      </c>
      <c r="DB11" s="1719">
        <f>DC11-DA11-CZ11-CY11</f>
        <v>494.91075783930739</v>
      </c>
      <c r="DC11" s="543">
        <f>DC$19*0.145</f>
        <v>1842.8970372054378</v>
      </c>
      <c r="DD11" s="516"/>
      <c r="DE11" s="1719">
        <f>DI11/DI19*DE19</f>
        <v>513.18058385853317</v>
      </c>
      <c r="DF11" s="1719">
        <f>(DI11-DE11)*DF19/(DI19-DE19)</f>
        <v>543.6713105454985</v>
      </c>
      <c r="DG11" s="1719">
        <f>(DI11-DF11-DE11)*DG19/(DI19-DF19-DE19)</f>
        <v>564.40614800932713</v>
      </c>
      <c r="DH11" s="1719">
        <f>DI11-DG11-DF11-DE11</f>
        <v>591.85578032515525</v>
      </c>
      <c r="DI11" s="543">
        <f>DI$19*0.145</f>
        <v>2213.113822738514</v>
      </c>
      <c r="DJ11" s="516"/>
      <c r="DK11" s="1719">
        <f>DO11/DO19*DK19</f>
        <v>614.23650780793616</v>
      </c>
      <c r="DL11" s="1719">
        <f>(DO11-DK11)*DL19/(DO19-DK19)</f>
        <v>649.24563971364682</v>
      </c>
      <c r="DM11" s="1719">
        <f>(DO11-DL11-DK11)*DM19/(DO19-DL19-DK19)</f>
        <v>673.3099378252731</v>
      </c>
      <c r="DN11" s="1719">
        <f>DO11-DM11-DL11-DK11</f>
        <v>705.57350430759027</v>
      </c>
      <c r="DO11" s="543">
        <f>DO$19*0.145</f>
        <v>2642.3655896544465</v>
      </c>
      <c r="DP11" s="918"/>
    </row>
    <row r="12" spans="1:126" ht="11.25" hidden="1" customHeight="1" outlineLevel="1">
      <c r="A12" s="742"/>
      <c r="B12" s="313"/>
      <c r="C12" s="256"/>
      <c r="D12" s="307"/>
      <c r="E12" s="307"/>
      <c r="F12" s="307"/>
      <c r="G12" s="307"/>
      <c r="H12" s="307"/>
      <c r="I12" s="307"/>
      <c r="J12" s="307"/>
      <c r="K12" s="307"/>
      <c r="L12" s="307"/>
      <c r="M12" s="307"/>
      <c r="N12" s="307"/>
      <c r="O12" s="307"/>
      <c r="P12" s="307"/>
      <c r="Q12" s="307"/>
      <c r="R12" s="307"/>
      <c r="S12" s="307"/>
      <c r="T12" s="307"/>
      <c r="U12" s="288"/>
      <c r="V12" s="288"/>
      <c r="W12" s="288"/>
      <c r="X12" s="307"/>
      <c r="Y12" s="288"/>
      <c r="Z12" s="288"/>
      <c r="AA12" s="288"/>
      <c r="AB12" s="288"/>
      <c r="AC12" s="288"/>
      <c r="AD12" s="307"/>
      <c r="AE12" s="288"/>
      <c r="AF12" s="288"/>
      <c r="AG12" s="288"/>
      <c r="AH12" s="288"/>
      <c r="AI12" s="544"/>
      <c r="AJ12" s="307"/>
      <c r="AK12" s="288"/>
      <c r="AL12" s="288"/>
      <c r="AM12" s="288"/>
      <c r="AN12" s="288"/>
      <c r="AO12" s="544"/>
      <c r="AP12" s="307"/>
      <c r="AQ12" s="288"/>
      <c r="AR12" s="288"/>
      <c r="AS12" s="288"/>
      <c r="AT12" s="288"/>
      <c r="AU12" s="544"/>
      <c r="AV12" s="307"/>
      <c r="AW12" s="288"/>
      <c r="AX12" s="288"/>
      <c r="AY12" s="288"/>
      <c r="AZ12" s="288"/>
      <c r="BA12" s="544"/>
      <c r="BB12" s="307"/>
      <c r="BC12" s="288"/>
      <c r="BD12" s="545"/>
      <c r="BE12" s="288"/>
      <c r="BF12" s="288"/>
      <c r="BG12" s="544"/>
      <c r="BH12" s="307"/>
      <c r="BI12" s="288"/>
      <c r="BJ12" s="545"/>
      <c r="BK12" s="288"/>
      <c r="BL12" s="288"/>
      <c r="BM12" s="544"/>
      <c r="BN12" s="307"/>
      <c r="BO12" s="288"/>
      <c r="BP12" s="288"/>
      <c r="BQ12" s="288"/>
      <c r="BR12" s="288"/>
      <c r="BS12" s="544"/>
      <c r="BT12" s="307"/>
      <c r="BU12" s="288"/>
      <c r="BV12" s="288"/>
      <c r="BW12" s="288"/>
      <c r="BX12" s="288"/>
      <c r="BY12" s="544"/>
      <c r="BZ12" s="307"/>
      <c r="CA12" s="288"/>
      <c r="CB12" s="288"/>
      <c r="CC12" s="288"/>
      <c r="CD12" s="288"/>
      <c r="CE12" s="544"/>
      <c r="CF12" s="307"/>
      <c r="CG12" s="288"/>
      <c r="CH12" s="1640"/>
      <c r="CI12" s="288"/>
      <c r="CJ12" s="288"/>
      <c r="CK12" s="544"/>
      <c r="CL12" s="307"/>
      <c r="CM12" s="288"/>
      <c r="CN12" s="288"/>
      <c r="CO12" s="288"/>
      <c r="CP12" s="288"/>
      <c r="CQ12" s="544"/>
      <c r="CR12" s="307"/>
      <c r="CS12" s="288"/>
      <c r="CT12" s="288"/>
      <c r="CU12" s="288"/>
      <c r="CV12" s="288"/>
      <c r="CW12" s="544"/>
      <c r="CX12" s="307"/>
      <c r="CY12" s="288"/>
      <c r="CZ12" s="288"/>
      <c r="DA12" s="288"/>
      <c r="DB12" s="288"/>
      <c r="DC12" s="544"/>
      <c r="DD12" s="307"/>
      <c r="DE12" s="288"/>
      <c r="DF12" s="288"/>
      <c r="DG12" s="288"/>
      <c r="DH12" s="288"/>
      <c r="DI12" s="544"/>
      <c r="DJ12" s="307"/>
      <c r="DK12" s="288"/>
      <c r="DL12" s="288"/>
      <c r="DM12" s="288"/>
      <c r="DN12" s="288"/>
      <c r="DO12" s="544"/>
      <c r="DP12" s="669"/>
    </row>
    <row r="13" spans="1:126" collapsed="1">
      <c r="A13" s="530" t="s">
        <v>230</v>
      </c>
      <c r="B13" s="499" t="s">
        <v>994</v>
      </c>
      <c r="C13" s="546">
        <v>0</v>
      </c>
      <c r="D13" s="546">
        <v>5.0220000000000002</v>
      </c>
      <c r="E13" s="517">
        <v>21.513000000000002</v>
      </c>
      <c r="F13" s="499"/>
      <c r="G13" s="517">
        <v>8.81</v>
      </c>
      <c r="H13" s="517">
        <v>11.275</v>
      </c>
      <c r="I13" s="517">
        <v>12.936999999999999</v>
      </c>
      <c r="J13" s="517">
        <v>14.634</v>
      </c>
      <c r="K13" s="517">
        <f>SUM(G13:J13)</f>
        <v>47.655999999999999</v>
      </c>
      <c r="L13" s="499"/>
      <c r="M13" s="517">
        <v>16.922000000000001</v>
      </c>
      <c r="N13" s="517">
        <v>19.591999999999999</v>
      </c>
      <c r="O13" s="517">
        <v>22.48</v>
      </c>
      <c r="P13" s="517">
        <v>26.802</v>
      </c>
      <c r="Q13" s="517">
        <f>SUM(M13:P13)</f>
        <v>85.795999999999992</v>
      </c>
      <c r="R13" s="499"/>
      <c r="S13" s="517">
        <v>31.116</v>
      </c>
      <c r="T13" s="517">
        <v>36.017000000000003</v>
      </c>
      <c r="U13" s="517">
        <v>41.465000000000003</v>
      </c>
      <c r="V13" s="517">
        <v>49.378999999999998</v>
      </c>
      <c r="W13" s="517">
        <f>SUM(S13:V13)</f>
        <v>157.977</v>
      </c>
      <c r="X13" s="517"/>
      <c r="Y13" s="517">
        <v>58.19</v>
      </c>
      <c r="Z13" s="517">
        <v>65.638000000000005</v>
      </c>
      <c r="AA13" s="517">
        <v>74.385999999999996</v>
      </c>
      <c r="AB13" s="517">
        <v>82.424999999999997</v>
      </c>
      <c r="AC13" s="517">
        <f>SUM(Y13:AB13)</f>
        <v>280.63900000000001</v>
      </c>
      <c r="AD13" s="517"/>
      <c r="AE13" s="517">
        <v>94.492999999999995</v>
      </c>
      <c r="AF13" s="517">
        <v>106.663</v>
      </c>
      <c r="AG13" s="517">
        <v>118.43300000000001</v>
      </c>
      <c r="AH13" s="517">
        <v>132.071</v>
      </c>
      <c r="AI13" s="509">
        <f>SUM(AE13:AH13)</f>
        <v>451.65999999999997</v>
      </c>
      <c r="AJ13" s="517"/>
      <c r="AK13" s="517">
        <v>147.69</v>
      </c>
      <c r="AL13" s="517">
        <v>159.99799999999999</v>
      </c>
      <c r="AM13" s="517">
        <v>176.376</v>
      </c>
      <c r="AN13" s="517">
        <v>196.517</v>
      </c>
      <c r="AO13" s="509">
        <f>SUM(AK13:AN13)</f>
        <v>680.5809999999999</v>
      </c>
      <c r="AP13" s="517"/>
      <c r="AQ13" s="517">
        <v>225.34100000000001</v>
      </c>
      <c r="AR13" s="517">
        <v>239.72</v>
      </c>
      <c r="AS13" s="517">
        <v>253.40299999999999</v>
      </c>
      <c r="AT13" s="517">
        <v>266.11</v>
      </c>
      <c r="AU13" s="509">
        <f>SUM(AQ13:AT13)</f>
        <v>984.57400000000007</v>
      </c>
      <c r="AV13" s="517"/>
      <c r="AW13" s="517">
        <v>281.76799999999997</v>
      </c>
      <c r="AX13" s="517">
        <v>293.44</v>
      </c>
      <c r="AY13" s="517">
        <v>306.87</v>
      </c>
      <c r="AZ13" s="517">
        <v>327.39400000000001</v>
      </c>
      <c r="BA13" s="509">
        <f>SUM(AW13:AZ13)</f>
        <v>1209.472</v>
      </c>
      <c r="BB13" s="517"/>
      <c r="BC13" s="517">
        <v>350.71199999999999</v>
      </c>
      <c r="BD13" s="517">
        <v>368.95100000000002</v>
      </c>
      <c r="BE13" s="517">
        <v>402.94799999999998</v>
      </c>
      <c r="BF13" s="517">
        <v>428.53399999999999</v>
      </c>
      <c r="BG13" s="509">
        <f>SUM(BC13:BF13)</f>
        <v>1551.145</v>
      </c>
      <c r="BH13" s="517"/>
      <c r="BI13" s="517">
        <v>473.50400000000002</v>
      </c>
      <c r="BJ13" s="517">
        <v>509.279</v>
      </c>
      <c r="BK13" s="517">
        <f>549.182</f>
        <v>549.18200000000002</v>
      </c>
      <c r="BL13" s="517">
        <v>594.26900000000001</v>
      </c>
      <c r="BM13" s="509">
        <f>SUM(BI13:BL13)</f>
        <v>2126.2340000000004</v>
      </c>
      <c r="BN13" s="517"/>
      <c r="BO13" s="517">
        <v>655.22</v>
      </c>
      <c r="BP13" s="517">
        <v>687.49300000000005</v>
      </c>
      <c r="BQ13" s="517">
        <v>740.6</v>
      </c>
      <c r="BR13" s="517">
        <v>785.495</v>
      </c>
      <c r="BS13" s="509">
        <f>SUM(BO13:BR13)</f>
        <v>2868.808</v>
      </c>
      <c r="BT13" s="517"/>
      <c r="BU13" s="517">
        <v>842.221</v>
      </c>
      <c r="BV13" s="517">
        <v>902.84400000000005</v>
      </c>
      <c r="BW13" s="517">
        <v>1004.476</v>
      </c>
      <c r="BX13" s="517">
        <v>1075.001</v>
      </c>
      <c r="BY13" s="509">
        <f>SUM(BU13:BX13)</f>
        <v>3824.5420000000004</v>
      </c>
      <c r="BZ13" s="517"/>
      <c r="CA13" s="517">
        <v>1147.306</v>
      </c>
      <c r="CB13" s="517">
        <v>1232.587</v>
      </c>
      <c r="CC13" s="517">
        <v>1288.5129999999999</v>
      </c>
      <c r="CD13" s="517">
        <v>1345.3579999999999</v>
      </c>
      <c r="CE13" s="509">
        <f>SUM(CA13:CD13)</f>
        <v>5013.7640000000001</v>
      </c>
      <c r="CF13" s="517"/>
      <c r="CG13" s="517">
        <v>1405.287</v>
      </c>
      <c r="CH13" s="517">
        <v>1521.319</v>
      </c>
      <c r="CI13" s="517">
        <v>1596.3330000000001</v>
      </c>
      <c r="CJ13" s="517">
        <v>1682.66</v>
      </c>
      <c r="CK13" s="509">
        <f>SUM(CG13:CJ13)</f>
        <v>6205.5990000000002</v>
      </c>
      <c r="CL13" s="517"/>
      <c r="CM13" s="517">
        <v>1775.4929999999999</v>
      </c>
      <c r="CN13" s="517">
        <v>1886.08</v>
      </c>
      <c r="CO13" s="517">
        <v>1983.981</v>
      </c>
      <c r="CP13" s="517">
        <v>2110.6509999999998</v>
      </c>
      <c r="CQ13" s="509">
        <f>SUM(CM13:CP13)</f>
        <v>7756.2049999999999</v>
      </c>
      <c r="CR13" s="517"/>
      <c r="CS13" s="517">
        <v>2200.9079999999999</v>
      </c>
      <c r="CT13" s="517">
        <v>2368.4989999999998</v>
      </c>
      <c r="CU13" s="517">
        <v>2486.1309999999999</v>
      </c>
      <c r="CV13" s="517">
        <v>2655</v>
      </c>
      <c r="CW13" s="509">
        <f>SUM(CS13:CV13)</f>
        <v>9710.5379999999986</v>
      </c>
      <c r="CX13" s="517"/>
      <c r="CY13" s="517">
        <f>'MS Revenue Analysis'!DG150</f>
        <v>2714.4341329999997</v>
      </c>
      <c r="CZ13" s="517">
        <f>'MS Revenue Analysis'!DH150</f>
        <v>2881.4206221293507</v>
      </c>
      <c r="DA13" s="517">
        <f>'MS Revenue Analysis'!DI150</f>
        <v>3001.3236358982986</v>
      </c>
      <c r="DB13" s="517">
        <f>'MS Revenue Analysis'!DJ150</f>
        <v>3182.3742666162307</v>
      </c>
      <c r="DC13" s="509">
        <f>SUM(CY13:DB13)</f>
        <v>11779.552657643881</v>
      </c>
      <c r="DD13" s="517"/>
      <c r="DE13" s="517">
        <f>'MS Revenue Analysis'!DM150</f>
        <v>3266.4215505057318</v>
      </c>
      <c r="DF13" s="517">
        <f>'MS Revenue Analysis'!DN150</f>
        <v>3467.5909166086994</v>
      </c>
      <c r="DG13" s="517">
        <f>'MS Revenue Analysis'!DO150</f>
        <v>3611.4050863957277</v>
      </c>
      <c r="DH13" s="517">
        <f>'MS Revenue Analysis'!DP150</f>
        <v>3810.6762624801022</v>
      </c>
      <c r="DI13" s="509">
        <f>SUM(DE13:DH13)</f>
        <v>14156.093815990262</v>
      </c>
      <c r="DJ13" s="517"/>
      <c r="DK13" s="517">
        <f>'MS Revenue Analysis'!DS150</f>
        <v>3913.2871193794222</v>
      </c>
      <c r="DL13" s="517">
        <f>'MS Revenue Analysis'!DT150</f>
        <v>4142.7695853623636</v>
      </c>
      <c r="DM13" s="517">
        <f>'MS Revenue Analysis'!DU150</f>
        <v>4308.0032649533205</v>
      </c>
      <c r="DN13" s="517">
        <f>'MS Revenue Analysis'!DV150</f>
        <v>4547.8810361409733</v>
      </c>
      <c r="DO13" s="509">
        <f>SUM(DK13:DN13)</f>
        <v>16911.941005836081</v>
      </c>
      <c r="DP13" s="316"/>
    </row>
    <row r="14" spans="1:126" s="919" customFormat="1">
      <c r="A14" s="1720" t="s">
        <v>871</v>
      </c>
      <c r="B14" s="350"/>
      <c r="C14" s="1721" t="s">
        <v>88</v>
      </c>
      <c r="D14" s="351" t="s">
        <v>88</v>
      </c>
      <c r="E14" s="352">
        <f>E13/D13-1</f>
        <v>3.2837514934289125</v>
      </c>
      <c r="F14" s="353"/>
      <c r="G14" s="354" t="s">
        <v>88</v>
      </c>
      <c r="H14" s="354" t="s">
        <v>88</v>
      </c>
      <c r="I14" s="354" t="s">
        <v>88</v>
      </c>
      <c r="J14" s="354" t="s">
        <v>88</v>
      </c>
      <c r="K14" s="352">
        <f>K13/E13-1</f>
        <v>1.2152187049690881</v>
      </c>
      <c r="L14" s="353"/>
      <c r="M14" s="355">
        <f>M13/G13-1</f>
        <v>0.92077185017026109</v>
      </c>
      <c r="N14" s="355">
        <f>N13/H13-1</f>
        <v>0.73764966740576488</v>
      </c>
      <c r="O14" s="355">
        <f>O13/I13-1</f>
        <v>0.73765169668392994</v>
      </c>
      <c r="P14" s="355">
        <f>P13/J13-1</f>
        <v>0.83148831488314867</v>
      </c>
      <c r="Q14" s="352">
        <f>Q13/K13-1</f>
        <v>0.80031895249286533</v>
      </c>
      <c r="R14" s="353"/>
      <c r="S14" s="355">
        <f>S13/M13-1</f>
        <v>0.83878974116534688</v>
      </c>
      <c r="T14" s="355">
        <f>T13/N13-1</f>
        <v>0.8383523887300941</v>
      </c>
      <c r="U14" s="355">
        <f>U13/O13-1</f>
        <v>0.84452846975088969</v>
      </c>
      <c r="V14" s="355">
        <f>V13/P13-1</f>
        <v>0.84236251026042819</v>
      </c>
      <c r="W14" s="352">
        <f>W13/Q13-1</f>
        <v>0.84130961816401717</v>
      </c>
      <c r="X14" s="353"/>
      <c r="Y14" s="355">
        <f>Y13/S13-1</f>
        <v>0.87009898444530132</v>
      </c>
      <c r="Z14" s="355">
        <f>Z13/T13-1</f>
        <v>0.82241719188161144</v>
      </c>
      <c r="AA14" s="355">
        <f>AA13/U13-1</f>
        <v>0.79394670203786299</v>
      </c>
      <c r="AB14" s="355">
        <f>AB13/V13-1</f>
        <v>0.66923185969744226</v>
      </c>
      <c r="AC14" s="352">
        <f>AC13/W13-1</f>
        <v>0.77645480038233416</v>
      </c>
      <c r="AD14" s="355"/>
      <c r="AE14" s="355">
        <f>AE13/Y13-1</f>
        <v>0.62387008076989181</v>
      </c>
      <c r="AF14" s="355">
        <f>AF13/Z13-1</f>
        <v>0.62501904384655216</v>
      </c>
      <c r="AG14" s="355">
        <f>AG13/AA13-1</f>
        <v>0.59214099427311617</v>
      </c>
      <c r="AH14" s="355">
        <f>AH13/AB13-1</f>
        <v>0.60231725811343639</v>
      </c>
      <c r="AI14" s="348">
        <f>AI13/AC13-1</f>
        <v>0.60939855116359443</v>
      </c>
      <c r="AJ14" s="355"/>
      <c r="AK14" s="355">
        <f>AK13/AE13-1</f>
        <v>0.5629729186288932</v>
      </c>
      <c r="AL14" s="355">
        <f>AL13/AF13-1</f>
        <v>0.50003281362796836</v>
      </c>
      <c r="AM14" s="355">
        <f>AM13/AG13-1</f>
        <v>0.48924708484966173</v>
      </c>
      <c r="AN14" s="355">
        <f>AN13/AH13-1</f>
        <v>0.487964806808459</v>
      </c>
      <c r="AO14" s="348">
        <f>AO13/AI13-1</f>
        <v>0.50684364344861166</v>
      </c>
      <c r="AP14" s="355"/>
      <c r="AQ14" s="355">
        <f>AQ13/AK13-1</f>
        <v>0.52577019432595318</v>
      </c>
      <c r="AR14" s="355">
        <f>AR13/AL13-1</f>
        <v>0.49826872835910452</v>
      </c>
      <c r="AS14" s="355">
        <f>AS13/AM13-1</f>
        <v>0.43672041547602847</v>
      </c>
      <c r="AT14" s="355">
        <f>AT13/AN13-1</f>
        <v>0.35413221248034521</v>
      </c>
      <c r="AU14" s="348">
        <f>AU13/AO13-1</f>
        <v>0.44666689196436615</v>
      </c>
      <c r="AV14" s="355"/>
      <c r="AW14" s="355">
        <f>AW13/AQ13-1</f>
        <v>0.25040716070311198</v>
      </c>
      <c r="AX14" s="355">
        <f>AX13/AR13-1</f>
        <v>0.2240947772401134</v>
      </c>
      <c r="AY14" s="355">
        <f>AY13/AS13-1</f>
        <v>0.21099592348946161</v>
      </c>
      <c r="AZ14" s="355">
        <f>AZ13/AT13-1</f>
        <v>0.23029574236218098</v>
      </c>
      <c r="BA14" s="348">
        <f>BA13/AU13-1</f>
        <v>0.22842163209672406</v>
      </c>
      <c r="BB14" s="355"/>
      <c r="BC14" s="355">
        <f>BC13/AW13-1</f>
        <v>0.24468356946140091</v>
      </c>
      <c r="BD14" s="355">
        <f>BD13/AX13-1</f>
        <v>0.25733028898582333</v>
      </c>
      <c r="BE14" s="355">
        <f>BE13/AY13-1</f>
        <v>0.31309023364942812</v>
      </c>
      <c r="BF14" s="355">
        <f>BF13/AZ13-1</f>
        <v>0.30892441523057834</v>
      </c>
      <c r="BG14" s="348">
        <f>BG13/BA13-1</f>
        <v>0.28249765186792253</v>
      </c>
      <c r="BH14" s="355"/>
      <c r="BI14" s="355">
        <f>BI13/BC13-1</f>
        <v>0.35012203745523407</v>
      </c>
      <c r="BJ14" s="355">
        <f>BJ13/BD13-1</f>
        <v>0.38034318920398635</v>
      </c>
      <c r="BK14" s="355">
        <f>BK13/BE13-1</f>
        <v>0.36291035071522892</v>
      </c>
      <c r="BL14" s="355">
        <f>BL13/BF13-1</f>
        <v>0.38674877605977587</v>
      </c>
      <c r="BM14" s="348">
        <f>BM13/BG13-1</f>
        <v>0.37075128372911648</v>
      </c>
      <c r="BN14" s="355"/>
      <c r="BO14" s="355">
        <f>BO13/BI13-1</f>
        <v>0.3837686693248632</v>
      </c>
      <c r="BP14" s="355">
        <f>BP13/BJ13-1</f>
        <v>0.34993392619762465</v>
      </c>
      <c r="BQ14" s="355">
        <f>BQ13/BK13-1</f>
        <v>0.34855111784435766</v>
      </c>
      <c r="BR14" s="355">
        <f>BR13/BL13-1</f>
        <v>0.32178356939365838</v>
      </c>
      <c r="BS14" s="348">
        <f>BS13/BM13-1</f>
        <v>0.34924378031768821</v>
      </c>
      <c r="BT14" s="355"/>
      <c r="BU14" s="355">
        <f>BU13/BO13-1</f>
        <v>0.28540184976038585</v>
      </c>
      <c r="BV14" s="355">
        <f>BV13/BP13-1</f>
        <v>0.313241007544804</v>
      </c>
      <c r="BW14" s="355">
        <f>BW13/BQ13-1</f>
        <v>0.35630029705644062</v>
      </c>
      <c r="BX14" s="355">
        <f>BX13/BR13-1</f>
        <v>0.368565044971642</v>
      </c>
      <c r="BY14" s="348">
        <f>BY13/BS13-1</f>
        <v>0.33314672853673044</v>
      </c>
      <c r="BZ14" s="355"/>
      <c r="CA14" s="355">
        <f>CA13/BU13-1</f>
        <v>0.36223865232522101</v>
      </c>
      <c r="CB14" s="355">
        <f>CB13/BV13-1</f>
        <v>0.36522699381066936</v>
      </c>
      <c r="CC14" s="355">
        <f>CC13/BW13-1</f>
        <v>0.28277131559141266</v>
      </c>
      <c r="CD14" s="355">
        <f>CD13/BX13-1</f>
        <v>0.25149464977241887</v>
      </c>
      <c r="CE14" s="348">
        <f>CE13/BY13-1</f>
        <v>0.3109449445188468</v>
      </c>
      <c r="CF14" s="355"/>
      <c r="CG14" s="355">
        <f>CG13/CA13-1</f>
        <v>0.22485805879163889</v>
      </c>
      <c r="CH14" s="355">
        <f>CH13/CB13-1</f>
        <v>0.23424877919367959</v>
      </c>
      <c r="CI14" s="355">
        <f>CI13/CC13-1</f>
        <v>0.23889553306796296</v>
      </c>
      <c r="CJ14" s="355">
        <f>CJ13/CD13-1</f>
        <v>0.25071542295805282</v>
      </c>
      <c r="CK14" s="1630">
        <f>CK13/CE13-1</f>
        <v>0.23771262468676224</v>
      </c>
      <c r="CL14" s="355"/>
      <c r="CM14" s="355">
        <f>CM13/CG13-1</f>
        <v>0.26343800234400505</v>
      </c>
      <c r="CN14" s="355">
        <f>CN13/CH13-1</f>
        <v>0.23976628175944681</v>
      </c>
      <c r="CO14" s="358">
        <f>CO13/CI13-1</f>
        <v>0.24283655102036983</v>
      </c>
      <c r="CP14" s="355">
        <f>CP13/CJ13-1</f>
        <v>0.25435382073621504</v>
      </c>
      <c r="CQ14" s="348">
        <f>CQ13/CK13-1</f>
        <v>0.2498720913162451</v>
      </c>
      <c r="CR14" s="355"/>
      <c r="CS14" s="355">
        <f>CS13/CM13-1</f>
        <v>0.23960387340304923</v>
      </c>
      <c r="CT14" s="355">
        <f>CT13/CN13-1</f>
        <v>0.25577865201900241</v>
      </c>
      <c r="CU14" s="358">
        <f>CU13/CO13-1</f>
        <v>0.25310222224910417</v>
      </c>
      <c r="CV14" s="355">
        <f>CV13/CP13-1</f>
        <v>0.2579057361922934</v>
      </c>
      <c r="CW14" s="348">
        <f>CW13/CQ13-1</f>
        <v>0.25197026122955735</v>
      </c>
      <c r="CX14" s="355"/>
      <c r="CY14" s="355">
        <f>CY13/CS13-1</f>
        <v>0.2333246700907079</v>
      </c>
      <c r="CZ14" s="355">
        <f>CZ13/CT13-1</f>
        <v>0.216559779898303</v>
      </c>
      <c r="DA14" s="355">
        <f>DA13/CU13-1</f>
        <v>0.20722666500610742</v>
      </c>
      <c r="DB14" s="355">
        <f>DB13/CV13-1</f>
        <v>0.19863437537334483</v>
      </c>
      <c r="DC14" s="348">
        <f>DC13/CW13-1</f>
        <v>0.21306900376105653</v>
      </c>
      <c r="DD14" s="355"/>
      <c r="DE14" s="355">
        <f>DE13/CY13-1</f>
        <v>0.20335266595534374</v>
      </c>
      <c r="DF14" s="355">
        <f>DF13/CZ13-1</f>
        <v>0.20343100551774795</v>
      </c>
      <c r="DG14" s="355">
        <f>DG13/DA13-1</f>
        <v>0.20327079799071091</v>
      </c>
      <c r="DH14" s="355">
        <f>DH13/DB13-1</f>
        <v>0.19743183649229779</v>
      </c>
      <c r="DI14" s="348">
        <f>DI13/DC13-1</f>
        <v>0.20175139306365919</v>
      </c>
      <c r="DJ14" s="355"/>
      <c r="DK14" s="355">
        <f>DK13/DE13-1</f>
        <v>0.19803493176609055</v>
      </c>
      <c r="DL14" s="355">
        <f>DL13/DF13-1</f>
        <v>0.19471116547219136</v>
      </c>
      <c r="DM14" s="355">
        <f>DM13/DG13-1</f>
        <v>0.19288840822141484</v>
      </c>
      <c r="DN14" s="355">
        <f>DN13/DH13-1</f>
        <v>0.19345772846656772</v>
      </c>
      <c r="DO14" s="348">
        <f>DO13/DI13-1</f>
        <v>0.19467568000523583</v>
      </c>
      <c r="DP14" s="305"/>
      <c r="DQ14"/>
      <c r="DR14"/>
      <c r="DS14"/>
      <c r="DT14"/>
      <c r="DU14"/>
      <c r="DV14"/>
    </row>
    <row r="15" spans="1:126" s="919" customFormat="1">
      <c r="A15" s="1720" t="s">
        <v>872</v>
      </c>
      <c r="B15" s="350"/>
      <c r="C15" s="1721" t="s">
        <v>88</v>
      </c>
      <c r="D15" s="351" t="s">
        <v>88</v>
      </c>
      <c r="E15" s="351" t="s">
        <v>88</v>
      </c>
      <c r="F15" s="353"/>
      <c r="G15" s="354" t="s">
        <v>88</v>
      </c>
      <c r="H15" s="352">
        <f>H13/G13-1</f>
        <v>0.27979568671963673</v>
      </c>
      <c r="I15" s="352">
        <f>I13/H13-1</f>
        <v>0.1474057649667404</v>
      </c>
      <c r="J15" s="352">
        <f>J13/I13-1</f>
        <v>0.13117415165803514</v>
      </c>
      <c r="K15" s="351" t="s">
        <v>88</v>
      </c>
      <c r="L15" s="353"/>
      <c r="M15" s="355">
        <f>M13/J13-1</f>
        <v>0.15634823014896826</v>
      </c>
      <c r="N15" s="355">
        <f>N13/M13-1</f>
        <v>0.15778276799432689</v>
      </c>
      <c r="O15" s="355">
        <f>O13/N13-1</f>
        <v>0.14740710494079234</v>
      </c>
      <c r="P15" s="355">
        <f>P13/O13-1</f>
        <v>0.19225978647686826</v>
      </c>
      <c r="Q15" s="351" t="s">
        <v>88</v>
      </c>
      <c r="R15" s="353"/>
      <c r="S15" s="355">
        <f>S13/P13-1</f>
        <v>0.16095813745242893</v>
      </c>
      <c r="T15" s="355">
        <f>T13/S13-1</f>
        <v>0.15750739169559069</v>
      </c>
      <c r="U15" s="355">
        <f>U13/T13-1</f>
        <v>0.15126190410084117</v>
      </c>
      <c r="V15" s="355">
        <f>V13/U13-1</f>
        <v>0.19085976124442294</v>
      </c>
      <c r="W15" s="351" t="s">
        <v>88</v>
      </c>
      <c r="X15" s="353"/>
      <c r="Y15" s="355">
        <f>Y13/V13-1</f>
        <v>0.17843617732234351</v>
      </c>
      <c r="Z15" s="355">
        <f>Z13/Y13-1</f>
        <v>0.12799450077332897</v>
      </c>
      <c r="AA15" s="355">
        <f>AA13/Z13-1</f>
        <v>0.13327645571163038</v>
      </c>
      <c r="AB15" s="355">
        <f>AB13/AA13-1</f>
        <v>0.10807141128707021</v>
      </c>
      <c r="AC15" s="351" t="s">
        <v>88</v>
      </c>
      <c r="AD15" s="1574"/>
      <c r="AE15" s="355">
        <f>AE13/AB13-1</f>
        <v>0.1464118895966029</v>
      </c>
      <c r="AF15" s="355">
        <f>AF13/AE13-1</f>
        <v>0.12879260897632627</v>
      </c>
      <c r="AG15" s="355">
        <f>AG13/AF13-1</f>
        <v>0.11034754319679752</v>
      </c>
      <c r="AH15" s="355">
        <f>AH13/AG13-1</f>
        <v>0.11515371560291454</v>
      </c>
      <c r="AI15" s="349" t="s">
        <v>88</v>
      </c>
      <c r="AJ15" s="1574"/>
      <c r="AK15" s="355">
        <f>AK13/AH13-1</f>
        <v>0.11826214687554426</v>
      </c>
      <c r="AL15" s="355">
        <f>AL13/AK13-1</f>
        <v>8.3336718802897947E-2</v>
      </c>
      <c r="AM15" s="355">
        <f>AM13/AL13-1</f>
        <v>0.10236377954724452</v>
      </c>
      <c r="AN15" s="355">
        <f>AN13/AM13-1</f>
        <v>0.11419354107134749</v>
      </c>
      <c r="AO15" s="349" t="s">
        <v>88</v>
      </c>
      <c r="AP15" s="1574"/>
      <c r="AQ15" s="355">
        <f>AQ13/AN13-1</f>
        <v>0.1466743335182199</v>
      </c>
      <c r="AR15" s="355">
        <f>AR13/AQ13-1</f>
        <v>6.3809959128609428E-2</v>
      </c>
      <c r="AS15" s="355">
        <f>AS13/AR13-1</f>
        <v>5.7079092274320065E-2</v>
      </c>
      <c r="AT15" s="355">
        <f>AT13/AS13-1</f>
        <v>5.0145420535668617E-2</v>
      </c>
      <c r="AU15" s="349" t="s">
        <v>88</v>
      </c>
      <c r="AV15" s="1574"/>
      <c r="AW15" s="355">
        <f>AW13/AT13-1</f>
        <v>5.8840329187178186E-2</v>
      </c>
      <c r="AX15" s="358">
        <f>AX13/AW13-1</f>
        <v>4.1424150364839152E-2</v>
      </c>
      <c r="AY15" s="358">
        <f>AY13/AX13-1</f>
        <v>4.5767448200654259E-2</v>
      </c>
      <c r="AZ15" s="358">
        <f>AZ13/AY13-1</f>
        <v>6.6881741454035915E-2</v>
      </c>
      <c r="BA15" s="349" t="s">
        <v>88</v>
      </c>
      <c r="BB15" s="1574"/>
      <c r="BC15" s="355">
        <f>BC13/AZ13-1</f>
        <v>7.1223052346713667E-2</v>
      </c>
      <c r="BD15" s="355">
        <f>BD13/BC13-1</f>
        <v>5.2005634252606292E-2</v>
      </c>
      <c r="BE15" s="355">
        <f>BE13/BD13-1</f>
        <v>9.2145027388460754E-2</v>
      </c>
      <c r="BF15" s="355">
        <f>BF13/BE13-1</f>
        <v>6.3497026911661036E-2</v>
      </c>
      <c r="BG15" s="349" t="s">
        <v>88</v>
      </c>
      <c r="BH15" s="1574"/>
      <c r="BI15" s="355">
        <f>BI13/BF13-1</f>
        <v>0.10493916468704945</v>
      </c>
      <c r="BJ15" s="355">
        <f>BJ13/BI13-1</f>
        <v>7.5553744002162526E-2</v>
      </c>
      <c r="BK15" s="1722">
        <f>BK13/BJ13-1</f>
        <v>7.8351944611892543E-2</v>
      </c>
      <c r="BL15" s="355">
        <f>BL13/BK13-1</f>
        <v>8.209846644646035E-2</v>
      </c>
      <c r="BM15" s="349" t="s">
        <v>88</v>
      </c>
      <c r="BN15" s="1574"/>
      <c r="BO15" s="355">
        <f>BO13/BL13-1</f>
        <v>0.10256466347731408</v>
      </c>
      <c r="BP15" s="355">
        <f>BP13/BO13-1</f>
        <v>4.9255211989865932E-2</v>
      </c>
      <c r="BQ15" s="1722">
        <f>BQ13/BP13-1</f>
        <v>7.7247331972834621E-2</v>
      </c>
      <c r="BR15" s="355">
        <f>BR13/BQ13-1</f>
        <v>6.0619767755873522E-2</v>
      </c>
      <c r="BS15" s="349" t="s">
        <v>88</v>
      </c>
      <c r="BT15" s="1574"/>
      <c r="BU15" s="355">
        <f>BU13/BR13-1</f>
        <v>7.2216882348073552E-2</v>
      </c>
      <c r="BV15" s="355">
        <f>BV13/BU13-1</f>
        <v>7.1979919759778133E-2</v>
      </c>
      <c r="BW15" s="1722">
        <f>BW13/BV13-1</f>
        <v>0.11256872726628298</v>
      </c>
      <c r="BX15" s="355">
        <f>BX13/BW13-1</f>
        <v>7.021073674234124E-2</v>
      </c>
      <c r="BY15" s="349" t="s">
        <v>88</v>
      </c>
      <c r="BZ15" s="1574"/>
      <c r="CA15" s="355">
        <f>CA13/BX13-1</f>
        <v>6.7260402548462883E-2</v>
      </c>
      <c r="CB15" s="355">
        <f>CB13/CA13-1</f>
        <v>7.433152097173723E-2</v>
      </c>
      <c r="CC15" s="355">
        <f>CC13/CB13-1</f>
        <v>4.5372862118454815E-2</v>
      </c>
      <c r="CD15" s="355">
        <f>CD13/CC13-1</f>
        <v>4.4116745426705073E-2</v>
      </c>
      <c r="CE15" s="349" t="s">
        <v>88</v>
      </c>
      <c r="CF15" s="1574"/>
      <c r="CG15" s="355">
        <f>CG13/CD13-1</f>
        <v>4.4545020730541784E-2</v>
      </c>
      <c r="CH15" s="355">
        <f>CH13/CG13-1</f>
        <v>8.2568187138997162E-2</v>
      </c>
      <c r="CI15" s="355">
        <f>CI13/CH13-1</f>
        <v>4.930852766579541E-2</v>
      </c>
      <c r="CJ15" s="355">
        <f>CJ13/CI13-1</f>
        <v>5.4078315739886307E-2</v>
      </c>
      <c r="CK15" s="349" t="s">
        <v>88</v>
      </c>
      <c r="CL15" s="1574"/>
      <c r="CM15" s="355">
        <f>CM13/CJ13-1</f>
        <v>5.5170384985677279E-2</v>
      </c>
      <c r="CN15" s="355">
        <f>CN13/CM13-1</f>
        <v>6.228523570636435E-2</v>
      </c>
      <c r="CO15" s="355">
        <f>CO13/CN13-1</f>
        <v>5.1907130132337942E-2</v>
      </c>
      <c r="CP15" s="355">
        <f>CP13/CO13-1</f>
        <v>6.3846377561075363E-2</v>
      </c>
      <c r="CQ15" s="349" t="s">
        <v>88</v>
      </c>
      <c r="CR15" s="1574"/>
      <c r="CS15" s="355">
        <f>CS13/CP13-1</f>
        <v>4.2762635793411663E-2</v>
      </c>
      <c r="CT15" s="355">
        <f>CT13/CS13-1</f>
        <v>7.6146299618157443E-2</v>
      </c>
      <c r="CU15" s="355">
        <f>CU13/CT13-1</f>
        <v>4.9665209907202801E-2</v>
      </c>
      <c r="CV15" s="355">
        <f>CV13/CU13-1</f>
        <v>6.7924417498514744E-2</v>
      </c>
      <c r="CW15" s="349" t="s">
        <v>88</v>
      </c>
      <c r="CX15" s="1574"/>
      <c r="CY15" s="355">
        <f>CY13/CV13-1</f>
        <v>2.2385737476459333E-2</v>
      </c>
      <c r="CZ15" s="355">
        <f>CZ13/CY13-1</f>
        <v>6.1517974261838804E-2</v>
      </c>
      <c r="DA15" s="355">
        <f>DA13/CZ13-1</f>
        <v>4.1612464646116232E-2</v>
      </c>
      <c r="DB15" s="355">
        <f>DB13/DA13-1</f>
        <v>6.0323594747470066E-2</v>
      </c>
      <c r="DC15" s="349" t="s">
        <v>88</v>
      </c>
      <c r="DD15" s="1574"/>
      <c r="DE15" s="355">
        <f>DE13/DB13-1</f>
        <v>2.641024494547195E-2</v>
      </c>
      <c r="DF15" s="355">
        <f>DF13/DE13-1</f>
        <v>6.1587080232133884E-2</v>
      </c>
      <c r="DG15" s="355">
        <f>DG13/DF13-1</f>
        <v>4.1473799316465554E-2</v>
      </c>
      <c r="DH15" s="355">
        <f>DH13/DG13-1</f>
        <v>5.5178295238890618E-2</v>
      </c>
      <c r="DI15" s="349" t="s">
        <v>88</v>
      </c>
      <c r="DJ15" s="1574"/>
      <c r="DK15" s="355">
        <f>DK13/DH13-1</f>
        <v>2.692720394792536E-2</v>
      </c>
      <c r="DL15" s="355">
        <f>DL13/DK13-1</f>
        <v>5.864186781657188E-2</v>
      </c>
      <c r="DM15" s="355">
        <f>DM13/DL13-1</f>
        <v>3.9884834574140049E-2</v>
      </c>
      <c r="DN15" s="355">
        <f>DN13/DM13-1</f>
        <v>5.568189168729698E-2</v>
      </c>
      <c r="DO15" s="349" t="s">
        <v>88</v>
      </c>
      <c r="DP15" s="305"/>
      <c r="DQ15"/>
      <c r="DR15"/>
      <c r="DS15"/>
      <c r="DT15"/>
      <c r="DU15"/>
      <c r="DV15"/>
    </row>
    <row r="16" spans="1:126">
      <c r="A16" s="1723" t="s">
        <v>86</v>
      </c>
      <c r="B16" s="1718" t="s">
        <v>934</v>
      </c>
      <c r="C16" s="517">
        <v>0</v>
      </c>
      <c r="D16" s="517">
        <v>0.41299999999999998</v>
      </c>
      <c r="E16" s="517">
        <v>0.89600000000000002</v>
      </c>
      <c r="F16" s="1718"/>
      <c r="G16" s="517">
        <v>0.54100000000000004</v>
      </c>
      <c r="H16" s="517">
        <v>0.60799999999999998</v>
      </c>
      <c r="I16" s="517">
        <v>1.254</v>
      </c>
      <c r="J16" s="517">
        <v>0.93200000000000005</v>
      </c>
      <c r="K16" s="517">
        <f>SUM(G16:J16)</f>
        <v>3.335</v>
      </c>
      <c r="L16" s="1718"/>
      <c r="M16" s="517">
        <v>1.9910000000000001</v>
      </c>
      <c r="N16" s="517">
        <v>2.0310000000000001</v>
      </c>
      <c r="O16" s="517">
        <v>2.9540000000000002</v>
      </c>
      <c r="P16" s="517">
        <v>3.2509999999999999</v>
      </c>
      <c r="Q16" s="517">
        <f>SUM(M16:P16)</f>
        <v>10.227</v>
      </c>
      <c r="R16" s="517"/>
      <c r="S16" s="517">
        <v>3.7229999999999999</v>
      </c>
      <c r="T16" s="517">
        <v>4.5640000000000001</v>
      </c>
      <c r="U16" s="517">
        <v>4.8959999999999999</v>
      </c>
      <c r="V16" s="517">
        <v>5.2149999999999999</v>
      </c>
      <c r="W16" s="517">
        <f>SUM(S16:V16)</f>
        <v>18.398</v>
      </c>
      <c r="X16" s="517"/>
      <c r="Y16" s="517">
        <v>5.9870000000000001</v>
      </c>
      <c r="Z16" s="517">
        <v>6.3049999999999997</v>
      </c>
      <c r="AA16" s="517">
        <v>8.2870000000000008</v>
      </c>
      <c r="AB16" s="517">
        <v>8.6389999999999993</v>
      </c>
      <c r="AC16" s="517">
        <f>SUM(Y16:AB16)</f>
        <v>29.218</v>
      </c>
      <c r="AD16" s="517"/>
      <c r="AE16" s="517">
        <v>10.193</v>
      </c>
      <c r="AF16" s="517">
        <v>11.474</v>
      </c>
      <c r="AG16" s="517">
        <v>11.62</v>
      </c>
      <c r="AH16" s="517">
        <v>12.151</v>
      </c>
      <c r="AI16" s="509">
        <f>SUM(AE16:AH16)</f>
        <v>45.438000000000002</v>
      </c>
      <c r="AJ16" s="517"/>
      <c r="AK16" s="517">
        <v>14.722</v>
      </c>
      <c r="AL16" s="517">
        <v>16.581</v>
      </c>
      <c r="AM16" s="517">
        <v>16.427</v>
      </c>
      <c r="AN16" s="517">
        <v>20.388999999999999</v>
      </c>
      <c r="AO16" s="509">
        <f>SUM(AK16:AN16)</f>
        <v>68.119</v>
      </c>
      <c r="AP16" s="517"/>
      <c r="AQ16" s="517">
        <v>22.280999999999999</v>
      </c>
      <c r="AR16" s="517">
        <v>23.356999999999999</v>
      </c>
      <c r="AS16" s="517">
        <v>23.084</v>
      </c>
      <c r="AT16" s="517">
        <v>23.472999999999999</v>
      </c>
      <c r="AU16" s="509">
        <f>SUM(AQ16:AT16)</f>
        <v>92.194999999999993</v>
      </c>
      <c r="AV16" s="517"/>
      <c r="AW16" s="517">
        <v>23.155999999999999</v>
      </c>
      <c r="AX16" s="517">
        <v>22.620999999999999</v>
      </c>
      <c r="AY16" s="517">
        <v>23.678999999999998</v>
      </c>
      <c r="AZ16" s="517">
        <v>26.655000000000001</v>
      </c>
      <c r="BA16" s="509">
        <f>SUM(AW16:AZ16)</f>
        <v>96.111000000000004</v>
      </c>
      <c r="BB16" s="517"/>
      <c r="BC16" s="517">
        <v>26.100999999999999</v>
      </c>
      <c r="BD16" s="517">
        <v>25.420999999999999</v>
      </c>
      <c r="BE16" s="517">
        <v>26.138999999999999</v>
      </c>
      <c r="BF16" s="517">
        <v>28.332999999999998</v>
      </c>
      <c r="BG16" s="509">
        <f>SUM(BC16:BF16)</f>
        <v>105.994</v>
      </c>
      <c r="BH16" s="517"/>
      <c r="BI16" s="517">
        <v>30.86</v>
      </c>
      <c r="BJ16" s="517">
        <v>36.722999999999999</v>
      </c>
      <c r="BK16" s="517">
        <f>35.078</f>
        <v>35.078000000000003</v>
      </c>
      <c r="BL16" s="517">
        <v>37.643999999999998</v>
      </c>
      <c r="BM16" s="509">
        <f>SUM(BI16:BL16)</f>
        <v>140.30500000000001</v>
      </c>
      <c r="BN16" s="517"/>
      <c r="BO16" s="517">
        <v>40.247</v>
      </c>
      <c r="BP16" s="517">
        <v>44.155999999999999</v>
      </c>
      <c r="BQ16" s="517">
        <v>47.798000000000002</v>
      </c>
      <c r="BR16" s="517">
        <v>49.186</v>
      </c>
      <c r="BS16" s="509">
        <f>SUM(BO16:BR16)</f>
        <v>181.387</v>
      </c>
      <c r="BT16" s="517"/>
      <c r="BU16" s="517">
        <v>50.411999999999999</v>
      </c>
      <c r="BV16" s="517">
        <v>54.25</v>
      </c>
      <c r="BW16" s="517">
        <v>71.558000000000007</v>
      </c>
      <c r="BX16" s="517">
        <v>70.241</v>
      </c>
      <c r="BY16" s="509">
        <f>SUM(BU16:BX16)</f>
        <v>246.46100000000001</v>
      </c>
      <c r="BZ16" s="517"/>
      <c r="CA16" s="517">
        <v>79.465999999999994</v>
      </c>
      <c r="CB16" s="517">
        <v>85.963999999999999</v>
      </c>
      <c r="CC16" s="517">
        <v>95.141999999999996</v>
      </c>
      <c r="CD16" s="517">
        <v>99.25</v>
      </c>
      <c r="CE16" s="509">
        <f>SUM(CA16:CD16)</f>
        <v>359.822</v>
      </c>
      <c r="CF16" s="517"/>
      <c r="CG16" s="517">
        <v>105.88</v>
      </c>
      <c r="CH16" s="517">
        <v>113.36499999999999</v>
      </c>
      <c r="CI16" s="517">
        <v>115.634</v>
      </c>
      <c r="CJ16" s="517">
        <v>126.738</v>
      </c>
      <c r="CK16" s="509">
        <f>SUM(CG16:CJ16)</f>
        <v>461.61700000000002</v>
      </c>
      <c r="CL16" s="517"/>
      <c r="CM16" s="517">
        <v>141.11000000000001</v>
      </c>
      <c r="CN16" s="517">
        <v>150.53800000000001</v>
      </c>
      <c r="CO16" s="517">
        <v>160.79400000000001</v>
      </c>
      <c r="CP16" s="517">
        <v>183.33699999999999</v>
      </c>
      <c r="CQ16" s="509">
        <f>SUM(CM16:CP16)</f>
        <v>635.779</v>
      </c>
      <c r="CR16" s="517"/>
      <c r="CS16" s="517">
        <v>186.67099999999999</v>
      </c>
      <c r="CT16" s="517">
        <v>193.09</v>
      </c>
      <c r="CU16" s="517">
        <v>193.71</v>
      </c>
      <c r="CV16" s="517">
        <v>196.00299999999999</v>
      </c>
      <c r="CW16" s="509">
        <f>SUM(CS16:CV16)</f>
        <v>769.47399999999993</v>
      </c>
      <c r="CX16" s="517"/>
      <c r="CY16" s="517">
        <f>'MS Revenue Analysis'!DG105</f>
        <v>229.78749055984653</v>
      </c>
      <c r="CZ16" s="517">
        <f>'MS Revenue Analysis'!DH105</f>
        <v>235.34555952011107</v>
      </c>
      <c r="DA16" s="517">
        <f>'MS Revenue Analysis'!DI105</f>
        <v>234.14565796915548</v>
      </c>
      <c r="DB16" s="517">
        <f>'MS Revenue Analysis'!DJ105</f>
        <v>230.803373654854</v>
      </c>
      <c r="DC16" s="509">
        <f>SUM(CY16:DB16)</f>
        <v>930.08208170396699</v>
      </c>
      <c r="DD16" s="517"/>
      <c r="DE16" s="517">
        <f>'MS Revenue Analysis'!DM105</f>
        <v>272.75488989794627</v>
      </c>
      <c r="DF16" s="517">
        <f>'MS Revenue Analysis'!DN105</f>
        <v>281.86639749818693</v>
      </c>
      <c r="DG16" s="517">
        <f>'MS Revenue Analysis'!DO105</f>
        <v>281.05110677204539</v>
      </c>
      <c r="DH16" s="517">
        <f>'MS Revenue Analysis'!DP105</f>
        <v>271.08773976234909</v>
      </c>
      <c r="DI16" s="509">
        <f>SUM(DE16:DH16)</f>
        <v>1106.7601339305277</v>
      </c>
      <c r="DJ16" s="517"/>
      <c r="DK16" s="517">
        <f>'MS Revenue Analysis'!DS105</f>
        <v>322.82672757186185</v>
      </c>
      <c r="DL16" s="517">
        <f>'MS Revenue Analysis'!DT105</f>
        <v>334.78655059382123</v>
      </c>
      <c r="DM16" s="517">
        <f>'MS Revenue Analysis'!DU105</f>
        <v>335.51354763477042</v>
      </c>
      <c r="DN16" s="517">
        <f>'MS Revenue Analysis'!DV105</f>
        <v>318.14313149758146</v>
      </c>
      <c r="DO16" s="509">
        <f>SUM(DK16:DN16)</f>
        <v>1311.269957298035</v>
      </c>
      <c r="DP16" s="920"/>
    </row>
    <row r="17" spans="1:127" s="919" customFormat="1">
      <c r="A17" s="1720" t="s">
        <v>871</v>
      </c>
      <c r="B17" s="350"/>
      <c r="C17" s="1721" t="s">
        <v>88</v>
      </c>
      <c r="D17" s="351" t="s">
        <v>88</v>
      </c>
      <c r="E17" s="352">
        <f>E16/D16-1</f>
        <v>1.1694915254237288</v>
      </c>
      <c r="F17" s="353"/>
      <c r="G17" s="354" t="s">
        <v>88</v>
      </c>
      <c r="H17" s="354" t="s">
        <v>88</v>
      </c>
      <c r="I17" s="354" t="s">
        <v>88</v>
      </c>
      <c r="J17" s="354" t="s">
        <v>88</v>
      </c>
      <c r="K17" s="352">
        <f>K16/E16-1</f>
        <v>2.722098214285714</v>
      </c>
      <c r="L17" s="353"/>
      <c r="M17" s="355">
        <f>M16/G16-1</f>
        <v>2.6802218114602585</v>
      </c>
      <c r="N17" s="355">
        <f>N16/H16-1</f>
        <v>2.3404605263157898</v>
      </c>
      <c r="O17" s="355">
        <f>O16/I16-1</f>
        <v>1.3556618819776718</v>
      </c>
      <c r="P17" s="355">
        <f>P16/J16-1</f>
        <v>2.4881974248927037</v>
      </c>
      <c r="Q17" s="352">
        <f>Q16/K16-1</f>
        <v>2.0665667166416792</v>
      </c>
      <c r="R17" s="353"/>
      <c r="S17" s="355">
        <f>S16/M16-1</f>
        <v>0.86991461577096918</v>
      </c>
      <c r="T17" s="355">
        <f>T16/N16-1</f>
        <v>1.2471688823239782</v>
      </c>
      <c r="U17" s="355">
        <f>U16/O16-1</f>
        <v>0.6574136763710221</v>
      </c>
      <c r="V17" s="355">
        <f>V16/P16-1</f>
        <v>0.60412180867425413</v>
      </c>
      <c r="W17" s="352">
        <f>W16/Q16-1</f>
        <v>0.79896352791629988</v>
      </c>
      <c r="X17" s="353"/>
      <c r="Y17" s="355">
        <f>Y16/S16-1</f>
        <v>0.6081117378458234</v>
      </c>
      <c r="Z17" s="355">
        <f>Z16/T16-1</f>
        <v>0.38146362839614367</v>
      </c>
      <c r="AA17" s="355">
        <f>AA16/U16-1</f>
        <v>0.69260620915032689</v>
      </c>
      <c r="AB17" s="355">
        <f>AB16/V16-1</f>
        <v>0.65656759348034499</v>
      </c>
      <c r="AC17" s="352">
        <f>AC16/W16-1</f>
        <v>0.58810740297858466</v>
      </c>
      <c r="AD17" s="355"/>
      <c r="AE17" s="355">
        <f>AE16/Y16-1</f>
        <v>0.70252213128444962</v>
      </c>
      <c r="AF17" s="355">
        <f>AF16/Z16-1</f>
        <v>0.81982553528945301</v>
      </c>
      <c r="AG17" s="355">
        <f>AG16/AA16-1</f>
        <v>0.40219621093278612</v>
      </c>
      <c r="AH17" s="355">
        <f>AH16/AB16-1</f>
        <v>0.406528533395069</v>
      </c>
      <c r="AI17" s="348">
        <f>AI16/AC16-1</f>
        <v>0.55513724416455612</v>
      </c>
      <c r="AJ17" s="355"/>
      <c r="AK17" s="355">
        <f>AK16/AE16-1</f>
        <v>0.4443245364465811</v>
      </c>
      <c r="AL17" s="355">
        <f>AL16/AF16-1</f>
        <v>0.44509325431410129</v>
      </c>
      <c r="AM17" s="355">
        <f>AM16/AG16-1</f>
        <v>0.41368330464716019</v>
      </c>
      <c r="AN17" s="355">
        <f>AN16/AH16-1</f>
        <v>0.67796889144926342</v>
      </c>
      <c r="AO17" s="348">
        <f>AO16/AI16-1</f>
        <v>0.49916369558519302</v>
      </c>
      <c r="AP17" s="355"/>
      <c r="AQ17" s="355">
        <f>AQ16/AK16-1</f>
        <v>0.5134492596114657</v>
      </c>
      <c r="AR17" s="355">
        <f>AR16/AL16-1</f>
        <v>0.40866051504734324</v>
      </c>
      <c r="AS17" s="355">
        <f>AS16/AM16-1</f>
        <v>0.40524745845254762</v>
      </c>
      <c r="AT17" s="355">
        <f>AT16/AN16-1</f>
        <v>0.15125803129138249</v>
      </c>
      <c r="AU17" s="348">
        <f>AU16/AO16-1</f>
        <v>0.35344030299916307</v>
      </c>
      <c r="AV17" s="355"/>
      <c r="AW17" s="355">
        <f>AW16/AQ16-1</f>
        <v>3.9271127866792321E-2</v>
      </c>
      <c r="AX17" s="355">
        <f>AX16/AR16-1</f>
        <v>-3.1510896091107576E-2</v>
      </c>
      <c r="AY17" s="355">
        <f>AY16/AS16-1</f>
        <v>2.5775428868480388E-2</v>
      </c>
      <c r="AZ17" s="355">
        <f>AZ16/AT16-1</f>
        <v>0.13556000511225674</v>
      </c>
      <c r="BA17" s="348">
        <f>BA16/AU16-1</f>
        <v>4.2475188459244029E-2</v>
      </c>
      <c r="BB17" s="355"/>
      <c r="BC17" s="355">
        <f>BC16/AW16-1</f>
        <v>0.12718086025220243</v>
      </c>
      <c r="BD17" s="355">
        <f>BD16/AX16-1</f>
        <v>0.12377878962026445</v>
      </c>
      <c r="BE17" s="355">
        <f>BE16/AY16-1</f>
        <v>0.10388952236158633</v>
      </c>
      <c r="BF17" s="355">
        <f>BF16/AZ16-1</f>
        <v>6.2952541737009815E-2</v>
      </c>
      <c r="BG17" s="348">
        <f>BG16/BA16-1</f>
        <v>0.1028290206115845</v>
      </c>
      <c r="BH17" s="355"/>
      <c r="BI17" s="355">
        <f>BI16/BC16-1</f>
        <v>0.18233017892034797</v>
      </c>
      <c r="BJ17" s="355">
        <f>BJ16/BD16-1</f>
        <v>0.44459305298768736</v>
      </c>
      <c r="BK17" s="355">
        <f>BK16/BE16-1</f>
        <v>0.34197941772829887</v>
      </c>
      <c r="BL17" s="355">
        <f>BL16/BF16-1</f>
        <v>0.32862739561641896</v>
      </c>
      <c r="BM17" s="348">
        <f>BM16/BG16-1</f>
        <v>0.32370700228314808</v>
      </c>
      <c r="BN17" s="355"/>
      <c r="BO17" s="355">
        <f>BO16/BI16-1</f>
        <v>0.3041801685029164</v>
      </c>
      <c r="BP17" s="355">
        <f>BP16/BJ16-1</f>
        <v>0.20240721073986334</v>
      </c>
      <c r="BQ17" s="355">
        <f>BQ16/BK16-1</f>
        <v>0.36262044586350406</v>
      </c>
      <c r="BR17" s="355">
        <f>BR16/BL16-1</f>
        <v>0.30660928700456913</v>
      </c>
      <c r="BS17" s="348">
        <f>BS16/BM16-1</f>
        <v>0.29280496062150307</v>
      </c>
      <c r="BT17" s="355"/>
      <c r="BU17" s="355">
        <f>BU16/BO16-1</f>
        <v>0.25256540860188337</v>
      </c>
      <c r="BV17" s="355">
        <f>BV16/BP16-1</f>
        <v>0.22859860494610018</v>
      </c>
      <c r="BW17" s="355">
        <f>BW16/BQ16-1</f>
        <v>0.49709192853257478</v>
      </c>
      <c r="BX17" s="355">
        <f>BX16/BR16-1</f>
        <v>0.42806896271296702</v>
      </c>
      <c r="BY17" s="348">
        <f>BY16/BS16-1</f>
        <v>0.35875779410872899</v>
      </c>
      <c r="BZ17" s="355"/>
      <c r="CA17" s="355">
        <f>CA16/BU16-1</f>
        <v>0.57633103229389815</v>
      </c>
      <c r="CB17" s="355">
        <f>CB16/BV16-1</f>
        <v>0.58458986175115202</v>
      </c>
      <c r="CC17" s="355">
        <f>CC16/BW16-1</f>
        <v>0.32957880320858579</v>
      </c>
      <c r="CD17" s="355">
        <f>CD16/BX16-1</f>
        <v>0.41299241183923918</v>
      </c>
      <c r="CE17" s="348">
        <f>CE16/BY16-1</f>
        <v>0.45995512474590283</v>
      </c>
      <c r="CF17" s="355"/>
      <c r="CG17" s="355">
        <f>CG16/CA16-1</f>
        <v>0.3323937281353031</v>
      </c>
      <c r="CH17" s="355">
        <f>CH16/CB16-1</f>
        <v>0.31874970918058709</v>
      </c>
      <c r="CI17" s="355">
        <f>CI16/CC16-1</f>
        <v>0.21538332177166764</v>
      </c>
      <c r="CJ17" s="355">
        <f>CJ16/CD16-1</f>
        <v>0.27695717884130988</v>
      </c>
      <c r="CK17" s="348">
        <f>CK16/CE16-1</f>
        <v>0.28290376908582582</v>
      </c>
      <c r="CL17" s="355"/>
      <c r="CM17" s="355">
        <f>CM16/CG16-1</f>
        <v>0.33273517189270896</v>
      </c>
      <c r="CN17" s="355">
        <f>CN16/CH16-1</f>
        <v>0.32790543818638929</v>
      </c>
      <c r="CO17" s="355">
        <f>CO16/CI16-1</f>
        <v>0.39054257398343051</v>
      </c>
      <c r="CP17" s="355">
        <f>CP16/CJ16-1</f>
        <v>0.44658271394530447</v>
      </c>
      <c r="CQ17" s="348">
        <f>CQ16/CK16-1</f>
        <v>0.37728679836314516</v>
      </c>
      <c r="CR17" s="355"/>
      <c r="CS17" s="355">
        <f>CS16/CM16-1</f>
        <v>0.32287577067535955</v>
      </c>
      <c r="CT17" s="355">
        <f>CT16/CN16-1</f>
        <v>0.28266617066787125</v>
      </c>
      <c r="CU17" s="355">
        <f>CU16/CO16-1</f>
        <v>0.20470913093772158</v>
      </c>
      <c r="CV17" s="355">
        <f>CV16/CP16-1</f>
        <v>6.9085891009452505E-2</v>
      </c>
      <c r="CW17" s="348">
        <f>CW16/CQ16-1</f>
        <v>0.21028533499848212</v>
      </c>
      <c r="CX17" s="355"/>
      <c r="CY17" s="355">
        <f>CY16/CS16-1</f>
        <v>0.23097583748866479</v>
      </c>
      <c r="CZ17" s="355">
        <f>CZ16/CT16-1</f>
        <v>0.21883867377964195</v>
      </c>
      <c r="DA17" s="355">
        <f>DA16/CU16-1</f>
        <v>0.20874326554723788</v>
      </c>
      <c r="DB17" s="355">
        <f>DB16/CV16-1</f>
        <v>0.17755020920523679</v>
      </c>
      <c r="DC17" s="348">
        <f>DC16/CW16-1</f>
        <v>0.20872450752587746</v>
      </c>
      <c r="DD17" s="355"/>
      <c r="DE17" s="355">
        <f>DE16/CY16-1</f>
        <v>0.18698754763984504</v>
      </c>
      <c r="DF17" s="355">
        <f>DF16/CZ16-1</f>
        <v>0.19767034514241821</v>
      </c>
      <c r="DG17" s="355">
        <f>DG16/DA16-1</f>
        <v>0.20032593903180063</v>
      </c>
      <c r="DH17" s="355">
        <f>DH16/DB16-1</f>
        <v>0.17453976287078365</v>
      </c>
      <c r="DI17" s="348">
        <f>DI16/DC16-1</f>
        <v>0.1899596344258947</v>
      </c>
      <c r="DJ17" s="355"/>
      <c r="DK17" s="355">
        <f>DK16/DE16-1</f>
        <v>0.18357814847114362</v>
      </c>
      <c r="DL17" s="355">
        <f>DL16/DF16-1</f>
        <v>0.18774906681089831</v>
      </c>
      <c r="DM17" s="355">
        <f>DM16/DG16-1</f>
        <v>0.19378127162793346</v>
      </c>
      <c r="DN17" s="355">
        <f>DN16/DH16-1</f>
        <v>0.17357993311126418</v>
      </c>
      <c r="DO17" s="348">
        <f>DO16/DI16-1</f>
        <v>0.18478242674066592</v>
      </c>
      <c r="DP17" s="305"/>
      <c r="DQ17"/>
      <c r="DR17"/>
      <c r="DS17"/>
      <c r="DT17"/>
      <c r="DU17"/>
      <c r="DV17"/>
    </row>
    <row r="18" spans="1:127" s="919" customFormat="1">
      <c r="A18" s="1720" t="s">
        <v>872</v>
      </c>
      <c r="B18" s="350"/>
      <c r="C18" s="1721" t="s">
        <v>88</v>
      </c>
      <c r="D18" s="351" t="s">
        <v>88</v>
      </c>
      <c r="E18" s="351" t="s">
        <v>88</v>
      </c>
      <c r="F18" s="353"/>
      <c r="G18" s="354" t="s">
        <v>88</v>
      </c>
      <c r="H18" s="355">
        <f>H16/G16-1</f>
        <v>0.12384473197781865</v>
      </c>
      <c r="I18" s="355">
        <f>I16/H16-1</f>
        <v>1.0625</v>
      </c>
      <c r="J18" s="355">
        <f>J16/I16-1</f>
        <v>-0.25677830940988833</v>
      </c>
      <c r="K18" s="351" t="s">
        <v>88</v>
      </c>
      <c r="L18" s="353"/>
      <c r="M18" s="355">
        <f>M16/J16-1</f>
        <v>1.1362660944206007</v>
      </c>
      <c r="N18" s="355">
        <f>N16/M16-1</f>
        <v>2.0090406830738372E-2</v>
      </c>
      <c r="O18" s="355">
        <f>O16/N16-1</f>
        <v>0.45445593303791232</v>
      </c>
      <c r="P18" s="355">
        <f>P16/O16-1</f>
        <v>0.10054163845633024</v>
      </c>
      <c r="Q18" s="351" t="s">
        <v>88</v>
      </c>
      <c r="R18" s="353"/>
      <c r="S18" s="355">
        <f>S16/P16-1</f>
        <v>0.14518609658566595</v>
      </c>
      <c r="T18" s="355">
        <f>T16/S16-1</f>
        <v>0.22589309696481341</v>
      </c>
      <c r="U18" s="355">
        <f>U16/T16-1</f>
        <v>7.2743207712532731E-2</v>
      </c>
      <c r="V18" s="355">
        <f>V16/U16-1</f>
        <v>6.5155228758170036E-2</v>
      </c>
      <c r="W18" s="351" t="s">
        <v>88</v>
      </c>
      <c r="X18" s="353"/>
      <c r="Y18" s="355">
        <f>Y16/V16-1</f>
        <v>0.14803451581975069</v>
      </c>
      <c r="Z18" s="355">
        <f>Z16/Y16-1</f>
        <v>5.3115082679138004E-2</v>
      </c>
      <c r="AA18" s="355">
        <f>AA16/Z16-1</f>
        <v>0.31435368754956405</v>
      </c>
      <c r="AB18" s="355">
        <f>AB16/AA16-1</f>
        <v>4.2476167491251271E-2</v>
      </c>
      <c r="AC18" s="351" t="s">
        <v>88</v>
      </c>
      <c r="AD18" s="1574"/>
      <c r="AE18" s="355">
        <f>AE16/AB16-1</f>
        <v>0.17988193077902537</v>
      </c>
      <c r="AF18" s="355">
        <f>AF16/AE16-1</f>
        <v>0.12567448248798208</v>
      </c>
      <c r="AG18" s="355">
        <f>AG16/AF16-1</f>
        <v>1.2724420428795513E-2</v>
      </c>
      <c r="AH18" s="355">
        <f>AH16/AG16-1</f>
        <v>4.5697074010327077E-2</v>
      </c>
      <c r="AI18" s="349" t="s">
        <v>88</v>
      </c>
      <c r="AJ18" s="1574"/>
      <c r="AK18" s="355">
        <f>AK16/AH16-1</f>
        <v>0.21158752366060396</v>
      </c>
      <c r="AL18" s="355">
        <f>AL16/AK16-1</f>
        <v>0.12627360412987376</v>
      </c>
      <c r="AM18" s="355">
        <f>AM16/AL16-1</f>
        <v>-9.2877389783486697E-3</v>
      </c>
      <c r="AN18" s="355">
        <f>AN16/AM16-1</f>
        <v>0.24118828757533328</v>
      </c>
      <c r="AO18" s="349" t="s">
        <v>88</v>
      </c>
      <c r="AP18" s="1574"/>
      <c r="AQ18" s="355">
        <f>AQ16/AN16-1</f>
        <v>9.2795134631418863E-2</v>
      </c>
      <c r="AR18" s="355">
        <f>AR16/AQ16-1</f>
        <v>4.8292266953906982E-2</v>
      </c>
      <c r="AS18" s="355">
        <f>AS16/AR16-1</f>
        <v>-1.1688144881620066E-2</v>
      </c>
      <c r="AT18" s="355">
        <f>AT16/AS16-1</f>
        <v>1.6851498873678761E-2</v>
      </c>
      <c r="AU18" s="349" t="s">
        <v>88</v>
      </c>
      <c r="AV18" s="1574"/>
      <c r="AW18" s="355">
        <f>AW16/AT16-1</f>
        <v>-1.3504877944872873E-2</v>
      </c>
      <c r="AX18" s="355">
        <f>AX16/AW16-1</f>
        <v>-2.3104163067887429E-2</v>
      </c>
      <c r="AY18" s="355">
        <f>AY16/AX16-1</f>
        <v>4.6770699792228365E-2</v>
      </c>
      <c r="AZ18" s="355">
        <f>AZ16/AY16-1</f>
        <v>0.12568098314962639</v>
      </c>
      <c r="BA18" s="349" t="s">
        <v>88</v>
      </c>
      <c r="BB18" s="1574"/>
      <c r="BC18" s="355">
        <f>BC16/AZ16-1</f>
        <v>-2.0784093040705387E-2</v>
      </c>
      <c r="BD18" s="355">
        <f>BD16/BC16-1</f>
        <v>-2.6052641661238995E-2</v>
      </c>
      <c r="BE18" s="355">
        <f>BE16/BD16-1</f>
        <v>2.8244364895165353E-2</v>
      </c>
      <c r="BF18" s="355">
        <f>BF16/BE16-1</f>
        <v>8.3935881250239097E-2</v>
      </c>
      <c r="BG18" s="349" t="s">
        <v>88</v>
      </c>
      <c r="BH18" s="1574"/>
      <c r="BI18" s="355">
        <f>BI16/BF16-1</f>
        <v>8.9189284579818562E-2</v>
      </c>
      <c r="BJ18" s="355">
        <f>BJ16/BI16-1</f>
        <v>0.1899870382372002</v>
      </c>
      <c r="BK18" s="355">
        <f>BK16/BJ16-1</f>
        <v>-4.4794815238406338E-2</v>
      </c>
      <c r="BL18" s="355">
        <f>BL16/BK16-1</f>
        <v>7.3151262899823211E-2</v>
      </c>
      <c r="BM18" s="349" t="s">
        <v>88</v>
      </c>
      <c r="BN18" s="1574"/>
      <c r="BO18" s="355">
        <f>BO16/BL16-1</f>
        <v>6.9147805759218084E-2</v>
      </c>
      <c r="BP18" s="355">
        <f>BP16/BO16-1</f>
        <v>9.7125251571545723E-2</v>
      </c>
      <c r="BQ18" s="355">
        <f>BQ16/BP16-1</f>
        <v>8.2480297128363134E-2</v>
      </c>
      <c r="BR18" s="355">
        <f>BR16/BQ16-1</f>
        <v>2.9038871919327081E-2</v>
      </c>
      <c r="BS18" s="349" t="s">
        <v>88</v>
      </c>
      <c r="BT18" s="1574"/>
      <c r="BU18" s="355">
        <f>BU16/BR16-1</f>
        <v>2.4925791892001836E-2</v>
      </c>
      <c r="BV18" s="355">
        <f>BV16/BU16-1</f>
        <v>7.6132666825359019E-2</v>
      </c>
      <c r="BW18" s="355">
        <f>BW16/BV16-1</f>
        <v>0.31904147465437793</v>
      </c>
      <c r="BX18" s="355">
        <f>BX16/BW16-1</f>
        <v>-1.8404650772799735E-2</v>
      </c>
      <c r="BY18" s="349" t="s">
        <v>88</v>
      </c>
      <c r="BZ18" s="1574"/>
      <c r="CA18" s="355">
        <f>CA16/BX16-1</f>
        <v>0.13133355162939009</v>
      </c>
      <c r="CB18" s="355">
        <f>CB16/CA16-1</f>
        <v>8.1770820225002039E-2</v>
      </c>
      <c r="CC18" s="355">
        <f>CC16/CB16-1</f>
        <v>0.10676562281885427</v>
      </c>
      <c r="CD18" s="355">
        <f>CD16/CC16-1</f>
        <v>4.3177566164259717E-2</v>
      </c>
      <c r="CE18" s="349" t="s">
        <v>88</v>
      </c>
      <c r="CF18" s="1574"/>
      <c r="CG18" s="355">
        <f>CG16/CD16-1</f>
        <v>6.6801007556674952E-2</v>
      </c>
      <c r="CH18" s="355">
        <f>CH16/CG16-1</f>
        <v>7.0693237627502903E-2</v>
      </c>
      <c r="CI18" s="355">
        <f>CI16/CH16-1</f>
        <v>2.0014995809994218E-2</v>
      </c>
      <c r="CJ18" s="355">
        <f>CJ16/CI16-1</f>
        <v>9.6027120051195958E-2</v>
      </c>
      <c r="CK18" s="349" t="s">
        <v>88</v>
      </c>
      <c r="CL18" s="1574"/>
      <c r="CM18" s="355">
        <f>CM16/CJ16-1</f>
        <v>0.11339929618583233</v>
      </c>
      <c r="CN18" s="355">
        <f>CN16/CM16-1</f>
        <v>6.6813124512791422E-2</v>
      </c>
      <c r="CO18" s="355">
        <f>CO16/CN16-1</f>
        <v>6.8128977401054946E-2</v>
      </c>
      <c r="CP18" s="355">
        <f>CP16/CO16-1</f>
        <v>0.14019801733895521</v>
      </c>
      <c r="CQ18" s="349" t="s">
        <v>88</v>
      </c>
      <c r="CR18" s="1574"/>
      <c r="CS18" s="355">
        <f>CS16/CP16-1</f>
        <v>1.8185090843637619E-2</v>
      </c>
      <c r="CT18" s="355">
        <f>CT16/CS16-1</f>
        <v>3.43867017372812E-2</v>
      </c>
      <c r="CU18" s="355">
        <f>CU16/CT16-1</f>
        <v>3.2109379046041386E-3</v>
      </c>
      <c r="CV18" s="355">
        <f>CV16/CU16-1</f>
        <v>1.1837282535749116E-2</v>
      </c>
      <c r="CW18" s="349" t="s">
        <v>88</v>
      </c>
      <c r="CX18" s="1574"/>
      <c r="CY18" s="355">
        <f>CY16/CV16-1</f>
        <v>0.17236721152148982</v>
      </c>
      <c r="CZ18" s="355">
        <f>CZ16/CY16-1</f>
        <v>2.4187865695922017E-2</v>
      </c>
      <c r="DA18" s="355">
        <f>DA16/CZ16-1</f>
        <v>-5.0984669241360692E-3</v>
      </c>
      <c r="DB18" s="355">
        <f>DB16/DA16-1</f>
        <v>-1.4274380927199459E-2</v>
      </c>
      <c r="DC18" s="349" t="s">
        <v>88</v>
      </c>
      <c r="DD18" s="1574"/>
      <c r="DE18" s="355">
        <f>DE16/DB16-1</f>
        <v>0.18176301142732454</v>
      </c>
      <c r="DF18" s="355">
        <f>DF16/DE16-1</f>
        <v>3.340547846328179E-2</v>
      </c>
      <c r="DG18" s="355">
        <f>DG16/DF16-1</f>
        <v>-2.8924722257707147E-3</v>
      </c>
      <c r="DH18" s="355">
        <f>DH16/DG16-1</f>
        <v>-3.5450374574676147E-2</v>
      </c>
      <c r="DI18" s="349" t="s">
        <v>88</v>
      </c>
      <c r="DJ18" s="1574"/>
      <c r="DK18" s="355">
        <f>DK16/DH16-1</f>
        <v>0.19085698178335209</v>
      </c>
      <c r="DL18" s="355">
        <f>DL16/DK16-1</f>
        <v>3.7047189716647999E-2</v>
      </c>
      <c r="DM18" s="355">
        <f>DM16/DL16-1</f>
        <v>2.1715240342232711E-3</v>
      </c>
      <c r="DN18" s="355">
        <f>DN16/DM16-1</f>
        <v>-5.1772622177682859E-2</v>
      </c>
      <c r="DO18" s="349" t="s">
        <v>88</v>
      </c>
      <c r="DP18" s="305"/>
      <c r="DQ18"/>
      <c r="DR18"/>
      <c r="DS18"/>
      <c r="DT18"/>
      <c r="DU18"/>
      <c r="DV18"/>
    </row>
    <row r="19" spans="1:127">
      <c r="A19" s="308" t="s">
        <v>696</v>
      </c>
      <c r="B19" s="309" t="s">
        <v>935</v>
      </c>
      <c r="C19" s="309">
        <f>C13+C16</f>
        <v>0</v>
      </c>
      <c r="D19" s="309">
        <f>D13+D16</f>
        <v>5.4350000000000005</v>
      </c>
      <c r="E19" s="309">
        <f>E16+E13</f>
        <v>22.409000000000002</v>
      </c>
      <c r="F19" s="309"/>
      <c r="G19" s="309">
        <f>G13+G16</f>
        <v>9.3510000000000009</v>
      </c>
      <c r="H19" s="309">
        <f>H13+H16</f>
        <v>11.883000000000001</v>
      </c>
      <c r="I19" s="309">
        <f>I13+I16</f>
        <v>14.190999999999999</v>
      </c>
      <c r="J19" s="309">
        <f>J13+J16</f>
        <v>15.566000000000001</v>
      </c>
      <c r="K19" s="309">
        <f>K13+K16</f>
        <v>50.991</v>
      </c>
      <c r="L19" s="309"/>
      <c r="M19" s="309">
        <f>M13+M16</f>
        <v>18.913</v>
      </c>
      <c r="N19" s="309">
        <f>N13+N16</f>
        <v>21.622999999999998</v>
      </c>
      <c r="O19" s="309">
        <f>O13+O16</f>
        <v>25.434000000000001</v>
      </c>
      <c r="P19" s="309">
        <f>P13+P16</f>
        <v>30.053000000000001</v>
      </c>
      <c r="Q19" s="309">
        <f>SUM(M19:P19)</f>
        <v>96.022999999999996</v>
      </c>
      <c r="R19" s="309"/>
      <c r="S19" s="309">
        <f t="shared" ref="S19:AI19" si="0">S13+S16</f>
        <v>34.838999999999999</v>
      </c>
      <c r="T19" s="309">
        <f t="shared" si="0"/>
        <v>40.581000000000003</v>
      </c>
      <c r="U19" s="309">
        <f t="shared" si="0"/>
        <v>46.361000000000004</v>
      </c>
      <c r="V19" s="309">
        <f t="shared" si="0"/>
        <v>54.593999999999994</v>
      </c>
      <c r="W19" s="309">
        <f t="shared" si="0"/>
        <v>176.375</v>
      </c>
      <c r="X19" s="309"/>
      <c r="Y19" s="309">
        <f t="shared" si="0"/>
        <v>64.176999999999992</v>
      </c>
      <c r="Z19" s="309">
        <f t="shared" si="0"/>
        <v>71.943000000000012</v>
      </c>
      <c r="AA19" s="309">
        <f t="shared" si="0"/>
        <v>82.673000000000002</v>
      </c>
      <c r="AB19" s="309">
        <f t="shared" si="0"/>
        <v>91.063999999999993</v>
      </c>
      <c r="AC19" s="309">
        <f t="shared" si="0"/>
        <v>309.85700000000003</v>
      </c>
      <c r="AD19" s="309"/>
      <c r="AE19" s="309">
        <f t="shared" si="0"/>
        <v>104.68599999999999</v>
      </c>
      <c r="AF19" s="309">
        <f t="shared" si="0"/>
        <v>118.137</v>
      </c>
      <c r="AG19" s="309">
        <f t="shared" si="0"/>
        <v>130.053</v>
      </c>
      <c r="AH19" s="309">
        <f t="shared" si="0"/>
        <v>144.22200000000001</v>
      </c>
      <c r="AI19" s="310">
        <f t="shared" si="0"/>
        <v>497.09799999999996</v>
      </c>
      <c r="AJ19" s="309"/>
      <c r="AK19" s="309">
        <f>AK13+AK16</f>
        <v>162.41200000000001</v>
      </c>
      <c r="AL19" s="309">
        <f>AL13+AL16</f>
        <v>176.57899999999998</v>
      </c>
      <c r="AM19" s="309">
        <f>AM13+AM16</f>
        <v>192.803</v>
      </c>
      <c r="AN19" s="309">
        <f>AN13+AN16</f>
        <v>216.90600000000001</v>
      </c>
      <c r="AO19" s="310">
        <f>AO13+AO16</f>
        <v>748.69999999999993</v>
      </c>
      <c r="AP19" s="309"/>
      <c r="AQ19" s="309">
        <f>AQ13+AQ16</f>
        <v>247.62200000000001</v>
      </c>
      <c r="AR19" s="309">
        <f>AR13+AR16</f>
        <v>263.077</v>
      </c>
      <c r="AS19" s="309">
        <f>AS13+AS16</f>
        <v>276.48699999999997</v>
      </c>
      <c r="AT19" s="309">
        <f>AT13+AT16</f>
        <v>289.58300000000003</v>
      </c>
      <c r="AU19" s="310">
        <f>AU13+AU16</f>
        <v>1076.769</v>
      </c>
      <c r="AV19" s="309"/>
      <c r="AW19" s="309">
        <f>AW13+AW16</f>
        <v>304.92399999999998</v>
      </c>
      <c r="AX19" s="309">
        <f>AX13+AX16</f>
        <v>316.06099999999998</v>
      </c>
      <c r="AY19" s="309">
        <f>AY13+AY16</f>
        <v>330.54899999999998</v>
      </c>
      <c r="AZ19" s="309">
        <f>AZ13+AZ16</f>
        <v>354.04899999999998</v>
      </c>
      <c r="BA19" s="310">
        <f>BA13+BA16</f>
        <v>1305.5830000000001</v>
      </c>
      <c r="BB19" s="309"/>
      <c r="BC19" s="309">
        <f>BC13+BC16</f>
        <v>376.81299999999999</v>
      </c>
      <c r="BD19" s="309">
        <f>BD13+BD16</f>
        <v>394.37200000000001</v>
      </c>
      <c r="BE19" s="309">
        <f>BE13+BE16</f>
        <v>429.08699999999999</v>
      </c>
      <c r="BF19" s="309">
        <f>BF13+BF16</f>
        <v>456.86699999999996</v>
      </c>
      <c r="BG19" s="310">
        <f>BG13+BG16</f>
        <v>1657.1389999999999</v>
      </c>
      <c r="BH19" s="309"/>
      <c r="BI19" s="309">
        <f>BI13+BI16</f>
        <v>504.36400000000003</v>
      </c>
      <c r="BJ19" s="309">
        <f>BJ13+BJ16</f>
        <v>546.00199999999995</v>
      </c>
      <c r="BK19" s="309">
        <f>BK13+BK16</f>
        <v>584.26</v>
      </c>
      <c r="BL19" s="309">
        <f>BL13+BL16</f>
        <v>631.91300000000001</v>
      </c>
      <c r="BM19" s="310">
        <f>BM13+BM16</f>
        <v>2266.5390000000002</v>
      </c>
      <c r="BN19" s="309"/>
      <c r="BO19" s="309">
        <f>BO13+BO16</f>
        <v>695.46699999999998</v>
      </c>
      <c r="BP19" s="309">
        <f>BP13+BP16</f>
        <v>731.649</v>
      </c>
      <c r="BQ19" s="309">
        <f>BQ13+BQ16</f>
        <v>788.39800000000002</v>
      </c>
      <c r="BR19" s="309">
        <f>BR13+BR16</f>
        <v>834.68100000000004</v>
      </c>
      <c r="BS19" s="310">
        <f>BS13+BS16</f>
        <v>3050.1950000000002</v>
      </c>
      <c r="BT19" s="309"/>
      <c r="BU19" s="309">
        <f>BU13+BU16</f>
        <v>892.63300000000004</v>
      </c>
      <c r="BV19" s="309">
        <f>BV13+BV16</f>
        <v>957.09400000000005</v>
      </c>
      <c r="BW19" s="309">
        <f>BW13+BW16</f>
        <v>1076.0340000000001</v>
      </c>
      <c r="BX19" s="309">
        <f>BX13+BX16</f>
        <v>1145.242</v>
      </c>
      <c r="BY19" s="310">
        <f>BY13+BY16</f>
        <v>4071.0030000000006</v>
      </c>
      <c r="BZ19" s="309"/>
      <c r="CA19" s="309">
        <f>CA13+CA16</f>
        <v>1226.7719999999999</v>
      </c>
      <c r="CB19" s="309">
        <f>CB13+CB16</f>
        <v>1318.5509999999999</v>
      </c>
      <c r="CC19" s="309">
        <f>CC13+CC16</f>
        <v>1383.655</v>
      </c>
      <c r="CD19" s="309">
        <f>CD13+CD16</f>
        <v>1444.6079999999999</v>
      </c>
      <c r="CE19" s="310">
        <f>CE13+CE16</f>
        <v>5373.5860000000002</v>
      </c>
      <c r="CF19" s="309"/>
      <c r="CG19" s="309">
        <f>CG13+CG16</f>
        <v>1511.1669999999999</v>
      </c>
      <c r="CH19" s="1642">
        <f>CH13+CH16</f>
        <v>1634.684</v>
      </c>
      <c r="CI19" s="309">
        <f>CI13+CI16</f>
        <v>1711.9670000000001</v>
      </c>
      <c r="CJ19" s="309">
        <f>CJ13+CJ16</f>
        <v>1809.3980000000001</v>
      </c>
      <c r="CK19" s="310">
        <f>CK13+CK16</f>
        <v>6667.2160000000003</v>
      </c>
      <c r="CL19" s="309"/>
      <c r="CM19" s="309">
        <f>CM13+CM16</f>
        <v>1916.6030000000001</v>
      </c>
      <c r="CN19" s="309">
        <f>CN13+CN16</f>
        <v>2036.6179999999999</v>
      </c>
      <c r="CO19" s="309">
        <f>CO13+CO16</f>
        <v>2144.7750000000001</v>
      </c>
      <c r="CP19" s="309">
        <f>CP13+CP16</f>
        <v>2293.9879999999998</v>
      </c>
      <c r="CQ19" s="310">
        <f>CQ13+CQ16</f>
        <v>8391.9840000000004</v>
      </c>
      <c r="CR19" s="309"/>
      <c r="CS19" s="309">
        <f>CS13+CS16</f>
        <v>2387.5789999999997</v>
      </c>
      <c r="CT19" s="309">
        <f>CT13+CT16</f>
        <v>2561.5889999999999</v>
      </c>
      <c r="CU19" s="309">
        <f>CU13+CU16</f>
        <v>2679.8409999999999</v>
      </c>
      <c r="CV19" s="309">
        <f>CV13+CV16</f>
        <v>2851.0030000000002</v>
      </c>
      <c r="CW19" s="310">
        <f>CW13+CW16</f>
        <v>10480.011999999999</v>
      </c>
      <c r="CX19" s="309"/>
      <c r="CY19" s="309">
        <f>CY13+CY16</f>
        <v>2944.2216235598462</v>
      </c>
      <c r="CZ19" s="309">
        <f>CZ13+CZ16</f>
        <v>3116.7661816494619</v>
      </c>
      <c r="DA19" s="309">
        <f>DA13+DA16</f>
        <v>3235.4692938674539</v>
      </c>
      <c r="DB19" s="309">
        <f>DB13+DB16</f>
        <v>3413.1776402710848</v>
      </c>
      <c r="DC19" s="310">
        <f>DC13+DC16</f>
        <v>12709.634739347848</v>
      </c>
      <c r="DD19" s="309"/>
      <c r="DE19" s="309">
        <f>DE13+DE16</f>
        <v>3539.176440403678</v>
      </c>
      <c r="DF19" s="309">
        <f>DF13+DF16</f>
        <v>3749.4573141068863</v>
      </c>
      <c r="DG19" s="309">
        <f>DG13+DG16</f>
        <v>3892.4561931677731</v>
      </c>
      <c r="DH19" s="309">
        <f>DH13+DH16</f>
        <v>4081.7640022424512</v>
      </c>
      <c r="DI19" s="310">
        <f>DI13+DI16</f>
        <v>15262.853949920789</v>
      </c>
      <c r="DJ19" s="309"/>
      <c r="DK19" s="309">
        <f>DK13+DK16</f>
        <v>4236.1138469512844</v>
      </c>
      <c r="DL19" s="309">
        <f>DL13+DL16</f>
        <v>4477.5561359561852</v>
      </c>
      <c r="DM19" s="309">
        <f>DM13+DM16</f>
        <v>4643.5168125880909</v>
      </c>
      <c r="DN19" s="309">
        <f>DN13+DN16</f>
        <v>4866.0241676385549</v>
      </c>
      <c r="DO19" s="310">
        <f>DO13+DO16</f>
        <v>18223.210963134115</v>
      </c>
      <c r="DP19" s="317"/>
      <c r="DW19" s="1577"/>
    </row>
    <row r="20" spans="1:127" s="919" customFormat="1">
      <c r="A20" s="1720" t="s">
        <v>871</v>
      </c>
      <c r="B20" s="350"/>
      <c r="C20" s="351" t="s">
        <v>88</v>
      </c>
      <c r="D20" s="351" t="s">
        <v>88</v>
      </c>
      <c r="E20" s="352">
        <f>E19/D19-1</f>
        <v>3.1230910763569462</v>
      </c>
      <c r="F20" s="353"/>
      <c r="G20" s="354" t="s">
        <v>88</v>
      </c>
      <c r="H20" s="354" t="s">
        <v>88</v>
      </c>
      <c r="I20" s="354" t="s">
        <v>88</v>
      </c>
      <c r="J20" s="354" t="s">
        <v>88</v>
      </c>
      <c r="K20" s="355">
        <f>K19/E19-1</f>
        <v>1.275469677361774</v>
      </c>
      <c r="L20" s="353"/>
      <c r="M20" s="355">
        <f>M19/G19-1</f>
        <v>1.0225644316115923</v>
      </c>
      <c r="N20" s="355">
        <f>N19/H19-1</f>
        <v>0.81965833543717892</v>
      </c>
      <c r="O20" s="355">
        <f>O19/I19-1</f>
        <v>0.79226270171235313</v>
      </c>
      <c r="P20" s="355">
        <f>P19/J19-1</f>
        <v>0.93068225619940903</v>
      </c>
      <c r="Q20" s="355">
        <f>Q19/K19-1</f>
        <v>0.88313623972857958</v>
      </c>
      <c r="R20" s="353"/>
      <c r="S20" s="355">
        <f>S19/M19-1</f>
        <v>0.8420663036006979</v>
      </c>
      <c r="T20" s="355">
        <f>T19/N19-1</f>
        <v>0.87675160708504873</v>
      </c>
      <c r="U20" s="355">
        <f>U19/O19-1</f>
        <v>0.8227962569788474</v>
      </c>
      <c r="V20" s="355">
        <f>V19/P19-1</f>
        <v>0.81659068978138594</v>
      </c>
      <c r="W20" s="355">
        <f>W19/Q19-1</f>
        <v>0.83679951678243758</v>
      </c>
      <c r="X20" s="353"/>
      <c r="Y20" s="355">
        <f>Y19/S19-1</f>
        <v>0.84210224174057791</v>
      </c>
      <c r="Z20" s="355">
        <f>Z19/T19-1</f>
        <v>0.77282472092851351</v>
      </c>
      <c r="AA20" s="355">
        <f>AA19/U19-1</f>
        <v>0.78324453743448141</v>
      </c>
      <c r="AB20" s="355">
        <f>AB19/V19-1</f>
        <v>0.66802212697366015</v>
      </c>
      <c r="AC20" s="355">
        <f>AC19/W19-1</f>
        <v>0.75680793763288468</v>
      </c>
      <c r="AD20" s="355"/>
      <c r="AE20" s="355">
        <f>AE19/Y19-1</f>
        <v>0.63120744191844436</v>
      </c>
      <c r="AF20" s="355">
        <f>AF19/Z19-1</f>
        <v>0.64209165589424932</v>
      </c>
      <c r="AG20" s="355">
        <f>AG19/AA19-1</f>
        <v>0.57310125433938519</v>
      </c>
      <c r="AH20" s="355">
        <f>AH19/AB19-1</f>
        <v>0.58374330141439001</v>
      </c>
      <c r="AI20" s="356">
        <f>AI19/AC19-1</f>
        <v>0.6042819752337365</v>
      </c>
      <c r="AJ20" s="355"/>
      <c r="AK20" s="355">
        <f>AK19/AE19-1</f>
        <v>0.55142043826299614</v>
      </c>
      <c r="AL20" s="355">
        <f>AL19/AF19-1</f>
        <v>0.4946968350305152</v>
      </c>
      <c r="AM20" s="355">
        <f>AM19/AG19-1</f>
        <v>0.48249559794852859</v>
      </c>
      <c r="AN20" s="355">
        <f>AN19/AH19-1</f>
        <v>0.50397304156092693</v>
      </c>
      <c r="AO20" s="356">
        <f>AO19/AI19-1</f>
        <v>0.506141646114046</v>
      </c>
      <c r="AP20" s="355"/>
      <c r="AQ20" s="355">
        <f>AQ19/AK19-1</f>
        <v>0.52465335073763031</v>
      </c>
      <c r="AR20" s="355">
        <f>AR19/AL19-1</f>
        <v>0.48985439944727305</v>
      </c>
      <c r="AS20" s="355">
        <f>AS19/AM19-1</f>
        <v>0.43403888943636759</v>
      </c>
      <c r="AT20" s="355">
        <f>AT19/AN19-1</f>
        <v>0.3350621928392945</v>
      </c>
      <c r="AU20" s="356">
        <f>AU19/AO19-1</f>
        <v>0.43818485374649407</v>
      </c>
      <c r="AV20" s="355"/>
      <c r="AW20" s="355">
        <f>AW19/AQ19-1</f>
        <v>0.23140916396766031</v>
      </c>
      <c r="AX20" s="355">
        <f>AX19/AR19-1</f>
        <v>0.20140111070142952</v>
      </c>
      <c r="AY20" s="355">
        <f>AY19/AS19-1</f>
        <v>0.19553179715502012</v>
      </c>
      <c r="AZ20" s="355">
        <f>AZ19/AT19-1</f>
        <v>0.2226166591270895</v>
      </c>
      <c r="BA20" s="356">
        <f>BA19/AU19-1</f>
        <v>0.21250054561377607</v>
      </c>
      <c r="BB20" s="355"/>
      <c r="BC20" s="355">
        <f>BC19/AW19-1</f>
        <v>0.23576038619459272</v>
      </c>
      <c r="BD20" s="355">
        <f>BD19/AX19-1</f>
        <v>0.24777179088846779</v>
      </c>
      <c r="BE20" s="355">
        <f>BE19/AY19-1</f>
        <v>0.29810406324024585</v>
      </c>
      <c r="BF20" s="355">
        <f>BF19/AZ19-1</f>
        <v>0.29040613022491235</v>
      </c>
      <c r="BG20" s="357">
        <f>BG19/BA19-1</f>
        <v>0.26927127574424592</v>
      </c>
      <c r="BH20" s="355"/>
      <c r="BI20" s="355">
        <f>BI19/BC19-1</f>
        <v>0.3384994679058313</v>
      </c>
      <c r="BJ20" s="355">
        <f>BJ19/BD19-1</f>
        <v>0.38448469972513255</v>
      </c>
      <c r="BK20" s="358">
        <f>BK19/BE19-1</f>
        <v>0.36163528608417406</v>
      </c>
      <c r="BL20" s="355">
        <f>BL19/BF19-1</f>
        <v>0.38314432865582337</v>
      </c>
      <c r="BM20" s="357">
        <f>BM19/BG19-1</f>
        <v>0.36774223526209959</v>
      </c>
      <c r="BN20" s="355"/>
      <c r="BO20" s="355">
        <f>BO19/BI19-1</f>
        <v>0.37889896979165827</v>
      </c>
      <c r="BP20" s="355">
        <f>BP19/BJ19-1</f>
        <v>0.34001157504917567</v>
      </c>
      <c r="BQ20" s="355">
        <f>BQ19/BK19-1</f>
        <v>0.34939581693081845</v>
      </c>
      <c r="BR20" s="355">
        <f>BR19/BL19-1</f>
        <v>0.3208796147570947</v>
      </c>
      <c r="BS20" s="357">
        <f>BS19/BM19-1</f>
        <v>0.34575006209908588</v>
      </c>
      <c r="BT20" s="355"/>
      <c r="BU20" s="355">
        <f>BU19/BO19-1</f>
        <v>0.28350158957937621</v>
      </c>
      <c r="BV20" s="355">
        <f>BV19/BP19-1</f>
        <v>0.30813272484483689</v>
      </c>
      <c r="BW20" s="355">
        <f>BW19/BQ19-1</f>
        <v>0.36483603459166569</v>
      </c>
      <c r="BX20" s="355">
        <f>BX19/BR19-1</f>
        <v>0.37207148599285222</v>
      </c>
      <c r="BY20" s="357">
        <f>BY19/BS19-1</f>
        <v>0.33466975062250137</v>
      </c>
      <c r="BZ20" s="355"/>
      <c r="CA20" s="355">
        <f>CA19/BU19-1</f>
        <v>0.3743296517157666</v>
      </c>
      <c r="CB20" s="355">
        <f>CB19/BV19-1</f>
        <v>0.37766091940812485</v>
      </c>
      <c r="CC20" s="355">
        <f>CC19/BW19-1</f>
        <v>0.28588408916446872</v>
      </c>
      <c r="CD20" s="355">
        <f>CD19/BX19-1</f>
        <v>0.26139977402156056</v>
      </c>
      <c r="CE20" s="357">
        <f>CE19/BY19-1</f>
        <v>0.31996611154548393</v>
      </c>
      <c r="CF20" s="355"/>
      <c r="CG20" s="355">
        <f>CG19/CA19-1</f>
        <v>0.23182384338736139</v>
      </c>
      <c r="CH20" s="355">
        <f>CH19/CB19-1</f>
        <v>0.2397578857397249</v>
      </c>
      <c r="CI20" s="355">
        <f>CI19/CC19-1</f>
        <v>0.23727880143532909</v>
      </c>
      <c r="CJ20" s="355">
        <f>CJ19/CD19-1</f>
        <v>0.25251833023214609</v>
      </c>
      <c r="CK20" s="1629">
        <f>CK19/CE19-1</f>
        <v>0.24073867990574627</v>
      </c>
      <c r="CL20" s="355"/>
      <c r="CM20" s="355">
        <f>CM19/CG19-1</f>
        <v>0.26829331238704923</v>
      </c>
      <c r="CN20" s="355">
        <f>CN19/CH19-1</f>
        <v>0.24587871417350393</v>
      </c>
      <c r="CO20" s="358">
        <f>CO19/CI19-1</f>
        <v>0.25281328436821493</v>
      </c>
      <c r="CP20" s="355">
        <f>CP19/CJ19-1</f>
        <v>0.26781835726578662</v>
      </c>
      <c r="CQ20" s="357">
        <f>CQ19/CK19-1</f>
        <v>0.25869388362398937</v>
      </c>
      <c r="CR20" s="355"/>
      <c r="CS20" s="355">
        <f>CS19/CM19-1</f>
        <v>0.24573477136370947</v>
      </c>
      <c r="CT20" s="355">
        <f>CT19/CN19-1</f>
        <v>0.25776606118575018</v>
      </c>
      <c r="CU20" s="358">
        <f>CU19/CO19-1</f>
        <v>0.24947418726906068</v>
      </c>
      <c r="CV20" s="355">
        <f>CV19/CP19-1</f>
        <v>0.242815132424407</v>
      </c>
      <c r="CW20" s="357">
        <f>CW19/CQ19-1</f>
        <v>0.24881219983260205</v>
      </c>
      <c r="CX20" s="355"/>
      <c r="CY20" s="355">
        <f>CY19/CS19-1</f>
        <v>0.23314102844758078</v>
      </c>
      <c r="CZ20" s="355">
        <f>CZ19/CT19-1</f>
        <v>0.21673156062485521</v>
      </c>
      <c r="DA20" s="355">
        <f>DA19/CU19-1</f>
        <v>0.20733629117080232</v>
      </c>
      <c r="DB20" s="355">
        <f>DB19/CV19-1</f>
        <v>0.19718486450946715</v>
      </c>
      <c r="DC20" s="357">
        <f>DC19/CW19-1</f>
        <v>0.2127500177812629</v>
      </c>
      <c r="DD20" s="355"/>
      <c r="DE20" s="355">
        <f>DE19/CY19-1</f>
        <v>0.20207541853607958</v>
      </c>
      <c r="DF20" s="355">
        <f>DF19/CZ19-1</f>
        <v>0.20299602074179024</v>
      </c>
      <c r="DG20" s="358">
        <f>DG19/DA19-1</f>
        <v>0.20305768333069318</v>
      </c>
      <c r="DH20" s="358">
        <f>DH19/DB19-1</f>
        <v>0.19588384562318462</v>
      </c>
      <c r="DI20" s="357">
        <f>DI19/DC19-1</f>
        <v>0.20088848050592767</v>
      </c>
      <c r="DJ20" s="355"/>
      <c r="DK20" s="355">
        <f>DK19/DE19-1</f>
        <v>0.19692078603125918</v>
      </c>
      <c r="DL20" s="355">
        <f>DL19/DF19-1</f>
        <v>0.19418778795264946</v>
      </c>
      <c r="DM20" s="358">
        <f>DM19/DG19-1</f>
        <v>0.19295287657664995</v>
      </c>
      <c r="DN20" s="358">
        <f>DN19/DH19-1</f>
        <v>0.19213755742988692</v>
      </c>
      <c r="DO20" s="357">
        <f>DO19/DI19-1</f>
        <v>0.19395828741640364</v>
      </c>
      <c r="DP20" s="305"/>
      <c r="DQ20"/>
      <c r="DR20"/>
      <c r="DS20"/>
      <c r="DT20"/>
      <c r="DU20"/>
      <c r="DV20"/>
      <c r="DW20" s="1939"/>
    </row>
    <row r="21" spans="1:127" s="919" customFormat="1">
      <c r="A21" s="367" t="s">
        <v>872</v>
      </c>
      <c r="B21" s="359"/>
      <c r="C21" s="360" t="s">
        <v>88</v>
      </c>
      <c r="D21" s="361" t="s">
        <v>88</v>
      </c>
      <c r="E21" s="360" t="s">
        <v>88</v>
      </c>
      <c r="F21" s="362"/>
      <c r="G21" s="363" t="s">
        <v>88</v>
      </c>
      <c r="H21" s="364">
        <f>H19/G19-1</f>
        <v>0.27077317933910816</v>
      </c>
      <c r="I21" s="364">
        <f>I19/H19-1</f>
        <v>0.19422704704199267</v>
      </c>
      <c r="J21" s="364">
        <f>J19/I19-1</f>
        <v>9.6892396589387753E-2</v>
      </c>
      <c r="K21" s="361" t="s">
        <v>88</v>
      </c>
      <c r="L21" s="362"/>
      <c r="M21" s="364">
        <f>M19/J19-1</f>
        <v>0.21501991519979446</v>
      </c>
      <c r="N21" s="364">
        <f>N19/M19-1</f>
        <v>0.14328768571881767</v>
      </c>
      <c r="O21" s="364">
        <f>O19/N19-1</f>
        <v>0.17624751422096852</v>
      </c>
      <c r="P21" s="364">
        <f>P19/O19-1</f>
        <v>0.18160729731854985</v>
      </c>
      <c r="Q21" s="361" t="s">
        <v>88</v>
      </c>
      <c r="R21" s="362"/>
      <c r="S21" s="364">
        <f>S19/P19-1</f>
        <v>0.15925198815426067</v>
      </c>
      <c r="T21" s="364">
        <f>T19/S19-1</f>
        <v>0.16481529320589017</v>
      </c>
      <c r="U21" s="364">
        <f>U19/T19-1</f>
        <v>0.14243118700869872</v>
      </c>
      <c r="V21" s="364">
        <f>V19/U19-1</f>
        <v>0.17758460775220519</v>
      </c>
      <c r="W21" s="361" t="s">
        <v>88</v>
      </c>
      <c r="X21" s="362"/>
      <c r="Y21" s="364">
        <f>Y19/V19-1</f>
        <v>0.17553210975565081</v>
      </c>
      <c r="Z21" s="364">
        <f>Z19/Y19-1</f>
        <v>0.12100908425136758</v>
      </c>
      <c r="AA21" s="364">
        <f>AA19/Z19-1</f>
        <v>0.1491458515769426</v>
      </c>
      <c r="AB21" s="364">
        <f>AB19/AA19-1</f>
        <v>0.10149625633519999</v>
      </c>
      <c r="AC21" s="361" t="s">
        <v>88</v>
      </c>
      <c r="AD21" s="361"/>
      <c r="AE21" s="364">
        <f>AE19/AB19-1</f>
        <v>0.14958710357550742</v>
      </c>
      <c r="AF21" s="364">
        <f>AF19/AE19-1</f>
        <v>0.12848900521559714</v>
      </c>
      <c r="AG21" s="364">
        <f>AG19/AF19-1</f>
        <v>0.10086594377713998</v>
      </c>
      <c r="AH21" s="364">
        <f>AH19/AG19-1</f>
        <v>0.10894789047542175</v>
      </c>
      <c r="AI21" s="365" t="s">
        <v>88</v>
      </c>
      <c r="AJ21" s="361"/>
      <c r="AK21" s="364">
        <f>AK19/AH19-1</f>
        <v>0.12612500173343877</v>
      </c>
      <c r="AL21" s="364">
        <f>AL19/AK19-1</f>
        <v>8.7228776198802871E-2</v>
      </c>
      <c r="AM21" s="364">
        <f>AM19/AL19-1</f>
        <v>9.1879555326511264E-2</v>
      </c>
      <c r="AN21" s="364">
        <f>AN19/AM19-1</f>
        <v>0.12501361493337759</v>
      </c>
      <c r="AO21" s="365" t="s">
        <v>88</v>
      </c>
      <c r="AP21" s="361"/>
      <c r="AQ21" s="364">
        <f>AQ19/AN19-1</f>
        <v>0.14160972956027029</v>
      </c>
      <c r="AR21" s="364">
        <f>AR19/AQ19-1</f>
        <v>6.2413678913828319E-2</v>
      </c>
      <c r="AS21" s="364">
        <f>AS19/AR19-1</f>
        <v>5.0973669305944602E-2</v>
      </c>
      <c r="AT21" s="364">
        <f>AT19/AS19-1</f>
        <v>4.7365698929787259E-2</v>
      </c>
      <c r="AU21" s="365" t="s">
        <v>88</v>
      </c>
      <c r="AV21" s="361"/>
      <c r="AW21" s="364">
        <f>AW19/AT19-1</f>
        <v>5.2976176087684568E-2</v>
      </c>
      <c r="AX21" s="364">
        <f>AX19/AW19-1</f>
        <v>3.6523855124555693E-2</v>
      </c>
      <c r="AY21" s="364">
        <f>AY19/AX19-1</f>
        <v>4.5839252549349618E-2</v>
      </c>
      <c r="AZ21" s="364">
        <f>AZ19/AY19-1</f>
        <v>7.1093846903182323E-2</v>
      </c>
      <c r="BA21" s="365" t="s">
        <v>88</v>
      </c>
      <c r="BB21" s="361"/>
      <c r="BC21" s="364">
        <f>BC19/AZ19-1</f>
        <v>6.4296184991343042E-2</v>
      </c>
      <c r="BD21" s="364">
        <f>BD19/BC19-1</f>
        <v>4.6598710766348361E-2</v>
      </c>
      <c r="BE21" s="364">
        <f>BE19/BD19-1</f>
        <v>8.8026026188471773E-2</v>
      </c>
      <c r="BF21" s="364">
        <f>BF19/BE19-1</f>
        <v>6.4742115235371767E-2</v>
      </c>
      <c r="BG21" s="365" t="s">
        <v>88</v>
      </c>
      <c r="BH21" s="361"/>
      <c r="BI21" s="364">
        <f>BI19/BF19-1</f>
        <v>0.10396242232422148</v>
      </c>
      <c r="BJ21" s="364">
        <f>BJ19/BI19-1</f>
        <v>8.2555455980204639E-2</v>
      </c>
      <c r="BK21" s="364">
        <f>BK19/BJ19-1</f>
        <v>7.0069340405346514E-2</v>
      </c>
      <c r="BL21" s="364">
        <f>BL19/BK19-1</f>
        <v>8.1561291205969999E-2</v>
      </c>
      <c r="BM21" s="365" t="s">
        <v>88</v>
      </c>
      <c r="BN21" s="361"/>
      <c r="BO21" s="364">
        <f>BO19/BL19-1</f>
        <v>0.10057397141695135</v>
      </c>
      <c r="BP21" s="364">
        <f>BP19/BO19-1</f>
        <v>5.20254735307355E-2</v>
      </c>
      <c r="BQ21" s="364">
        <f>BQ19/BP19-1</f>
        <v>7.7563148449598218E-2</v>
      </c>
      <c r="BR21" s="364">
        <f>BR19/BQ19-1</f>
        <v>5.8705121017557094E-2</v>
      </c>
      <c r="BS21" s="365" t="s">
        <v>88</v>
      </c>
      <c r="BT21" s="361"/>
      <c r="BU21" s="364">
        <f>BU19/BR19-1</f>
        <v>6.9430117613795028E-2</v>
      </c>
      <c r="BV21" s="364">
        <f>BV19/BU19-1</f>
        <v>7.2214448715205437E-2</v>
      </c>
      <c r="BW21" s="364">
        <f>BW19/BV19-1</f>
        <v>0.12427201507897867</v>
      </c>
      <c r="BX21" s="364">
        <f>BX19/BW19-1</f>
        <v>6.4317670259489867E-2</v>
      </c>
      <c r="BY21" s="365" t="s">
        <v>88</v>
      </c>
      <c r="BZ21" s="361"/>
      <c r="CA21" s="364">
        <f>CA19/BX19-1</f>
        <v>7.1190193862956441E-2</v>
      </c>
      <c r="CB21" s="364">
        <f>CB19/CA19-1</f>
        <v>7.4813412761295606E-2</v>
      </c>
      <c r="CC21" s="364">
        <f>CC19/CB19-1</f>
        <v>4.9375412858509105E-2</v>
      </c>
      <c r="CD21" s="364">
        <f>CD19/CC19-1</f>
        <v>4.4052166183044195E-2</v>
      </c>
      <c r="CE21" s="365" t="s">
        <v>88</v>
      </c>
      <c r="CF21" s="361"/>
      <c r="CG21" s="364">
        <f>CG19/CD19-1</f>
        <v>4.6074090687577618E-2</v>
      </c>
      <c r="CH21" s="364">
        <f>CH19/CG19-1</f>
        <v>8.1736168140251975E-2</v>
      </c>
      <c r="CI21" s="364">
        <f>CI19/CH19-1</f>
        <v>4.7277027241962477E-2</v>
      </c>
      <c r="CJ21" s="364">
        <f>CJ19/CI19-1</f>
        <v>5.6911727854567218E-2</v>
      </c>
      <c r="CK21" s="365" t="s">
        <v>88</v>
      </c>
      <c r="CL21" s="361"/>
      <c r="CM21" s="364">
        <f>CM19/CJ19-1</f>
        <v>5.924898778488763E-2</v>
      </c>
      <c r="CN21" s="364">
        <f>CN19/CM19-1</f>
        <v>6.2618601765728199E-2</v>
      </c>
      <c r="CO21" s="364">
        <f>CO19/CN19-1</f>
        <v>5.310617896925196E-2</v>
      </c>
      <c r="CP21" s="364">
        <f>CP19/CO19-1</f>
        <v>6.9570467764683785E-2</v>
      </c>
      <c r="CQ21" s="365" t="s">
        <v>88</v>
      </c>
      <c r="CR21" s="361"/>
      <c r="CS21" s="364">
        <f>CS19/CP19-1</f>
        <v>4.0798382554747326E-2</v>
      </c>
      <c r="CT21" s="364">
        <f>CT19/CS19-1</f>
        <v>7.2881358061869461E-2</v>
      </c>
      <c r="CU21" s="364">
        <f>CU19/CT19-1</f>
        <v>4.6163533650402044E-2</v>
      </c>
      <c r="CV21" s="364">
        <f>CV19/CU19-1</f>
        <v>6.3870207224981046E-2</v>
      </c>
      <c r="CW21" s="365" t="s">
        <v>88</v>
      </c>
      <c r="CX21" s="361"/>
      <c r="CY21" s="364">
        <f>CY19/CV19-1</f>
        <v>3.2696781995615654E-2</v>
      </c>
      <c r="CZ21" s="364">
        <f>CZ19/CY19-1</f>
        <v>5.8604473491025155E-2</v>
      </c>
      <c r="DA21" s="364">
        <f>DA19/CZ19-1</f>
        <v>3.8085344007156685E-2</v>
      </c>
      <c r="DB21" s="364">
        <f>DB19/DA19-1</f>
        <v>5.4925060404826365E-2</v>
      </c>
      <c r="DC21" s="365" t="s">
        <v>88</v>
      </c>
      <c r="DD21" s="361"/>
      <c r="DE21" s="364">
        <f>DE19/DB19-1</f>
        <v>3.6915394805699719E-2</v>
      </c>
      <c r="DF21" s="364">
        <f>DF19/DE19-1</f>
        <v>5.9415199339206692E-2</v>
      </c>
      <c r="DG21" s="364">
        <f>DG19/DF19-1</f>
        <v>3.8138553684254672E-2</v>
      </c>
      <c r="DH21" s="364">
        <f>DH19/DG19-1</f>
        <v>4.8634538111683945E-2</v>
      </c>
      <c r="DI21" s="365" t="s">
        <v>88</v>
      </c>
      <c r="DJ21" s="361"/>
      <c r="DK21" s="364">
        <f>DK19/DH19-1</f>
        <v>3.7814495062437725E-2</v>
      </c>
      <c r="DL21" s="364">
        <f>DL19/DK19-1</f>
        <v>5.6996175676125027E-2</v>
      </c>
      <c r="DM21" s="364">
        <f>DM19/DL19-1</f>
        <v>3.7065013054596641E-2</v>
      </c>
      <c r="DN21" s="364">
        <f>DN19/DM19-1</f>
        <v>4.7917852789349125E-2</v>
      </c>
      <c r="DO21" s="365" t="s">
        <v>88</v>
      </c>
      <c r="DP21" s="305"/>
      <c r="DQ21"/>
      <c r="DR21"/>
      <c r="DS21"/>
      <c r="DT21"/>
      <c r="DU21"/>
      <c r="DV21"/>
    </row>
    <row r="22" spans="1:127">
      <c r="A22" s="742"/>
      <c r="B22" s="313"/>
      <c r="C22" s="307"/>
      <c r="D22" s="307"/>
      <c r="E22" s="307"/>
      <c r="F22" s="307"/>
      <c r="G22" s="307"/>
      <c r="H22" s="307"/>
      <c r="I22" s="307"/>
      <c r="J22" s="307"/>
      <c r="K22" s="307"/>
      <c r="L22" s="307"/>
      <c r="M22" s="307"/>
      <c r="N22" s="307"/>
      <c r="O22" s="307"/>
      <c r="P22" s="307"/>
      <c r="Q22" s="307"/>
      <c r="R22" s="307"/>
      <c r="S22" s="307"/>
      <c r="T22" s="307"/>
      <c r="U22" s="307"/>
      <c r="V22" s="307"/>
      <c r="W22" s="517"/>
      <c r="X22" s="307"/>
      <c r="Y22" s="307"/>
      <c r="Z22" s="307"/>
      <c r="AA22" s="307"/>
      <c r="AB22" s="307"/>
      <c r="AC22" s="307"/>
      <c r="AD22" s="307"/>
      <c r="AE22" s="307"/>
      <c r="AF22" s="307"/>
      <c r="AG22" s="307"/>
      <c r="AH22" s="307"/>
      <c r="AI22" s="315"/>
      <c r="AJ22" s="307"/>
      <c r="AK22" s="307"/>
      <c r="AL22" s="307"/>
      <c r="AM22" s="307"/>
      <c r="AN22" s="307"/>
      <c r="AO22" s="315"/>
      <c r="AP22" s="307"/>
      <c r="AQ22" s="307"/>
      <c r="AR22" s="307"/>
      <c r="AS22" s="307"/>
      <c r="AT22" s="307"/>
      <c r="AU22" s="315"/>
      <c r="AV22" s="307"/>
      <c r="AW22" s="307"/>
      <c r="AX22" s="307"/>
      <c r="AY22" s="307"/>
      <c r="AZ22" s="307"/>
      <c r="BA22" s="315"/>
      <c r="BB22" s="307"/>
      <c r="BC22" s="307"/>
      <c r="BD22" s="307"/>
      <c r="BE22" s="256"/>
      <c r="BF22" s="257"/>
      <c r="BG22" s="258"/>
      <c r="BH22" s="307"/>
      <c r="BI22" s="307"/>
      <c r="BJ22" s="307"/>
      <c r="BK22" s="257"/>
      <c r="BL22" s="307"/>
      <c r="BM22" s="315"/>
      <c r="BN22" s="307"/>
      <c r="BO22" s="307"/>
      <c r="BP22" s="307"/>
      <c r="BQ22" s="307"/>
      <c r="BR22" s="307"/>
      <c r="BS22" s="315"/>
      <c r="BT22" s="307"/>
      <c r="BU22" s="307"/>
      <c r="BV22" s="307"/>
      <c r="BW22" s="307"/>
      <c r="BX22" s="307"/>
      <c r="BY22" s="315"/>
      <c r="BZ22" s="307"/>
      <c r="CA22" s="307"/>
      <c r="CB22" s="307"/>
      <c r="CC22" s="307"/>
      <c r="CD22" s="307"/>
      <c r="CE22" s="315"/>
      <c r="CF22" s="307"/>
      <c r="CG22" s="307"/>
      <c r="CH22" s="307"/>
      <c r="CI22" s="307"/>
      <c r="CJ22" s="307"/>
      <c r="CK22" s="315"/>
      <c r="CL22" s="307"/>
      <c r="CM22" s="307"/>
      <c r="CN22" s="307"/>
      <c r="CO22" s="307"/>
      <c r="CP22" s="307"/>
      <c r="CQ22" s="315"/>
      <c r="CR22" s="307"/>
      <c r="CS22" s="307"/>
      <c r="CT22" s="307"/>
      <c r="CU22" s="307"/>
      <c r="CV22" s="307"/>
      <c r="CW22" s="315"/>
      <c r="CX22" s="307"/>
      <c r="CY22" s="307"/>
      <c r="CZ22" s="307"/>
      <c r="DA22" s="307"/>
      <c r="DB22" s="307"/>
      <c r="DC22" s="315"/>
      <c r="DD22" s="307"/>
      <c r="DE22" s="307"/>
      <c r="DF22" s="307"/>
      <c r="DG22" s="307"/>
      <c r="DH22" s="307"/>
      <c r="DI22" s="315"/>
      <c r="DJ22" s="307"/>
      <c r="DK22" s="307"/>
      <c r="DL22" s="307"/>
      <c r="DM22" s="307"/>
      <c r="DN22" s="307"/>
      <c r="DO22" s="315"/>
      <c r="DP22" s="669"/>
    </row>
    <row r="23" spans="1:127">
      <c r="A23" s="1716" t="s">
        <v>697</v>
      </c>
      <c r="B23" s="499"/>
      <c r="C23" s="500"/>
      <c r="D23" s="500"/>
      <c r="E23" s="500"/>
      <c r="F23" s="500"/>
      <c r="G23" s="500"/>
      <c r="H23" s="500"/>
      <c r="I23" s="516"/>
      <c r="J23" s="516"/>
      <c r="K23" s="500"/>
      <c r="L23" s="500"/>
      <c r="M23" s="500"/>
      <c r="N23" s="500"/>
      <c r="O23" s="500"/>
      <c r="P23" s="500"/>
      <c r="Q23" s="500"/>
      <c r="R23" s="500"/>
      <c r="S23" s="500"/>
      <c r="T23" s="500"/>
      <c r="U23" s="500"/>
      <c r="V23" s="500"/>
      <c r="W23" s="500"/>
      <c r="X23" s="500"/>
      <c r="Y23" s="500"/>
      <c r="Z23" s="500"/>
      <c r="AA23" s="500"/>
      <c r="AB23" s="500"/>
      <c r="AC23" s="500"/>
      <c r="AD23" s="500"/>
      <c r="AE23" s="500"/>
      <c r="AF23" s="500"/>
      <c r="AG23" s="500"/>
      <c r="AH23" s="500"/>
      <c r="AI23" s="262"/>
      <c r="AJ23" s="500"/>
      <c r="AK23" s="500"/>
      <c r="AL23" s="500"/>
      <c r="AM23" s="500"/>
      <c r="AN23" s="500"/>
      <c r="AO23" s="262"/>
      <c r="AP23" s="500"/>
      <c r="AQ23" s="500"/>
      <c r="AR23" s="500"/>
      <c r="AS23" s="500"/>
      <c r="AT23" s="500"/>
      <c r="AU23" s="262"/>
      <c r="AV23" s="500"/>
      <c r="AW23" s="500"/>
      <c r="AX23" s="500"/>
      <c r="AY23" s="500"/>
      <c r="AZ23" s="500"/>
      <c r="BA23" s="262"/>
      <c r="BB23" s="500"/>
      <c r="BC23" s="500"/>
      <c r="BD23" s="510"/>
      <c r="BE23" s="1724"/>
      <c r="BF23" s="510"/>
      <c r="BG23" s="265"/>
      <c r="BH23" s="500"/>
      <c r="BI23" s="500"/>
      <c r="BJ23" s="500"/>
      <c r="BK23" s="500"/>
      <c r="BL23" s="500"/>
      <c r="BM23" s="262"/>
      <c r="BN23" s="500"/>
      <c r="BO23" s="500"/>
      <c r="BP23" s="500"/>
      <c r="BQ23" s="500"/>
      <c r="BR23" s="500"/>
      <c r="BS23" s="262"/>
      <c r="BT23" s="500"/>
      <c r="BU23" s="500"/>
      <c r="BV23" s="500"/>
      <c r="BW23" s="500"/>
      <c r="BX23" s="500"/>
      <c r="BY23" s="262"/>
      <c r="BZ23" s="500"/>
      <c r="CA23" s="500"/>
      <c r="CB23" s="500"/>
      <c r="CC23" s="500"/>
      <c r="CD23" s="500"/>
      <c r="CE23" s="262"/>
      <c r="CF23" s="500"/>
      <c r="CG23" s="500"/>
      <c r="CH23" s="500"/>
      <c r="CI23" s="500"/>
      <c r="CJ23" s="500"/>
      <c r="CK23" s="262"/>
      <c r="CL23" s="500"/>
      <c r="CM23" s="500"/>
      <c r="CN23" s="500"/>
      <c r="CO23" s="500"/>
      <c r="CP23" s="500"/>
      <c r="CQ23" s="262"/>
      <c r="CR23" s="500"/>
      <c r="CS23" s="500"/>
      <c r="CT23" s="500"/>
      <c r="CU23" s="500"/>
      <c r="CV23" s="500"/>
      <c r="CW23" s="262"/>
      <c r="CX23" s="500"/>
      <c r="CY23" s="500"/>
      <c r="CZ23" s="500"/>
      <c r="DA23" s="500"/>
      <c r="DB23" s="500"/>
      <c r="DC23" s="262"/>
      <c r="DD23" s="500"/>
      <c r="DE23" s="500"/>
      <c r="DF23" s="500"/>
      <c r="DG23" s="500"/>
      <c r="DH23" s="500"/>
      <c r="DI23" s="262"/>
      <c r="DJ23" s="500"/>
      <c r="DK23" s="500"/>
      <c r="DL23" s="500"/>
      <c r="DM23" s="500"/>
      <c r="DN23" s="500"/>
      <c r="DO23" s="262"/>
      <c r="DP23" s="260"/>
    </row>
    <row r="24" spans="1:127" ht="10.5" customHeight="1">
      <c r="A24" s="1717" t="s">
        <v>230</v>
      </c>
      <c r="B24" s="1718" t="s">
        <v>231</v>
      </c>
      <c r="C24" s="675">
        <v>0</v>
      </c>
      <c r="D24" s="675">
        <v>1.73</v>
      </c>
      <c r="E24" s="675">
        <v>3.718</v>
      </c>
      <c r="F24" s="516"/>
      <c r="G24" s="510">
        <v>1.4510000000000001</v>
      </c>
      <c r="H24" s="510">
        <v>1.5169999999999999</v>
      </c>
      <c r="I24" s="510">
        <v>2.3519999999999999</v>
      </c>
      <c r="J24" s="510">
        <v>1.879</v>
      </c>
      <c r="K24" s="510">
        <f>SUM(G24:J24)</f>
        <v>7.1989999999999998</v>
      </c>
      <c r="L24" s="516"/>
      <c r="M24" s="510">
        <v>1.597</v>
      </c>
      <c r="N24" s="510">
        <v>1.819</v>
      </c>
      <c r="O24" s="510">
        <v>2.1429999999999998</v>
      </c>
      <c r="P24" s="510">
        <v>2.2229999999999999</v>
      </c>
      <c r="Q24" s="510">
        <f>SUM(M24:P24)</f>
        <v>7.7819999999999991</v>
      </c>
      <c r="R24" s="516"/>
      <c r="S24" s="510">
        <v>2.282</v>
      </c>
      <c r="T24" s="510">
        <v>2.6989999999999998</v>
      </c>
      <c r="U24" s="510">
        <v>3.5459999999999998</v>
      </c>
      <c r="V24" s="510">
        <v>4.2</v>
      </c>
      <c r="W24" s="510">
        <f>SUM(S24:V24)</f>
        <v>12.727</v>
      </c>
      <c r="X24" s="516"/>
      <c r="Y24" s="510">
        <v>5.3360000000000003</v>
      </c>
      <c r="Z24" s="510">
        <v>8.0129999999999999</v>
      </c>
      <c r="AA24" s="510">
        <v>10.069000000000001</v>
      </c>
      <c r="AB24" s="510">
        <v>11.039</v>
      </c>
      <c r="AC24" s="510">
        <f>SUM(Y24:AB24)</f>
        <v>34.457000000000001</v>
      </c>
      <c r="AD24" s="516"/>
      <c r="AE24" s="510">
        <f>12.775-(1.154/2)-0.079</f>
        <v>12.119</v>
      </c>
      <c r="AF24" s="510">
        <f>15.775-(1.925-1.442)</f>
        <v>15.292</v>
      </c>
      <c r="AG24" s="510">
        <f>16.628-(0)</f>
        <v>16.628</v>
      </c>
      <c r="AH24" s="510">
        <f>16.279-0.008</f>
        <v>16.271000000000001</v>
      </c>
      <c r="AI24" s="265">
        <f>SUM(AE24:AH24)</f>
        <v>60.31</v>
      </c>
      <c r="AJ24" s="516"/>
      <c r="AK24" s="510">
        <f>20.184-0.5</f>
        <v>19.684000000000001</v>
      </c>
      <c r="AL24" s="510">
        <f>22.375-1.5</f>
        <v>20.875</v>
      </c>
      <c r="AM24" s="510">
        <f>23.887-1.5</f>
        <v>22.387</v>
      </c>
      <c r="AN24" s="510">
        <f>24.822-1.3</f>
        <v>23.521999999999998</v>
      </c>
      <c r="AO24" s="265">
        <f>SUM(AK24:AN24)</f>
        <v>86.467999999999989</v>
      </c>
      <c r="AP24" s="516"/>
      <c r="AQ24" s="510">
        <f>28.71-1.3</f>
        <v>27.41</v>
      </c>
      <c r="AR24" s="510">
        <f>30.668-1.3</f>
        <v>29.367999999999999</v>
      </c>
      <c r="AS24" s="510">
        <f>32.424-2.5</f>
        <v>29.923999999999999</v>
      </c>
      <c r="AT24" s="510">
        <f>35.28-2.9</f>
        <v>32.380000000000003</v>
      </c>
      <c r="AU24" s="265">
        <f>SUM(AQ24:AT24)</f>
        <v>119.08199999999999</v>
      </c>
      <c r="AV24" s="516"/>
      <c r="AW24" s="510">
        <f>37.028-2.3</f>
        <v>34.728000000000002</v>
      </c>
      <c r="AX24" s="510">
        <f>38.971-2.2</f>
        <v>36.770999999999994</v>
      </c>
      <c r="AY24" s="510">
        <f>40.745-2.2</f>
        <v>38.544999999999995</v>
      </c>
      <c r="AZ24" s="510">
        <f>42.42-2.9</f>
        <v>39.520000000000003</v>
      </c>
      <c r="BA24" s="265">
        <f>SUM(AW24:AZ24)</f>
        <v>149.56399999999999</v>
      </c>
      <c r="BB24" s="516"/>
      <c r="BC24" s="510">
        <f>44.057-2.504</f>
        <v>41.553000000000004</v>
      </c>
      <c r="BD24" s="510">
        <f>48.981-3.186</f>
        <v>45.795000000000002</v>
      </c>
      <c r="BE24" s="510">
        <f>54.089-2.357</f>
        <v>51.731999999999999</v>
      </c>
      <c r="BF24" s="510">
        <f>61.116-5.721</f>
        <v>55.394999999999996</v>
      </c>
      <c r="BG24" s="265">
        <f>SUM(BC24:BF24)</f>
        <v>194.47500000000002</v>
      </c>
      <c r="BH24" s="516"/>
      <c r="BI24" s="510">
        <f>75.243-9.095</f>
        <v>66.147999999999996</v>
      </c>
      <c r="BJ24" s="510">
        <f>89.144-16.373</f>
        <v>72.771000000000001</v>
      </c>
      <c r="BK24" s="510">
        <f>96.306-17.469</f>
        <v>78.836999999999989</v>
      </c>
      <c r="BL24" s="510">
        <f>100.065-17.132</f>
        <v>82.932999999999993</v>
      </c>
      <c r="BM24" s="265">
        <f>SUM(BI24:BL24)</f>
        <v>300.68899999999996</v>
      </c>
      <c r="BN24" s="516"/>
      <c r="BO24" s="510">
        <f>108.744-17.448</f>
        <v>91.295999999999992</v>
      </c>
      <c r="BP24" s="510">
        <f>118.519-17.668</f>
        <v>100.851</v>
      </c>
      <c r="BQ24" s="510">
        <f>134.183-23.247</f>
        <v>110.93599999999999</v>
      </c>
      <c r="BR24" s="510">
        <f>132.741-18.886</f>
        <v>113.85500000000002</v>
      </c>
      <c r="BS24" s="265">
        <f>SUM(BO24:BR24)</f>
        <v>416.93799999999999</v>
      </c>
      <c r="BT24" s="516"/>
      <c r="BU24" s="510">
        <f>153.55-21.305</f>
        <v>132.245</v>
      </c>
      <c r="BV24" s="510">
        <f>160.908-22.55</f>
        <v>138.35799999999998</v>
      </c>
      <c r="BW24" s="510">
        <f>198.809-33.844</f>
        <v>164.965</v>
      </c>
      <c r="BX24" s="510">
        <f>198.613-31.657</f>
        <v>166.95599999999999</v>
      </c>
      <c r="BY24" s="265">
        <f>SUM(BU24:BX24)</f>
        <v>602.524</v>
      </c>
      <c r="BZ24" s="516"/>
      <c r="CA24" s="510">
        <f>208.947-28.672</f>
        <v>180.27500000000001</v>
      </c>
      <c r="CB24" s="510">
        <f>218.918-21.271</f>
        <v>197.64699999999999</v>
      </c>
      <c r="CC24" s="510">
        <f>238.746-20.351</f>
        <v>218.39500000000001</v>
      </c>
      <c r="CD24" s="510">
        <f>258.027-20.006</f>
        <v>238.02099999999999</v>
      </c>
      <c r="CE24" s="265">
        <f>SUM(CA24:CD24)</f>
        <v>834.33799999999997</v>
      </c>
      <c r="CF24" s="516"/>
      <c r="CG24" s="510">
        <f>274.241-19.69</f>
        <v>254.55099999999999</v>
      </c>
      <c r="CH24" s="510">
        <f>292.737-20.839</f>
        <v>271.89800000000002</v>
      </c>
      <c r="CI24" s="510">
        <f>303.045-20.296</f>
        <v>282.74900000000002</v>
      </c>
      <c r="CJ24" s="510">
        <f>318.944-20.093</f>
        <v>298.851</v>
      </c>
      <c r="CK24" s="265">
        <f>SUM(CG24:CJ24)</f>
        <v>1108.049</v>
      </c>
      <c r="CL24" s="516"/>
      <c r="CM24" s="510">
        <f>335.828-22.215</f>
        <v>313.613</v>
      </c>
      <c r="CN24" s="510">
        <f>360.943-25.544</f>
        <v>335.399</v>
      </c>
      <c r="CO24" s="510">
        <f>411.363-36.703</f>
        <v>374.65999999999997</v>
      </c>
      <c r="CP24" s="510">
        <f>448.219-43.214</f>
        <v>405.005</v>
      </c>
      <c r="CQ24" s="265">
        <f>SUM(CM24:CP24)</f>
        <v>1428.6769999999999</v>
      </c>
      <c r="CR24" s="516"/>
      <c r="CS24" s="510">
        <f>462.921-43.586</f>
        <v>419.33499999999998</v>
      </c>
      <c r="CT24" s="510">
        <f>493.879-43.483-(32.202*0.5)</f>
        <v>434.29500000000002</v>
      </c>
      <c r="CU24" s="510">
        <f>528.182-39.61-(33.494*0.5)</f>
        <v>471.82499999999999</v>
      </c>
      <c r="CV24" s="510">
        <f>548.475-(32.748*0.5)-38.866</f>
        <v>493.23500000000001</v>
      </c>
      <c r="CW24" s="265">
        <f>SUM(CS24:CV24)</f>
        <v>1818.69</v>
      </c>
      <c r="CX24" s="516"/>
      <c r="CY24" s="510">
        <f>CY13-CY29</f>
        <v>503.60402986748704</v>
      </c>
      <c r="CZ24" s="510">
        <f>CZ13-CZ29</f>
        <v>513.93872650028652</v>
      </c>
      <c r="DA24" s="510">
        <f>DA13-DA29</f>
        <v>554.59310303701523</v>
      </c>
      <c r="DB24" s="510">
        <f>DB13-DB29</f>
        <v>575.29655480419069</v>
      </c>
      <c r="DC24" s="265">
        <f>SUM(CY24:DB24)</f>
        <v>2147.4324142089795</v>
      </c>
      <c r="DD24" s="516"/>
      <c r="DE24" s="510">
        <f>DE13-DE29</f>
        <v>592.94756572487222</v>
      </c>
      <c r="DF24" s="510">
        <f>DF13-DF29</f>
        <v>604.61943474031614</v>
      </c>
      <c r="DG24" s="510">
        <f>DG13-DG29</f>
        <v>652.8800653059111</v>
      </c>
      <c r="DH24" s="510">
        <f>DH13-DH29</f>
        <v>673.63570509695364</v>
      </c>
      <c r="DI24" s="265">
        <f>SUM(DE24:DH24)</f>
        <v>2524.0827708680531</v>
      </c>
      <c r="DJ24" s="516"/>
      <c r="DK24" s="510">
        <f>DK13-DK29</f>
        <v>694.71874796654902</v>
      </c>
      <c r="DL24" s="510">
        <f>DL13-DL29</f>
        <v>705.77451120429123</v>
      </c>
      <c r="DM24" s="510">
        <f>DM13-DM29</f>
        <v>761.58104880244809</v>
      </c>
      <c r="DN24" s="510">
        <f>DN13-DN29</f>
        <v>785.76421427442074</v>
      </c>
      <c r="DO24" s="265">
        <f>SUM(DK24:DN24)</f>
        <v>2947.8385222477091</v>
      </c>
      <c r="DP24" s="918"/>
    </row>
    <row r="25" spans="1:127">
      <c r="A25" s="1717" t="s">
        <v>86</v>
      </c>
      <c r="B25" s="1718" t="s">
        <v>142</v>
      </c>
      <c r="C25" s="675">
        <v>0</v>
      </c>
      <c r="D25" s="675">
        <v>1.6919999999999999</v>
      </c>
      <c r="E25" s="675">
        <v>2.3290000000000002</v>
      </c>
      <c r="F25" s="516"/>
      <c r="G25" s="510">
        <v>0.29199999999999998</v>
      </c>
      <c r="H25" s="510">
        <v>0.63500000000000001</v>
      </c>
      <c r="I25" s="510">
        <v>0.85899999999999999</v>
      </c>
      <c r="J25" s="510">
        <v>1.3779999999999999</v>
      </c>
      <c r="K25" s="510">
        <f>SUM(G25:J25)</f>
        <v>3.1639999999999997</v>
      </c>
      <c r="L25" s="516"/>
      <c r="M25" s="510">
        <v>1.758</v>
      </c>
      <c r="N25" s="510">
        <v>2.0089999999999999</v>
      </c>
      <c r="O25" s="510">
        <v>2.5249999999999999</v>
      </c>
      <c r="P25" s="510">
        <v>3.1989999999999998</v>
      </c>
      <c r="Q25" s="510">
        <f>SUM(M25:P25)</f>
        <v>9.4909999999999997</v>
      </c>
      <c r="R25" s="516"/>
      <c r="S25" s="510">
        <v>4.0810000000000004</v>
      </c>
      <c r="T25" s="510">
        <v>5.4829999999999997</v>
      </c>
      <c r="U25" s="510">
        <v>5.359</v>
      </c>
      <c r="V25" s="510">
        <v>5.8040000000000003</v>
      </c>
      <c r="W25" s="510">
        <f>SUM(S25:V25)</f>
        <v>20.727</v>
      </c>
      <c r="X25" s="516"/>
      <c r="Y25" s="510">
        <v>6.6289999999999996</v>
      </c>
      <c r="Z25" s="510">
        <v>8.2240000000000002</v>
      </c>
      <c r="AA25" s="510">
        <v>9.5150000000000006</v>
      </c>
      <c r="AB25" s="510">
        <v>10.301</v>
      </c>
      <c r="AC25" s="510">
        <f>SUM(Y25:AB25)</f>
        <v>34.669000000000004</v>
      </c>
      <c r="AD25" s="516"/>
      <c r="AE25" s="510">
        <f>11.785-(1.154/2)</f>
        <v>11.208</v>
      </c>
      <c r="AF25" s="510">
        <f>13.356-(1.442)</f>
        <v>11.914</v>
      </c>
      <c r="AG25" s="510">
        <f>14.732-(1.304)</f>
        <v>13.427999999999999</v>
      </c>
      <c r="AH25" s="510">
        <f>17.56-1.622</f>
        <v>15.937999999999999</v>
      </c>
      <c r="AI25" s="265">
        <f>SUM(AE25:AH25)</f>
        <v>52.488</v>
      </c>
      <c r="AJ25" s="516"/>
      <c r="AK25" s="510">
        <f>18.983-1.774</f>
        <v>17.209</v>
      </c>
      <c r="AL25" s="510">
        <f>19.037-1.965</f>
        <v>17.071999999999999</v>
      </c>
      <c r="AM25" s="510">
        <f>20.394-2.014</f>
        <v>18.38</v>
      </c>
      <c r="AN25" s="510">
        <f>21.909-2.173</f>
        <v>19.735999999999997</v>
      </c>
      <c r="AO25" s="265">
        <f>SUM(AK25:AN25)</f>
        <v>72.396999999999991</v>
      </c>
      <c r="AP25" s="516"/>
      <c r="AQ25" s="510">
        <f>22.588-2.675</f>
        <v>19.913</v>
      </c>
      <c r="AR25" s="510">
        <f>23.423-2.657</f>
        <v>20.765999999999998</v>
      </c>
      <c r="AS25" s="510">
        <f>23.924-2.817</f>
        <v>21.106999999999999</v>
      </c>
      <c r="AT25" s="510">
        <f>23.454-2.902</f>
        <v>20.552</v>
      </c>
      <c r="AU25" s="265">
        <f>SUM(AQ25:AT25)</f>
        <v>82.337999999999994</v>
      </c>
      <c r="AV25" s="516"/>
      <c r="AW25" s="510">
        <f>24.772-1.656</f>
        <v>23.116</v>
      </c>
      <c r="AX25" s="510">
        <f>23.525-3.171</f>
        <v>20.353999999999999</v>
      </c>
      <c r="AY25" s="510">
        <f>24.825-2.995</f>
        <v>21.83</v>
      </c>
      <c r="AZ25" s="510">
        <f>25.631-3.248</f>
        <v>22.382999999999999</v>
      </c>
      <c r="BA25" s="265">
        <f>SUM(AW25:AZ25)</f>
        <v>87.682999999999993</v>
      </c>
      <c r="BB25" s="516"/>
      <c r="BC25" s="510">
        <f>27.524-3.074</f>
        <v>24.450000000000003</v>
      </c>
      <c r="BD25" s="510">
        <f>28.809-3.891</f>
        <v>24.917999999999999</v>
      </c>
      <c r="BE25" s="510">
        <f>28.042-4.168</f>
        <v>23.874000000000002</v>
      </c>
      <c r="BF25" s="510">
        <f>31.195-3.541</f>
        <v>27.654</v>
      </c>
      <c r="BG25" s="265">
        <f>SUM(BC25:BF25)</f>
        <v>100.896</v>
      </c>
      <c r="BH25" s="516"/>
      <c r="BI25" s="510">
        <f>27.823-3.651</f>
        <v>24.172000000000001</v>
      </c>
      <c r="BJ25" s="510">
        <f>31.766-4.379</f>
        <v>27.387</v>
      </c>
      <c r="BK25" s="510">
        <f>32.259-4.138</f>
        <v>28.121000000000002</v>
      </c>
      <c r="BL25" s="510">
        <f>36.28-5.283</f>
        <v>30.997</v>
      </c>
      <c r="BM25" s="265">
        <f>SUM(BI25:BL25)</f>
        <v>110.67700000000001</v>
      </c>
      <c r="BN25" s="516"/>
      <c r="BO25" s="510">
        <f>42.807-7.253</f>
        <v>35.554000000000002</v>
      </c>
      <c r="BP25" s="510">
        <f>43.899-7.864</f>
        <v>36.035000000000004</v>
      </c>
      <c r="BQ25" s="510">
        <f>52.065-9.336</f>
        <v>42.728999999999999</v>
      </c>
      <c r="BR25" s="510">
        <f>50.621-9.304</f>
        <v>41.317</v>
      </c>
      <c r="BS25" s="265">
        <f>SUM(BO25:BR25)</f>
        <v>155.63499999999999</v>
      </c>
      <c r="BT25" s="516"/>
      <c r="BU25" s="510">
        <f>55.444-10.678</f>
        <v>44.766000000000005</v>
      </c>
      <c r="BV25" s="510">
        <f>56.809-9.981</f>
        <v>46.827999999999996</v>
      </c>
      <c r="BW25" s="510">
        <f>69.378-12.119</f>
        <v>57.259</v>
      </c>
      <c r="BX25" s="510">
        <f>74.917-12.83</f>
        <v>62.087000000000003</v>
      </c>
      <c r="BY25" s="265">
        <f>SUM(BU25:BX25)</f>
        <v>210.94</v>
      </c>
      <c r="BZ25" s="516"/>
      <c r="CA25" s="510">
        <f>83.358-11.81</f>
        <v>71.548000000000002</v>
      </c>
      <c r="CB25" s="510">
        <f>88.913-12.977</f>
        <v>75.935999999999993</v>
      </c>
      <c r="CC25" s="510">
        <f>94.465-14.118</f>
        <v>80.347000000000008</v>
      </c>
      <c r="CD25" s="510">
        <f>97.896-14.907</f>
        <v>82.989000000000004</v>
      </c>
      <c r="CE25" s="265">
        <f>SUM(CA25:CD25)</f>
        <v>310.82</v>
      </c>
      <c r="CF25" s="516"/>
      <c r="CG25" s="510">
        <f>107.561-15.381</f>
        <v>92.18</v>
      </c>
      <c r="CH25" s="510">
        <f>112.647-16.34</f>
        <v>96.307000000000002</v>
      </c>
      <c r="CI25" s="510">
        <f>120.638-17.516</f>
        <v>103.12200000000001</v>
      </c>
      <c r="CJ25" s="510">
        <f>124.735-20.206</f>
        <v>104.529</v>
      </c>
      <c r="CK25" s="265">
        <f>SUM(CG25:CJ25)</f>
        <v>396.13800000000003</v>
      </c>
      <c r="CL25" s="516"/>
      <c r="CM25" s="510">
        <f>161.153-26.634</f>
        <v>134.51900000000001</v>
      </c>
      <c r="CN25" s="510">
        <f>164.636-23.495</f>
        <v>141.14099999999999</v>
      </c>
      <c r="CO25" s="510">
        <f>174.159-26.783</f>
        <v>147.37599999999998</v>
      </c>
      <c r="CP25" s="510">
        <f>177.738-30.545</f>
        <v>147.19299999999998</v>
      </c>
      <c r="CQ25" s="265">
        <f>SUM(CM25:CP25)</f>
        <v>570.22899999999993</v>
      </c>
      <c r="CR25" s="516"/>
      <c r="CS25" s="510">
        <f>187.634-31.51</f>
        <v>156.124</v>
      </c>
      <c r="CT25" s="510">
        <f>176.788-(32.202*0.5)</f>
        <v>160.68700000000001</v>
      </c>
      <c r="CU25" s="510">
        <f>186.326-(33.494*0.5)</f>
        <v>169.57900000000001</v>
      </c>
      <c r="CV25" s="510">
        <f>189.317-(32.748*0.5)</f>
        <v>172.94300000000001</v>
      </c>
      <c r="CW25" s="265">
        <f>SUM(CS25:CV25)</f>
        <v>659.33300000000008</v>
      </c>
      <c r="CX25" s="516"/>
      <c r="CY25" s="510">
        <f>CY16-CY31</f>
        <v>196.78062146327721</v>
      </c>
      <c r="CZ25" s="510">
        <f>CZ16-CZ31</f>
        <v>200.55844116403156</v>
      </c>
      <c r="DA25" s="510">
        <f>DA16-DA31</f>
        <v>204.97747422823508</v>
      </c>
      <c r="DB25" s="510">
        <f>DB16-DB31</f>
        <v>203.64906583058126</v>
      </c>
      <c r="DC25" s="265">
        <f>SUM(CY25:DB25)</f>
        <v>805.96560268612507</v>
      </c>
      <c r="DD25" s="516"/>
      <c r="DE25" s="510">
        <f>DE16-DE31</f>
        <v>233.57614729374006</v>
      </c>
      <c r="DF25" s="510">
        <f>DF16-DF31</f>
        <v>240.20289745015103</v>
      </c>
      <c r="DG25" s="510">
        <f>DG16-DG31</f>
        <v>246.039779233373</v>
      </c>
      <c r="DH25" s="510">
        <f>DH16-DH31</f>
        <v>239.19392548950754</v>
      </c>
      <c r="DI25" s="265">
        <f>SUM(DE25:DH25)</f>
        <v>959.01274946677154</v>
      </c>
      <c r="DJ25" s="516"/>
      <c r="DK25" s="510">
        <f>DK16-DK31</f>
        <v>276.45562394094799</v>
      </c>
      <c r="DL25" s="510">
        <f>DL16-DL31</f>
        <v>285.30076729169076</v>
      </c>
      <c r="DM25" s="510">
        <f>DM16-DM31</f>
        <v>293.717680524272</v>
      </c>
      <c r="DN25" s="510">
        <f>DN16-DN31</f>
        <v>280.71319107659701</v>
      </c>
      <c r="DO25" s="265">
        <f>SUM(DK25:DN25)</f>
        <v>1136.1872628335077</v>
      </c>
      <c r="DP25" s="918"/>
    </row>
    <row r="26" spans="1:127">
      <c r="A26" s="1717" t="s">
        <v>340</v>
      </c>
      <c r="B26" s="1718" t="s">
        <v>339</v>
      </c>
      <c r="C26" s="675">
        <f>SUM(C24:C25)</f>
        <v>0</v>
      </c>
      <c r="D26" s="675">
        <f>SUM(D24:D25)</f>
        <v>3.4219999999999997</v>
      </c>
      <c r="E26" s="675">
        <f>SUM(E24:E25)</f>
        <v>6.0470000000000006</v>
      </c>
      <c r="F26" s="516"/>
      <c r="G26" s="675">
        <f>SUM(G24:G25)</f>
        <v>1.7430000000000001</v>
      </c>
      <c r="H26" s="675">
        <f>SUM(H24:H25)</f>
        <v>2.1520000000000001</v>
      </c>
      <c r="I26" s="675">
        <f>SUM(I24:I25)</f>
        <v>3.2109999999999999</v>
      </c>
      <c r="J26" s="675">
        <f>SUM(J24:J25)</f>
        <v>3.2569999999999997</v>
      </c>
      <c r="K26" s="510">
        <f>SUM(G26:J26)</f>
        <v>10.363</v>
      </c>
      <c r="L26" s="516"/>
      <c r="M26" s="675">
        <f>SUM(M24:M25)</f>
        <v>3.355</v>
      </c>
      <c r="N26" s="675">
        <f>SUM(N24:N25)</f>
        <v>3.8279999999999998</v>
      </c>
      <c r="O26" s="675">
        <f>SUM(O24:O25)</f>
        <v>4.6679999999999993</v>
      </c>
      <c r="P26" s="675">
        <f>SUM(P24:P25)</f>
        <v>5.4219999999999997</v>
      </c>
      <c r="Q26" s="510">
        <f>SUM(M26:P26)</f>
        <v>17.273</v>
      </c>
      <c r="R26" s="516"/>
      <c r="S26" s="675">
        <f>SUM(S24:S25)</f>
        <v>6.3630000000000004</v>
      </c>
      <c r="T26" s="675">
        <f>SUM(T24:T25)</f>
        <v>8.1819999999999986</v>
      </c>
      <c r="U26" s="675">
        <f>SUM(U24:U25)</f>
        <v>8.9049999999999994</v>
      </c>
      <c r="V26" s="675">
        <f>SUM(V24:V25)</f>
        <v>10.004000000000001</v>
      </c>
      <c r="W26" s="510">
        <f>SUM(S26:V26)</f>
        <v>33.453999999999994</v>
      </c>
      <c r="X26" s="516"/>
      <c r="Y26" s="675">
        <f>SUM(Y24:Y25)</f>
        <v>11.965</v>
      </c>
      <c r="Z26" s="675">
        <f>SUM(Z24:Z25)</f>
        <v>16.237000000000002</v>
      </c>
      <c r="AA26" s="675">
        <f>SUM(AA24:AA25)</f>
        <v>19.584000000000003</v>
      </c>
      <c r="AB26" s="675">
        <f>SUM(AB24:AB25)</f>
        <v>21.34</v>
      </c>
      <c r="AC26" s="510">
        <f>SUM(Y26:AB26)</f>
        <v>69.126000000000005</v>
      </c>
      <c r="AD26" s="516"/>
      <c r="AE26" s="675">
        <f>SUM(AE24:AE25)</f>
        <v>23.326999999999998</v>
      </c>
      <c r="AF26" s="675">
        <f>SUM(AF24:AF25)</f>
        <v>27.206</v>
      </c>
      <c r="AG26" s="675">
        <f>SUM(AG24:AG25)</f>
        <v>30.055999999999997</v>
      </c>
      <c r="AH26" s="675">
        <f>SUM(AH24:AH25)</f>
        <v>32.209000000000003</v>
      </c>
      <c r="AI26" s="265">
        <f>SUM(AE26:AH26)</f>
        <v>112.798</v>
      </c>
      <c r="AJ26" s="516"/>
      <c r="AK26" s="675">
        <f>SUM(AK24:AK25)</f>
        <v>36.893000000000001</v>
      </c>
      <c r="AL26" s="675">
        <f>SUM(AL24:AL25)</f>
        <v>37.947000000000003</v>
      </c>
      <c r="AM26" s="675">
        <f>SUM(AM24:AM25)</f>
        <v>40.766999999999996</v>
      </c>
      <c r="AN26" s="675">
        <f>SUM(AN24:AN25)</f>
        <v>43.257999999999996</v>
      </c>
      <c r="AO26" s="265">
        <f>SUM(AK26:AN26)</f>
        <v>158.86500000000001</v>
      </c>
      <c r="AP26" s="516"/>
      <c r="AQ26" s="675">
        <f>SUM(AQ24:AQ25)</f>
        <v>47.323</v>
      </c>
      <c r="AR26" s="675">
        <f>SUM(AR24:AR25)</f>
        <v>50.134</v>
      </c>
      <c r="AS26" s="675">
        <f>SUM(AS24:AS25)</f>
        <v>51.030999999999999</v>
      </c>
      <c r="AT26" s="675">
        <f>SUM(AT24:AT25)</f>
        <v>52.932000000000002</v>
      </c>
      <c r="AU26" s="265">
        <f>SUM(AQ26:AT26)</f>
        <v>201.42000000000002</v>
      </c>
      <c r="AV26" s="516"/>
      <c r="AW26" s="675">
        <f>SUM(AW24:AW25)</f>
        <v>57.844000000000001</v>
      </c>
      <c r="AX26" s="675">
        <f>SUM(AX24:AX25)</f>
        <v>57.124999999999993</v>
      </c>
      <c r="AY26" s="675">
        <f>SUM(AY24:AY25)</f>
        <v>60.374999999999993</v>
      </c>
      <c r="AZ26" s="675">
        <f>SUM(AZ24:AZ25)</f>
        <v>61.903000000000006</v>
      </c>
      <c r="BA26" s="265">
        <f>SUM(AW26:AZ26)</f>
        <v>237.24700000000001</v>
      </c>
      <c r="BB26" s="516"/>
      <c r="BC26" s="675">
        <f>SUM(BC24:BC25)</f>
        <v>66.003000000000014</v>
      </c>
      <c r="BD26" s="675">
        <f>SUM(BD24:BD25)</f>
        <v>70.712999999999994</v>
      </c>
      <c r="BE26" s="675">
        <f>SUM(BE24:BE25)</f>
        <v>75.605999999999995</v>
      </c>
      <c r="BF26" s="675">
        <f>SUM(BF24:BF25)</f>
        <v>83.048999999999992</v>
      </c>
      <c r="BG26" s="265">
        <f>SUM(BC26:BF26)</f>
        <v>295.37099999999998</v>
      </c>
      <c r="BH26" s="516"/>
      <c r="BI26" s="675">
        <f>SUM(BI24:BI25)</f>
        <v>90.32</v>
      </c>
      <c r="BJ26" s="675">
        <f>SUM(BJ24:BJ25)</f>
        <v>100.158</v>
      </c>
      <c r="BK26" s="675">
        <f>SUM(BK24:BK25)</f>
        <v>106.958</v>
      </c>
      <c r="BL26" s="675">
        <f>SUM(BL24:BL25)</f>
        <v>113.92999999999999</v>
      </c>
      <c r="BM26" s="265">
        <f>SUM(BI26:BL26)</f>
        <v>411.36600000000004</v>
      </c>
      <c r="BN26" s="516"/>
      <c r="BO26" s="675">
        <f>SUM(BO24:BO25)</f>
        <v>126.85</v>
      </c>
      <c r="BP26" s="675">
        <f>SUM(BP24:BP25)</f>
        <v>136.886</v>
      </c>
      <c r="BQ26" s="675">
        <f>SUM(BQ24:BQ25)</f>
        <v>153.66499999999999</v>
      </c>
      <c r="BR26" s="675">
        <f>SUM(BR24:BR25)</f>
        <v>155.17200000000003</v>
      </c>
      <c r="BS26" s="265">
        <f>SUM(BO26:BR26)</f>
        <v>572.57299999999998</v>
      </c>
      <c r="BT26" s="516"/>
      <c r="BU26" s="675">
        <f>SUM(BU24:BU25)</f>
        <v>177.01100000000002</v>
      </c>
      <c r="BV26" s="675">
        <f>SUM(BV24:BV25)</f>
        <v>185.18599999999998</v>
      </c>
      <c r="BW26" s="675">
        <f>SUM(BW24:BW25)</f>
        <v>222.22399999999999</v>
      </c>
      <c r="BX26" s="675">
        <f>SUM(BX24:BX25)</f>
        <v>229.04300000000001</v>
      </c>
      <c r="BY26" s="265">
        <f>SUM(BU26:BX26)</f>
        <v>813.46400000000006</v>
      </c>
      <c r="BZ26" s="516"/>
      <c r="CA26" s="675">
        <f>SUM(CA24:CA25)</f>
        <v>251.82300000000001</v>
      </c>
      <c r="CB26" s="675">
        <f>SUM(CB24:CB25)</f>
        <v>273.58299999999997</v>
      </c>
      <c r="CC26" s="675">
        <f>SUM(CC24:CC25)</f>
        <v>298.74200000000002</v>
      </c>
      <c r="CD26" s="675">
        <f>SUM(CD24:CD25)</f>
        <v>321.01</v>
      </c>
      <c r="CE26" s="265">
        <f>SUM(CA26:CD26)</f>
        <v>1145.1579999999999</v>
      </c>
      <c r="CF26" s="516"/>
      <c r="CG26" s="675">
        <f>SUM(CG24:CG25)</f>
        <v>346.73099999999999</v>
      </c>
      <c r="CH26" s="675">
        <f>SUM(CH24:CH25)</f>
        <v>368.20500000000004</v>
      </c>
      <c r="CI26" s="675">
        <f>SUM(CI24:CI25)</f>
        <v>385.87100000000004</v>
      </c>
      <c r="CJ26" s="675">
        <f>SUM(CJ24:CJ25)</f>
        <v>403.38</v>
      </c>
      <c r="CK26" s="265">
        <f>SUM(CG26:CJ26)</f>
        <v>1504.1869999999999</v>
      </c>
      <c r="CL26" s="516"/>
      <c r="CM26" s="675">
        <f>SUM(CM24:CM25)</f>
        <v>448.13200000000001</v>
      </c>
      <c r="CN26" s="675">
        <f>SUM(CN24:CN25)</f>
        <v>476.53999999999996</v>
      </c>
      <c r="CO26" s="675">
        <f>SUM(CO24:CO25)</f>
        <v>522.03599999999994</v>
      </c>
      <c r="CP26" s="675">
        <f>SUM(CP24:CP25)</f>
        <v>552.19799999999998</v>
      </c>
      <c r="CQ26" s="265">
        <f>SUM(CM26:CP26)</f>
        <v>1998.9059999999999</v>
      </c>
      <c r="CR26" s="516"/>
      <c r="CS26" s="675">
        <f>SUM(CS24:CS25)</f>
        <v>575.45899999999995</v>
      </c>
      <c r="CT26" s="675">
        <f>SUM(CT24:CT25)</f>
        <v>594.98199999999997</v>
      </c>
      <c r="CU26" s="675">
        <f>SUM(CU24:CU25)</f>
        <v>641.404</v>
      </c>
      <c r="CV26" s="675">
        <f>SUM(CV24:CV25)</f>
        <v>666.178</v>
      </c>
      <c r="CW26" s="265">
        <f>SUM(CS26:CV26)</f>
        <v>2478.0229999999997</v>
      </c>
      <c r="CX26" s="516"/>
      <c r="CY26" s="675">
        <f>SUM(CY24:CY25)</f>
        <v>700.3846513307642</v>
      </c>
      <c r="CZ26" s="675">
        <f>SUM(CZ24:CZ25)</f>
        <v>714.49716766431811</v>
      </c>
      <c r="DA26" s="675">
        <f>SUM(DA24:DA25)</f>
        <v>759.57057726525034</v>
      </c>
      <c r="DB26" s="675">
        <f>SUM(DB24:DB25)</f>
        <v>778.94562063477201</v>
      </c>
      <c r="DC26" s="265">
        <f>SUM(CY26:DB26)</f>
        <v>2953.3980168951048</v>
      </c>
      <c r="DD26" s="516"/>
      <c r="DE26" s="675">
        <f>SUM(DE24:DE25)</f>
        <v>826.52371301861228</v>
      </c>
      <c r="DF26" s="675">
        <f>SUM(DF24:DF25)</f>
        <v>844.82233219046714</v>
      </c>
      <c r="DG26" s="675">
        <f>SUM(DG24:DG25)</f>
        <v>898.9198445392841</v>
      </c>
      <c r="DH26" s="675">
        <f>SUM(DH24:DH25)</f>
        <v>912.82963058646123</v>
      </c>
      <c r="DI26" s="265">
        <f>SUM(DE26:DH26)</f>
        <v>3483.0955203348249</v>
      </c>
      <c r="DJ26" s="516"/>
      <c r="DK26" s="675">
        <f>SUM(DK24:DK25)</f>
        <v>971.17437190749706</v>
      </c>
      <c r="DL26" s="675">
        <f>SUM(DL24:DL25)</f>
        <v>991.07527849598205</v>
      </c>
      <c r="DM26" s="675">
        <f>SUM(DM24:DM25)</f>
        <v>1055.2987293267201</v>
      </c>
      <c r="DN26" s="675">
        <f>SUM(DN24:DN25)</f>
        <v>1066.4774053510178</v>
      </c>
      <c r="DO26" s="265">
        <f>SUM(DK26:DN26)</f>
        <v>4084.0257850812172</v>
      </c>
      <c r="DP26" s="918"/>
    </row>
    <row r="27" spans="1:127" ht="6" customHeight="1">
      <c r="A27" s="1717"/>
      <c r="B27" s="1718"/>
      <c r="C27" s="1725"/>
      <c r="D27" s="675"/>
      <c r="E27" s="675"/>
      <c r="F27" s="516"/>
      <c r="G27" s="510"/>
      <c r="H27" s="510"/>
      <c r="I27" s="510"/>
      <c r="J27" s="510"/>
      <c r="K27" s="510"/>
      <c r="L27" s="516"/>
      <c r="M27" s="510"/>
      <c r="N27" s="510"/>
      <c r="O27" s="510"/>
      <c r="P27" s="510"/>
      <c r="Q27" s="510"/>
      <c r="R27" s="516"/>
      <c r="S27" s="510"/>
      <c r="T27" s="510"/>
      <c r="U27" s="510"/>
      <c r="V27" s="510"/>
      <c r="W27" s="510"/>
      <c r="X27" s="516"/>
      <c r="Y27" s="510"/>
      <c r="Z27" s="510"/>
      <c r="AA27" s="510"/>
      <c r="AB27" s="510"/>
      <c r="AC27" s="510"/>
      <c r="AD27" s="516"/>
      <c r="AE27" s="510"/>
      <c r="AF27" s="510"/>
      <c r="AG27" s="510"/>
      <c r="AH27" s="510"/>
      <c r="AI27" s="265"/>
      <c r="AJ27" s="516"/>
      <c r="AK27" s="510"/>
      <c r="AL27" s="510"/>
      <c r="AM27" s="510"/>
      <c r="AN27" s="510"/>
      <c r="AO27" s="265"/>
      <c r="AP27" s="516"/>
      <c r="AQ27" s="510"/>
      <c r="AR27" s="510"/>
      <c r="AS27" s="510"/>
      <c r="AT27" s="510"/>
      <c r="AU27" s="265"/>
      <c r="AV27" s="516"/>
      <c r="AW27" s="510"/>
      <c r="AX27" s="510"/>
      <c r="AY27" s="510"/>
      <c r="AZ27" s="510"/>
      <c r="BA27" s="265"/>
      <c r="BB27" s="516"/>
      <c r="BC27" s="510"/>
      <c r="BD27" s="510"/>
      <c r="BE27" s="510"/>
      <c r="BF27" s="510"/>
      <c r="BG27" s="265"/>
      <c r="BH27" s="516"/>
      <c r="BI27" s="510"/>
      <c r="BJ27" s="510"/>
      <c r="BK27" s="510"/>
      <c r="BL27" s="510"/>
      <c r="BM27" s="265"/>
      <c r="BN27" s="516"/>
      <c r="BO27" s="510"/>
      <c r="BP27" s="510"/>
      <c r="BQ27" s="510"/>
      <c r="BR27" s="510"/>
      <c r="BS27" s="265"/>
      <c r="BT27" s="516"/>
      <c r="BU27" s="510"/>
      <c r="BV27" s="510"/>
      <c r="BW27" s="510"/>
      <c r="BX27" s="510"/>
      <c r="BY27" s="265"/>
      <c r="BZ27" s="516"/>
      <c r="CA27" s="510"/>
      <c r="CB27" s="510"/>
      <c r="CC27" s="510"/>
      <c r="CD27" s="510"/>
      <c r="CE27" s="265"/>
      <c r="CF27" s="516"/>
      <c r="CG27" s="510"/>
      <c r="CH27" s="510"/>
      <c r="CI27" s="510"/>
      <c r="CJ27" s="510"/>
      <c r="CK27" s="265"/>
      <c r="CL27" s="516"/>
      <c r="CM27" s="510"/>
      <c r="CN27" s="510"/>
      <c r="CO27" s="510"/>
      <c r="CP27" s="510"/>
      <c r="CQ27" s="265"/>
      <c r="CR27" s="516"/>
      <c r="CS27" s="510"/>
      <c r="CT27" s="510"/>
      <c r="CU27" s="510"/>
      <c r="CV27" s="510"/>
      <c r="CW27" s="265"/>
      <c r="CX27" s="516"/>
      <c r="CY27" s="510"/>
      <c r="CZ27" s="510"/>
      <c r="DA27" s="510"/>
      <c r="DB27" s="510"/>
      <c r="DC27" s="265"/>
      <c r="DD27" s="516"/>
      <c r="DE27" s="510"/>
      <c r="DF27" s="510"/>
      <c r="DG27" s="510"/>
      <c r="DH27" s="510"/>
      <c r="DI27" s="265"/>
      <c r="DJ27" s="516"/>
      <c r="DK27" s="510"/>
      <c r="DL27" s="510"/>
      <c r="DM27" s="510"/>
      <c r="DN27" s="510"/>
      <c r="DO27" s="265"/>
      <c r="DP27" s="918"/>
    </row>
    <row r="28" spans="1:127">
      <c r="A28" s="1716" t="s">
        <v>282</v>
      </c>
      <c r="B28" s="499" t="s">
        <v>67</v>
      </c>
      <c r="C28" s="500"/>
      <c r="D28" s="500"/>
      <c r="E28" s="500"/>
      <c r="F28" s="500"/>
      <c r="G28" s="500"/>
      <c r="H28" s="500"/>
      <c r="I28" s="516"/>
      <c r="J28" s="516"/>
      <c r="K28" s="500"/>
      <c r="L28" s="500"/>
      <c r="M28" s="500"/>
      <c r="N28" s="500"/>
      <c r="O28" s="500"/>
      <c r="P28" s="500"/>
      <c r="Q28" s="500"/>
      <c r="R28" s="500"/>
      <c r="S28" s="500"/>
      <c r="T28" s="500"/>
      <c r="U28" s="500"/>
      <c r="V28" s="500"/>
      <c r="W28" s="500"/>
      <c r="X28" s="500"/>
      <c r="Y28" s="500"/>
      <c r="Z28" s="500"/>
      <c r="AA28" s="500"/>
      <c r="AB28" s="500"/>
      <c r="AC28" s="500"/>
      <c r="AD28" s="500"/>
      <c r="AE28" s="500"/>
      <c r="AF28" s="500"/>
      <c r="AG28" s="500"/>
      <c r="AH28" s="500"/>
      <c r="AI28" s="262"/>
      <c r="AJ28" s="500"/>
      <c r="AK28" s="500"/>
      <c r="AL28" s="500"/>
      <c r="AM28" s="500"/>
      <c r="AN28" s="500"/>
      <c r="AO28" s="262"/>
      <c r="AP28" s="500"/>
      <c r="AQ28" s="500"/>
      <c r="AR28" s="500"/>
      <c r="AS28" s="500"/>
      <c r="AT28" s="500"/>
      <c r="AU28" s="262"/>
      <c r="AV28" s="500"/>
      <c r="AW28" s="500"/>
      <c r="AX28" s="500"/>
      <c r="AY28" s="500"/>
      <c r="AZ28" s="500"/>
      <c r="BA28" s="262"/>
      <c r="BB28" s="500"/>
      <c r="BC28" s="500"/>
      <c r="BD28" s="500"/>
      <c r="BE28" s="500"/>
      <c r="BF28" s="500"/>
      <c r="BG28" s="262"/>
      <c r="BH28" s="500"/>
      <c r="BI28" s="500"/>
      <c r="BJ28" s="500"/>
      <c r="BK28" s="1726"/>
      <c r="BL28" s="500"/>
      <c r="BM28" s="262"/>
      <c r="BN28" s="500"/>
      <c r="BO28" s="500"/>
      <c r="BP28" s="500"/>
      <c r="BQ28" s="500"/>
      <c r="BR28" s="500"/>
      <c r="BS28" s="262"/>
      <c r="BT28" s="500"/>
      <c r="BU28" s="500"/>
      <c r="BV28" s="500"/>
      <c r="BW28" s="500"/>
      <c r="BX28" s="500"/>
      <c r="BY28" s="262"/>
      <c r="BZ28" s="500"/>
      <c r="CA28" s="500"/>
      <c r="CB28" s="500"/>
      <c r="CC28" s="500"/>
      <c r="CD28" s="500"/>
      <c r="CE28" s="262"/>
      <c r="CF28" s="500"/>
      <c r="CG28" s="500"/>
      <c r="CH28" s="500"/>
      <c r="CI28" s="500"/>
      <c r="CJ28" s="500"/>
      <c r="CK28" s="262"/>
      <c r="CL28" s="500"/>
      <c r="CM28" s="500"/>
      <c r="CN28" s="500"/>
      <c r="CO28" s="500"/>
      <c r="CP28" s="500"/>
      <c r="CQ28" s="262"/>
      <c r="CR28" s="500"/>
      <c r="CS28" s="500"/>
      <c r="CT28" s="500"/>
      <c r="CU28" s="500"/>
      <c r="CV28" s="500"/>
      <c r="CW28" s="262"/>
      <c r="CX28" s="500"/>
      <c r="CY28" s="500"/>
      <c r="CZ28" s="500"/>
      <c r="DA28" s="500"/>
      <c r="DB28" s="500"/>
      <c r="DC28" s="262"/>
      <c r="DD28" s="500"/>
      <c r="DE28" s="500"/>
      <c r="DF28" s="500"/>
      <c r="DG28" s="500"/>
      <c r="DH28" s="500"/>
      <c r="DI28" s="262"/>
      <c r="DJ28" s="500"/>
      <c r="DK28" s="500"/>
      <c r="DL28" s="500"/>
      <c r="DM28" s="500"/>
      <c r="DN28" s="500"/>
      <c r="DO28" s="262"/>
      <c r="DP28" s="260"/>
    </row>
    <row r="29" spans="1:127" ht="10.5" customHeight="1">
      <c r="A29" s="1717" t="s">
        <v>230</v>
      </c>
      <c r="B29" s="1718"/>
      <c r="C29" s="675">
        <f>C13-C24</f>
        <v>0</v>
      </c>
      <c r="D29" s="675">
        <f>D13-D24</f>
        <v>3.2920000000000003</v>
      </c>
      <c r="E29" s="675">
        <f>E13-E24</f>
        <v>17.795000000000002</v>
      </c>
      <c r="F29" s="516"/>
      <c r="G29" s="675">
        <f>G13-G24</f>
        <v>7.359</v>
      </c>
      <c r="H29" s="675">
        <f>H13-H24</f>
        <v>9.7580000000000009</v>
      </c>
      <c r="I29" s="675">
        <f>I13-I24</f>
        <v>10.584999999999999</v>
      </c>
      <c r="J29" s="675">
        <f>J13-J24</f>
        <v>12.755000000000001</v>
      </c>
      <c r="K29" s="510">
        <f>SUM(G29:J29)</f>
        <v>40.457000000000001</v>
      </c>
      <c r="L29" s="516"/>
      <c r="M29" s="675">
        <f>M13-M24</f>
        <v>15.325000000000001</v>
      </c>
      <c r="N29" s="675">
        <f>N13-N24</f>
        <v>17.773</v>
      </c>
      <c r="O29" s="675">
        <f>O13-O24</f>
        <v>20.337</v>
      </c>
      <c r="P29" s="675">
        <f>P13-P24</f>
        <v>24.579000000000001</v>
      </c>
      <c r="Q29" s="510">
        <f>SUM(M29:P29)</f>
        <v>78.01400000000001</v>
      </c>
      <c r="R29" s="516"/>
      <c r="S29" s="675">
        <f>S13-S24</f>
        <v>28.834</v>
      </c>
      <c r="T29" s="675">
        <f>T13-T24</f>
        <v>33.318000000000005</v>
      </c>
      <c r="U29" s="675">
        <f>U13-U24</f>
        <v>37.919000000000004</v>
      </c>
      <c r="V29" s="675">
        <f>V13-V24</f>
        <v>45.178999999999995</v>
      </c>
      <c r="W29" s="510">
        <f>SUM(S29:V29)</f>
        <v>145.25</v>
      </c>
      <c r="X29" s="516"/>
      <c r="Y29" s="675">
        <f>Y13-Y24</f>
        <v>52.853999999999999</v>
      </c>
      <c r="Z29" s="675">
        <f>Z13-Z24</f>
        <v>57.625000000000007</v>
      </c>
      <c r="AA29" s="675">
        <f>AA13-AA24</f>
        <v>64.316999999999993</v>
      </c>
      <c r="AB29" s="675">
        <f>AB13-AB24</f>
        <v>71.385999999999996</v>
      </c>
      <c r="AC29" s="510">
        <f>SUM(Y29:AB29)</f>
        <v>246.18199999999999</v>
      </c>
      <c r="AD29" s="516"/>
      <c r="AE29" s="675">
        <f>AE13-AE24</f>
        <v>82.373999999999995</v>
      </c>
      <c r="AF29" s="675">
        <f>AF13-AF24</f>
        <v>91.370999999999995</v>
      </c>
      <c r="AG29" s="675">
        <f>AG13-AG24</f>
        <v>101.80500000000001</v>
      </c>
      <c r="AH29" s="675">
        <f>AH13-AH24</f>
        <v>115.8</v>
      </c>
      <c r="AI29" s="265">
        <f>SUM(AE29:AH29)</f>
        <v>391.35</v>
      </c>
      <c r="AJ29" s="516"/>
      <c r="AK29" s="675">
        <f>AK13-AK24</f>
        <v>128.006</v>
      </c>
      <c r="AL29" s="675">
        <f>AL13-AL24</f>
        <v>139.12299999999999</v>
      </c>
      <c r="AM29" s="675">
        <f>AM13-AM24</f>
        <v>153.989</v>
      </c>
      <c r="AN29" s="675">
        <f>AN13-AN24</f>
        <v>172.995</v>
      </c>
      <c r="AO29" s="265">
        <f>SUM(AK29:AN29)</f>
        <v>594.11300000000006</v>
      </c>
      <c r="AP29" s="516"/>
      <c r="AQ29" s="675">
        <f>AQ13-AQ24</f>
        <v>197.93100000000001</v>
      </c>
      <c r="AR29" s="675">
        <f>AR13-AR24</f>
        <v>210.352</v>
      </c>
      <c r="AS29" s="675">
        <f>AS13-AS24</f>
        <v>223.47899999999998</v>
      </c>
      <c r="AT29" s="675">
        <f>AT13-AT24</f>
        <v>233.73000000000002</v>
      </c>
      <c r="AU29" s="265">
        <f>SUM(AQ29:AT29)</f>
        <v>865.49199999999996</v>
      </c>
      <c r="AV29" s="516"/>
      <c r="AW29" s="675">
        <f>AW13-AW24</f>
        <v>247.03999999999996</v>
      </c>
      <c r="AX29" s="675">
        <f>AX13-AX24</f>
        <v>256.66899999999998</v>
      </c>
      <c r="AY29" s="675">
        <f>AY13-AY24</f>
        <v>268.32499999999999</v>
      </c>
      <c r="AZ29" s="675">
        <f>AZ13-AZ24</f>
        <v>287.87400000000002</v>
      </c>
      <c r="BA29" s="265">
        <f>SUM(AW29:AZ29)</f>
        <v>1059.9079999999999</v>
      </c>
      <c r="BB29" s="516"/>
      <c r="BC29" s="675">
        <f>BC13-BC24</f>
        <v>309.15899999999999</v>
      </c>
      <c r="BD29" s="675">
        <f>BD13-BD24</f>
        <v>323.15600000000001</v>
      </c>
      <c r="BE29" s="675">
        <f>BE13-BE24</f>
        <v>351.21600000000001</v>
      </c>
      <c r="BF29" s="675">
        <f>BF13-BF24</f>
        <v>373.13900000000001</v>
      </c>
      <c r="BG29" s="265">
        <f>SUM(BC29:BF29)</f>
        <v>1356.67</v>
      </c>
      <c r="BH29" s="516"/>
      <c r="BI29" s="675">
        <f>BI13-BI24</f>
        <v>407.35599999999999</v>
      </c>
      <c r="BJ29" s="675">
        <f>BJ13-BJ24</f>
        <v>436.50799999999998</v>
      </c>
      <c r="BK29" s="675">
        <f>BK13-BK24</f>
        <v>470.34500000000003</v>
      </c>
      <c r="BL29" s="675">
        <f>BL13-BL24</f>
        <v>511.33600000000001</v>
      </c>
      <c r="BM29" s="265">
        <f>SUM(BI29:BL29)</f>
        <v>1825.5450000000001</v>
      </c>
      <c r="BN29" s="516"/>
      <c r="BO29" s="675">
        <f>BO13-BO24</f>
        <v>563.92399999999998</v>
      </c>
      <c r="BP29" s="675">
        <f>BP13-BP24</f>
        <v>586.64200000000005</v>
      </c>
      <c r="BQ29" s="675">
        <f>BQ13-BQ24</f>
        <v>629.66399999999999</v>
      </c>
      <c r="BR29" s="675">
        <f>BR13-BR24</f>
        <v>671.64</v>
      </c>
      <c r="BS29" s="265">
        <f>SUM(BO29:BR29)</f>
        <v>2451.87</v>
      </c>
      <c r="BT29" s="516"/>
      <c r="BU29" s="675">
        <f>BU13-BU24</f>
        <v>709.976</v>
      </c>
      <c r="BV29" s="675">
        <f>BV13-BV24</f>
        <v>764.4860000000001</v>
      </c>
      <c r="BW29" s="675">
        <f>BW13-BW24</f>
        <v>839.51099999999997</v>
      </c>
      <c r="BX29" s="675">
        <f>BX13-BX24</f>
        <v>908.04499999999996</v>
      </c>
      <c r="BY29" s="265">
        <f>SUM(BU29:BX29)</f>
        <v>3222.018</v>
      </c>
      <c r="BZ29" s="516"/>
      <c r="CA29" s="675">
        <f>CA13-CA24</f>
        <v>967.03100000000006</v>
      </c>
      <c r="CB29" s="675">
        <f>CB13-CB24</f>
        <v>1034.94</v>
      </c>
      <c r="CC29" s="675">
        <f>CC13-CC24</f>
        <v>1070.1179999999999</v>
      </c>
      <c r="CD29" s="675">
        <f>CD13-CD24</f>
        <v>1107.337</v>
      </c>
      <c r="CE29" s="265">
        <f>SUM(CA29:CD29)</f>
        <v>4179.4259999999995</v>
      </c>
      <c r="CF29" s="516"/>
      <c r="CG29" s="675">
        <f>CG13-CG24</f>
        <v>1150.7360000000001</v>
      </c>
      <c r="CH29" s="675">
        <f>CH13-CH24</f>
        <v>1249.4209999999998</v>
      </c>
      <c r="CI29" s="675">
        <f>CI13-CI24</f>
        <v>1313.5840000000001</v>
      </c>
      <c r="CJ29" s="675">
        <f>CJ13-CJ24</f>
        <v>1383.8090000000002</v>
      </c>
      <c r="CK29" s="265">
        <f>SUM(CG29:CJ29)</f>
        <v>5097.55</v>
      </c>
      <c r="CL29" s="516"/>
      <c r="CM29" s="675">
        <f>CM13-CM24</f>
        <v>1461.8799999999999</v>
      </c>
      <c r="CN29" s="675">
        <f>CN13-CN24</f>
        <v>1550.681</v>
      </c>
      <c r="CO29" s="675">
        <f>CO13-CO24</f>
        <v>1609.3209999999999</v>
      </c>
      <c r="CP29" s="675">
        <f>CP13-CP24</f>
        <v>1705.6459999999997</v>
      </c>
      <c r="CQ29" s="265">
        <f>SUM(CM29:CP29)</f>
        <v>6327.5279999999993</v>
      </c>
      <c r="CR29" s="516"/>
      <c r="CS29" s="675">
        <f>CS13-CS24</f>
        <v>1781.5729999999999</v>
      </c>
      <c r="CT29" s="675">
        <f>CT13-CT24</f>
        <v>1934.2039999999997</v>
      </c>
      <c r="CU29" s="675">
        <f>CU13-CU24</f>
        <v>2014.3059999999998</v>
      </c>
      <c r="CV29" s="675">
        <f>CV13-CV24</f>
        <v>2161.7649999999999</v>
      </c>
      <c r="CW29" s="265">
        <f>SUM(CS29:CV29)</f>
        <v>7891.848</v>
      </c>
      <c r="CX29" s="516"/>
      <c r="CY29" s="510">
        <f>CY30*CY13</f>
        <v>2210.8301031325127</v>
      </c>
      <c r="CZ29" s="510">
        <f>CZ30*CZ13</f>
        <v>2367.4818956290642</v>
      </c>
      <c r="DA29" s="510">
        <f>DA30*DA13</f>
        <v>2446.7305328612833</v>
      </c>
      <c r="DB29" s="510">
        <f>DB30*DB13</f>
        <v>2607.07771181204</v>
      </c>
      <c r="DC29" s="265">
        <f>SUM(CY29:DB29)</f>
        <v>9632.1202434349016</v>
      </c>
      <c r="DD29" s="516"/>
      <c r="DE29" s="510">
        <f>DE30*DE13</f>
        <v>2673.4739847808596</v>
      </c>
      <c r="DF29" s="510">
        <f>DF30*DF13</f>
        <v>2862.9714818683833</v>
      </c>
      <c r="DG29" s="510">
        <f>DG30*DG13</f>
        <v>2958.5250210898166</v>
      </c>
      <c r="DH29" s="510">
        <f>DH30*DH13</f>
        <v>3137.0405573831486</v>
      </c>
      <c r="DI29" s="265">
        <f>SUM(DE29:DH29)</f>
        <v>11632.011045122208</v>
      </c>
      <c r="DJ29" s="516"/>
      <c r="DK29" s="510">
        <f>DK30*DK13</f>
        <v>3218.5683714128731</v>
      </c>
      <c r="DL29" s="510">
        <f>DL30*DL13</f>
        <v>3436.9950741580724</v>
      </c>
      <c r="DM29" s="510">
        <f>DM30*DM13</f>
        <v>3546.4222161508724</v>
      </c>
      <c r="DN29" s="510">
        <f>DN30*DN13</f>
        <v>3762.1168218665525</v>
      </c>
      <c r="DO29" s="265">
        <f>SUM(DK29:DN29)</f>
        <v>13964.102483588369</v>
      </c>
      <c r="DP29" s="918"/>
    </row>
    <row r="30" spans="1:127" ht="10.5" customHeight="1">
      <c r="A30" s="1727" t="s">
        <v>367</v>
      </c>
      <c r="B30" s="1728"/>
      <c r="C30" s="1729" t="s">
        <v>236</v>
      </c>
      <c r="D30" s="1730">
        <f>D29/D13</f>
        <v>0.65551573078454806</v>
      </c>
      <c r="E30" s="1730">
        <f>E29/E13</f>
        <v>0.82717426672244687</v>
      </c>
      <c r="F30" s="1731"/>
      <c r="G30" s="1730">
        <f>G29/G13</f>
        <v>0.83530079455164585</v>
      </c>
      <c r="H30" s="1730">
        <f>H29/H13</f>
        <v>0.86545454545454548</v>
      </c>
      <c r="I30" s="1730">
        <f>I29/I13</f>
        <v>0.81819587230424362</v>
      </c>
      <c r="J30" s="1730">
        <f>J29/J13</f>
        <v>0.87160038267049345</v>
      </c>
      <c r="K30" s="1504">
        <f>K29/K13</f>
        <v>0.84893822393822393</v>
      </c>
      <c r="L30" s="1731"/>
      <c r="M30" s="1730">
        <f>M29/M13</f>
        <v>0.90562581255170782</v>
      </c>
      <c r="N30" s="1730">
        <f>N29/N13</f>
        <v>0.90715598203348313</v>
      </c>
      <c r="O30" s="1730">
        <f>O29/O13</f>
        <v>0.90467081850533804</v>
      </c>
      <c r="P30" s="1730">
        <f>P29/P13</f>
        <v>0.91705842847548691</v>
      </c>
      <c r="Q30" s="1504">
        <f>Q29/Q13</f>
        <v>0.90929647069793484</v>
      </c>
      <c r="R30" s="1731"/>
      <c r="S30" s="1730">
        <f>S29/S13</f>
        <v>0.92666152461756013</v>
      </c>
      <c r="T30" s="1504">
        <f>T29/T13</f>
        <v>0.92506316461670879</v>
      </c>
      <c r="U30" s="1504">
        <f>U29/U13</f>
        <v>0.91448209333172559</v>
      </c>
      <c r="V30" s="1504">
        <f>V29/V13</f>
        <v>0.91494359950586279</v>
      </c>
      <c r="W30" s="1504">
        <f>W29/W13</f>
        <v>0.91943763965640568</v>
      </c>
      <c r="X30" s="1731"/>
      <c r="Y30" s="1499">
        <f>Y29/Y13</f>
        <v>0.90830039525691697</v>
      </c>
      <c r="Z30" s="1499">
        <f>Z29/Z13</f>
        <v>0.87792132606112316</v>
      </c>
      <c r="AA30" s="1499">
        <f>AA29/AA13</f>
        <v>0.86463850724598712</v>
      </c>
      <c r="AB30" s="1499">
        <f>AB29/AB13</f>
        <v>0.86607218683651799</v>
      </c>
      <c r="AC30" s="1499">
        <f>AC29/AC13</f>
        <v>0.87721948838187125</v>
      </c>
      <c r="AD30" s="1732"/>
      <c r="AE30" s="1499">
        <f>AE29/AE13</f>
        <v>0.8717471135428021</v>
      </c>
      <c r="AF30" s="1499">
        <f>AF29/AF13</f>
        <v>0.85663257174465368</v>
      </c>
      <c r="AG30" s="1499">
        <f>AG29/AG13</f>
        <v>0.85959994258357042</v>
      </c>
      <c r="AH30" s="1499">
        <f>AH29/AH13</f>
        <v>0.87680111455202125</v>
      </c>
      <c r="AI30" s="277">
        <f>AI29/AI13</f>
        <v>0.86647035380596038</v>
      </c>
      <c r="AJ30" s="1732"/>
      <c r="AK30" s="1499">
        <f>AK29/AK13</f>
        <v>0.86672083417970069</v>
      </c>
      <c r="AL30" s="1499">
        <f>AL29/AL13</f>
        <v>0.86952961912023896</v>
      </c>
      <c r="AM30" s="1499">
        <f>AM29/AM13</f>
        <v>0.87307230008617953</v>
      </c>
      <c r="AN30" s="1499">
        <f>AN29/AN13</f>
        <v>0.88030552064198009</v>
      </c>
      <c r="AO30" s="277">
        <f>AO29/AO13</f>
        <v>0.87294972971622797</v>
      </c>
      <c r="AP30" s="1732"/>
      <c r="AQ30" s="1499">
        <f>AQ29/AQ13</f>
        <v>0.87836212673237446</v>
      </c>
      <c r="AR30" s="1499">
        <f>AR29/AR13</f>
        <v>0.8774904054730519</v>
      </c>
      <c r="AS30" s="1499">
        <f>AS29/AS13</f>
        <v>0.88191142172744597</v>
      </c>
      <c r="AT30" s="1499">
        <f>AT29/AT13</f>
        <v>0.87832099507722372</v>
      </c>
      <c r="AU30" s="277">
        <f>AU29/AU13</f>
        <v>0.87905226016531002</v>
      </c>
      <c r="AV30" s="1732"/>
      <c r="AW30" s="1499">
        <f>AW29/AW13</f>
        <v>0.87674966639220919</v>
      </c>
      <c r="AX30" s="1499">
        <f>AX29/AX13</f>
        <v>0.87468988549618321</v>
      </c>
      <c r="AY30" s="1499">
        <f>AY29/AY13</f>
        <v>0.87439306546746176</v>
      </c>
      <c r="AZ30" s="1499">
        <f>AZ29/AZ13</f>
        <v>0.87928917451144495</v>
      </c>
      <c r="BA30" s="277">
        <f>BA29/BA13</f>
        <v>0.87633942745264037</v>
      </c>
      <c r="BB30" s="1732"/>
      <c r="BC30" s="1499">
        <f>BC29/BC13</f>
        <v>0.88151816875384936</v>
      </c>
      <c r="BD30" s="1499">
        <f>BD29/BD13</f>
        <v>0.87587782659485947</v>
      </c>
      <c r="BE30" s="1499">
        <f>BE29/BE13</f>
        <v>0.87161618868935953</v>
      </c>
      <c r="BF30" s="1499">
        <f>BF29/BF13</f>
        <v>0.87073371074407169</v>
      </c>
      <c r="BG30" s="277">
        <f>BG29/BG13</f>
        <v>0.87462487388348609</v>
      </c>
      <c r="BH30" s="1732"/>
      <c r="BI30" s="1499">
        <f>BI29/BI13</f>
        <v>0.86030107454213689</v>
      </c>
      <c r="BJ30" s="1499">
        <f>BJ29/BJ13</f>
        <v>0.85710975712723281</v>
      </c>
      <c r="BK30" s="1499">
        <f>BK29/BK13</f>
        <v>0.85644649678977103</v>
      </c>
      <c r="BL30" s="1499">
        <f>BL29/BL13</f>
        <v>0.86044535387173149</v>
      </c>
      <c r="BM30" s="277">
        <f>BM29/BM13</f>
        <v>0.85858141672083121</v>
      </c>
      <c r="BN30" s="1732"/>
      <c r="BO30" s="1499">
        <f>BO29/BO13</f>
        <v>0.86066359390738978</v>
      </c>
      <c r="BP30" s="1499">
        <f>BP29/BP13</f>
        <v>0.85330614275345351</v>
      </c>
      <c r="BQ30" s="1499">
        <f>BQ29/BQ13</f>
        <v>0.85020793950850659</v>
      </c>
      <c r="BR30" s="1499">
        <f>BR29/BR13</f>
        <v>0.85505318302471689</v>
      </c>
      <c r="BS30" s="277">
        <f>BS29/BS13</f>
        <v>0.85466507343816667</v>
      </c>
      <c r="BT30" s="1732"/>
      <c r="BU30" s="1499">
        <f>BU29/BU13</f>
        <v>0.84298064284789864</v>
      </c>
      <c r="BV30" s="1499">
        <f>BV29/BV13</f>
        <v>0.84675314893824416</v>
      </c>
      <c r="BW30" s="1499">
        <f>BW29/BW13</f>
        <v>0.83577009306344796</v>
      </c>
      <c r="BX30" s="1499">
        <f>BX29/BX13</f>
        <v>0.84469223749559297</v>
      </c>
      <c r="BY30" s="277">
        <f>BY29/BY13</f>
        <v>0.84245852183084924</v>
      </c>
      <c r="BZ30" s="1732"/>
      <c r="CA30" s="1499">
        <f>CA29/CA13</f>
        <v>0.84287103876385205</v>
      </c>
      <c r="CB30" s="1499">
        <f>CB29/CB13</f>
        <v>0.83964864143464113</v>
      </c>
      <c r="CC30" s="1499">
        <f>CC29/CC13</f>
        <v>0.8305061726191354</v>
      </c>
      <c r="CD30" s="1499">
        <f>CD29/CD13</f>
        <v>0.82307980478058629</v>
      </c>
      <c r="CE30" s="277">
        <f>CE29/CE13</f>
        <v>0.83359049209336522</v>
      </c>
      <c r="CF30" s="1732"/>
      <c r="CG30" s="1499">
        <f>CG29/CG13</f>
        <v>0.8188619121930254</v>
      </c>
      <c r="CH30" s="1499">
        <f>CH29/CH13</f>
        <v>0.8212748279617883</v>
      </c>
      <c r="CI30" s="1499">
        <f>CI29/CI13</f>
        <v>0.82287592876924798</v>
      </c>
      <c r="CJ30" s="1499">
        <f>CJ29/CJ13</f>
        <v>0.82239370995923133</v>
      </c>
      <c r="CK30" s="277">
        <f>CK29/CK13</f>
        <v>0.8214436672430816</v>
      </c>
      <c r="CL30" s="1732"/>
      <c r="CM30" s="1499">
        <f>CM29/CM13</f>
        <v>0.82336567927893822</v>
      </c>
      <c r="CN30" s="1499">
        <f>CN29/CN13</f>
        <v>0.82217138191381067</v>
      </c>
      <c r="CO30" s="1499">
        <f>CO29/CO13</f>
        <v>0.81115746572169789</v>
      </c>
      <c r="CP30" s="1499">
        <f>CP29/CP13</f>
        <v>0.80811370520280235</v>
      </c>
      <c r="CQ30" s="277">
        <f>CQ29/CQ13</f>
        <v>0.81580205783627424</v>
      </c>
      <c r="CR30" s="1732"/>
      <c r="CS30" s="1499">
        <f>CS29/CS13</f>
        <v>0.80947181799511836</v>
      </c>
      <c r="CT30" s="1499">
        <f>CT29/CT13</f>
        <v>0.81663703467892534</v>
      </c>
      <c r="CU30" s="1499">
        <f>CU29/CU13</f>
        <v>0.81021716072081473</v>
      </c>
      <c r="CV30" s="1499">
        <f>CV29/CV13</f>
        <v>0.81422410546139357</v>
      </c>
      <c r="CW30" s="277">
        <f>CW29/CW13</f>
        <v>0.81270965625179581</v>
      </c>
      <c r="CX30" s="1732"/>
      <c r="CY30" s="1733">
        <f>CS30+0.5%</f>
        <v>0.81447181799511836</v>
      </c>
      <c r="CZ30" s="1733">
        <f>CT30+0.5%</f>
        <v>0.82163703467892535</v>
      </c>
      <c r="DA30" s="1733">
        <f>CU30+0.5%</f>
        <v>0.81521716072081474</v>
      </c>
      <c r="DB30" s="1733">
        <f>CV30+0.5%</f>
        <v>0.81922410546139357</v>
      </c>
      <c r="DC30" s="277">
        <f>DC29/DC13</f>
        <v>0.81769830513763297</v>
      </c>
      <c r="DD30" s="1732"/>
      <c r="DE30" s="1733">
        <f>CY30+0.4%</f>
        <v>0.81847181799511837</v>
      </c>
      <c r="DF30" s="1733">
        <f>CZ30+0.4%</f>
        <v>0.82563703467892535</v>
      </c>
      <c r="DG30" s="1733">
        <f>DA30+0.4%</f>
        <v>0.81921716072081474</v>
      </c>
      <c r="DH30" s="1733">
        <f>DB30+0.4%</f>
        <v>0.82322410546139357</v>
      </c>
      <c r="DI30" s="277">
        <f>DI29/DI13</f>
        <v>0.82169638011179802</v>
      </c>
      <c r="DJ30" s="1732"/>
      <c r="DK30" s="1733">
        <f>DE30+0.4%</f>
        <v>0.82247181799511837</v>
      </c>
      <c r="DL30" s="1733">
        <f>DF30+0.4%</f>
        <v>0.82963703467892536</v>
      </c>
      <c r="DM30" s="1733">
        <f>DG30+0.4%</f>
        <v>0.82321716072081474</v>
      </c>
      <c r="DN30" s="1733">
        <f>DH30+0.4%</f>
        <v>0.82722410546139358</v>
      </c>
      <c r="DO30" s="277">
        <f>DO29/DO13</f>
        <v>0.82569484358829937</v>
      </c>
      <c r="DP30" s="921"/>
    </row>
    <row r="31" spans="1:127" ht="10.5" customHeight="1">
      <c r="A31" s="1717" t="s">
        <v>86</v>
      </c>
      <c r="B31" s="1718"/>
      <c r="C31" s="675">
        <f>C16-C25</f>
        <v>0</v>
      </c>
      <c r="D31" s="675">
        <f>D16-D25</f>
        <v>-1.2789999999999999</v>
      </c>
      <c r="E31" s="675">
        <f>E16-E25</f>
        <v>-1.4330000000000003</v>
      </c>
      <c r="F31" s="516"/>
      <c r="G31" s="675">
        <f>G16-G25</f>
        <v>0.24900000000000005</v>
      </c>
      <c r="H31" s="675">
        <f>H16-H25</f>
        <v>-2.7000000000000024E-2</v>
      </c>
      <c r="I31" s="675">
        <f>I16-I25</f>
        <v>0.39500000000000002</v>
      </c>
      <c r="J31" s="675">
        <f>J16-J25</f>
        <v>-0.44599999999999984</v>
      </c>
      <c r="K31" s="510">
        <f>SUM(G31:J31)</f>
        <v>0.17100000000000015</v>
      </c>
      <c r="L31" s="516"/>
      <c r="M31" s="675">
        <f>M16-M25</f>
        <v>0.2330000000000001</v>
      </c>
      <c r="N31" s="675">
        <f>N16-N25</f>
        <v>2.2000000000000242E-2</v>
      </c>
      <c r="O31" s="675">
        <f>O16-O25</f>
        <v>0.42900000000000027</v>
      </c>
      <c r="P31" s="675">
        <f>P16-P25</f>
        <v>5.2000000000000046E-2</v>
      </c>
      <c r="Q31" s="510">
        <f>SUM(M31:P31)</f>
        <v>0.73600000000000065</v>
      </c>
      <c r="R31" s="516"/>
      <c r="S31" s="675">
        <f>S16-S25</f>
        <v>-0.35800000000000054</v>
      </c>
      <c r="T31" s="675">
        <f>T16-T25</f>
        <v>-0.91899999999999959</v>
      </c>
      <c r="U31" s="675">
        <f>U16-U25</f>
        <v>-0.46300000000000008</v>
      </c>
      <c r="V31" s="675">
        <f>V16-V25</f>
        <v>-0.58900000000000041</v>
      </c>
      <c r="W31" s="510">
        <f>SUM(S31:V31)</f>
        <v>-2.3290000000000006</v>
      </c>
      <c r="X31" s="516"/>
      <c r="Y31" s="675">
        <f>Y16-Y25</f>
        <v>-0.64199999999999946</v>
      </c>
      <c r="Z31" s="675">
        <f>Z16-Z25</f>
        <v>-1.9190000000000005</v>
      </c>
      <c r="AA31" s="675">
        <f>AA16-AA25</f>
        <v>-1.2279999999999998</v>
      </c>
      <c r="AB31" s="675">
        <f>AB16-AB25</f>
        <v>-1.6620000000000008</v>
      </c>
      <c r="AC31" s="510">
        <f>SUM(Y31:AB31)</f>
        <v>-5.4510000000000005</v>
      </c>
      <c r="AD31" s="516"/>
      <c r="AE31" s="675">
        <f>AE16-AE25</f>
        <v>-1.0150000000000006</v>
      </c>
      <c r="AF31" s="675">
        <f>AF16-AF25</f>
        <v>-0.4399999999999995</v>
      </c>
      <c r="AG31" s="675">
        <f>AG16-AG25</f>
        <v>-1.8079999999999998</v>
      </c>
      <c r="AH31" s="675">
        <f>AH16-AH25</f>
        <v>-3.786999999999999</v>
      </c>
      <c r="AI31" s="265">
        <f>SUM(AE31:AH31)</f>
        <v>-7.0499999999999989</v>
      </c>
      <c r="AJ31" s="516"/>
      <c r="AK31" s="675">
        <f>AK16-AK25</f>
        <v>-2.4870000000000001</v>
      </c>
      <c r="AL31" s="675">
        <f>AL16-AL25</f>
        <v>-0.49099999999999966</v>
      </c>
      <c r="AM31" s="675">
        <f>AM16-AM25</f>
        <v>-1.9529999999999994</v>
      </c>
      <c r="AN31" s="675">
        <f>AN16-AN25</f>
        <v>0.65300000000000225</v>
      </c>
      <c r="AO31" s="265">
        <f>SUM(AK31:AN31)</f>
        <v>-4.2779999999999969</v>
      </c>
      <c r="AP31" s="516"/>
      <c r="AQ31" s="675">
        <f>AQ16-AQ25</f>
        <v>2.3679999999999986</v>
      </c>
      <c r="AR31" s="675">
        <f>AR16-AR25</f>
        <v>2.5910000000000011</v>
      </c>
      <c r="AS31" s="675">
        <f>AS16-AS25</f>
        <v>1.9770000000000003</v>
      </c>
      <c r="AT31" s="675">
        <f>AT16-AT25</f>
        <v>2.9209999999999994</v>
      </c>
      <c r="AU31" s="265">
        <f>SUM(AQ31:AT31)</f>
        <v>9.8569999999999993</v>
      </c>
      <c r="AV31" s="516"/>
      <c r="AW31" s="675">
        <f>AW16-AW25</f>
        <v>3.9999999999999147E-2</v>
      </c>
      <c r="AX31" s="675">
        <f>AX16-AX25</f>
        <v>2.2669999999999995</v>
      </c>
      <c r="AY31" s="675">
        <f>AY16-AY25</f>
        <v>1.8490000000000002</v>
      </c>
      <c r="AZ31" s="675">
        <f>AZ16-AZ25</f>
        <v>4.272000000000002</v>
      </c>
      <c r="BA31" s="265">
        <f>SUM(AW31:AZ31)</f>
        <v>8.4280000000000008</v>
      </c>
      <c r="BB31" s="516"/>
      <c r="BC31" s="675">
        <f>BC16-BC25</f>
        <v>1.6509999999999962</v>
      </c>
      <c r="BD31" s="675">
        <f>BD16-BD25</f>
        <v>0.50300000000000011</v>
      </c>
      <c r="BE31" s="675">
        <f>BE16-BE25</f>
        <v>2.264999999999997</v>
      </c>
      <c r="BF31" s="675">
        <f>BF16-BF25</f>
        <v>0.67899999999999849</v>
      </c>
      <c r="BG31" s="265">
        <f>SUM(BC31:BF31)</f>
        <v>5.0979999999999919</v>
      </c>
      <c r="BH31" s="516"/>
      <c r="BI31" s="675">
        <f>BI16-BI25</f>
        <v>6.6879999999999988</v>
      </c>
      <c r="BJ31" s="675">
        <f>BJ16-BJ25</f>
        <v>9.3359999999999985</v>
      </c>
      <c r="BK31" s="675">
        <f>BK16-BK25</f>
        <v>6.9570000000000007</v>
      </c>
      <c r="BL31" s="675">
        <f>BL16-BL25</f>
        <v>6.6469999999999985</v>
      </c>
      <c r="BM31" s="265">
        <f>SUM(BI31:BL31)</f>
        <v>29.627999999999997</v>
      </c>
      <c r="BN31" s="516"/>
      <c r="BO31" s="675">
        <f>BO16-BO25</f>
        <v>4.6929999999999978</v>
      </c>
      <c r="BP31" s="675">
        <f>BP16-BP25</f>
        <v>8.1209999999999951</v>
      </c>
      <c r="BQ31" s="675">
        <f>BQ16-BQ25</f>
        <v>5.0690000000000026</v>
      </c>
      <c r="BR31" s="675">
        <f>BR16-BR25</f>
        <v>7.8689999999999998</v>
      </c>
      <c r="BS31" s="265">
        <f>SUM(BO31:BR31)</f>
        <v>25.751999999999995</v>
      </c>
      <c r="BT31" s="516"/>
      <c r="BU31" s="675">
        <f>BU16-BU25</f>
        <v>5.6459999999999937</v>
      </c>
      <c r="BV31" s="675">
        <f>BV16-BV25</f>
        <v>7.4220000000000041</v>
      </c>
      <c r="BW31" s="675">
        <f>BW16-BW25</f>
        <v>14.299000000000007</v>
      </c>
      <c r="BX31" s="675">
        <f>BX16-BX25</f>
        <v>8.1539999999999964</v>
      </c>
      <c r="BY31" s="265">
        <f>SUM(BU31:BX31)</f>
        <v>35.521000000000001</v>
      </c>
      <c r="BZ31" s="516"/>
      <c r="CA31" s="675">
        <f>CA16-CA25</f>
        <v>7.9179999999999922</v>
      </c>
      <c r="CB31" s="675">
        <f>CB16-CB25</f>
        <v>10.028000000000006</v>
      </c>
      <c r="CC31" s="675">
        <f>CC16-CC25</f>
        <v>14.794999999999987</v>
      </c>
      <c r="CD31" s="675">
        <f>CD16-CD25</f>
        <v>16.260999999999996</v>
      </c>
      <c r="CE31" s="265">
        <f>SUM(CA31:CD31)</f>
        <v>49.001999999999981</v>
      </c>
      <c r="CF31" s="516"/>
      <c r="CG31" s="675">
        <f>CG16-CG25</f>
        <v>13.699999999999989</v>
      </c>
      <c r="CH31" s="675">
        <f>CH16-CH25</f>
        <v>17.057999999999993</v>
      </c>
      <c r="CI31" s="675">
        <f>CI16-CI25</f>
        <v>12.511999999999986</v>
      </c>
      <c r="CJ31" s="675">
        <f>CJ16-CJ25</f>
        <v>22.209000000000003</v>
      </c>
      <c r="CK31" s="265">
        <f>SUM(CG31:CJ31)</f>
        <v>65.478999999999971</v>
      </c>
      <c r="CL31" s="516"/>
      <c r="CM31" s="675">
        <f>CM16-CM25</f>
        <v>6.5910000000000082</v>
      </c>
      <c r="CN31" s="675">
        <f>CN16-CN25</f>
        <v>9.3970000000000198</v>
      </c>
      <c r="CO31" s="675">
        <f>CO16-CO25</f>
        <v>13.418000000000035</v>
      </c>
      <c r="CP31" s="675">
        <f>CP16-CP25</f>
        <v>36.144000000000005</v>
      </c>
      <c r="CQ31" s="265">
        <f>SUM(CM31:CP31)</f>
        <v>65.550000000000068</v>
      </c>
      <c r="CR31" s="516"/>
      <c r="CS31" s="675">
        <f>CS16-CS25</f>
        <v>30.546999999999997</v>
      </c>
      <c r="CT31" s="675">
        <f>CT16-CT25</f>
        <v>32.402999999999992</v>
      </c>
      <c r="CU31" s="675">
        <f>CU16-CU25</f>
        <v>24.131</v>
      </c>
      <c r="CV31" s="675">
        <f>CV16-CV25</f>
        <v>23.059999999999974</v>
      </c>
      <c r="CW31" s="265">
        <f>SUM(CS31:CV31)</f>
        <v>110.14099999999996</v>
      </c>
      <c r="CX31" s="516"/>
      <c r="CY31" s="510">
        <f>CY32*CY16</f>
        <v>33.006869096569311</v>
      </c>
      <c r="CZ31" s="510">
        <f>CZ32*CZ16</f>
        <v>34.78711835607951</v>
      </c>
      <c r="DA31" s="510">
        <f>DA32*DA16</f>
        <v>29.168183740920401</v>
      </c>
      <c r="DB31" s="510">
        <f>DB32*DB16</f>
        <v>27.154307824272728</v>
      </c>
      <c r="DC31" s="265">
        <f>SUM(CY31:DB31)</f>
        <v>124.11647901784195</v>
      </c>
      <c r="DD31" s="516"/>
      <c r="DE31" s="510">
        <f>DE32*DE16</f>
        <v>39.178742604206192</v>
      </c>
      <c r="DF31" s="510">
        <f>DF32*DF16</f>
        <v>41.663500048035893</v>
      </c>
      <c r="DG31" s="510">
        <f>DG32*DG16</f>
        <v>35.011327538672383</v>
      </c>
      <c r="DH31" s="510">
        <f>DH32*DH16</f>
        <v>31.893814272841556</v>
      </c>
      <c r="DI31" s="265">
        <f>SUM(DE31:DH31)</f>
        <v>147.74738446375602</v>
      </c>
      <c r="DJ31" s="516"/>
      <c r="DK31" s="510">
        <f>DK32*DK16</f>
        <v>46.371103630913872</v>
      </c>
      <c r="DL31" s="510">
        <f>DL32*DL16</f>
        <v>49.48578330213045</v>
      </c>
      <c r="DM31" s="510">
        <f>DM32*DM16</f>
        <v>41.795867110498399</v>
      </c>
      <c r="DN31" s="510">
        <f>DN32*DN16</f>
        <v>37.429940420984479</v>
      </c>
      <c r="DO31" s="265">
        <f>SUM(DK31:DN31)</f>
        <v>175.08269446452721</v>
      </c>
      <c r="DP31" s="918"/>
    </row>
    <row r="32" spans="1:127" ht="10.5" customHeight="1">
      <c r="A32" s="1727" t="s">
        <v>401</v>
      </c>
      <c r="B32" s="1728"/>
      <c r="C32" s="1729" t="s">
        <v>236</v>
      </c>
      <c r="D32" s="1730">
        <f>D31/D16</f>
        <v>-3.0968523002421309</v>
      </c>
      <c r="E32" s="1730">
        <f>E31/E16</f>
        <v>-1.5993303571428574</v>
      </c>
      <c r="F32" s="1731"/>
      <c r="G32" s="1730">
        <f>G31/G16</f>
        <v>0.46025878003696863</v>
      </c>
      <c r="H32" s="1730">
        <f>H31/H16</f>
        <v>-4.4407894736842146E-2</v>
      </c>
      <c r="I32" s="1730">
        <f>I31/I16</f>
        <v>0.31499202551834132</v>
      </c>
      <c r="J32" s="1730">
        <f>J31/J16</f>
        <v>-0.47854077253218863</v>
      </c>
      <c r="K32" s="1504">
        <f>K31/K16</f>
        <v>5.1274362818590748E-2</v>
      </c>
      <c r="L32" s="1731"/>
      <c r="M32" s="1730">
        <f>M31/M16</f>
        <v>0.11702661978905077</v>
      </c>
      <c r="N32" s="1730">
        <f>N31/N16</f>
        <v>1.0832102412604747E-2</v>
      </c>
      <c r="O32" s="1730">
        <f>O31/O16</f>
        <v>0.14522681110358843</v>
      </c>
      <c r="P32" s="1730">
        <f>P31/P16</f>
        <v>1.599507843740389E-2</v>
      </c>
      <c r="Q32" s="1504">
        <f>Q31/Q16</f>
        <v>7.1966363547472434E-2</v>
      </c>
      <c r="R32" s="1731"/>
      <c r="S32" s="1730">
        <f>S31/S16</f>
        <v>-9.6159011549825563E-2</v>
      </c>
      <c r="T32" s="1730">
        <f>T31/T16</f>
        <v>-0.20135845749342673</v>
      </c>
      <c r="U32" s="1730">
        <f>U31/U16</f>
        <v>-9.4566993464052299E-2</v>
      </c>
      <c r="V32" s="1730">
        <f>V31/V16</f>
        <v>-0.11294343240651973</v>
      </c>
      <c r="W32" s="1504">
        <f>W31/W16</f>
        <v>-0.12658984672246987</v>
      </c>
      <c r="X32" s="1731"/>
      <c r="Y32" s="1734">
        <f>Y31/Y16</f>
        <v>-0.10723233672958067</v>
      </c>
      <c r="Z32" s="1734">
        <f>Z31/Z16</f>
        <v>-0.3043616177636797</v>
      </c>
      <c r="AA32" s="1734">
        <f>AA31/AA16</f>
        <v>-0.14818390249788821</v>
      </c>
      <c r="AB32" s="1734">
        <f>AB31/AB16</f>
        <v>-0.19238337770575309</v>
      </c>
      <c r="AC32" s="1499">
        <f>AC31/AC16</f>
        <v>-0.1865630775549319</v>
      </c>
      <c r="AD32" s="1732"/>
      <c r="AE32" s="1734">
        <f>AE31/AE16</f>
        <v>-9.9578141862062264E-2</v>
      </c>
      <c r="AF32" s="1734">
        <f>AF31/AF16</f>
        <v>-3.834756841554815E-2</v>
      </c>
      <c r="AG32" s="1734">
        <f>AG31/AG16</f>
        <v>-0.15559380378657486</v>
      </c>
      <c r="AH32" s="1734">
        <f>AH31/AH16</f>
        <v>-0.31166159163854817</v>
      </c>
      <c r="AI32" s="277">
        <f>AI31/AI16</f>
        <v>-0.15515647695761253</v>
      </c>
      <c r="AJ32" s="1732"/>
      <c r="AK32" s="1734">
        <f>AK31/AK16</f>
        <v>-0.16893085178644207</v>
      </c>
      <c r="AL32" s="1734">
        <f>AL31/AL16</f>
        <v>-2.961220674265724E-2</v>
      </c>
      <c r="AM32" s="1734">
        <f>AM31/AM16</f>
        <v>-0.11888963292140985</v>
      </c>
      <c r="AN32" s="1734">
        <f>AN31/AN16</f>
        <v>3.2027073421943317E-2</v>
      </c>
      <c r="AO32" s="277">
        <f>AO31/AO16</f>
        <v>-6.2801861448347693E-2</v>
      </c>
      <c r="AP32" s="1732"/>
      <c r="AQ32" s="1734">
        <f>AQ31/AQ16</f>
        <v>0.10627889232978766</v>
      </c>
      <c r="AR32" s="1734">
        <f>AR31/AR16</f>
        <v>0.11093034208160299</v>
      </c>
      <c r="AS32" s="1734">
        <f>AS31/AS16</f>
        <v>8.5643735920984246E-2</v>
      </c>
      <c r="AT32" s="1734">
        <f>AT31/AT16</f>
        <v>0.12444084693051589</v>
      </c>
      <c r="AU32" s="277">
        <f>AU31/AU16</f>
        <v>0.10691469168610011</v>
      </c>
      <c r="AV32" s="1732"/>
      <c r="AW32" s="1734">
        <f>AW31/AW16</f>
        <v>1.7274140611504211E-3</v>
      </c>
      <c r="AX32" s="1734">
        <f>AX31/AX16</f>
        <v>0.10021661288183545</v>
      </c>
      <c r="AY32" s="1734">
        <f>AY31/AY16</f>
        <v>7.808606782381014E-2</v>
      </c>
      <c r="AZ32" s="1734">
        <f>AZ31/AZ16</f>
        <v>0.16027011817670236</v>
      </c>
      <c r="BA32" s="277">
        <f>BA31/BA16</f>
        <v>8.7690274786444838E-2</v>
      </c>
      <c r="BB32" s="1732"/>
      <c r="BC32" s="1734">
        <f>BC31/BC16</f>
        <v>6.3254281445155214E-2</v>
      </c>
      <c r="BD32" s="1734">
        <f>BD31/BD16</f>
        <v>1.9786790448841515E-2</v>
      </c>
      <c r="BE32" s="1734">
        <f>BE31/BE16</f>
        <v>8.6652129002639619E-2</v>
      </c>
      <c r="BF32" s="1734">
        <f>BF31/BF16</f>
        <v>2.3964987823386106E-2</v>
      </c>
      <c r="BG32" s="277">
        <f>BG31/BG16</f>
        <v>4.8097062097854519E-2</v>
      </c>
      <c r="BH32" s="1732"/>
      <c r="BI32" s="1734">
        <f>BI31/BI16</f>
        <v>0.21672067401166556</v>
      </c>
      <c r="BJ32" s="1734">
        <f>BJ31/BJ16</f>
        <v>0.25422759578465809</v>
      </c>
      <c r="BK32" s="1734">
        <f>BK31/BK16</f>
        <v>0.19832943725411939</v>
      </c>
      <c r="BL32" s="1734">
        <f>BL31/BL16</f>
        <v>0.17657528424184463</v>
      </c>
      <c r="BM32" s="277">
        <f>BM31/BM16</f>
        <v>0.21116852571184203</v>
      </c>
      <c r="BN32" s="1732"/>
      <c r="BO32" s="1734">
        <f>BO31/BO16</f>
        <v>0.11660496434516852</v>
      </c>
      <c r="BP32" s="1734">
        <f>BP31/BP16</f>
        <v>0.18391611559018017</v>
      </c>
      <c r="BQ32" s="1734">
        <f>BQ31/BQ16</f>
        <v>0.10605046236244199</v>
      </c>
      <c r="BR32" s="1734">
        <f>BR31/BR16</f>
        <v>0.15998454844874557</v>
      </c>
      <c r="BS32" s="277">
        <f>BS31/BS16</f>
        <v>0.14197268823013776</v>
      </c>
      <c r="BT32" s="1732"/>
      <c r="BU32" s="1734">
        <f>BU31/BU16</f>
        <v>0.11199714353725292</v>
      </c>
      <c r="BV32" s="1734">
        <f>BV31/BV16</f>
        <v>0.13681105990783418</v>
      </c>
      <c r="BW32" s="1734">
        <f>BW31/BW16</f>
        <v>0.19982391905866578</v>
      </c>
      <c r="BX32" s="1734">
        <f>BX31/BX16</f>
        <v>0.11608604661095366</v>
      </c>
      <c r="BY32" s="277">
        <f>BY31/BY16</f>
        <v>0.14412422249361967</v>
      </c>
      <c r="BZ32" s="1732"/>
      <c r="CA32" s="1734">
        <f>CA31/CA16</f>
        <v>9.964009765182584E-2</v>
      </c>
      <c r="CB32" s="1734">
        <f>CB31/CB16</f>
        <v>0.11665348285328749</v>
      </c>
      <c r="CC32" s="1734">
        <f>CC31/CC16</f>
        <v>0.15550440394357895</v>
      </c>
      <c r="CD32" s="1734">
        <f>CD31/CD16</f>
        <v>0.16383879093198989</v>
      </c>
      <c r="CE32" s="277">
        <f>CE31/CE16</f>
        <v>0.13618400208992218</v>
      </c>
      <c r="CF32" s="1732"/>
      <c r="CG32" s="1734">
        <f>CG31/CG16</f>
        <v>0.12939176426142793</v>
      </c>
      <c r="CH32" s="1734">
        <f>CH31/CH16</f>
        <v>0.15046972169540856</v>
      </c>
      <c r="CI32" s="1734">
        <f>CI31/CI16</f>
        <v>0.10820346956777406</v>
      </c>
      <c r="CJ32" s="1734">
        <f>CJ31/CJ16</f>
        <v>0.17523552525682906</v>
      </c>
      <c r="CK32" s="277">
        <f>CK31/CK16</f>
        <v>0.1418470290305599</v>
      </c>
      <c r="CL32" s="1732"/>
      <c r="CM32" s="1734">
        <f>CM31/CM16</f>
        <v>4.6708241797179556E-2</v>
      </c>
      <c r="CN32" s="1734">
        <f>CN31/CN16</f>
        <v>6.2422776973256051E-2</v>
      </c>
      <c r="CO32" s="1734">
        <f>CO31/CO16</f>
        <v>8.3448387377638683E-2</v>
      </c>
      <c r="CP32" s="1734">
        <f>CP31/CP16</f>
        <v>0.19714514800613084</v>
      </c>
      <c r="CQ32" s="277">
        <f>CQ31/CQ16</f>
        <v>0.10310186401249502</v>
      </c>
      <c r="CR32" s="1732"/>
      <c r="CS32" s="1734">
        <f>CS31/CS16</f>
        <v>0.16364084405183449</v>
      </c>
      <c r="CT32" s="1734">
        <f>CT31/CT16</f>
        <v>0.16781293697239624</v>
      </c>
      <c r="CU32" s="1734">
        <f>CU31/CU16</f>
        <v>0.12457281503278096</v>
      </c>
      <c r="CV32" s="1734">
        <f>CV31/CV16</f>
        <v>0.1176512604398911</v>
      </c>
      <c r="CW32" s="277">
        <f>CW31/CW16</f>
        <v>0.14313803975183043</v>
      </c>
      <c r="CX32" s="1732"/>
      <c r="CY32" s="1733">
        <f>CS32-0.02</f>
        <v>0.1436408440518345</v>
      </c>
      <c r="CZ32" s="1733">
        <f>CT32-0.02</f>
        <v>0.14781293697239625</v>
      </c>
      <c r="DA32" s="1733">
        <f>CU32</f>
        <v>0.12457281503278096</v>
      </c>
      <c r="DB32" s="1733">
        <f>CV32</f>
        <v>0.1176512604398911</v>
      </c>
      <c r="DC32" s="277">
        <f>DC31/DC16</f>
        <v>0.13344680158814909</v>
      </c>
      <c r="DD32" s="1732"/>
      <c r="DE32" s="1733">
        <f>CY32</f>
        <v>0.1436408440518345</v>
      </c>
      <c r="DF32" s="1733">
        <f>CZ32</f>
        <v>0.14781293697239625</v>
      </c>
      <c r="DG32" s="1733">
        <f>DA32</f>
        <v>0.12457281503278096</v>
      </c>
      <c r="DH32" s="1733">
        <f>DB32</f>
        <v>0.1176512604398911</v>
      </c>
      <c r="DI32" s="277">
        <f>DI31/DI16</f>
        <v>0.13349539790437578</v>
      </c>
      <c r="DJ32" s="1732"/>
      <c r="DK32" s="1733">
        <f>DE32</f>
        <v>0.1436408440518345</v>
      </c>
      <c r="DL32" s="1733">
        <f>DF32</f>
        <v>0.14781293697239625</v>
      </c>
      <c r="DM32" s="1733">
        <f>DG32</f>
        <v>0.12457281503278096</v>
      </c>
      <c r="DN32" s="1733">
        <f>DH32</f>
        <v>0.1176512604398911</v>
      </c>
      <c r="DO32" s="277">
        <f>DO31/DO16</f>
        <v>0.13352147167719572</v>
      </c>
      <c r="DP32" s="921"/>
    </row>
    <row r="33" spans="1:132" s="922" customFormat="1" ht="10.5" customHeight="1">
      <c r="A33" s="318" t="s">
        <v>282</v>
      </c>
      <c r="B33" s="319" t="s">
        <v>943</v>
      </c>
      <c r="C33" s="320">
        <f>C29+C31</f>
        <v>0</v>
      </c>
      <c r="D33" s="320">
        <f>D29+D31</f>
        <v>2.0130000000000003</v>
      </c>
      <c r="E33" s="320">
        <f>E29+E31</f>
        <v>16.362000000000002</v>
      </c>
      <c r="F33" s="319"/>
      <c r="G33" s="320">
        <f>G29+G31</f>
        <v>7.6079999999999997</v>
      </c>
      <c r="H33" s="320">
        <f>H29+H31</f>
        <v>9.7310000000000016</v>
      </c>
      <c r="I33" s="320">
        <f>I29+I31</f>
        <v>10.979999999999999</v>
      </c>
      <c r="J33" s="320">
        <f>J29+J31</f>
        <v>12.309000000000001</v>
      </c>
      <c r="K33" s="321">
        <f>SUM(G33:J33)</f>
        <v>40.628</v>
      </c>
      <c r="L33" s="319"/>
      <c r="M33" s="320">
        <f>M29+M31</f>
        <v>15.558000000000002</v>
      </c>
      <c r="N33" s="320">
        <f>N29+N31</f>
        <v>17.795000000000002</v>
      </c>
      <c r="O33" s="320">
        <f>O29+O31</f>
        <v>20.765999999999998</v>
      </c>
      <c r="P33" s="320">
        <f>P29+P31</f>
        <v>24.631</v>
      </c>
      <c r="Q33" s="321">
        <f>SUM(M33:P33)</f>
        <v>78.75</v>
      </c>
      <c r="R33" s="319"/>
      <c r="S33" s="320">
        <f>S29+S31</f>
        <v>28.475999999999999</v>
      </c>
      <c r="T33" s="321">
        <f>T31+T29</f>
        <v>32.399000000000008</v>
      </c>
      <c r="U33" s="321">
        <f>U31+U29</f>
        <v>37.456000000000003</v>
      </c>
      <c r="V33" s="321">
        <f>V31+V29</f>
        <v>44.589999999999996</v>
      </c>
      <c r="W33" s="321">
        <f>SUM(S33:V33)</f>
        <v>142.92100000000002</v>
      </c>
      <c r="X33" s="319"/>
      <c r="Y33" s="321">
        <f>Y31+Y29</f>
        <v>52.212000000000003</v>
      </c>
      <c r="Z33" s="321">
        <f>Z29+Z31</f>
        <v>55.706000000000003</v>
      </c>
      <c r="AA33" s="321">
        <f>AA29+AA31</f>
        <v>63.088999999999992</v>
      </c>
      <c r="AB33" s="321">
        <f>AB29+AB31</f>
        <v>69.72399999999999</v>
      </c>
      <c r="AC33" s="321">
        <f>SUM(Y33:AB33)</f>
        <v>240.73099999999999</v>
      </c>
      <c r="AD33" s="319"/>
      <c r="AE33" s="321">
        <f>AE31+AE29</f>
        <v>81.358999999999995</v>
      </c>
      <c r="AF33" s="321">
        <f>AF29+AF31</f>
        <v>90.930999999999997</v>
      </c>
      <c r="AG33" s="321">
        <f>AG29+AG31</f>
        <v>99.997000000000014</v>
      </c>
      <c r="AH33" s="321">
        <f>AH29+AH31</f>
        <v>112.01300000000001</v>
      </c>
      <c r="AI33" s="322">
        <f>SUM(AE33:AH33)</f>
        <v>384.30000000000007</v>
      </c>
      <c r="AJ33" s="319"/>
      <c r="AK33" s="321">
        <f>AK29+AK31</f>
        <v>125.51900000000001</v>
      </c>
      <c r="AL33" s="321">
        <f>AL29+AL31</f>
        <v>138.63200000000001</v>
      </c>
      <c r="AM33" s="321">
        <f>AM29+AM31</f>
        <v>152.036</v>
      </c>
      <c r="AN33" s="321">
        <f>AN29+AN31</f>
        <v>173.648</v>
      </c>
      <c r="AO33" s="322">
        <f>SUM(AK33:AN33)</f>
        <v>589.83500000000004</v>
      </c>
      <c r="AP33" s="319"/>
      <c r="AQ33" s="321">
        <f>AQ29+AQ31</f>
        <v>200.29900000000001</v>
      </c>
      <c r="AR33" s="321">
        <f>AR29+AR31</f>
        <v>212.94300000000001</v>
      </c>
      <c r="AS33" s="321">
        <f>AS29+AS31</f>
        <v>225.45599999999999</v>
      </c>
      <c r="AT33" s="321">
        <f>AT29+AT31</f>
        <v>236.65100000000001</v>
      </c>
      <c r="AU33" s="322">
        <f>SUM(AQ33:AT33)</f>
        <v>875.34899999999993</v>
      </c>
      <c r="AV33" s="319"/>
      <c r="AW33" s="321">
        <f>AW29+AW31</f>
        <v>247.07999999999996</v>
      </c>
      <c r="AX33" s="321">
        <f>AX29+AX31</f>
        <v>258.93599999999998</v>
      </c>
      <c r="AY33" s="321">
        <f>AY29+AY31</f>
        <v>270.17399999999998</v>
      </c>
      <c r="AZ33" s="321">
        <f>AZ29+AZ31</f>
        <v>292.14600000000002</v>
      </c>
      <c r="BA33" s="322">
        <f>SUM(AW33:AZ33)</f>
        <v>1068.336</v>
      </c>
      <c r="BB33" s="319"/>
      <c r="BC33" s="321">
        <f>BC29+BC31</f>
        <v>310.81</v>
      </c>
      <c r="BD33" s="321">
        <f>BD29+BD31</f>
        <v>323.65899999999999</v>
      </c>
      <c r="BE33" s="321">
        <f>BE29+BE31</f>
        <v>353.48099999999999</v>
      </c>
      <c r="BF33" s="321">
        <f>BF29+BF31</f>
        <v>373.81799999999998</v>
      </c>
      <c r="BG33" s="322">
        <f>SUM(BC33:BF33)</f>
        <v>1361.768</v>
      </c>
      <c r="BH33" s="319"/>
      <c r="BI33" s="321">
        <f>BI29+BI31</f>
        <v>414.04399999999998</v>
      </c>
      <c r="BJ33" s="321">
        <f>BJ29+BJ31</f>
        <v>445.84399999999999</v>
      </c>
      <c r="BK33" s="321">
        <f>BK29+BK31</f>
        <v>477.30200000000002</v>
      </c>
      <c r="BL33" s="321">
        <f>BL29+BL31</f>
        <v>517.98300000000006</v>
      </c>
      <c r="BM33" s="322">
        <f>SUM(BI33:BL33)</f>
        <v>1855.1730000000002</v>
      </c>
      <c r="BN33" s="319"/>
      <c r="BO33" s="321">
        <f>BO29+BO31</f>
        <v>568.61699999999996</v>
      </c>
      <c r="BP33" s="321">
        <f>BP29+BP31</f>
        <v>594.76300000000003</v>
      </c>
      <c r="BQ33" s="321">
        <f>BQ29+BQ31</f>
        <v>634.73299999999995</v>
      </c>
      <c r="BR33" s="321">
        <f>BR29+BR31</f>
        <v>679.50900000000001</v>
      </c>
      <c r="BS33" s="322">
        <f>SUM(BO33:BR33)</f>
        <v>2477.6220000000003</v>
      </c>
      <c r="BT33" s="319"/>
      <c r="BU33" s="321">
        <f>BU29+BU31</f>
        <v>715.62199999999996</v>
      </c>
      <c r="BV33" s="321">
        <f>BV29+BV31</f>
        <v>771.90800000000013</v>
      </c>
      <c r="BW33" s="321">
        <f>BW29+BW31</f>
        <v>853.81</v>
      </c>
      <c r="BX33" s="321">
        <f>BX29+BX31</f>
        <v>916.19899999999996</v>
      </c>
      <c r="BY33" s="322">
        <f>SUM(BU33:BX33)</f>
        <v>3257.5390000000002</v>
      </c>
      <c r="BZ33" s="319"/>
      <c r="CA33" s="321">
        <f>CA29+CA31</f>
        <v>974.94900000000007</v>
      </c>
      <c r="CB33" s="321">
        <f>CB29+CB31</f>
        <v>1044.9680000000001</v>
      </c>
      <c r="CC33" s="321">
        <f>CC29+CC31</f>
        <v>1084.913</v>
      </c>
      <c r="CD33" s="321">
        <f>CD29+CD31</f>
        <v>1123.598</v>
      </c>
      <c r="CE33" s="322">
        <f>SUM(CA33:CD33)</f>
        <v>4228.4279999999999</v>
      </c>
      <c r="CF33" s="319"/>
      <c r="CG33" s="321">
        <f>CG29+CG31</f>
        <v>1164.4360000000001</v>
      </c>
      <c r="CH33" s="1643">
        <f>CH29+CH31</f>
        <v>1266.4789999999998</v>
      </c>
      <c r="CI33" s="321">
        <f>CI29+CI31</f>
        <v>1326.096</v>
      </c>
      <c r="CJ33" s="321">
        <f>CJ29+CJ31</f>
        <v>1406.0180000000003</v>
      </c>
      <c r="CK33" s="322">
        <f>SUM(CG33:CJ33)</f>
        <v>5163.0290000000005</v>
      </c>
      <c r="CL33" s="319"/>
      <c r="CM33" s="321">
        <f>CM29+CM31</f>
        <v>1468.471</v>
      </c>
      <c r="CN33" s="321">
        <f>CN29+CN31</f>
        <v>1560.078</v>
      </c>
      <c r="CO33" s="321">
        <f>CO29+CO31</f>
        <v>1622.739</v>
      </c>
      <c r="CP33" s="321">
        <f>CP29+CP31</f>
        <v>1741.7899999999997</v>
      </c>
      <c r="CQ33" s="322">
        <f>SUM(CM33:CP33)</f>
        <v>6393.0780000000004</v>
      </c>
      <c r="CR33" s="319"/>
      <c r="CS33" s="321">
        <f>CS29+CS31</f>
        <v>1812.12</v>
      </c>
      <c r="CT33" s="321">
        <f>CT29+CT31</f>
        <v>1966.6069999999997</v>
      </c>
      <c r="CU33" s="321">
        <f>CU29+CU31</f>
        <v>2038.4369999999999</v>
      </c>
      <c r="CV33" s="321">
        <f>CV29+CV31</f>
        <v>2184.8249999999998</v>
      </c>
      <c r="CW33" s="322">
        <f>SUM(CS33:CV33)</f>
        <v>8001.9889999999996</v>
      </c>
      <c r="CX33" s="319"/>
      <c r="CY33" s="321">
        <f>CY29+CY31</f>
        <v>2243.8369722290822</v>
      </c>
      <c r="CZ33" s="321">
        <f>CZ29+CZ31</f>
        <v>2402.2690139851438</v>
      </c>
      <c r="DA33" s="321">
        <f>DA29+DA31</f>
        <v>2475.8987166022039</v>
      </c>
      <c r="DB33" s="321">
        <f>DB29+DB31</f>
        <v>2634.2320196363125</v>
      </c>
      <c r="DC33" s="322">
        <f>SUM(CY33:DB33)</f>
        <v>9756.2367224527425</v>
      </c>
      <c r="DD33" s="319"/>
      <c r="DE33" s="321">
        <f>DE29+DE31</f>
        <v>2712.6527273850656</v>
      </c>
      <c r="DF33" s="321">
        <f>DF29+DF31</f>
        <v>2904.6349819164193</v>
      </c>
      <c r="DG33" s="321">
        <f>DG29+DG31</f>
        <v>2993.5363486284891</v>
      </c>
      <c r="DH33" s="321">
        <f>DH29+DH31</f>
        <v>3168.9343716559902</v>
      </c>
      <c r="DI33" s="322">
        <f>SUM(DE33:DH33)</f>
        <v>11779.758429585965</v>
      </c>
      <c r="DJ33" s="319"/>
      <c r="DK33" s="321">
        <f>DK29+DK31</f>
        <v>3264.9394750437868</v>
      </c>
      <c r="DL33" s="321">
        <f>DL29+DL31</f>
        <v>3486.480857460203</v>
      </c>
      <c r="DM33" s="321">
        <f>DM29+DM31</f>
        <v>3588.2180832613708</v>
      </c>
      <c r="DN33" s="321">
        <f>DN29+DN31</f>
        <v>3799.5467622875371</v>
      </c>
      <c r="DO33" s="322">
        <f>SUM(DK33:DN33)</f>
        <v>14139.185178052898</v>
      </c>
      <c r="DP33" s="920"/>
      <c r="DQ33"/>
      <c r="DR33"/>
      <c r="DS33"/>
      <c r="DT33"/>
      <c r="DU33"/>
      <c r="DV33"/>
    </row>
    <row r="34" spans="1:132" s="923" customFormat="1" ht="10.5" customHeight="1">
      <c r="A34" s="323" t="s">
        <v>698</v>
      </c>
      <c r="B34" s="324" t="s">
        <v>797</v>
      </c>
      <c r="C34" s="325" t="s">
        <v>236</v>
      </c>
      <c r="D34" s="326">
        <f>D33/D19</f>
        <v>0.37037718491260352</v>
      </c>
      <c r="E34" s="326">
        <f>E33/E19</f>
        <v>0.73015306350127185</v>
      </c>
      <c r="F34" s="327"/>
      <c r="G34" s="326">
        <f>G33/G19</f>
        <v>0.81360282322746225</v>
      </c>
      <c r="H34" s="326">
        <f>H33/H19</f>
        <v>0.81890095093831528</v>
      </c>
      <c r="I34" s="326">
        <f>I33/I19</f>
        <v>0.77372982876470997</v>
      </c>
      <c r="J34" s="326">
        <f>J33/J19</f>
        <v>0.79076191699858667</v>
      </c>
      <c r="K34" s="328">
        <f>K33/K19</f>
        <v>0.79676805710811716</v>
      </c>
      <c r="L34" s="327"/>
      <c r="M34" s="326">
        <f>M33/M19</f>
        <v>0.82260878760640832</v>
      </c>
      <c r="N34" s="326">
        <f>N33/N19</f>
        <v>0.82296628589927412</v>
      </c>
      <c r="O34" s="326">
        <f>O33/O19</f>
        <v>0.81646614767633863</v>
      </c>
      <c r="P34" s="326">
        <f>P33/P19</f>
        <v>0.81958539912820683</v>
      </c>
      <c r="Q34" s="328">
        <f>Q33/Q19</f>
        <v>0.82011601387167665</v>
      </c>
      <c r="R34" s="327"/>
      <c r="S34" s="326">
        <f>S33/S19</f>
        <v>0.81735985533453892</v>
      </c>
      <c r="T34" s="328">
        <f>T33/T19</f>
        <v>0.7983785515388977</v>
      </c>
      <c r="U34" s="328">
        <f>U33/U19</f>
        <v>0.80792045037855098</v>
      </c>
      <c r="V34" s="328">
        <f>V33/V19</f>
        <v>0.81675642011942706</v>
      </c>
      <c r="W34" s="328">
        <f>W33/W19</f>
        <v>0.81032459248759758</v>
      </c>
      <c r="X34" s="329"/>
      <c r="Y34" s="328">
        <f>Y33/Y19</f>
        <v>0.81356249123517788</v>
      </c>
      <c r="Z34" s="328">
        <f>Z33/Z19</f>
        <v>0.7743074378327286</v>
      </c>
      <c r="AA34" s="328">
        <f>AA33/AA19</f>
        <v>0.76311492264705516</v>
      </c>
      <c r="AB34" s="328">
        <f>AB33/AB19</f>
        <v>0.76565931652464192</v>
      </c>
      <c r="AC34" s="328">
        <f>AC33/AC19</f>
        <v>0.77690999396495797</v>
      </c>
      <c r="AD34" s="329"/>
      <c r="AE34" s="328">
        <f>AE33/AE19</f>
        <v>0.77717173260990013</v>
      </c>
      <c r="AF34" s="328">
        <f>AF33/AF19</f>
        <v>0.76970805082235028</v>
      </c>
      <c r="AG34" s="328">
        <f>AG33/AG19</f>
        <v>0.76889422004874952</v>
      </c>
      <c r="AH34" s="328">
        <f>AH33/AH19</f>
        <v>0.77667068824451191</v>
      </c>
      <c r="AI34" s="330">
        <f>AI33/AI19</f>
        <v>0.77308699693018301</v>
      </c>
      <c r="AJ34" s="329"/>
      <c r="AK34" s="328">
        <f>AK33/AK19</f>
        <v>0.77284313966948259</v>
      </c>
      <c r="AL34" s="328">
        <f>AL33/AL19</f>
        <v>0.78509902083486727</v>
      </c>
      <c r="AM34" s="328">
        <f>AM33/AM19</f>
        <v>0.7885561946650208</v>
      </c>
      <c r="AN34" s="328">
        <f>AN33/AN19</f>
        <v>0.80056798797635842</v>
      </c>
      <c r="AO34" s="330">
        <f>AO33/AO19</f>
        <v>0.78781220782690009</v>
      </c>
      <c r="AP34" s="327"/>
      <c r="AQ34" s="328">
        <f>AQ33/AQ19</f>
        <v>0.80889016323266916</v>
      </c>
      <c r="AR34" s="328">
        <f>AR33/AR19</f>
        <v>0.80943221946426336</v>
      </c>
      <c r="AS34" s="328">
        <f>AS33/AS19</f>
        <v>0.81543074357926415</v>
      </c>
      <c r="AT34" s="328">
        <f>AT33/AT19</f>
        <v>0.81721302700780085</v>
      </c>
      <c r="AU34" s="330">
        <f>AU33/AU19</f>
        <v>0.81294037997007706</v>
      </c>
      <c r="AV34" s="327"/>
      <c r="AW34" s="328">
        <f>AW33/AW19</f>
        <v>0.81030027154307294</v>
      </c>
      <c r="AX34" s="328">
        <f>AX33/AX19</f>
        <v>0.81925957331021537</v>
      </c>
      <c r="AY34" s="328">
        <f>AY33/AY19</f>
        <v>0.81734931886044127</v>
      </c>
      <c r="AZ34" s="328">
        <f>AZ33/AZ19</f>
        <v>0.82515696979796593</v>
      </c>
      <c r="BA34" s="330">
        <f>BA33/BA19</f>
        <v>0.81828271354636195</v>
      </c>
      <c r="BB34" s="327"/>
      <c r="BC34" s="328">
        <f>BC33/BC19</f>
        <v>0.82483884579353683</v>
      </c>
      <c r="BD34" s="328">
        <f>BD33/BD19</f>
        <v>0.82069467406408159</v>
      </c>
      <c r="BE34" s="328">
        <f>BE33/BE19</f>
        <v>0.82379797104083785</v>
      </c>
      <c r="BF34" s="328">
        <f>BF33/BF19</f>
        <v>0.81822062000538454</v>
      </c>
      <c r="BG34" s="330">
        <f>BG33/BG19</f>
        <v>0.8217584644378052</v>
      </c>
      <c r="BH34" s="327"/>
      <c r="BI34" s="328">
        <f>BI33/BI19</f>
        <v>0.82092298419395504</v>
      </c>
      <c r="BJ34" s="328">
        <f>BJ33/BJ19</f>
        <v>0.81656111149776012</v>
      </c>
      <c r="BK34" s="328">
        <f>BK33/BK19</f>
        <v>0.81693424160476502</v>
      </c>
      <c r="BL34" s="328">
        <f>BL33/BL19</f>
        <v>0.81970619373236508</v>
      </c>
      <c r="BM34" s="330">
        <f>BM33/BM19</f>
        <v>0.81850477754850015</v>
      </c>
      <c r="BN34" s="327"/>
      <c r="BO34" s="328">
        <f>BO33/BO19</f>
        <v>0.81760457361743977</v>
      </c>
      <c r="BP34" s="328">
        <f>BP33/BP19</f>
        <v>0.81290755539883197</v>
      </c>
      <c r="BQ34" s="328">
        <f>BQ33/BQ19</f>
        <v>0.8050920981534706</v>
      </c>
      <c r="BR34" s="328">
        <f>BR33/BR19</f>
        <v>0.81409424678410069</v>
      </c>
      <c r="BS34" s="330">
        <f>BS33/BS19</f>
        <v>0.81228314911013888</v>
      </c>
      <c r="BT34" s="327"/>
      <c r="BU34" s="328">
        <f>BU33/BU19</f>
        <v>0.80169789824037418</v>
      </c>
      <c r="BV34" s="328">
        <f>BV33/BV19</f>
        <v>0.80651221301147025</v>
      </c>
      <c r="BW34" s="328">
        <f>BW33/BW19</f>
        <v>0.79347864472683938</v>
      </c>
      <c r="BX34" s="328">
        <f>BX33/BX19</f>
        <v>0.80000471516063854</v>
      </c>
      <c r="BY34" s="330">
        <f>BY33/BY19</f>
        <v>0.80018093821105019</v>
      </c>
      <c r="BZ34" s="327"/>
      <c r="CA34" s="328">
        <f>CA33/CA19</f>
        <v>0.79472713756101387</v>
      </c>
      <c r="CB34" s="328">
        <f>CB33/CB19</f>
        <v>0.79251238670328272</v>
      </c>
      <c r="CC34" s="328">
        <f>CC33/CC19</f>
        <v>0.78409213279321799</v>
      </c>
      <c r="CD34" s="328">
        <f>CD33/CD19</f>
        <v>0.7777874689881269</v>
      </c>
      <c r="CE34" s="330">
        <f>CE33/CE19</f>
        <v>0.78689128637747674</v>
      </c>
      <c r="CF34" s="327"/>
      <c r="CG34" s="328">
        <f>CG33/CG19</f>
        <v>0.77055414788703047</v>
      </c>
      <c r="CH34" s="328">
        <f>CH33/CH19</f>
        <v>0.77475463147617507</v>
      </c>
      <c r="CI34" s="328">
        <f>CI33/CI19</f>
        <v>0.77460371607630285</v>
      </c>
      <c r="CJ34" s="328">
        <f>CJ33/CJ19</f>
        <v>0.77706397376364966</v>
      </c>
      <c r="CK34" s="330">
        <f>CK33/CK19</f>
        <v>0.77439054021948595</v>
      </c>
      <c r="CL34" s="327"/>
      <c r="CM34" s="328">
        <f>CM33/CM19</f>
        <v>0.7661842332501827</v>
      </c>
      <c r="CN34" s="328">
        <f>CN33/CN19</f>
        <v>0.76601404878087109</v>
      </c>
      <c r="CO34" s="328">
        <f>CO33/CO19</f>
        <v>0.75660104206734968</v>
      </c>
      <c r="CP34" s="328">
        <f>CP33/CP19</f>
        <v>0.75928470419200089</v>
      </c>
      <c r="CQ34" s="330">
        <f>CQ33/CQ19</f>
        <v>0.76180769648750524</v>
      </c>
      <c r="CR34" s="327"/>
      <c r="CS34" s="328">
        <f>CS33/CS19</f>
        <v>0.75897802753332988</v>
      </c>
      <c r="CT34" s="328">
        <f>CT33/CT19</f>
        <v>0.76772932738233957</v>
      </c>
      <c r="CU34" s="328">
        <f>CU33/CU19</f>
        <v>0.76065594936416003</v>
      </c>
      <c r="CV34" s="328">
        <f>CV33/CV19</f>
        <v>0.76633556681630977</v>
      </c>
      <c r="CW34" s="330">
        <f>CW33/CW19</f>
        <v>0.76354769441103698</v>
      </c>
      <c r="CX34" s="327"/>
      <c r="CY34" s="328">
        <f>CY33/CY19</f>
        <v>0.76211551272966616</v>
      </c>
      <c r="CZ34" s="328">
        <f>CZ33/CZ19</f>
        <v>0.77075689159133831</v>
      </c>
      <c r="DA34" s="328">
        <f>DA33/DA19</f>
        <v>0.76523635112070176</v>
      </c>
      <c r="DB34" s="328">
        <f>DB33/DB19</f>
        <v>0.77178286549043895</v>
      </c>
      <c r="DC34" s="330">
        <f>DC33/DC19</f>
        <v>0.76762526402496367</v>
      </c>
      <c r="DD34" s="327"/>
      <c r="DE34" s="328">
        <f>DE33/DE19</f>
        <v>0.76646439448937476</v>
      </c>
      <c r="DF34" s="328">
        <f>DF33/DF19</f>
        <v>0.77468143749445451</v>
      </c>
      <c r="DG34" s="328">
        <f>DG33/DG19</f>
        <v>0.76906102472852189</v>
      </c>
      <c r="DH34" s="328">
        <f>DH33/DH19</f>
        <v>0.77636393723768249</v>
      </c>
      <c r="DI34" s="330">
        <f>DI33/DI19</f>
        <v>0.77179264561115057</v>
      </c>
      <c r="DJ34" s="327"/>
      <c r="DK34" s="328">
        <f>DK33/DK19</f>
        <v>0.77073931272965002</v>
      </c>
      <c r="DL34" s="328">
        <f>DL33/DL19</f>
        <v>0.77865709587930443</v>
      </c>
      <c r="DM34" s="328">
        <f>DM33/DM19</f>
        <v>0.77273717918584572</v>
      </c>
      <c r="DN34" s="328">
        <f>DN33/DN19</f>
        <v>0.78083187246713337</v>
      </c>
      <c r="DO34" s="330">
        <f>DO33/DO19</f>
        <v>0.77588879405812317</v>
      </c>
      <c r="DP34" s="921"/>
      <c r="DQ34"/>
      <c r="DR34"/>
      <c r="DS34"/>
      <c r="DT34"/>
      <c r="DU34"/>
      <c r="DV34"/>
    </row>
    <row r="35" spans="1:132" ht="10.5" customHeight="1">
      <c r="A35" s="1717"/>
      <c r="B35" s="1718"/>
      <c r="C35" s="1725"/>
      <c r="D35" s="675"/>
      <c r="E35" s="675"/>
      <c r="F35" s="516"/>
      <c r="G35" s="510"/>
      <c r="H35" s="510"/>
      <c r="I35" s="510"/>
      <c r="J35" s="510"/>
      <c r="K35" s="510"/>
      <c r="L35" s="516"/>
      <c r="M35" s="510"/>
      <c r="N35" s="510"/>
      <c r="O35" s="510"/>
      <c r="P35" s="510"/>
      <c r="Q35" s="510"/>
      <c r="R35" s="516"/>
      <c r="S35" s="510"/>
      <c r="T35" s="510"/>
      <c r="U35" s="510"/>
      <c r="V35" s="510"/>
      <c r="W35" s="510"/>
      <c r="X35" s="516"/>
      <c r="Y35" s="510"/>
      <c r="Z35" s="510"/>
      <c r="AA35" s="510"/>
      <c r="AB35" s="510"/>
      <c r="AC35" s="510"/>
      <c r="AD35" s="516"/>
      <c r="AE35" s="510"/>
      <c r="AF35" s="510"/>
      <c r="AG35" s="510"/>
      <c r="AH35" s="510"/>
      <c r="AI35" s="265"/>
      <c r="AJ35" s="516"/>
      <c r="AK35" s="510"/>
      <c r="AL35" s="510"/>
      <c r="AM35" s="1499"/>
      <c r="AN35" s="1499"/>
      <c r="AO35" s="265"/>
      <c r="AP35" s="516"/>
      <c r="AQ35" s="510"/>
      <c r="AR35" s="510"/>
      <c r="AS35" s="510"/>
      <c r="AT35" s="510"/>
      <c r="AU35" s="265"/>
      <c r="AV35" s="516"/>
      <c r="AW35" s="510"/>
      <c r="AX35" s="510"/>
      <c r="AY35" s="510"/>
      <c r="AZ35" s="510"/>
      <c r="BA35" s="265"/>
      <c r="BB35" s="516"/>
      <c r="BC35" s="510"/>
      <c r="BD35" s="510"/>
      <c r="BE35" s="510"/>
      <c r="BF35" s="510"/>
      <c r="BG35" s="265"/>
      <c r="BH35" s="516"/>
      <c r="BI35" s="510"/>
      <c r="BJ35" s="510"/>
      <c r="BK35" s="510"/>
      <c r="BL35" s="510"/>
      <c r="BM35" s="265"/>
      <c r="BN35" s="516"/>
      <c r="BO35" s="510"/>
      <c r="BP35" s="510"/>
      <c r="BQ35" s="510"/>
      <c r="BR35" s="510"/>
      <c r="BS35" s="265"/>
      <c r="BT35" s="516"/>
      <c r="BU35" s="510"/>
      <c r="BV35" s="510"/>
      <c r="BW35" s="510"/>
      <c r="BX35" s="510"/>
      <c r="BY35" s="265"/>
      <c r="BZ35" s="516"/>
      <c r="CA35" s="510"/>
      <c r="CB35" s="510"/>
      <c r="CC35" s="510"/>
      <c r="CD35" s="510"/>
      <c r="CE35" s="265"/>
      <c r="CF35" s="516"/>
      <c r="CG35" s="510"/>
      <c r="CH35" s="510"/>
      <c r="CI35" s="510"/>
      <c r="CJ35" s="510"/>
      <c r="CK35" s="265"/>
      <c r="CL35" s="516"/>
      <c r="CM35" s="510"/>
      <c r="CN35" s="510"/>
      <c r="CO35" s="510"/>
      <c r="CP35" s="510"/>
      <c r="CQ35" s="265"/>
      <c r="CR35" s="516"/>
      <c r="CS35" s="510"/>
      <c r="CT35" s="510"/>
      <c r="CU35" s="510"/>
      <c r="CV35" s="510"/>
      <c r="CW35" s="265"/>
      <c r="CX35" s="516"/>
      <c r="CY35" s="510"/>
      <c r="CZ35" s="510"/>
      <c r="DA35" s="510"/>
      <c r="DB35" s="510"/>
      <c r="DC35" s="265"/>
      <c r="DD35" s="516"/>
      <c r="DE35" s="510"/>
      <c r="DF35" s="510"/>
      <c r="DG35" s="510"/>
      <c r="DH35" s="510"/>
      <c r="DI35" s="265"/>
      <c r="DJ35" s="516"/>
      <c r="DK35" s="510"/>
      <c r="DL35" s="510"/>
      <c r="DM35" s="510"/>
      <c r="DN35" s="510"/>
      <c r="DO35" s="265"/>
      <c r="DP35" s="918"/>
    </row>
    <row r="36" spans="1:132">
      <c r="A36" s="1716" t="s">
        <v>699</v>
      </c>
      <c r="B36" s="499"/>
      <c r="C36" s="500"/>
      <c r="D36" s="500"/>
      <c r="E36" s="516"/>
      <c r="F36" s="500"/>
      <c r="G36" s="1724"/>
      <c r="H36" s="500"/>
      <c r="I36" s="500"/>
      <c r="J36" s="500"/>
      <c r="K36" s="500"/>
      <c r="L36" s="500"/>
      <c r="M36" s="500"/>
      <c r="N36" s="500"/>
      <c r="O36" s="500"/>
      <c r="P36" s="500"/>
      <c r="Q36" s="500"/>
      <c r="R36" s="500"/>
      <c r="S36" s="510"/>
      <c r="T36" s="510"/>
      <c r="U36" s="510"/>
      <c r="V36" s="510"/>
      <c r="W36" s="500"/>
      <c r="X36" s="500"/>
      <c r="Y36" s="510"/>
      <c r="Z36" s="510"/>
      <c r="AA36" s="510"/>
      <c r="AB36" s="510"/>
      <c r="AC36" s="500"/>
      <c r="AD36" s="500"/>
      <c r="AE36" s="510"/>
      <c r="AF36" s="510"/>
      <c r="AG36" s="510"/>
      <c r="AH36" s="510"/>
      <c r="AI36" s="262"/>
      <c r="AJ36" s="500"/>
      <c r="AK36" s="510"/>
      <c r="AL36" s="510"/>
      <c r="AM36" s="510"/>
      <c r="AN36" s="510"/>
      <c r="AO36" s="262"/>
      <c r="AP36" s="500"/>
      <c r="AQ36" s="510"/>
      <c r="AR36" s="510"/>
      <c r="AS36" s="510"/>
      <c r="AT36" s="510"/>
      <c r="AU36" s="262"/>
      <c r="AV36" s="500"/>
      <c r="AW36" s="510"/>
      <c r="AX36" s="514"/>
      <c r="AY36" s="510"/>
      <c r="AZ36" s="510"/>
      <c r="BA36" s="262"/>
      <c r="BB36" s="500"/>
      <c r="BC36" s="514"/>
      <c r="BD36" s="510"/>
      <c r="BE36" s="651"/>
      <c r="BF36" s="510"/>
      <c r="BG36" s="262"/>
      <c r="BH36" s="500"/>
      <c r="BI36" s="510"/>
      <c r="BJ36" s="510"/>
      <c r="BK36" s="510"/>
      <c r="BL36" s="510"/>
      <c r="BM36" s="262"/>
      <c r="BN36" s="500"/>
      <c r="BO36" s="510"/>
      <c r="BP36" s="510"/>
      <c r="BQ36" s="510"/>
      <c r="BR36" s="510"/>
      <c r="BS36" s="262"/>
      <c r="BT36" s="500"/>
      <c r="BU36" s="510"/>
      <c r="BV36" s="510"/>
      <c r="BW36" s="510"/>
      <c r="BX36" s="510"/>
      <c r="BY36" s="262"/>
      <c r="BZ36" s="500"/>
      <c r="CA36" s="510"/>
      <c r="CB36" s="510"/>
      <c r="CC36" s="510"/>
      <c r="CD36" s="510"/>
      <c r="CE36" s="262"/>
      <c r="CF36" s="500"/>
      <c r="CG36" s="510"/>
      <c r="CH36" s="510"/>
      <c r="CI36" s="510"/>
      <c r="CJ36" s="510"/>
      <c r="CK36" s="262"/>
      <c r="CL36" s="500"/>
      <c r="CM36" s="510"/>
      <c r="CN36" s="510"/>
      <c r="CO36" s="510"/>
      <c r="CP36" s="510"/>
      <c r="CQ36" s="262"/>
      <c r="CR36" s="500"/>
      <c r="CS36" s="2002"/>
      <c r="CT36" s="510"/>
      <c r="CU36" s="510"/>
      <c r="CV36" s="510"/>
      <c r="CW36" s="262"/>
      <c r="CX36" s="500"/>
      <c r="CY36" s="514"/>
      <c r="CZ36" s="514"/>
      <c r="DA36" s="514"/>
      <c r="DB36" s="514"/>
      <c r="DC36" s="262"/>
      <c r="DD36" s="500"/>
      <c r="DE36" s="514"/>
      <c r="DF36" s="514"/>
      <c r="DG36" s="514"/>
      <c r="DH36" s="514"/>
      <c r="DI36" s="262"/>
      <c r="DJ36" s="500"/>
      <c r="DK36" s="514"/>
      <c r="DL36" s="514"/>
      <c r="DM36" s="514"/>
      <c r="DN36" s="514"/>
      <c r="DO36" s="262"/>
      <c r="DP36" s="260"/>
      <c r="EB36" s="924"/>
    </row>
    <row r="37" spans="1:132" ht="10.5" customHeight="1">
      <c r="A37" s="1717" t="s">
        <v>92</v>
      </c>
      <c r="B37" s="1718" t="s">
        <v>936</v>
      </c>
      <c r="C37" s="510">
        <v>2.4990000000000001</v>
      </c>
      <c r="D37" s="510">
        <v>25.391999999999999</v>
      </c>
      <c r="E37" s="510">
        <v>24.605</v>
      </c>
      <c r="F37" s="516"/>
      <c r="G37" s="510">
        <v>5.9749999999999996</v>
      </c>
      <c r="H37" s="510">
        <v>7.4130000000000003</v>
      </c>
      <c r="I37" s="510">
        <v>10.039</v>
      </c>
      <c r="J37" s="510">
        <v>10.095000000000001</v>
      </c>
      <c r="K37" s="510">
        <f>SUM(G37:J37)</f>
        <v>33.521999999999998</v>
      </c>
      <c r="L37" s="516"/>
      <c r="M37" s="510">
        <v>10.656000000000001</v>
      </c>
      <c r="N37" s="510">
        <v>12.205</v>
      </c>
      <c r="O37" s="510">
        <v>14.597</v>
      </c>
      <c r="P37" s="510">
        <v>17.141999999999999</v>
      </c>
      <c r="Q37" s="510">
        <f>SUM(M37:P37)</f>
        <v>54.599999999999994</v>
      </c>
      <c r="R37" s="516"/>
      <c r="S37" s="510">
        <v>20.414999999999999</v>
      </c>
      <c r="T37" s="510">
        <v>22.524999999999999</v>
      </c>
      <c r="U37" s="510">
        <v>24.94</v>
      </c>
      <c r="V37" s="510">
        <v>28.431000000000001</v>
      </c>
      <c r="W37" s="510">
        <f>SUM(S37:V37)</f>
        <v>96.310999999999993</v>
      </c>
      <c r="X37" s="516"/>
      <c r="Y37" s="510">
        <v>34.502000000000002</v>
      </c>
      <c r="Z37" s="510">
        <v>34.688000000000002</v>
      </c>
      <c r="AA37" s="510">
        <v>37.905000000000001</v>
      </c>
      <c r="AB37" s="510">
        <v>42.503</v>
      </c>
      <c r="AC37" s="510">
        <f>SUM(Y37:AB37)</f>
        <v>149.59800000000001</v>
      </c>
      <c r="AD37" s="516"/>
      <c r="AE37" s="510">
        <f>52.016-3.482-0.01</f>
        <v>48.524000000000001</v>
      </c>
      <c r="AF37" s="510">
        <v>55.034999999999997</v>
      </c>
      <c r="AG37" s="510">
        <f>66.526-4.826</f>
        <v>61.699999999999996</v>
      </c>
      <c r="AH37" s="510">
        <f>74.582-5.366</f>
        <v>69.215999999999994</v>
      </c>
      <c r="AI37" s="265">
        <f>SUM(AE37:AH37)</f>
        <v>234.47499999999997</v>
      </c>
      <c r="AJ37" s="516"/>
      <c r="AK37" s="510">
        <f>83.925-5.619</f>
        <v>78.305999999999997</v>
      </c>
      <c r="AL37" s="510">
        <f>90.216-6.265</f>
        <v>83.950999999999993</v>
      </c>
      <c r="AM37" s="510">
        <f>96.216-6.313</f>
        <v>89.902999999999992</v>
      </c>
      <c r="AN37" s="510">
        <f>106.123-7.226</f>
        <v>98.897000000000006</v>
      </c>
      <c r="AO37" s="265">
        <f>SUM(AK37:AN37)</f>
        <v>351.05700000000002</v>
      </c>
      <c r="AP37" s="516"/>
      <c r="AQ37" s="510">
        <f>122.704-8.121</f>
        <v>114.583</v>
      </c>
      <c r="AR37" s="510">
        <f>130.774-8.749</f>
        <v>122.02500000000001</v>
      </c>
      <c r="AS37" s="510">
        <f>136.452-9.235</f>
        <v>127.217</v>
      </c>
      <c r="AT37" s="510">
        <f>144.483-9.923</f>
        <v>134.56</v>
      </c>
      <c r="AU37" s="265">
        <f>SUM(AQ37:AT37)</f>
        <v>498.38499999999999</v>
      </c>
      <c r="AV37" s="516"/>
      <c r="AW37" s="510">
        <f>138.267-9.942</f>
        <v>128.32499999999999</v>
      </c>
      <c r="AX37" s="510">
        <f>146.214-9.317</f>
        <v>136.89699999999999</v>
      </c>
      <c r="AY37" s="510">
        <f>152.166-9.055</f>
        <v>143.11099999999999</v>
      </c>
      <c r="AZ37" s="510">
        <f>168.552-11.408</f>
        <v>157.14400000000001</v>
      </c>
      <c r="BA37" s="265">
        <f>SUM(AW37:AZ37)</f>
        <v>565.47699999999998</v>
      </c>
      <c r="BB37" s="516"/>
      <c r="BC37" s="510">
        <f>175.867-12.21</f>
        <v>163.65699999999998</v>
      </c>
      <c r="BD37" s="510">
        <f>182.401-1.225-12.317</f>
        <v>168.85900000000001</v>
      </c>
      <c r="BE37" s="510">
        <f>200.544-11.969-1.013</f>
        <v>187.56200000000001</v>
      </c>
      <c r="BF37" s="510">
        <f>233.217-19.955-1.146</f>
        <v>212.11600000000001</v>
      </c>
      <c r="BG37" s="265">
        <f>SUM(BC37:BF37)</f>
        <v>732.19399999999996</v>
      </c>
      <c r="BH37" s="516"/>
      <c r="BI37" s="510">
        <f>254.471-23.787-1.24</f>
        <v>229.44399999999999</v>
      </c>
      <c r="BJ37" s="510">
        <f>283.001-27.114-2.306</f>
        <v>253.58099999999996</v>
      </c>
      <c r="BK37" s="510">
        <f>304.571-29.123-0.953</f>
        <v>274.49500000000006</v>
      </c>
      <c r="BL37" s="510">
        <f>327.567-35.706-2.751</f>
        <v>289.11</v>
      </c>
      <c r="BM37" s="265">
        <f>SUM(BI37:BL37)</f>
        <v>1046.6300000000001</v>
      </c>
      <c r="BN37" s="516"/>
      <c r="BO37" s="510">
        <f>369.789-3.427-41.987</f>
        <v>324.37499999999994</v>
      </c>
      <c r="BP37" s="510">
        <f>380.16-44.781-2.407</f>
        <v>332.97200000000004</v>
      </c>
      <c r="BQ37" s="510">
        <f>428.507-2.995-55.304</f>
        <v>370.20799999999997</v>
      </c>
      <c r="BR37" s="510">
        <f>435.57-2.093-57.212</f>
        <v>376.26499999999999</v>
      </c>
      <c r="BS37" s="265">
        <f>SUM(BO37:BR37)</f>
        <v>1403.8199999999997</v>
      </c>
      <c r="BT37" s="516"/>
      <c r="BU37" s="510">
        <f>466.49-2.46-59.802</f>
        <v>404.22800000000001</v>
      </c>
      <c r="BV37" s="510">
        <f>480.621-4.476-56.133</f>
        <v>420.012</v>
      </c>
      <c r="BW37" s="510">
        <f>581.229-15.211-73.296</f>
        <v>492.72200000000004</v>
      </c>
      <c r="BX37" s="510">
        <f>639.792-15.032-69.34</f>
        <v>555.41999999999996</v>
      </c>
      <c r="BY37" s="265">
        <f>SUM(BU37:BX37)</f>
        <v>1872.3820000000001</v>
      </c>
      <c r="BZ37" s="516"/>
      <c r="CA37" s="510">
        <f>639.355-14.965-67.133</f>
        <v>557.25699999999995</v>
      </c>
      <c r="CB37" s="510">
        <f>671.958-14.648-70.485</f>
        <v>586.82499999999993</v>
      </c>
      <c r="CC37" s="510">
        <f>709.643-72.892-15.095</f>
        <v>621.65599999999995</v>
      </c>
      <c r="CD37" s="510">
        <f>736.14-19.965-75.9</f>
        <v>640.27499999999998</v>
      </c>
      <c r="CE37" s="265">
        <f>SUM(CA37:CD37)</f>
        <v>2406.0129999999999</v>
      </c>
      <c r="CF37" s="516"/>
      <c r="CG37" s="510">
        <f>736.938-20.027-70.534</f>
        <v>646.37699999999995</v>
      </c>
      <c r="CH37" s="510">
        <f>793.691-19.002-71.724</f>
        <v>702.96500000000003</v>
      </c>
      <c r="CI37" s="510">
        <f>818.82-18.966-69.561</f>
        <v>730.29300000000001</v>
      </c>
      <c r="CJ37" s="510">
        <f>890.375-19.157-77.333</f>
        <v>793.88499999999999</v>
      </c>
      <c r="CK37" s="265">
        <f>SUM(CG37:CJ37)</f>
        <v>2873.5200000000004</v>
      </c>
      <c r="CL37" s="516"/>
      <c r="CM37" s="510">
        <f>895.86-15.386-95.474</f>
        <v>785</v>
      </c>
      <c r="CN37" s="510">
        <f>934.931-23.151-86.323</f>
        <v>825.45700000000011</v>
      </c>
      <c r="CO37" s="510">
        <f>997.993-93.718-28.064</f>
        <v>876.21100000000013</v>
      </c>
      <c r="CP37" s="510">
        <f>1089.243-31-113.422</f>
        <v>944.82099999999991</v>
      </c>
      <c r="CQ37" s="265">
        <f>SUM(CM37:CP37)</f>
        <v>3431.489</v>
      </c>
      <c r="CR37" s="516"/>
      <c r="CS37" s="510">
        <f>1109.504-30.644-118.996</f>
        <v>959.86399999999992</v>
      </c>
      <c r="CT37" s="510">
        <f>1170.749-30.563-120.55</f>
        <v>1019.636</v>
      </c>
      <c r="CU37" s="510">
        <f>1184.733-30.067-116.992</f>
        <v>1037.674</v>
      </c>
      <c r="CV37" s="510">
        <f>1364.305-30.066-112.015</f>
        <v>1222.2239999999999</v>
      </c>
      <c r="CW37" s="265">
        <f>SUM(CS37:CV37)</f>
        <v>4239.3980000000001</v>
      </c>
      <c r="CX37" s="516"/>
      <c r="CY37" s="510">
        <f>CY$19*CY38</f>
        <v>1165.9117629296991</v>
      </c>
      <c r="CZ37" s="510">
        <f>CZ$19*CZ38</f>
        <v>1204.630129207517</v>
      </c>
      <c r="DA37" s="510">
        <f>DA$19*DA38</f>
        <v>1210.0655159064277</v>
      </c>
      <c r="DB37" s="510">
        <f>DB$19*DB38</f>
        <v>1344.7919902668075</v>
      </c>
      <c r="DC37" s="265">
        <f>SUM(CY37:DB37)</f>
        <v>4925.399398310451</v>
      </c>
      <c r="DD37" s="516"/>
      <c r="DE37" s="510">
        <f>DE$19*DE38</f>
        <v>1366.1221059958198</v>
      </c>
      <c r="DF37" s="510">
        <f>DF$19*DF38</f>
        <v>1411.6706787612427</v>
      </c>
      <c r="DG37" s="510">
        <f>DG$19*DG38</f>
        <v>1416.8540543130694</v>
      </c>
      <c r="DH37" s="510">
        <f>DH$19*DH38</f>
        <v>1534.7432648431616</v>
      </c>
      <c r="DI37" s="265">
        <f>SUM(DE37:DH37)</f>
        <v>5729.3901039132934</v>
      </c>
      <c r="DJ37" s="516"/>
      <c r="DK37" s="510">
        <f>DK$19*DK38</f>
        <v>1571.5982372189264</v>
      </c>
      <c r="DL37" s="510">
        <f>DL$19*DL38</f>
        <v>1618.6365431481609</v>
      </c>
      <c r="DM37" s="510">
        <f>DM$19*DM38</f>
        <v>1625.2308844058318</v>
      </c>
      <c r="DN37" s="510">
        <f>DN$19*DN38</f>
        <v>1766.3667728527953</v>
      </c>
      <c r="DO37" s="265">
        <f>SUM(DK37:DN37)</f>
        <v>6581.8324376257142</v>
      </c>
      <c r="DP37" s="918"/>
    </row>
    <row r="38" spans="1:132" ht="10.5" hidden="1" customHeight="1" outlineLevel="1">
      <c r="A38" s="1717" t="s">
        <v>323</v>
      </c>
      <c r="B38" s="1718"/>
      <c r="C38" s="510"/>
      <c r="D38" s="514">
        <f>D37/D$19</f>
        <v>4.6719411223551051</v>
      </c>
      <c r="E38" s="514">
        <f>E37/E$19</f>
        <v>1.0979963407559461</v>
      </c>
      <c r="F38" s="516"/>
      <c r="G38" s="651">
        <f>G37/G$19</f>
        <v>0.63896909421452242</v>
      </c>
      <c r="H38" s="651">
        <f>H37/H$19</f>
        <v>0.62383236556425148</v>
      </c>
      <c r="I38" s="651">
        <f>I37/I$19</f>
        <v>0.70742019589880911</v>
      </c>
      <c r="J38" s="651">
        <f>J37/J$19</f>
        <v>0.6485288449184119</v>
      </c>
      <c r="K38" s="651">
        <f>K37/K$19</f>
        <v>0.65741013119962344</v>
      </c>
      <c r="L38" s="516"/>
      <c r="M38" s="651">
        <f>M37/M$19</f>
        <v>0.56342198487812623</v>
      </c>
      <c r="N38" s="651">
        <f>N37/N$19</f>
        <v>0.56444526661425343</v>
      </c>
      <c r="O38" s="651">
        <f>O37/O$19</f>
        <v>0.57391680427773839</v>
      </c>
      <c r="P38" s="651">
        <f>P37/P$19</f>
        <v>0.57039230692443343</v>
      </c>
      <c r="Q38" s="651">
        <f>Q37/Q$19</f>
        <v>0.56861376961769572</v>
      </c>
      <c r="R38" s="516"/>
      <c r="S38" s="651">
        <f>S37/S$19</f>
        <v>0.5859812279342117</v>
      </c>
      <c r="T38" s="651">
        <f>T37/T$19</f>
        <v>0.55506271407801677</v>
      </c>
      <c r="U38" s="651">
        <f>U37/U$19</f>
        <v>0.53795215806388985</v>
      </c>
      <c r="V38" s="651">
        <f>V37/V$19</f>
        <v>0.52077151335311578</v>
      </c>
      <c r="W38" s="651">
        <f>W37/W$19</f>
        <v>0.54605811481218991</v>
      </c>
      <c r="X38" s="516"/>
      <c r="Y38" s="651">
        <f>Y37/Y$19</f>
        <v>0.53760693083191813</v>
      </c>
      <c r="Z38" s="651">
        <f>Z37/Z$19</f>
        <v>0.48215948737194719</v>
      </c>
      <c r="AA38" s="651">
        <f>AA37/AA$19</f>
        <v>0.45849309931900378</v>
      </c>
      <c r="AB38" s="651">
        <f>AB37/AB$19</f>
        <v>0.46673767899499258</v>
      </c>
      <c r="AC38" s="651">
        <f>AC37/AC$19</f>
        <v>0.4827969030875533</v>
      </c>
      <c r="AD38" s="516"/>
      <c r="AE38" s="651">
        <f>AE37/AE$19</f>
        <v>0.46351947729400306</v>
      </c>
      <c r="AF38" s="651">
        <f>AF37/AF$19</f>
        <v>0.46585743670484264</v>
      </c>
      <c r="AG38" s="651">
        <f>AG37/AG$19</f>
        <v>0.4744219664290712</v>
      </c>
      <c r="AH38" s="651">
        <f>AH37/AH$19</f>
        <v>0.47992677954819646</v>
      </c>
      <c r="AI38" s="281">
        <f>AI37/AI$19</f>
        <v>0.47168767526725108</v>
      </c>
      <c r="AJ38" s="516"/>
      <c r="AK38" s="651">
        <f>AK37/AK$19</f>
        <v>0.48214417653867936</v>
      </c>
      <c r="AL38" s="651">
        <f>AL37/AL$19</f>
        <v>0.47543026067652439</v>
      </c>
      <c r="AM38" s="651">
        <f>AM37/AM$19</f>
        <v>0.46629461159836721</v>
      </c>
      <c r="AN38" s="651">
        <f>AN37/AN$19</f>
        <v>0.45594404949609507</v>
      </c>
      <c r="AO38" s="281">
        <f>AO37/AO$19</f>
        <v>0.46888874048350482</v>
      </c>
      <c r="AP38" s="516"/>
      <c r="AQ38" s="651">
        <f>AQ37/AQ$19</f>
        <v>0.46273352125416961</v>
      </c>
      <c r="AR38" s="651">
        <f>AR37/AR$19</f>
        <v>0.4638375836732212</v>
      </c>
      <c r="AS38" s="651">
        <f>AS37/AS$19</f>
        <v>0.46011928228090293</v>
      </c>
      <c r="AT38" s="651">
        <f>AT37/AT$19</f>
        <v>0.46466816076910589</v>
      </c>
      <c r="AU38" s="281">
        <f>AU37/AU$19</f>
        <v>0.46285229236725794</v>
      </c>
      <c r="AV38" s="516"/>
      <c r="AW38" s="651">
        <f>AW37/AW$19</f>
        <v>0.42084257060775798</v>
      </c>
      <c r="AX38" s="651">
        <f>AX37/AX$19</f>
        <v>0.43313474297683041</v>
      </c>
      <c r="AY38" s="651">
        <f>AY37/AY$19</f>
        <v>0.43294942656005614</v>
      </c>
      <c r="AZ38" s="651">
        <f>AZ37/AZ$19</f>
        <v>0.44384816790896181</v>
      </c>
      <c r="BA38" s="281">
        <f>BA37/BA$19</f>
        <v>0.43312221436706816</v>
      </c>
      <c r="BB38" s="516"/>
      <c r="BC38" s="651">
        <f>BC37/BC$19</f>
        <v>0.43431887965648741</v>
      </c>
      <c r="BD38" s="651">
        <f>BD37/BD$19</f>
        <v>0.42817187832807602</v>
      </c>
      <c r="BE38" s="651">
        <f>BE37/BE$19</f>
        <v>0.43711881273494657</v>
      </c>
      <c r="BF38" s="651">
        <f>BF37/BF$19</f>
        <v>0.46428391632575788</v>
      </c>
      <c r="BG38" s="281">
        <f>BG37/BG$19</f>
        <v>0.44184223532244427</v>
      </c>
      <c r="BH38" s="516"/>
      <c r="BI38" s="651">
        <f>BI37/BI$19</f>
        <v>0.45491748023253042</v>
      </c>
      <c r="BJ38" s="651">
        <f>BJ37/BJ$19</f>
        <v>0.4644323647166127</v>
      </c>
      <c r="BK38" s="651">
        <f>BK37/BK$19</f>
        <v>0.46981652004244695</v>
      </c>
      <c r="BL38" s="651">
        <f>BL37/BL$19</f>
        <v>0.45751551242022243</v>
      </c>
      <c r="BM38" s="281">
        <f>BM37/BM$19</f>
        <v>0.46177453818354769</v>
      </c>
      <c r="BN38" s="516"/>
      <c r="BO38" s="651">
        <f>BO37/BO$19</f>
        <v>0.46641321586789874</v>
      </c>
      <c r="BP38" s="651">
        <f>BP37/BP$19</f>
        <v>0.45509800464430356</v>
      </c>
      <c r="BQ38" s="651">
        <f>BQ37/BQ$19</f>
        <v>0.46956993802622526</v>
      </c>
      <c r="BR38" s="651">
        <f>BR37/BR$19</f>
        <v>0.45078898405498624</v>
      </c>
      <c r="BS38" s="281">
        <f>BS37/BS$19</f>
        <v>0.46023942731530265</v>
      </c>
      <c r="BT38" s="516"/>
      <c r="BU38" s="651">
        <f>BU37/BU$19</f>
        <v>0.45284904322381092</v>
      </c>
      <c r="BV38" s="651">
        <f>BV37/BV$19</f>
        <v>0.43884090799858738</v>
      </c>
      <c r="BW38" s="651">
        <f>BW37/BW$19</f>
        <v>0.45790560521321816</v>
      </c>
      <c r="BX38" s="651">
        <f>BX37/BX$19</f>
        <v>0.48498046701046588</v>
      </c>
      <c r="BY38" s="281">
        <f>BY37/BY$19</f>
        <v>0.45993137317756821</v>
      </c>
      <c r="BZ38" s="516"/>
      <c r="CA38" s="651">
        <f>CA37/CA$19</f>
        <v>0.45424659186874167</v>
      </c>
      <c r="CB38" s="651">
        <f>CB37/CB$19</f>
        <v>0.44505294069019702</v>
      </c>
      <c r="CC38" s="651">
        <f>CC37/CC$19</f>
        <v>0.44928540712822196</v>
      </c>
      <c r="CD38" s="651">
        <f>CD37/CD$19</f>
        <v>0.44321712187666135</v>
      </c>
      <c r="CE38" s="281">
        <f>CE37/CE$19</f>
        <v>0.44774811457376879</v>
      </c>
      <c r="CF38" s="516"/>
      <c r="CG38" s="651">
        <f>CG37/CG$19</f>
        <v>0.4277336654386974</v>
      </c>
      <c r="CH38" s="651">
        <f>CH37/CH$19</f>
        <v>0.43003112528170584</v>
      </c>
      <c r="CI38" s="651">
        <f>CI37/CI$19</f>
        <v>0.42658123667103393</v>
      </c>
      <c r="CJ38" s="651">
        <f>CJ37/CJ$19</f>
        <v>0.43875642617047211</v>
      </c>
      <c r="CK38" s="281">
        <f>CK37/CK$19</f>
        <v>0.43099248621913561</v>
      </c>
      <c r="CL38" s="516"/>
      <c r="CM38" s="651">
        <f>CM37/CM$19</f>
        <v>0.40957882253132233</v>
      </c>
      <c r="CN38" s="651">
        <f>CN37/CN$19</f>
        <v>0.40530772093735795</v>
      </c>
      <c r="CO38" s="651">
        <f>CO37/CO$19</f>
        <v>0.40853282978401001</v>
      </c>
      <c r="CP38" s="651">
        <f>CP37/CP$19</f>
        <v>0.41186832712289689</v>
      </c>
      <c r="CQ38" s="281">
        <f>CQ37/CQ$19</f>
        <v>0.40890080343337165</v>
      </c>
      <c r="CR38" s="516"/>
      <c r="CS38" s="651">
        <f>CS37/CS$19</f>
        <v>0.40202397491350028</v>
      </c>
      <c r="CT38" s="651">
        <f>CT37/CT$19</f>
        <v>0.39804824271184797</v>
      </c>
      <c r="CU38" s="651">
        <f>CU37/CU$19</f>
        <v>0.38721476386099024</v>
      </c>
      <c r="CV38" s="651">
        <f>CV37/CV$19</f>
        <v>0.42869965412172484</v>
      </c>
      <c r="CW38" s="281">
        <f>CW37/CW$19</f>
        <v>0.40452224673025189</v>
      </c>
      <c r="CX38" s="516"/>
      <c r="CY38" s="1735">
        <v>0.39600000000000002</v>
      </c>
      <c r="CZ38" s="1735">
        <v>0.38650000000000001</v>
      </c>
      <c r="DA38" s="1735">
        <v>0.374</v>
      </c>
      <c r="DB38" s="1735">
        <v>0.39400000000000002</v>
      </c>
      <c r="DC38" s="281">
        <f>DC37/DC$19</f>
        <v>0.3875327261028102</v>
      </c>
      <c r="DD38" s="516"/>
      <c r="DE38" s="1735">
        <f>CY38-0.01</f>
        <v>0.38600000000000001</v>
      </c>
      <c r="DF38" s="1735">
        <f t="shared" ref="DF38:DG38" si="1">CZ38-0.01</f>
        <v>0.3765</v>
      </c>
      <c r="DG38" s="1735">
        <f t="shared" si="1"/>
        <v>0.36399999999999999</v>
      </c>
      <c r="DH38" s="1735">
        <f>DB38-0.018</f>
        <v>0.376</v>
      </c>
      <c r="DI38" s="281">
        <f>DI37/DI$19</f>
        <v>0.37538130959728061</v>
      </c>
      <c r="DJ38" s="516"/>
      <c r="DK38" s="1735">
        <f>DE38-0.015</f>
        <v>0.371</v>
      </c>
      <c r="DL38" s="1735">
        <f>DF38-0.015</f>
        <v>0.36149999999999999</v>
      </c>
      <c r="DM38" s="1735">
        <f>DG38-0.014</f>
        <v>0.35</v>
      </c>
      <c r="DN38" s="1735">
        <f>DH38-0.013</f>
        <v>0.36299999999999999</v>
      </c>
      <c r="DO38" s="281">
        <f>DO37/DO$19</f>
        <v>0.36117852396818978</v>
      </c>
      <c r="DP38" s="918"/>
    </row>
    <row r="39" spans="1:132" ht="10.5" hidden="1" customHeight="1" outlineLevel="1">
      <c r="A39" s="1736" t="s">
        <v>873</v>
      </c>
      <c r="B39" s="1737"/>
      <c r="C39" s="1738"/>
      <c r="D39" s="1739">
        <f>D37/C37-1</f>
        <v>9.160864345738295</v>
      </c>
      <c r="E39" s="1739">
        <f>E37/D37-1</f>
        <v>-3.0994013862633896E-2</v>
      </c>
      <c r="F39" s="1740"/>
      <c r="G39" s="1738"/>
      <c r="H39" s="1738"/>
      <c r="I39" s="1738"/>
      <c r="J39" s="1738"/>
      <c r="K39" s="1738"/>
      <c r="L39" s="1740"/>
      <c r="M39" s="1741">
        <f>M37/G37-1</f>
        <v>0.78343096234309639</v>
      </c>
      <c r="N39" s="1741">
        <f>N37/H37-1</f>
        <v>0.64643194388236869</v>
      </c>
      <c r="O39" s="1741">
        <f>O37/I37-1</f>
        <v>0.45402928578543689</v>
      </c>
      <c r="P39" s="1741">
        <f>P37/J37-1</f>
        <v>0.69806835066864759</v>
      </c>
      <c r="Q39" s="1741">
        <f>Q37/K37-1</f>
        <v>0.62878109897977441</v>
      </c>
      <c r="R39" s="1740"/>
      <c r="S39" s="1741">
        <f>S37/M37-1</f>
        <v>0.91582207207207178</v>
      </c>
      <c r="T39" s="1741">
        <f>T37/N37-1</f>
        <v>0.84555510036870118</v>
      </c>
      <c r="U39" s="1741">
        <f>U37/O37-1</f>
        <v>0.70857025416181418</v>
      </c>
      <c r="V39" s="1741">
        <f>V37/P37-1</f>
        <v>0.65855792789639489</v>
      </c>
      <c r="W39" s="1741">
        <f>W37/Q37-1</f>
        <v>0.76393772893772893</v>
      </c>
      <c r="X39" s="1740"/>
      <c r="Y39" s="1741">
        <f>Y37/S37-1</f>
        <v>0.69003183933382339</v>
      </c>
      <c r="Z39" s="1741">
        <f>Z37/T37-1</f>
        <v>0.53997780244173166</v>
      </c>
      <c r="AA39" s="1741">
        <f>AA37/U37-1</f>
        <v>0.51984763432237369</v>
      </c>
      <c r="AB39" s="1741">
        <f>AB37/V37-1</f>
        <v>0.49495269248355656</v>
      </c>
      <c r="AC39" s="1741">
        <f>AC37/W37-1</f>
        <v>0.55328051832085667</v>
      </c>
      <c r="AD39" s="1740"/>
      <c r="AE39" s="1741">
        <f>AE37/Y37-1</f>
        <v>0.4064112225378238</v>
      </c>
      <c r="AF39" s="1741">
        <f>AF37/Z37-1</f>
        <v>0.58657172509225064</v>
      </c>
      <c r="AG39" s="1741">
        <f>AG37/AA37-1</f>
        <v>0.62775359451259716</v>
      </c>
      <c r="AH39" s="1741">
        <f>AH37/AB37-1</f>
        <v>0.62849681198974183</v>
      </c>
      <c r="AI39" s="381">
        <f>AI37/AC37-1</f>
        <v>0.56736721079158769</v>
      </c>
      <c r="AJ39" s="1740"/>
      <c r="AK39" s="1741">
        <f>AK37/AE37-1</f>
        <v>0.61375814030170628</v>
      </c>
      <c r="AL39" s="1741">
        <f>AL37/AF37-1</f>
        <v>0.52541110202598351</v>
      </c>
      <c r="AM39" s="1741">
        <f>AM37/AG37-1</f>
        <v>0.45709886547811984</v>
      </c>
      <c r="AN39" s="1741">
        <f>AN37/AH37-1</f>
        <v>0.42881703652334746</v>
      </c>
      <c r="AO39" s="381">
        <f>AO37/AI37-1</f>
        <v>0.4972043927924088</v>
      </c>
      <c r="AP39" s="1740"/>
      <c r="AQ39" s="1741">
        <f>AQ37/AK37-1</f>
        <v>0.46327229075677478</v>
      </c>
      <c r="AR39" s="1741">
        <f>AR37/AL37-1</f>
        <v>0.45352646186465928</v>
      </c>
      <c r="AS39" s="1741">
        <f>AS37/AM37-1</f>
        <v>0.41504732878769346</v>
      </c>
      <c r="AT39" s="1741">
        <f>AT37/AN37-1</f>
        <v>0.36060750073308578</v>
      </c>
      <c r="AU39" s="381">
        <f>AU37/AO37-1</f>
        <v>0.41966974024161319</v>
      </c>
      <c r="AV39" s="1740"/>
      <c r="AW39" s="1741">
        <f>AW37/AQ37-1</f>
        <v>0.11993053070699844</v>
      </c>
      <c r="AX39" s="1741">
        <f>AX37/AR37-1</f>
        <v>0.12187666461790614</v>
      </c>
      <c r="AY39" s="1741">
        <f>AY37/AS37-1</f>
        <v>0.12493613274955395</v>
      </c>
      <c r="AZ39" s="1741">
        <f>AZ37/AT37-1</f>
        <v>0.16783590963139128</v>
      </c>
      <c r="BA39" s="381">
        <f>BA37/AU37-1</f>
        <v>0.13461881878467441</v>
      </c>
      <c r="BB39" s="1740"/>
      <c r="BC39" s="1741">
        <f>BC37/AW37-1</f>
        <v>0.27533216442626141</v>
      </c>
      <c r="BD39" s="1741">
        <f>BD37/AX37-1</f>
        <v>0.23347480222356976</v>
      </c>
      <c r="BE39" s="1741">
        <f>BE37/AY37-1</f>
        <v>0.31060505481758938</v>
      </c>
      <c r="BF39" s="1741">
        <f>BF37/AZ37-1</f>
        <v>0.34981927404164348</v>
      </c>
      <c r="BG39" s="381">
        <f>BG37/BA37-1</f>
        <v>0.29482543056569943</v>
      </c>
      <c r="BH39" s="1740"/>
      <c r="BI39" s="1741">
        <f>BI37/BC37-1</f>
        <v>0.40198097239959196</v>
      </c>
      <c r="BJ39" s="1741">
        <f>BJ37/BD37-1</f>
        <v>0.50173221445110983</v>
      </c>
      <c r="BK39" s="1741">
        <f>BK37/BE37-1</f>
        <v>0.46348940616969347</v>
      </c>
      <c r="BL39" s="1741">
        <f>BL37/BF37-1</f>
        <v>0.36298063323841667</v>
      </c>
      <c r="BM39" s="381">
        <f>BM37/BG37-1</f>
        <v>0.42944356277161533</v>
      </c>
      <c r="BN39" s="1740"/>
      <c r="BO39" s="1741">
        <f>BO37/BI37-1</f>
        <v>0.41374365858335782</v>
      </c>
      <c r="BP39" s="1741">
        <f>BP37/BJ37-1</f>
        <v>0.31307944995879056</v>
      </c>
      <c r="BQ39" s="1741">
        <f>BQ37/BK37-1</f>
        <v>0.34868758993788562</v>
      </c>
      <c r="BR39" s="1741">
        <f>BR37/BL37-1</f>
        <v>0.30145965203555725</v>
      </c>
      <c r="BS39" s="381">
        <f>BS37/BM37-1</f>
        <v>0.34127628674889854</v>
      </c>
      <c r="BT39" s="1740"/>
      <c r="BU39" s="1741">
        <f>BU37/BO37-1</f>
        <v>0.24617495183044347</v>
      </c>
      <c r="BV39" s="1741">
        <f>BV37/BP37-1</f>
        <v>0.26140336124358798</v>
      </c>
      <c r="BW39" s="1741">
        <f>BW37/BQ37-1</f>
        <v>0.33093288097501961</v>
      </c>
      <c r="BX39" s="1741">
        <f>BX37/BR37-1</f>
        <v>0.47614048609357762</v>
      </c>
      <c r="BY39" s="381">
        <f>BY37/BS37-1</f>
        <v>0.33377641008106473</v>
      </c>
      <c r="BZ39" s="1740"/>
      <c r="CA39" s="1741">
        <f>CA37/BU37-1</f>
        <v>0.37857100448261849</v>
      </c>
      <c r="CB39" s="1741">
        <f>CB37/BV37-1</f>
        <v>0.39716246202489436</v>
      </c>
      <c r="CC39" s="1741">
        <f>CC37/BW37-1</f>
        <v>0.26167696997495526</v>
      </c>
      <c r="CD39" s="1741">
        <f>CD37/BX37-1</f>
        <v>0.15277627741168853</v>
      </c>
      <c r="CE39" s="381">
        <f>CE37/BY37-1</f>
        <v>0.28500113758837675</v>
      </c>
      <c r="CF39" s="1740"/>
      <c r="CG39" s="1741">
        <f>CG37/CA37-1</f>
        <v>0.15992620998928686</v>
      </c>
      <c r="CH39" s="1741">
        <f>CH37/CB37-1</f>
        <v>0.19791249520725951</v>
      </c>
      <c r="CI39" s="1741">
        <f>CI37/CC37-1</f>
        <v>0.17475420489788585</v>
      </c>
      <c r="CJ39" s="1741">
        <f>CJ37/CD37-1</f>
        <v>0.23991253758150788</v>
      </c>
      <c r="CK39" s="381">
        <f>CK37/CE37-1</f>
        <v>0.19430776142938577</v>
      </c>
      <c r="CL39" s="1740"/>
      <c r="CM39" s="1741">
        <f>CM37/CG37-1</f>
        <v>0.21446152941704311</v>
      </c>
      <c r="CN39" s="1741">
        <f>CN37/CH37-1</f>
        <v>0.17425049611289345</v>
      </c>
      <c r="CO39" s="1741">
        <f>CO37/CI37-1</f>
        <v>0.19980747453419401</v>
      </c>
      <c r="CP39" s="1741">
        <f>CP37/CJ37-1</f>
        <v>0.1901232546275593</v>
      </c>
      <c r="CQ39" s="381">
        <f>CQ37/CK37-1</f>
        <v>0.1941761324090312</v>
      </c>
      <c r="CR39" s="1740"/>
      <c r="CS39" s="1741">
        <f>CS37/CM37-1</f>
        <v>0.22275668789808911</v>
      </c>
      <c r="CT39" s="1741">
        <f>CT37/CN37-1</f>
        <v>0.2352381771551999</v>
      </c>
      <c r="CU39" s="1741">
        <f>CU37/CO37-1</f>
        <v>0.18427410749237327</v>
      </c>
      <c r="CV39" s="1741">
        <f>CV37/CP37-1</f>
        <v>0.29360376198242855</v>
      </c>
      <c r="CW39" s="381">
        <f>CW37/CQ37-1</f>
        <v>0.23543977556098827</v>
      </c>
      <c r="CX39" s="1740"/>
      <c r="CY39" s="1741">
        <f>CY37/CS37-1</f>
        <v>0.21466349704718501</v>
      </c>
      <c r="CZ39" s="1741">
        <f>CZ37/CT37-1</f>
        <v>0.18143153949793556</v>
      </c>
      <c r="DA39" s="1741">
        <f>DA37/CU37-1</f>
        <v>0.16613263501487729</v>
      </c>
      <c r="DB39" s="1741">
        <f>DB37/CV37-1</f>
        <v>0.10028275526156216</v>
      </c>
      <c r="DC39" s="381">
        <f>DC37/CW37-1</f>
        <v>0.16181575740481335</v>
      </c>
      <c r="DD39" s="1740"/>
      <c r="DE39" s="1741">
        <f>DE37/CY37-1</f>
        <v>0.17171997867405753</v>
      </c>
      <c r="DF39" s="1741">
        <f>DF37/CZ37-1</f>
        <v>0.1718706385751203</v>
      </c>
      <c r="DG39" s="1741">
        <f>DG37/DA37-1</f>
        <v>0.1708903655945786</v>
      </c>
      <c r="DH39" s="1741">
        <f>DH37/DB37-1</f>
        <v>0.14124955825968866</v>
      </c>
      <c r="DI39" s="381">
        <f>DI37/DC37-1</f>
        <v>0.16323360616778282</v>
      </c>
      <c r="DJ39" s="1740"/>
      <c r="DK39" s="1741">
        <f>DK37/DE37-1</f>
        <v>0.15040832025284234</v>
      </c>
      <c r="DL39" s="1741">
        <f>DL37/DF37-1</f>
        <v>0.14661058524537252</v>
      </c>
      <c r="DM39" s="1741">
        <f>DM37/DG37-1</f>
        <v>0.14707007363139413</v>
      </c>
      <c r="DN39" s="1741">
        <f>DN37/DH37-1</f>
        <v>0.15092003549747046</v>
      </c>
      <c r="DO39" s="381">
        <f>DO37/DI37-1</f>
        <v>0.1487841320370531</v>
      </c>
      <c r="DP39" s="918"/>
    </row>
    <row r="40" spans="1:132" ht="10.5" hidden="1" customHeight="1" outlineLevel="1">
      <c r="A40" s="1736" t="s">
        <v>874</v>
      </c>
      <c r="B40" s="1737"/>
      <c r="C40" s="1738"/>
      <c r="D40" s="1739"/>
      <c r="E40" s="1739"/>
      <c r="F40" s="1740"/>
      <c r="G40" s="1738"/>
      <c r="H40" s="1738"/>
      <c r="I40" s="1738"/>
      <c r="J40" s="1738"/>
      <c r="K40" s="1738"/>
      <c r="L40" s="1740"/>
      <c r="M40" s="1741">
        <f>M37/J37-1</f>
        <v>5.557206537890047E-2</v>
      </c>
      <c r="N40" s="1741">
        <f>N37/M37-1</f>
        <v>0.14536411411411398</v>
      </c>
      <c r="O40" s="1741">
        <f>O37/N37-1</f>
        <v>0.19598525194592376</v>
      </c>
      <c r="P40" s="1741">
        <f>P37/O37-1</f>
        <v>0.17435089401931902</v>
      </c>
      <c r="Q40" s="1741"/>
      <c r="R40" s="1740"/>
      <c r="S40" s="1741">
        <f>S37/P37-1</f>
        <v>0.19093454672733645</v>
      </c>
      <c r="T40" s="1741">
        <f>T37/S37-1</f>
        <v>0.10335537594905708</v>
      </c>
      <c r="U40" s="1741">
        <f>U37/T37-1</f>
        <v>0.10721420643729207</v>
      </c>
      <c r="V40" s="1741">
        <f>V37/U37-1</f>
        <v>0.13997594226142751</v>
      </c>
      <c r="W40" s="1741"/>
      <c r="X40" s="1740"/>
      <c r="Y40" s="1741">
        <f>Y37/V37-1</f>
        <v>0.21353452217649749</v>
      </c>
      <c r="Z40" s="1741">
        <f>Z37/Y37-1</f>
        <v>5.3909918265608869E-3</v>
      </c>
      <c r="AA40" s="1741">
        <f>AA37/Z37-1</f>
        <v>9.2741005535055265E-2</v>
      </c>
      <c r="AB40" s="1741">
        <f>AB37/AA37-1</f>
        <v>0.12130325814536347</v>
      </c>
      <c r="AC40" s="1741"/>
      <c r="AD40" s="1740"/>
      <c r="AE40" s="1741">
        <f>AE37/AB37-1</f>
        <v>0.14166058866432962</v>
      </c>
      <c r="AF40" s="1741">
        <f>AF37/AE37-1</f>
        <v>0.13418102382326258</v>
      </c>
      <c r="AG40" s="1741">
        <f>AG37/AF37-1</f>
        <v>0.12110475152175892</v>
      </c>
      <c r="AH40" s="1741">
        <f>AH37/AG37-1</f>
        <v>0.12181523500810365</v>
      </c>
      <c r="AI40" s="381"/>
      <c r="AJ40" s="1740"/>
      <c r="AK40" s="1741">
        <f>AK37/AH37-1</f>
        <v>0.13132801664355065</v>
      </c>
      <c r="AL40" s="1741">
        <f>AL37/AK37-1</f>
        <v>7.2088984241309717E-2</v>
      </c>
      <c r="AM40" s="1741">
        <f>AM37/AL37-1</f>
        <v>7.0898500315660362E-2</v>
      </c>
      <c r="AN40" s="1741">
        <f>AN37/AM37-1</f>
        <v>0.10004115546755954</v>
      </c>
      <c r="AO40" s="381"/>
      <c r="AP40" s="1740"/>
      <c r="AQ40" s="1741">
        <f>AQ37/AN37-1</f>
        <v>0.15860946236994033</v>
      </c>
      <c r="AR40" s="1741">
        <f>AR37/AQ37-1</f>
        <v>6.4948552577607455E-2</v>
      </c>
      <c r="AS40" s="1741">
        <f>AS37/AR37-1</f>
        <v>4.254865806187258E-2</v>
      </c>
      <c r="AT40" s="1741">
        <f>AT37/AS37-1</f>
        <v>5.7720273233923258E-2</v>
      </c>
      <c r="AU40" s="381"/>
      <c r="AV40" s="1740"/>
      <c r="AW40" s="1741">
        <f>AW37/AT37-1</f>
        <v>-4.6336206896551824E-2</v>
      </c>
      <c r="AX40" s="1741">
        <f>AX37/AW37-1</f>
        <v>6.6799142801480693E-2</v>
      </c>
      <c r="AY40" s="1741">
        <f>AY37/AX37-1</f>
        <v>4.5391790908493324E-2</v>
      </c>
      <c r="AZ40" s="1741">
        <f>AZ37/AY37-1</f>
        <v>9.8056753149653231E-2</v>
      </c>
      <c r="BA40" s="381"/>
      <c r="BB40" s="1740"/>
      <c r="BC40" s="1741">
        <f>BC37/AZ37-1</f>
        <v>4.1446062210456436E-2</v>
      </c>
      <c r="BD40" s="1741">
        <f>BD37/BC37-1</f>
        <v>3.178599143330274E-2</v>
      </c>
      <c r="BE40" s="1741">
        <f>BE37/BD37-1</f>
        <v>0.11076104915935781</v>
      </c>
      <c r="BF40" s="1741">
        <f>BF37/BE37-1</f>
        <v>0.13091137863746383</v>
      </c>
      <c r="BG40" s="381"/>
      <c r="BH40" s="1740"/>
      <c r="BI40" s="1741">
        <f>BI37/BF37-1</f>
        <v>8.1691150125402956E-2</v>
      </c>
      <c r="BJ40" s="1741">
        <f>BJ37/BI37-1</f>
        <v>0.10519778246543798</v>
      </c>
      <c r="BK40" s="1741">
        <f>BK37/BJ37-1</f>
        <v>8.2474633351868221E-2</v>
      </c>
      <c r="BL40" s="1741">
        <f>BL37/BK37-1</f>
        <v>5.3243228474106896E-2</v>
      </c>
      <c r="BM40" s="381"/>
      <c r="BN40" s="1740"/>
      <c r="BO40" s="1741">
        <f>BO37/BL37-1</f>
        <v>0.12197779391926922</v>
      </c>
      <c r="BP40" s="1741">
        <f>BP37/BO37-1</f>
        <v>2.6503275529865311E-2</v>
      </c>
      <c r="BQ40" s="1741">
        <f>BQ37/BP37-1</f>
        <v>0.111829222877599</v>
      </c>
      <c r="BR40" s="1741">
        <f>BR37/BQ37-1</f>
        <v>1.6361072694269119E-2</v>
      </c>
      <c r="BS40" s="381"/>
      <c r="BT40" s="1740"/>
      <c r="BU40" s="1741">
        <f>BU37/BR37-1</f>
        <v>7.4317302964665988E-2</v>
      </c>
      <c r="BV40" s="1741">
        <f>BV37/BU37-1</f>
        <v>3.9047270352375429E-2</v>
      </c>
      <c r="BW40" s="1741">
        <f>BW37/BV37-1</f>
        <v>0.17311410150186202</v>
      </c>
      <c r="BX40" s="1741">
        <f>BX37/BW37-1</f>
        <v>0.12724822516550893</v>
      </c>
      <c r="BY40" s="381"/>
      <c r="BZ40" s="1740"/>
      <c r="CA40" s="1741">
        <f>CA37/BX37-1</f>
        <v>3.3074070073098039E-3</v>
      </c>
      <c r="CB40" s="1741">
        <f>CB37/CA37-1</f>
        <v>5.3059898754075796E-2</v>
      </c>
      <c r="CC40" s="1741">
        <f>CC37/CB37-1</f>
        <v>5.9355003621181845E-2</v>
      </c>
      <c r="CD40" s="1741">
        <f>CD37/CC37-1</f>
        <v>2.9950647946774378E-2</v>
      </c>
      <c r="CE40" s="381"/>
      <c r="CF40" s="1740"/>
      <c r="CG40" s="1741">
        <f>CG37/CD37-1</f>
        <v>9.530279957830512E-3</v>
      </c>
      <c r="CH40" s="1741">
        <f>CH37/CG37-1</f>
        <v>8.7546431881085018E-2</v>
      </c>
      <c r="CI40" s="1741">
        <f>CI37/CH37-1</f>
        <v>3.887533518738473E-2</v>
      </c>
      <c r="CJ40" s="1741">
        <f>CJ37/CI37-1</f>
        <v>8.7077378531630334E-2</v>
      </c>
      <c r="CK40" s="381"/>
      <c r="CL40" s="1740"/>
      <c r="CM40" s="1741">
        <f>CM37/CJ37-1</f>
        <v>-1.1191797300616591E-2</v>
      </c>
      <c r="CN40" s="1741">
        <f>CN37/CM37-1</f>
        <v>5.1537579617834561E-2</v>
      </c>
      <c r="CO40" s="1741">
        <f>CO37/CN37-1</f>
        <v>6.1485940515375148E-2</v>
      </c>
      <c r="CP40" s="1741">
        <f>CP37/CO37-1</f>
        <v>7.8303057140346022E-2</v>
      </c>
      <c r="CQ40" s="381"/>
      <c r="CR40" s="1740"/>
      <c r="CS40" s="1741">
        <f>CS37/CP37-1</f>
        <v>1.5921534343542376E-2</v>
      </c>
      <c r="CT40" s="1741">
        <f>CT37/CS37-1</f>
        <v>6.2271321770584143E-2</v>
      </c>
      <c r="CU40" s="1741">
        <f>CU37/CT37-1</f>
        <v>1.7690626851150748E-2</v>
      </c>
      <c r="CV40" s="1741">
        <f>CV37/CU37-1</f>
        <v>0.17784969075065971</v>
      </c>
      <c r="CW40" s="381"/>
      <c r="CX40" s="1740"/>
      <c r="CY40" s="1741">
        <f>CY37/CV37-1</f>
        <v>-4.6073581495945759E-2</v>
      </c>
      <c r="CZ40" s="1741">
        <f>CZ37/CY37-1</f>
        <v>3.3208659101720217E-2</v>
      </c>
      <c r="DA40" s="1741">
        <f>DA37/CZ37-1</f>
        <v>4.512079323872209E-3</v>
      </c>
      <c r="DB40" s="1741">
        <f>DB37/DA37-1</f>
        <v>0.11133816523930928</v>
      </c>
      <c r="DC40" s="381"/>
      <c r="DD40" s="1740"/>
      <c r="DE40" s="1741">
        <f>DE37/DB37-1</f>
        <v>1.5861275114213313E-2</v>
      </c>
      <c r="DF40" s="1741">
        <f>DF37/DE37-1</f>
        <v>3.3341509200029318E-2</v>
      </c>
      <c r="DG40" s="1741">
        <f>DG37/DF37-1</f>
        <v>3.6718022339141676E-3</v>
      </c>
      <c r="DH40" s="1741">
        <f>DH37/DG37-1</f>
        <v>8.3204907499981218E-2</v>
      </c>
      <c r="DI40" s="381"/>
      <c r="DJ40" s="1740"/>
      <c r="DK40" s="1741">
        <f>DK37/DH37-1</f>
        <v>2.4013770394054168E-2</v>
      </c>
      <c r="DL40" s="1741">
        <f>DL37/DK37-1</f>
        <v>2.9930235867706712E-2</v>
      </c>
      <c r="DM40" s="1741">
        <f>DM37/DL37-1</f>
        <v>4.0740098730536189E-3</v>
      </c>
      <c r="DN40" s="1741">
        <f>DN37/DM37-1</f>
        <v>8.6840515892953496E-2</v>
      </c>
      <c r="DO40" s="381"/>
      <c r="DP40" s="918"/>
    </row>
    <row r="41" spans="1:132" ht="10.5" customHeight="1" collapsed="1">
      <c r="A41" s="1717" t="s">
        <v>93</v>
      </c>
      <c r="B41" s="1718" t="s">
        <v>937</v>
      </c>
      <c r="C41" s="510">
        <v>1.089</v>
      </c>
      <c r="D41" s="510">
        <v>3.3660000000000001</v>
      </c>
      <c r="E41" s="510">
        <v>5.3079999999999998</v>
      </c>
      <c r="F41" s="516"/>
      <c r="G41" s="510">
        <v>1.075</v>
      </c>
      <c r="H41" s="510">
        <v>1.173</v>
      </c>
      <c r="I41" s="510">
        <v>1.105</v>
      </c>
      <c r="J41" s="510">
        <v>1.2949999999999999</v>
      </c>
      <c r="K41" s="510">
        <f>SUM(G41:J41)</f>
        <v>4.6479999999999997</v>
      </c>
      <c r="L41" s="516"/>
      <c r="M41" s="510">
        <v>1.24</v>
      </c>
      <c r="N41" s="510">
        <v>1.6850000000000001</v>
      </c>
      <c r="O41" s="510">
        <v>1.88</v>
      </c>
      <c r="P41" s="510">
        <v>2.157</v>
      </c>
      <c r="Q41" s="510">
        <f>SUM(M41:P41)</f>
        <v>6.9619999999999997</v>
      </c>
      <c r="R41" s="516"/>
      <c r="S41" s="510">
        <v>2.1269999999999998</v>
      </c>
      <c r="T41" s="510">
        <v>2.0739999999999998</v>
      </c>
      <c r="U41" s="510">
        <v>2.4620000000000002</v>
      </c>
      <c r="V41" s="510">
        <v>3.1589999999999998</v>
      </c>
      <c r="W41" s="510">
        <f>SUM(S41:V41)</f>
        <v>9.8219999999999992</v>
      </c>
      <c r="X41" s="516"/>
      <c r="Y41" s="510">
        <v>4.3019999999999996</v>
      </c>
      <c r="Z41" s="510">
        <v>5.47</v>
      </c>
      <c r="AA41" s="510">
        <v>6.6020000000000003</v>
      </c>
      <c r="AB41" s="510">
        <v>6.9560000000000004</v>
      </c>
      <c r="AC41" s="510">
        <f>SUM(Y41:AB41)</f>
        <v>23.33</v>
      </c>
      <c r="AD41" s="516"/>
      <c r="AE41" s="510">
        <f>8.825-0.72</f>
        <v>8.1049999999999986</v>
      </c>
      <c r="AF41" s="510">
        <v>9.7219999999999995</v>
      </c>
      <c r="AG41" s="510">
        <f>11.45-1.195</f>
        <v>10.254999999999999</v>
      </c>
      <c r="AH41" s="510">
        <f>13.331-1.322</f>
        <v>12.009</v>
      </c>
      <c r="AI41" s="265">
        <f>SUM(AE41:AH41)</f>
        <v>40.090999999999994</v>
      </c>
      <c r="AJ41" s="516"/>
      <c r="AK41" s="510">
        <f>14.121-1.277</f>
        <v>12.844000000000001</v>
      </c>
      <c r="AL41" s="510">
        <f>15.096-1.51</f>
        <v>13.586</v>
      </c>
      <c r="AM41" s="510">
        <f>16.892-1.685</f>
        <v>15.206999999999999</v>
      </c>
      <c r="AN41" s="510">
        <f>17.703-1.864</f>
        <v>15.838999999999999</v>
      </c>
      <c r="AO41" s="265">
        <f>SUM(AK41:AN41)</f>
        <v>57.475999999999999</v>
      </c>
      <c r="AP41" s="516"/>
      <c r="AQ41" s="510">
        <f>19.767-2.099</f>
        <v>17.667999999999999</v>
      </c>
      <c r="AR41" s="510">
        <f>24.033-2.259</f>
        <v>21.774000000000001</v>
      </c>
      <c r="AS41" s="510">
        <f>26.27-2.494</f>
        <v>23.776</v>
      </c>
      <c r="AT41" s="510">
        <f>29.46-3</f>
        <v>26.46</v>
      </c>
      <c r="AU41" s="265">
        <f>SUM(AQ41:AT41)</f>
        <v>89.677999999999997</v>
      </c>
      <c r="AV41" s="516"/>
      <c r="AW41" s="510">
        <f>31.584-3.084</f>
        <v>28.5</v>
      </c>
      <c r="AX41" s="510">
        <f>31.103-2.95</f>
        <v>28.153000000000002</v>
      </c>
      <c r="AY41" s="510">
        <f>32.763-2.707</f>
        <v>30.055999999999997</v>
      </c>
      <c r="AZ41" s="510">
        <f>36.447-4.388</f>
        <v>32.059000000000005</v>
      </c>
      <c r="BA41" s="265">
        <f>SUM(AW41:AZ41)</f>
        <v>118.768</v>
      </c>
      <c r="BB41" s="516"/>
      <c r="BC41" s="510">
        <f>40.122-4.102</f>
        <v>36.019999999999996</v>
      </c>
      <c r="BD41" s="510">
        <f>42.93-4.041</f>
        <v>38.888999999999996</v>
      </c>
      <c r="BE41" s="510">
        <f>47.305-3.976</f>
        <v>43.329000000000001</v>
      </c>
      <c r="BF41" s="510">
        <f>57.53-6.778</f>
        <v>50.752000000000002</v>
      </c>
      <c r="BG41" s="265">
        <f>SUM(BC41:BF41)</f>
        <v>168.99</v>
      </c>
      <c r="BH41" s="516"/>
      <c r="BI41" s="510">
        <f>65.292-7.839</f>
        <v>57.453000000000003</v>
      </c>
      <c r="BJ41" s="510">
        <f>73.393-11.188</f>
        <v>62.204999999999998</v>
      </c>
      <c r="BK41" s="510">
        <f>76.049-12.197</f>
        <v>63.852000000000004</v>
      </c>
      <c r="BL41" s="510">
        <f>80.613-14.67</f>
        <v>65.942999999999998</v>
      </c>
      <c r="BM41" s="265">
        <f>SUM(BI41:BL41)</f>
        <v>249.45299999999997</v>
      </c>
      <c r="BN41" s="516"/>
      <c r="BO41" s="510">
        <f>94.776-15.667</f>
        <v>79.108999999999995</v>
      </c>
      <c r="BP41" s="510">
        <f>99.442-16.089</f>
        <v>83.352999999999994</v>
      </c>
      <c r="BQ41" s="510">
        <f>114.074-21.984</f>
        <v>92.09</v>
      </c>
      <c r="BR41" s="510">
        <f>121.187-22.593</f>
        <v>98.593999999999994</v>
      </c>
      <c r="BS41" s="265">
        <f>SUM(BO41:BR41)</f>
        <v>353.14599999999996</v>
      </c>
      <c r="BT41" s="516"/>
      <c r="BU41" s="510">
        <f>131.939-24.429</f>
        <v>107.50999999999999</v>
      </c>
      <c r="BV41" s="510">
        <f>148.079-26.032</f>
        <v>122.04700000000001</v>
      </c>
      <c r="BW41" s="510">
        <f>170.69-27.935</f>
        <v>142.755</v>
      </c>
      <c r="BX41" s="510">
        <f>173.09-29.024</f>
        <v>144.066</v>
      </c>
      <c r="BY41" s="265">
        <f>SUM(BU41:BX41)</f>
        <v>516.37800000000004</v>
      </c>
      <c r="BZ41" s="516"/>
      <c r="CA41" s="510">
        <f>188.358-27.284</f>
        <v>161.07400000000001</v>
      </c>
      <c r="CB41" s="510">
        <f>203.109-33.112</f>
        <v>169.99700000000001</v>
      </c>
      <c r="CC41" s="510">
        <f>195.46-26.868</f>
        <v>168.59200000000001</v>
      </c>
      <c r="CD41" s="510">
        <f>205.99-33.929</f>
        <v>172.06100000000001</v>
      </c>
      <c r="CE41" s="265">
        <f>SUM(CA41:CD41)</f>
        <v>671.72400000000005</v>
      </c>
      <c r="CF41" s="516"/>
      <c r="CG41" s="510">
        <f>222.128-31.242</f>
        <v>190.886</v>
      </c>
      <c r="CH41" s="510">
        <f>234.1-33.732</f>
        <v>200.36799999999999</v>
      </c>
      <c r="CI41" s="510">
        <f>239.212-31.534</f>
        <v>207.678</v>
      </c>
      <c r="CJ41" s="510">
        <f>250.86-32.926</f>
        <v>217.93400000000003</v>
      </c>
      <c r="CK41" s="265">
        <f>SUM(CG41:CJ41)</f>
        <v>816.86599999999999</v>
      </c>
      <c r="CL41" s="516"/>
      <c r="CM41" s="510">
        <f>260.97-35.168</f>
        <v>225.80200000000002</v>
      </c>
      <c r="CN41" s="510">
        <f>291.506-38.624</f>
        <v>252.88199999999998</v>
      </c>
      <c r="CO41" s="510">
        <f>311.459-50.372</f>
        <v>261.08699999999999</v>
      </c>
      <c r="CP41" s="510">
        <f>344.192-63.323</f>
        <v>280.86900000000003</v>
      </c>
      <c r="CQ41" s="265">
        <f>SUM(CM41:CP41)</f>
        <v>1020.64</v>
      </c>
      <c r="CR41" s="516"/>
      <c r="CS41" s="510">
        <f>376.081-63.915</f>
        <v>312.166</v>
      </c>
      <c r="CT41" s="510">
        <f>386.447-66.644</f>
        <v>319.803</v>
      </c>
      <c r="CU41" s="510">
        <f>393.998-66.626</f>
        <v>327.37199999999996</v>
      </c>
      <c r="CV41" s="510">
        <f>396.547-62.653</f>
        <v>333.89400000000001</v>
      </c>
      <c r="CW41" s="265">
        <f>SUM(CS41:CV41)</f>
        <v>1293.2350000000001</v>
      </c>
      <c r="CX41" s="516"/>
      <c r="CY41" s="510">
        <f>CY$19*CY42</f>
        <v>365.08348132142095</v>
      </c>
      <c r="CZ41" s="510">
        <f>CZ$19*CZ42</f>
        <v>367.7784094346365</v>
      </c>
      <c r="DA41" s="510">
        <f>DA$19*DA42</f>
        <v>372.0789687947572</v>
      </c>
      <c r="DB41" s="510">
        <f>DB$19*DB42</f>
        <v>409.58131683253015</v>
      </c>
      <c r="DC41" s="265">
        <f>SUM(CY41:DB41)</f>
        <v>1514.5221763833447</v>
      </c>
      <c r="DD41" s="516"/>
      <c r="DE41" s="510">
        <f>DE$19*DE42</f>
        <v>421.16199640803768</v>
      </c>
      <c r="DF41" s="510">
        <f>DF$19*DF42</f>
        <v>423.68867649407809</v>
      </c>
      <c r="DG41" s="510">
        <f>DG$19*DG42</f>
        <v>428.17018124845504</v>
      </c>
      <c r="DH41" s="510">
        <f>DH$19*DH42</f>
        <v>469.40286025788185</v>
      </c>
      <c r="DI41" s="265">
        <f>SUM(DE41:DH41)</f>
        <v>1742.4237144084527</v>
      </c>
      <c r="DJ41" s="516"/>
      <c r="DK41" s="510">
        <f>DK$19*DK42</f>
        <v>482.91697855244638</v>
      </c>
      <c r="DL41" s="510">
        <f>DL$19*DL42</f>
        <v>483.57606268326793</v>
      </c>
      <c r="DM41" s="510">
        <f>DM$19*DM42</f>
        <v>487.56926532174953</v>
      </c>
      <c r="DN41" s="510">
        <f>DN$19*DN42</f>
        <v>510.93253760204823</v>
      </c>
      <c r="DO41" s="265">
        <f>SUM(DK41:DN41)</f>
        <v>1964.994844159512</v>
      </c>
      <c r="DP41" s="918"/>
    </row>
    <row r="42" spans="1:132" ht="10.5" hidden="1" customHeight="1" outlineLevel="1">
      <c r="A42" s="1717" t="s">
        <v>323</v>
      </c>
      <c r="B42" s="1718"/>
      <c r="C42" s="510"/>
      <c r="D42" s="514">
        <f>D41/D$19</f>
        <v>0.61931922723091071</v>
      </c>
      <c r="E42" s="514">
        <f>E41/E$19</f>
        <v>0.23686911508768796</v>
      </c>
      <c r="F42" s="516"/>
      <c r="G42" s="651">
        <f>G41/G$19</f>
        <v>0.11496096674152495</v>
      </c>
      <c r="H42" s="651">
        <f>H41/H$19</f>
        <v>9.8712446351931327E-2</v>
      </c>
      <c r="I42" s="651">
        <f>I41/I$19</f>
        <v>7.7866253259107884E-2</v>
      </c>
      <c r="J42" s="651">
        <f>J41/J$19</f>
        <v>8.3194141076705627E-2</v>
      </c>
      <c r="K42" s="651">
        <f>K41/K$19</f>
        <v>9.1153340785628825E-2</v>
      </c>
      <c r="L42" s="516"/>
      <c r="M42" s="651">
        <f>M41/M$19</f>
        <v>6.5563369111193356E-2</v>
      </c>
      <c r="N42" s="651">
        <f>N41/N$19</f>
        <v>7.7926282199509797E-2</v>
      </c>
      <c r="O42" s="651">
        <f>O41/O$19</f>
        <v>7.391680427773846E-2</v>
      </c>
      <c r="P42" s="651">
        <f>P41/P$19</f>
        <v>7.1773200678800789E-2</v>
      </c>
      <c r="Q42" s="651">
        <f>Q41/Q$19</f>
        <v>7.250346271205857E-2</v>
      </c>
      <c r="R42" s="516"/>
      <c r="S42" s="651">
        <f>S41/S$19</f>
        <v>6.105226900886937E-2</v>
      </c>
      <c r="T42" s="651">
        <f>T41/T$19</f>
        <v>5.1107661220768333E-2</v>
      </c>
      <c r="U42" s="651">
        <f>U41/U$19</f>
        <v>5.3104980479282152E-2</v>
      </c>
      <c r="V42" s="651">
        <f>V41/V$19</f>
        <v>5.7863501483679525E-2</v>
      </c>
      <c r="W42" s="651">
        <f>W41/W$19</f>
        <v>5.5688164422395457E-2</v>
      </c>
      <c r="X42" s="516"/>
      <c r="Y42" s="651">
        <f>Y41/Y$19</f>
        <v>6.7033360861367783E-2</v>
      </c>
      <c r="Z42" s="651">
        <f>Z41/Z$19</f>
        <v>7.6032414550407948E-2</v>
      </c>
      <c r="AA42" s="651">
        <f>AA41/AA$19</f>
        <v>7.985678516565263E-2</v>
      </c>
      <c r="AB42" s="651">
        <f>AB41/AB$19</f>
        <v>7.6385838531142947E-2</v>
      </c>
      <c r="AC42" s="651">
        <f>AC41/AC$19</f>
        <v>7.5292796354447356E-2</v>
      </c>
      <c r="AD42" s="516"/>
      <c r="AE42" s="651">
        <f>AE41/AE$19</f>
        <v>7.7422004852606835E-2</v>
      </c>
      <c r="AF42" s="651">
        <f>AF41/AF$19</f>
        <v>8.2294285448250751E-2</v>
      </c>
      <c r="AG42" s="651">
        <f>AG41/AG$19</f>
        <v>7.885246784003444E-2</v>
      </c>
      <c r="AH42" s="651">
        <f>AH41/AH$19</f>
        <v>8.3267462661729824E-2</v>
      </c>
      <c r="AI42" s="281">
        <f>AI41/AI$19</f>
        <v>8.0650093140587964E-2</v>
      </c>
      <c r="AJ42" s="516"/>
      <c r="AK42" s="651">
        <f>AK41/AK$19</f>
        <v>7.9082826392138511E-2</v>
      </c>
      <c r="AL42" s="651">
        <f>AL41/AL$19</f>
        <v>7.6940066485822217E-2</v>
      </c>
      <c r="AM42" s="651">
        <f>AM41/AM$19</f>
        <v>7.8873254046876853E-2</v>
      </c>
      <c r="AN42" s="651">
        <f>AN41/AN$19</f>
        <v>7.3022415239781285E-2</v>
      </c>
      <c r="AO42" s="281">
        <f>AO41/AO$19</f>
        <v>7.6767730733271006E-2</v>
      </c>
      <c r="AP42" s="516"/>
      <c r="AQ42" s="651">
        <f>AQ41/AQ$19</f>
        <v>7.1350687741799992E-2</v>
      </c>
      <c r="AR42" s="651">
        <f>AR41/AR$19</f>
        <v>8.2766642465894019E-2</v>
      </c>
      <c r="AS42" s="651">
        <f>AS41/AS$19</f>
        <v>8.5993193170022464E-2</v>
      </c>
      <c r="AT42" s="651">
        <f>AT41/AT$19</f>
        <v>9.1372767047789405E-2</v>
      </c>
      <c r="AU42" s="281">
        <f>AU41/AU$19</f>
        <v>8.3284344181528261E-2</v>
      </c>
      <c r="AV42" s="516"/>
      <c r="AW42" s="651">
        <f>AW41/AW$19</f>
        <v>9.3465912817620136E-2</v>
      </c>
      <c r="AX42" s="651">
        <f>AX41/AX$19</f>
        <v>8.907457737588631E-2</v>
      </c>
      <c r="AY42" s="651">
        <f>AY41/AY$19</f>
        <v>9.0927517554129644E-2</v>
      </c>
      <c r="AZ42" s="651">
        <f>AZ41/AZ$19</f>
        <v>9.0549613189134862E-2</v>
      </c>
      <c r="BA42" s="281">
        <f>BA41/BA$19</f>
        <v>9.096932175127892E-2</v>
      </c>
      <c r="BB42" s="516"/>
      <c r="BC42" s="651">
        <f>BC41/BC$19</f>
        <v>9.5591181832898539E-2</v>
      </c>
      <c r="BD42" s="651">
        <f>BD41/BD$19</f>
        <v>9.8609941882283725E-2</v>
      </c>
      <c r="BE42" s="651">
        <f>BE41/BE$19</f>
        <v>0.10097952163547252</v>
      </c>
      <c r="BF42" s="651">
        <f>BF41/BF$19</f>
        <v>0.11108703408212894</v>
      </c>
      <c r="BG42" s="281">
        <f>BG41/BG$19</f>
        <v>0.10197696149810005</v>
      </c>
      <c r="BH42" s="516"/>
      <c r="BI42" s="651">
        <f>BI41/BI$19</f>
        <v>0.11391177800160202</v>
      </c>
      <c r="BJ42" s="651">
        <f>BJ41/BJ$19</f>
        <v>0.11392815410932561</v>
      </c>
      <c r="BK42" s="651">
        <f>BK41/BK$19</f>
        <v>0.1092869612843597</v>
      </c>
      <c r="BL42" s="651">
        <f>BL41/BL$19</f>
        <v>0.10435455513654569</v>
      </c>
      <c r="BM42" s="281">
        <f>BM41/BM$19</f>
        <v>0.11005899302857791</v>
      </c>
      <c r="BN42" s="516"/>
      <c r="BO42" s="651">
        <f>BO41/BO$19</f>
        <v>0.11374946618603039</v>
      </c>
      <c r="BP42" s="651">
        <f>BP41/BP$19</f>
        <v>0.11392484647693087</v>
      </c>
      <c r="BQ42" s="651">
        <f>BQ41/BQ$19</f>
        <v>0.11680648606414527</v>
      </c>
      <c r="BR42" s="651">
        <f>BR41/BR$19</f>
        <v>0.11812177346794762</v>
      </c>
      <c r="BS42" s="281">
        <f>BS41/BS$19</f>
        <v>0.11577817155952322</v>
      </c>
      <c r="BT42" s="516"/>
      <c r="BU42" s="651">
        <f>BU41/BU$19</f>
        <v>0.12044143561799753</v>
      </c>
      <c r="BV42" s="651">
        <f>BV41/BV$19</f>
        <v>0.12751830018786034</v>
      </c>
      <c r="BW42" s="651">
        <f>BW41/BW$19</f>
        <v>0.13266774098216225</v>
      </c>
      <c r="BX42" s="651">
        <f>BX41/BX$19</f>
        <v>0.12579524676880521</v>
      </c>
      <c r="BY42" s="281">
        <f>BY41/BY$19</f>
        <v>0.12684294263600396</v>
      </c>
      <c r="BZ42" s="516"/>
      <c r="CA42" s="651">
        <f>CA41/CA$19</f>
        <v>0.13129905149449125</v>
      </c>
      <c r="CB42" s="651">
        <f>CB41/CB$19</f>
        <v>0.12892713289057459</v>
      </c>
      <c r="CC42" s="651">
        <f>CC41/CC$19</f>
        <v>0.12184540221370213</v>
      </c>
      <c r="CD42" s="651">
        <f>CD41/CD$19</f>
        <v>0.11910566741981217</v>
      </c>
      <c r="CE42" s="281">
        <f>CE41/CE$19</f>
        <v>0.12500479195829378</v>
      </c>
      <c r="CF42" s="516"/>
      <c r="CG42" s="651">
        <f>CG41/CG$19</f>
        <v>0.12631694577766719</v>
      </c>
      <c r="CH42" s="651">
        <f>CH41/CH$19</f>
        <v>0.12257292540943693</v>
      </c>
      <c r="CI42" s="651">
        <f>CI41/CI$19</f>
        <v>0.12130958131786418</v>
      </c>
      <c r="CJ42" s="651">
        <f>CJ41/CJ$19</f>
        <v>0.1204455846640706</v>
      </c>
      <c r="CK42" s="281">
        <f>CK41/CK$19</f>
        <v>0.12251980436812006</v>
      </c>
      <c r="CL42" s="516"/>
      <c r="CM42" s="651">
        <f>CM41/CM$19</f>
        <v>0.11781365259263395</v>
      </c>
      <c r="CN42" s="651">
        <f>CN41/CN$19</f>
        <v>0.12416761513450239</v>
      </c>
      <c r="CO42" s="651">
        <f>CO41/CO$19</f>
        <v>0.12173165017309506</v>
      </c>
      <c r="CP42" s="651">
        <f>CP41/CP$19</f>
        <v>0.12243699618306637</v>
      </c>
      <c r="CQ42" s="281">
        <f>CQ41/CQ$19</f>
        <v>0.12162082291863283</v>
      </c>
      <c r="CR42" s="516"/>
      <c r="CS42" s="651">
        <f>CS41/CS$19</f>
        <v>0.13074583081858235</v>
      </c>
      <c r="CT42" s="651">
        <f>CT41/CT$19</f>
        <v>0.1248455548489629</v>
      </c>
      <c r="CU42" s="651">
        <f>CU41/CU$19</f>
        <v>0.12216097895360209</v>
      </c>
      <c r="CV42" s="651">
        <f>CV41/CV$19</f>
        <v>0.11711457336242719</v>
      </c>
      <c r="CW42" s="281">
        <f>CW41/CW$19</f>
        <v>0.1234001449616661</v>
      </c>
      <c r="CX42" s="516"/>
      <c r="CY42" s="1735">
        <v>0.124</v>
      </c>
      <c r="CZ42" s="1735">
        <v>0.11799999999999999</v>
      </c>
      <c r="DA42" s="1735">
        <v>0.115</v>
      </c>
      <c r="DB42" s="1735">
        <v>0.12</v>
      </c>
      <c r="DC42" s="281">
        <f>DC41/DC$19</f>
        <v>0.11916331251397215</v>
      </c>
      <c r="DD42" s="516"/>
      <c r="DE42" s="1735">
        <f>CY42-0.005</f>
        <v>0.11899999999999999</v>
      </c>
      <c r="DF42" s="1735">
        <f>CZ42-0.005</f>
        <v>0.11299999999999999</v>
      </c>
      <c r="DG42" s="1735">
        <f>DA42-0.005</f>
        <v>0.11</v>
      </c>
      <c r="DH42" s="1735">
        <f>DB42-0.005</f>
        <v>0.11499999999999999</v>
      </c>
      <c r="DI42" s="281">
        <f>DI41/DI$19</f>
        <v>0.11416106844274006</v>
      </c>
      <c r="DJ42" s="516"/>
      <c r="DK42" s="1735">
        <f>DE42-0.005</f>
        <v>0.11399999999999999</v>
      </c>
      <c r="DL42" s="1735">
        <f t="shared" ref="DL42:DM42" si="2">DF42-0.005</f>
        <v>0.10799999999999998</v>
      </c>
      <c r="DM42" s="1735">
        <f t="shared" si="2"/>
        <v>0.105</v>
      </c>
      <c r="DN42" s="1735">
        <f>DH42-0.01</f>
        <v>0.105</v>
      </c>
      <c r="DO42" s="281">
        <f>DO41/DO$19</f>
        <v>0.10782923207851415</v>
      </c>
      <c r="DP42" s="918"/>
    </row>
    <row r="43" spans="1:132" ht="10.5" hidden="1" customHeight="1" outlineLevel="1">
      <c r="A43" s="1736" t="s">
        <v>873</v>
      </c>
      <c r="B43" s="1737"/>
      <c r="C43" s="1738"/>
      <c r="D43" s="1739">
        <f>D41/C41-1</f>
        <v>2.0909090909090913</v>
      </c>
      <c r="E43" s="1739">
        <f>E41/D41-1</f>
        <v>0.57694592988710625</v>
      </c>
      <c r="F43" s="1740"/>
      <c r="G43" s="1738"/>
      <c r="H43" s="1738"/>
      <c r="I43" s="1738"/>
      <c r="J43" s="1738"/>
      <c r="K43" s="1738"/>
      <c r="L43" s="1740"/>
      <c r="M43" s="1741">
        <f>M41/G41-1</f>
        <v>0.15348837209302335</v>
      </c>
      <c r="N43" s="1741">
        <f>N41/H41-1</f>
        <v>0.43648763853367423</v>
      </c>
      <c r="O43" s="1741">
        <f>O41/I41-1</f>
        <v>0.70135746606334837</v>
      </c>
      <c r="P43" s="1741">
        <f>P41/J41-1</f>
        <v>0.66563706563706582</v>
      </c>
      <c r="Q43" s="1741">
        <f>Q41/K41-1</f>
        <v>0.49784853700516352</v>
      </c>
      <c r="R43" s="1740"/>
      <c r="S43" s="1741">
        <f>S41/M41-1</f>
        <v>0.71532258064516108</v>
      </c>
      <c r="T43" s="1741">
        <f>T41/N41-1</f>
        <v>0.23086053412462904</v>
      </c>
      <c r="U43" s="1741">
        <f>U41/O41-1</f>
        <v>0.30957446808510647</v>
      </c>
      <c r="V43" s="1741">
        <f>V41/P41-1</f>
        <v>0.46453407510431144</v>
      </c>
      <c r="W43" s="1741">
        <f>W41/Q41-1</f>
        <v>0.41080149382361375</v>
      </c>
      <c r="X43" s="1740"/>
      <c r="Y43" s="1741">
        <f>Y41/S41-1</f>
        <v>1.0225669957686883</v>
      </c>
      <c r="Z43" s="1741">
        <f>Z41/T41-1</f>
        <v>1.6374156219864995</v>
      </c>
      <c r="AA43" s="1741">
        <f>AA41/U41-1</f>
        <v>1.6815597075548334</v>
      </c>
      <c r="AB43" s="1741">
        <f>AB41/V41-1</f>
        <v>1.2019626464070909</v>
      </c>
      <c r="AC43" s="1741">
        <f>AC41/W41-1</f>
        <v>1.3752799837100387</v>
      </c>
      <c r="AD43" s="1740"/>
      <c r="AE43" s="1741">
        <f>AE41/Y41-1</f>
        <v>0.88400743840074369</v>
      </c>
      <c r="AF43" s="1741">
        <f>AF41/Z41-1</f>
        <v>0.77733089579524672</v>
      </c>
      <c r="AG43" s="1741">
        <f>AG41/AA41-1</f>
        <v>0.55331717661314728</v>
      </c>
      <c r="AH43" s="1741">
        <f>AH41/AB41-1</f>
        <v>0.72642323174238066</v>
      </c>
      <c r="AI43" s="381">
        <f>AI41/AC41-1</f>
        <v>0.71843120445777964</v>
      </c>
      <c r="AJ43" s="1740"/>
      <c r="AK43" s="1741">
        <f>AK41/AE41-1</f>
        <v>0.58470080197409047</v>
      </c>
      <c r="AL43" s="1741">
        <f>AL41/AF41-1</f>
        <v>0.39744908455050409</v>
      </c>
      <c r="AM43" s="1741">
        <f>AM41/AG41-1</f>
        <v>0.48288639687957091</v>
      </c>
      <c r="AN43" s="1741">
        <f>AN41/AH41-1</f>
        <v>0.31892747106336894</v>
      </c>
      <c r="AO43" s="381">
        <f>AO41/AI41-1</f>
        <v>0.43363847247511922</v>
      </c>
      <c r="AP43" s="1740"/>
      <c r="AQ43" s="1741">
        <f>AQ41/AK41-1</f>
        <v>0.37558393023980052</v>
      </c>
      <c r="AR43" s="1741">
        <f>AR41/AL41-1</f>
        <v>0.60267922861769474</v>
      </c>
      <c r="AS43" s="1741">
        <f>AS41/AM41-1</f>
        <v>0.56349049779706717</v>
      </c>
      <c r="AT43" s="1741">
        <f>AT41/AN41-1</f>
        <v>0.67056001010164801</v>
      </c>
      <c r="AU43" s="381">
        <f>AU41/AO41-1</f>
        <v>0.56026863386456949</v>
      </c>
      <c r="AV43" s="1740"/>
      <c r="AW43" s="1741">
        <f>AW41/AQ41-1</f>
        <v>0.61308580484491748</v>
      </c>
      <c r="AX43" s="1741">
        <f>AX41/AR41-1</f>
        <v>0.29296408560668685</v>
      </c>
      <c r="AY43" s="1741">
        <f>AY41/AS41-1</f>
        <v>0.26413189771197843</v>
      </c>
      <c r="AZ43" s="1741">
        <f>AZ41/AT41-1</f>
        <v>0.21160241874527608</v>
      </c>
      <c r="BA43" s="381">
        <f>BA41/AU41-1</f>
        <v>0.32438279176609663</v>
      </c>
      <c r="BB43" s="1740"/>
      <c r="BC43" s="1741">
        <f>BC41/AW41-1</f>
        <v>0.26385964912280691</v>
      </c>
      <c r="BD43" s="1741">
        <f>BD41/AX41-1</f>
        <v>0.38134479451568182</v>
      </c>
      <c r="BE43" s="1741">
        <f>BE41/AY41-1</f>
        <v>0.44160899653979246</v>
      </c>
      <c r="BF43" s="1741">
        <f>BF41/AZ41-1</f>
        <v>0.58308119404847303</v>
      </c>
      <c r="BG43" s="381">
        <f>BG41/BA41-1</f>
        <v>0.42285800889128389</v>
      </c>
      <c r="BH43" s="1740"/>
      <c r="BI43" s="1741">
        <f>BI41/BC41-1</f>
        <v>0.59503053858967259</v>
      </c>
      <c r="BJ43" s="1741">
        <f>BJ41/BD41-1</f>
        <v>0.59955257270693529</v>
      </c>
      <c r="BK43" s="1741">
        <f>BK41/BE41-1</f>
        <v>0.47365505781347372</v>
      </c>
      <c r="BL43" s="1741">
        <f>BL41/BF41-1</f>
        <v>0.29931825346784358</v>
      </c>
      <c r="BM43" s="381">
        <f>BM41/BG41-1</f>
        <v>0.47614060003550485</v>
      </c>
      <c r="BN43" s="1740"/>
      <c r="BO43" s="1741">
        <f>BO41/BI41-1</f>
        <v>0.37693418968548187</v>
      </c>
      <c r="BP43" s="1741">
        <f>BP41/BJ41-1</f>
        <v>0.33997267100715378</v>
      </c>
      <c r="BQ43" s="1741">
        <f>BQ41/BK41-1</f>
        <v>0.44224143331453991</v>
      </c>
      <c r="BR43" s="1741">
        <f>BR41/BL41-1</f>
        <v>0.49513974189830612</v>
      </c>
      <c r="BS43" s="381">
        <f>BS41/BM41-1</f>
        <v>0.41568151114638829</v>
      </c>
      <c r="BT43" s="1740"/>
      <c r="BU43" s="1741">
        <f>BU41/BO41-1</f>
        <v>0.35901098484369665</v>
      </c>
      <c r="BV43" s="1741">
        <f>BV41/BP41-1</f>
        <v>0.46421844444711069</v>
      </c>
      <c r="BW43" s="1741">
        <f>BW41/BQ41-1</f>
        <v>0.55016831360625473</v>
      </c>
      <c r="BX43" s="1741">
        <f>BX41/BR41-1</f>
        <v>0.46120453577296794</v>
      </c>
      <c r="BY43" s="381">
        <f>BY41/BS41-1</f>
        <v>0.46222242358684529</v>
      </c>
      <c r="BZ43" s="1740"/>
      <c r="CA43" s="1741">
        <f>CA41/BU41-1</f>
        <v>0.49822342107710926</v>
      </c>
      <c r="CB43" s="1741">
        <f>CB41/BV41-1</f>
        <v>0.39288143092415218</v>
      </c>
      <c r="CC43" s="1741">
        <f>CC41/BW41-1</f>
        <v>0.1809884067107983</v>
      </c>
      <c r="CD43" s="1741">
        <f>CD41/BX41-1</f>
        <v>0.19432065858703651</v>
      </c>
      <c r="CE43" s="381">
        <f>CE41/BY41-1</f>
        <v>0.30083775838629845</v>
      </c>
      <c r="CF43" s="1740"/>
      <c r="CG43" s="1741">
        <f>CG41/CA41-1</f>
        <v>0.18508263282714776</v>
      </c>
      <c r="CH43" s="1741">
        <f>CH41/CB41-1</f>
        <v>0.17865609393106929</v>
      </c>
      <c r="CI43" s="1741">
        <f>CI41/CC41-1</f>
        <v>0.2318378096232323</v>
      </c>
      <c r="CJ43" s="1741">
        <f>CJ41/CD41-1</f>
        <v>0.26660893520321283</v>
      </c>
      <c r="CK43" s="381">
        <f>CK41/CE41-1</f>
        <v>0.21607386367019776</v>
      </c>
      <c r="CL43" s="1740"/>
      <c r="CM43" s="1741">
        <f>CM41/CG41-1</f>
        <v>0.18291545739341819</v>
      </c>
      <c r="CN43" s="1741">
        <f>CN41/CH41-1</f>
        <v>0.2620877585243151</v>
      </c>
      <c r="CO43" s="1741">
        <f>CO41/CI41-1</f>
        <v>0.25717216074885152</v>
      </c>
      <c r="CP43" s="1741">
        <f>CP41/CJ41-1</f>
        <v>0.28878008938485955</v>
      </c>
      <c r="CQ43" s="381">
        <f>CQ41/CK41-1</f>
        <v>0.24945829548542853</v>
      </c>
      <c r="CR43" s="1740"/>
      <c r="CS43" s="1741">
        <f>CS41/CM41-1</f>
        <v>0.38247668311175254</v>
      </c>
      <c r="CT43" s="1741">
        <f>CT41/CN41-1</f>
        <v>0.2646333072342042</v>
      </c>
      <c r="CU43" s="1741">
        <f>CU41/CO41-1</f>
        <v>0.25388089027795324</v>
      </c>
      <c r="CV43" s="1741">
        <f>CV41/CP41-1</f>
        <v>0.18878907960650682</v>
      </c>
      <c r="CW43" s="381">
        <f>CW41/CQ41-1</f>
        <v>0.26708241887443185</v>
      </c>
      <c r="CX43" s="1740"/>
      <c r="CY43" s="1741">
        <f>CY41/CS41-1</f>
        <v>0.16951712012653819</v>
      </c>
      <c r="CZ43" s="1741">
        <f>CZ41/CT41-1</f>
        <v>0.15001550778021633</v>
      </c>
      <c r="DA43" s="1741">
        <f>DA41/CU41-1</f>
        <v>0.13656320270138322</v>
      </c>
      <c r="DB43" s="1741">
        <f>DB41/CV41-1</f>
        <v>0.22668067360458743</v>
      </c>
      <c r="DC43" s="381">
        <f>DC41/CW41-1</f>
        <v>0.17111134200925937</v>
      </c>
      <c r="DD43" s="1740"/>
      <c r="DE43" s="1741">
        <f>DE41/CY41-1</f>
        <v>0.15360463553059245</v>
      </c>
      <c r="DF43" s="1741">
        <f>DF41/CZ41-1</f>
        <v>0.15202161308323969</v>
      </c>
      <c r="DG43" s="1741">
        <f>DG41/DA41-1</f>
        <v>0.15075082753370661</v>
      </c>
      <c r="DH43" s="1741">
        <f>DH41/DB41-1</f>
        <v>0.14605535205555187</v>
      </c>
      <c r="DI43" s="381">
        <f>DI41/DC41-1</f>
        <v>0.15047751797820053</v>
      </c>
      <c r="DJ43" s="1740"/>
      <c r="DK43" s="1741">
        <f>DK41/DE41-1</f>
        <v>0.14662999670221466</v>
      </c>
      <c r="DL43" s="1741">
        <f>DL41/DF41-1</f>
        <v>0.14134762034412529</v>
      </c>
      <c r="DM43" s="1741">
        <f>DM41/DG41-1</f>
        <v>0.13872774582316572</v>
      </c>
      <c r="DN43" s="1741">
        <f>DN41/DH41-1</f>
        <v>8.8473422001201119E-2</v>
      </c>
      <c r="DO43" s="381">
        <f>DO41/DI41-1</f>
        <v>0.12773651317447854</v>
      </c>
      <c r="DP43" s="918"/>
    </row>
    <row r="44" spans="1:132" ht="10.5" hidden="1" customHeight="1" outlineLevel="1">
      <c r="A44" s="1736" t="s">
        <v>874</v>
      </c>
      <c r="B44" s="1737"/>
      <c r="C44" s="1738"/>
      <c r="D44" s="1739"/>
      <c r="E44" s="1739"/>
      <c r="F44" s="1740"/>
      <c r="G44" s="1738"/>
      <c r="H44" s="1738"/>
      <c r="I44" s="1738"/>
      <c r="J44" s="1738"/>
      <c r="K44" s="1738"/>
      <c r="L44" s="1740"/>
      <c r="M44" s="1741">
        <f>M41/J41-1</f>
        <v>-4.2471042471042386E-2</v>
      </c>
      <c r="N44" s="1741">
        <f>N41/M41-1</f>
        <v>0.3588709677419355</v>
      </c>
      <c r="O44" s="1741">
        <f>O41/N41-1</f>
        <v>0.11572700296735894</v>
      </c>
      <c r="P44" s="1741">
        <f>P41/O41-1</f>
        <v>0.14734042553191506</v>
      </c>
      <c r="Q44" s="1741"/>
      <c r="R44" s="1740"/>
      <c r="S44" s="1741">
        <f>S41/P41-1</f>
        <v>-1.3908205841446586E-2</v>
      </c>
      <c r="T44" s="1741">
        <f>T41/S41-1</f>
        <v>-2.4917724494593285E-2</v>
      </c>
      <c r="U44" s="1741">
        <f>U41/T41-1</f>
        <v>0.18707810993249785</v>
      </c>
      <c r="V44" s="1741">
        <f>V41/U41-1</f>
        <v>0.28310316815597059</v>
      </c>
      <c r="W44" s="1741"/>
      <c r="X44" s="1740"/>
      <c r="Y44" s="1741">
        <f>Y41/V41-1</f>
        <v>0.36182336182336172</v>
      </c>
      <c r="Z44" s="1741">
        <f>Z41/Y41-1</f>
        <v>0.27150162715016268</v>
      </c>
      <c r="AA44" s="1741">
        <f>AA41/Z41-1</f>
        <v>0.206946983546618</v>
      </c>
      <c r="AB44" s="1741">
        <f>AB41/AA41-1</f>
        <v>5.3620115116631339E-2</v>
      </c>
      <c r="AC44" s="1741"/>
      <c r="AD44" s="1740"/>
      <c r="AE44" s="1741">
        <f>AE41/AB41-1</f>
        <v>0.16518113858539363</v>
      </c>
      <c r="AF44" s="1741">
        <f>AF41/AE41-1</f>
        <v>0.19950647748303529</v>
      </c>
      <c r="AG44" s="1741">
        <f>AG41/AF41-1</f>
        <v>5.4824110265377479E-2</v>
      </c>
      <c r="AH44" s="1741">
        <f>AH41/AG41-1</f>
        <v>0.17103851779619705</v>
      </c>
      <c r="AI44" s="381"/>
      <c r="AJ44" s="1740"/>
      <c r="AK44" s="1741">
        <f>AK41/AH41-1</f>
        <v>6.9531184944624957E-2</v>
      </c>
      <c r="AL44" s="1741">
        <f>AL41/AK41-1</f>
        <v>5.7770165057614342E-2</v>
      </c>
      <c r="AM44" s="1741">
        <f>AM41/AL41-1</f>
        <v>0.11931399970557921</v>
      </c>
      <c r="AN44" s="1741">
        <f>AN41/AM41-1</f>
        <v>4.1559807983165609E-2</v>
      </c>
      <c r="AO44" s="381"/>
      <c r="AP44" s="1740"/>
      <c r="AQ44" s="1741">
        <f>AQ41/AN41-1</f>
        <v>0.11547446177157661</v>
      </c>
      <c r="AR44" s="1741">
        <f>AR41/AQ41-1</f>
        <v>0.23239755490151692</v>
      </c>
      <c r="AS44" s="1741">
        <f>AS41/AR41-1</f>
        <v>9.1944520988334721E-2</v>
      </c>
      <c r="AT44" s="1741">
        <f>AT41/AS41-1</f>
        <v>0.1128869448183043</v>
      </c>
      <c r="AU44" s="381"/>
      <c r="AV44" s="1740"/>
      <c r="AW44" s="1741">
        <f>AW41/AT41-1</f>
        <v>7.7097505668934252E-2</v>
      </c>
      <c r="AX44" s="1741">
        <f>AX41/AW41-1</f>
        <v>-1.2175438596491173E-2</v>
      </c>
      <c r="AY44" s="1741">
        <f>AY41/AX41-1</f>
        <v>6.7594927716406517E-2</v>
      </c>
      <c r="AZ44" s="1741">
        <f>AZ41/AY41-1</f>
        <v>6.6642267766835461E-2</v>
      </c>
      <c r="BA44" s="381"/>
      <c r="BB44" s="1740"/>
      <c r="BC44" s="1741">
        <f>BC41/AZ41-1</f>
        <v>0.12355344832964188</v>
      </c>
      <c r="BD44" s="1741">
        <f>BD41/BC41-1</f>
        <v>7.9650194336479796E-2</v>
      </c>
      <c r="BE44" s="1741">
        <f>BE41/BD41-1</f>
        <v>0.11417110236827899</v>
      </c>
      <c r="BF44" s="1741">
        <f>BF41/BE41-1</f>
        <v>0.17131713171317142</v>
      </c>
      <c r="BG44" s="381"/>
      <c r="BH44" s="1740"/>
      <c r="BI44" s="1741">
        <f>BI41/BF41-1</f>
        <v>0.13203420554854972</v>
      </c>
      <c r="BJ44" s="1741">
        <f>BJ41/BI41-1</f>
        <v>8.2711085582998223E-2</v>
      </c>
      <c r="BK44" s="1741">
        <f>BK41/BJ41-1</f>
        <v>2.6476971304557617E-2</v>
      </c>
      <c r="BL44" s="1741">
        <f>BL41/BK41-1</f>
        <v>3.2747603833865657E-2</v>
      </c>
      <c r="BM44" s="381"/>
      <c r="BN44" s="1740"/>
      <c r="BO44" s="1741">
        <f>BO41/BL41-1</f>
        <v>0.19965727977192427</v>
      </c>
      <c r="BP44" s="1741">
        <f>BP41/BO41-1</f>
        <v>5.3647499020339051E-2</v>
      </c>
      <c r="BQ44" s="1741">
        <f>BQ41/BP41-1</f>
        <v>0.10481926265401387</v>
      </c>
      <c r="BR44" s="1741">
        <f>BR41/BQ41-1</f>
        <v>7.062656097296105E-2</v>
      </c>
      <c r="BS44" s="381"/>
      <c r="BT44" s="1740"/>
      <c r="BU44" s="1741">
        <f>BU41/BR41-1</f>
        <v>9.0431466417834727E-2</v>
      </c>
      <c r="BV44" s="1741">
        <f>BV41/BU41-1</f>
        <v>0.1352153288066229</v>
      </c>
      <c r="BW44" s="1741">
        <f>BW41/BV41-1</f>
        <v>0.16967233934467862</v>
      </c>
      <c r="BX44" s="1741">
        <f>BX41/BW41-1</f>
        <v>9.1835662498687132E-3</v>
      </c>
      <c r="BY44" s="381"/>
      <c r="BZ44" s="1740"/>
      <c r="CA44" s="1741">
        <f>CA41/BX41-1</f>
        <v>0.1180570016520206</v>
      </c>
      <c r="CB44" s="1741">
        <f>CB41/CA41-1</f>
        <v>5.5396898320026811E-2</v>
      </c>
      <c r="CC44" s="1741">
        <f>CC41/CB41-1</f>
        <v>-8.2648517326776583E-3</v>
      </c>
      <c r="CD44" s="1741">
        <f>CD41/CC41-1</f>
        <v>2.0576302552908654E-2</v>
      </c>
      <c r="CE44" s="381"/>
      <c r="CF44" s="1740"/>
      <c r="CG44" s="1741">
        <f>CG41/CD41-1</f>
        <v>0.10940887243477593</v>
      </c>
      <c r="CH44" s="1741">
        <f>CH41/CG41-1</f>
        <v>4.9673627191098246E-2</v>
      </c>
      <c r="CI44" s="1741">
        <f>CI41/CH41-1</f>
        <v>3.6482871516409832E-2</v>
      </c>
      <c r="CJ44" s="1741">
        <f>CJ41/CI41-1</f>
        <v>4.9384142759464345E-2</v>
      </c>
      <c r="CK44" s="381"/>
      <c r="CL44" s="1740"/>
      <c r="CM44" s="1741">
        <f>CM41/CJ41-1</f>
        <v>3.6102673286407816E-2</v>
      </c>
      <c r="CN44" s="1741">
        <f>CN41/CM41-1</f>
        <v>0.1199280785821204</v>
      </c>
      <c r="CO44" s="1741">
        <f>CO41/CN41-1</f>
        <v>3.2445962939236628E-2</v>
      </c>
      <c r="CP44" s="1741">
        <f>CP41/CO41-1</f>
        <v>7.5767847499109697E-2</v>
      </c>
      <c r="CQ44" s="381"/>
      <c r="CR44" s="1740"/>
      <c r="CS44" s="1741">
        <f>CS41/CP41-1</f>
        <v>0.11142917160669197</v>
      </c>
      <c r="CT44" s="1741">
        <f>CT41/CS41-1</f>
        <v>2.4464547708590967E-2</v>
      </c>
      <c r="CU44" s="1741">
        <f>CU41/CT41-1</f>
        <v>2.3667695424995916E-2</v>
      </c>
      <c r="CV44" s="1741">
        <f>CV41/CU41-1</f>
        <v>1.9922290238627793E-2</v>
      </c>
      <c r="CW44" s="381"/>
      <c r="CX44" s="1740"/>
      <c r="CY44" s="1741">
        <f>CY41/CV41-1</f>
        <v>9.3411326113739479E-2</v>
      </c>
      <c r="CZ44" s="1741">
        <f>CZ41/CY41-1</f>
        <v>7.3816763866205726E-3</v>
      </c>
      <c r="DA44" s="1741">
        <f>DA41/CZ41-1</f>
        <v>1.1693343735788231E-2</v>
      </c>
      <c r="DB44" s="1741">
        <f>DB41/DA41-1</f>
        <v>0.10079136737894911</v>
      </c>
      <c r="DC44" s="381"/>
      <c r="DD44" s="1740"/>
      <c r="DE44" s="1741">
        <f>DE41/DB41-1</f>
        <v>2.8274433182318814E-2</v>
      </c>
      <c r="DF44" s="1741">
        <f>DF41/DE41-1</f>
        <v>5.9993069355490647E-3</v>
      </c>
      <c r="DG44" s="1741">
        <f>DG41/DF41-1</f>
        <v>1.0577353143964796E-2</v>
      </c>
      <c r="DH44" s="1741">
        <f>DH41/DG41-1</f>
        <v>9.629974438948774E-2</v>
      </c>
      <c r="DI44" s="381"/>
      <c r="DJ44" s="1740"/>
      <c r="DK44" s="1741">
        <f>DK41/DH41-1</f>
        <v>2.879002119232954E-2</v>
      </c>
      <c r="DL44" s="1741">
        <f>DL41/DK41-1</f>
        <v>1.3647980089603884E-3</v>
      </c>
      <c r="DM44" s="1741">
        <f>DM41/DL41-1</f>
        <v>8.2576515808581163E-3</v>
      </c>
      <c r="DN44" s="1741">
        <f>DN41/DM41-1</f>
        <v>4.7917852789349125E-2</v>
      </c>
      <c r="DO44" s="381"/>
      <c r="DP44" s="918"/>
    </row>
    <row r="45" spans="1:132" ht="10.5" customHeight="1" collapsed="1">
      <c r="A45" s="1717" t="s">
        <v>94</v>
      </c>
      <c r="B45" s="1718" t="s">
        <v>938</v>
      </c>
      <c r="C45" s="510">
        <v>1.976</v>
      </c>
      <c r="D45" s="510">
        <v>6.8550000000000004</v>
      </c>
      <c r="E45" s="510">
        <v>8.3170000000000002</v>
      </c>
      <c r="F45" s="516"/>
      <c r="G45" s="510">
        <v>2.1920000000000002</v>
      </c>
      <c r="H45" s="510">
        <v>2.5310000000000001</v>
      </c>
      <c r="I45" s="510">
        <v>4.7089999999999996</v>
      </c>
      <c r="J45" s="510">
        <v>3.5259999999999998</v>
      </c>
      <c r="K45" s="510">
        <f>SUM(G45:J45)</f>
        <v>12.958</v>
      </c>
      <c r="L45" s="516"/>
      <c r="M45" s="510">
        <v>3.645</v>
      </c>
      <c r="N45" s="510">
        <v>3.7709999999999999</v>
      </c>
      <c r="O45" s="510">
        <v>4.32</v>
      </c>
      <c r="P45" s="510">
        <v>5.1790000000000003</v>
      </c>
      <c r="Q45" s="510">
        <f>SUM(M45:P45)</f>
        <v>16.914999999999999</v>
      </c>
      <c r="R45" s="516"/>
      <c r="S45" s="510">
        <v>5.5730000000000004</v>
      </c>
      <c r="T45" s="510">
        <v>6.6349999999999998</v>
      </c>
      <c r="U45" s="510">
        <v>8.2810000000000006</v>
      </c>
      <c r="V45" s="510">
        <v>9.7789999999999999</v>
      </c>
      <c r="W45" s="510">
        <f>SUM(S45:V45)</f>
        <v>30.268000000000001</v>
      </c>
      <c r="X45" s="516"/>
      <c r="Y45" s="510">
        <v>9.423</v>
      </c>
      <c r="Z45" s="510">
        <v>11.355</v>
      </c>
      <c r="AA45" s="510">
        <v>12.195</v>
      </c>
      <c r="AB45" s="510">
        <v>15.013</v>
      </c>
      <c r="AC45" s="510">
        <f>SUM(Y45:AB45)</f>
        <v>47.985999999999997</v>
      </c>
      <c r="AD45" s="516"/>
      <c r="AE45" s="510">
        <f>19.405-2.25</f>
        <v>17.155000000000001</v>
      </c>
      <c r="AF45" s="510">
        <v>16.719000000000001</v>
      </c>
      <c r="AG45" s="510">
        <f>20.84-2.915</f>
        <v>17.925000000000001</v>
      </c>
      <c r="AH45" s="510">
        <f>24.546-2.856</f>
        <v>21.689999999999998</v>
      </c>
      <c r="AI45" s="265">
        <f>SUM(AE45:AH45)</f>
        <v>73.489000000000004</v>
      </c>
      <c r="AJ45" s="516"/>
      <c r="AK45" s="510">
        <f>25.085-3.342</f>
        <v>21.743000000000002</v>
      </c>
      <c r="AL45" s="510">
        <f>26.508-3.691</f>
        <v>22.817</v>
      </c>
      <c r="AM45" s="510">
        <f>29.296-4.166</f>
        <v>25.13</v>
      </c>
      <c r="AN45" s="510">
        <f>35.619-4.323</f>
        <v>31.295999999999999</v>
      </c>
      <c r="AO45" s="265">
        <f>SUM(AK45:AN45)</f>
        <v>100.98599999999999</v>
      </c>
      <c r="AP45" s="516"/>
      <c r="AQ45" s="510">
        <f>38.432-5.17</f>
        <v>33.262</v>
      </c>
      <c r="AR45" s="510">
        <f>38.081-5.219</f>
        <v>32.862000000000002</v>
      </c>
      <c r="AS45" s="510">
        <f>41.284-4.73</f>
        <v>36.554000000000002</v>
      </c>
      <c r="AT45" s="510">
        <f>40.816-5.316</f>
        <v>35.5</v>
      </c>
      <c r="AU45" s="265">
        <f>SUM(AQ45:AT45)</f>
        <v>138.178</v>
      </c>
      <c r="AV45" s="516"/>
      <c r="AW45" s="510">
        <f>43.15-5.481</f>
        <v>37.668999999999997</v>
      </c>
      <c r="AX45" s="510">
        <f>46.759-5.439</f>
        <v>41.32</v>
      </c>
      <c r="AY45" s="510">
        <f>49.909-5.65</f>
        <v>44.259</v>
      </c>
      <c r="AZ45" s="510">
        <f>55.472-6.901</f>
        <v>48.570999999999998</v>
      </c>
      <c r="BA45" s="265">
        <f>SUM(AW45:AZ45)</f>
        <v>171.81900000000002</v>
      </c>
      <c r="BB45" s="516"/>
      <c r="BC45" s="510">
        <f>56.193-7.082</f>
        <v>49.110999999999997</v>
      </c>
      <c r="BD45" s="510">
        <f>61.569-7.071</f>
        <v>54.498000000000005</v>
      </c>
      <c r="BE45" s="510">
        <f>63.951-7.33</f>
        <v>56.621000000000002</v>
      </c>
      <c r="BF45" s="510">
        <f>74.2-11.44</f>
        <v>62.760000000000005</v>
      </c>
      <c r="BG45" s="265">
        <f>SUM(BC45:BF45)</f>
        <v>222.99</v>
      </c>
      <c r="BH45" s="516"/>
      <c r="BI45" s="510">
        <f>84.338-12.281</f>
        <v>72.056999999999988</v>
      </c>
      <c r="BJ45" s="510">
        <f>84.446-11.913</f>
        <v>72.533000000000001</v>
      </c>
      <c r="BK45" s="510">
        <f>85.232-11.548</f>
        <v>73.683999999999997</v>
      </c>
      <c r="BL45" s="510">
        <f>93.765-14.441</f>
        <v>79.323999999999998</v>
      </c>
      <c r="BM45" s="265">
        <f>SUM(BI45:BL45)</f>
        <v>297.59799999999996</v>
      </c>
      <c r="BN45" s="516"/>
      <c r="BO45" s="510">
        <f>101.6-16.359</f>
        <v>85.240999999999985</v>
      </c>
      <c r="BP45" s="510">
        <f>103.095-16.683</f>
        <v>86.412000000000006</v>
      </c>
      <c r="BQ45" s="510">
        <f>113.757-18.488</f>
        <v>95.269000000000005</v>
      </c>
      <c r="BR45" s="510">
        <f>115.369-18.446</f>
        <v>96.923000000000002</v>
      </c>
      <c r="BS45" s="265">
        <f>SUM(BO45:BR45)</f>
        <v>363.84500000000003</v>
      </c>
      <c r="BT45" s="516"/>
      <c r="BU45" s="510">
        <f>129.75-19.82</f>
        <v>109.93</v>
      </c>
      <c r="BV45" s="510">
        <f>150.534-18.33</f>
        <v>132.20400000000001</v>
      </c>
      <c r="BW45" s="510">
        <f>153.859-28.186</f>
        <v>125.673</v>
      </c>
      <c r="BX45" s="510">
        <f>162.576-25.345</f>
        <v>137.23099999999999</v>
      </c>
      <c r="BY45" s="265">
        <f>SUM(BU45:BX45)</f>
        <v>505.03800000000001</v>
      </c>
      <c r="BZ45" s="516"/>
      <c r="CA45" s="510">
        <f>162.095-24.865</f>
        <v>137.22999999999999</v>
      </c>
      <c r="CB45" s="510">
        <f>169.087-25.837</f>
        <v>143.25</v>
      </c>
      <c r="CC45" s="510">
        <f>167.383-25.582</f>
        <v>141.80100000000002</v>
      </c>
      <c r="CD45" s="510">
        <f>181.371-27.066</f>
        <v>154.30500000000001</v>
      </c>
      <c r="CE45" s="265">
        <f>SUM(CA45:CD45)</f>
        <v>576.58600000000001</v>
      </c>
      <c r="CF45" s="516"/>
      <c r="CG45" s="510">
        <f>175.811-25.403</f>
        <v>150.40800000000002</v>
      </c>
      <c r="CH45" s="510">
        <f>181.685-25.983</f>
        <v>155.702</v>
      </c>
      <c r="CI45" s="510">
        <f>186.818-25.706</f>
        <v>161.11200000000002</v>
      </c>
      <c r="CJ45" s="510">
        <f>203.924-28.507</f>
        <v>175.417</v>
      </c>
      <c r="CK45" s="265">
        <f>SUM(CG45:CJ45)</f>
        <v>642.63900000000001</v>
      </c>
      <c r="CL45" s="516"/>
      <c r="CM45" s="510">
        <f>210.806-31.643</f>
        <v>179.16300000000001</v>
      </c>
      <c r="CN45" s="510">
        <f>252.051-33.868</f>
        <v>218.18299999999999</v>
      </c>
      <c r="CO45" s="510">
        <f>246.765-33.878</f>
        <v>212.887</v>
      </c>
      <c r="CP45" s="510">
        <f>257.941-37.097</f>
        <v>220.84399999999997</v>
      </c>
      <c r="CQ45" s="265">
        <f>SUM(CM45:CP45)</f>
        <v>831.07699999999988</v>
      </c>
      <c r="CR45" s="516"/>
      <c r="CS45" s="510">
        <f>260.321-37.148</f>
        <v>223.17300000000003</v>
      </c>
      <c r="CT45" s="510">
        <f>282.933-37.089</f>
        <v>245.84399999999999</v>
      </c>
      <c r="CU45" s="510">
        <f>270.614-34.165</f>
        <v>236.44899999999998</v>
      </c>
      <c r="CV45" s="510">
        <f>274.49-30.266</f>
        <v>244.22400000000002</v>
      </c>
      <c r="CW45" s="265">
        <f>SUM(CS45:CV45)</f>
        <v>949.69</v>
      </c>
      <c r="CX45" s="516"/>
      <c r="CY45" s="510">
        <f>CY$19*CY46</f>
        <v>250.25883800258694</v>
      </c>
      <c r="CZ45" s="510">
        <f>CZ$19*CZ46</f>
        <v>264.92512544020428</v>
      </c>
      <c r="DA45" s="510">
        <f>DA$19*DA46</f>
        <v>265.30848209713122</v>
      </c>
      <c r="DB45" s="510">
        <f>DB$19*DB46</f>
        <v>300.35963234385542</v>
      </c>
      <c r="DC45" s="265">
        <f>SUM(CY45:DB45)</f>
        <v>1080.8520778837778</v>
      </c>
      <c r="DD45" s="516"/>
      <c r="DE45" s="510">
        <f>DE$19*DE46</f>
        <v>291.98205633330343</v>
      </c>
      <c r="DF45" s="510">
        <f>DF$19*DF46</f>
        <v>299.9565851285509</v>
      </c>
      <c r="DG45" s="510">
        <f>DG$19*DG46</f>
        <v>309.45026735683797</v>
      </c>
      <c r="DH45" s="510">
        <f>DH$19*DH46</f>
        <v>338.78641218612341</v>
      </c>
      <c r="DI45" s="265">
        <f>SUM(DE45:DH45)</f>
        <v>1240.1753210048157</v>
      </c>
      <c r="DJ45" s="516"/>
      <c r="DK45" s="510">
        <f>DK$19*DK46</f>
        <v>349.47939237348095</v>
      </c>
      <c r="DL45" s="510">
        <f>DL$19*DL46</f>
        <v>358.20449087649484</v>
      </c>
      <c r="DM45" s="510">
        <f>DM$19*DM46</f>
        <v>369.15958660075324</v>
      </c>
      <c r="DN45" s="510">
        <f>DN$19*DN46</f>
        <v>403.88000591400004</v>
      </c>
      <c r="DO45" s="265">
        <f>SUM(DK45:DN45)</f>
        <v>1480.7234757647291</v>
      </c>
      <c r="DP45" s="918"/>
    </row>
    <row r="46" spans="1:132" ht="10.5" hidden="1" customHeight="1" outlineLevel="1">
      <c r="A46" s="1717" t="s">
        <v>323</v>
      </c>
      <c r="B46" s="1718"/>
      <c r="C46" s="510"/>
      <c r="D46" s="514">
        <f>D45/D$19</f>
        <v>1.2612695492180312</v>
      </c>
      <c r="E46" s="514">
        <f>E45/E$19</f>
        <v>0.3711455218885269</v>
      </c>
      <c r="F46" s="516"/>
      <c r="G46" s="651">
        <f>G45/G$19</f>
        <v>0.23441343171853277</v>
      </c>
      <c r="H46" s="651">
        <f>H45/H$19</f>
        <v>0.21299335184717663</v>
      </c>
      <c r="I46" s="651">
        <f>I45/I$19</f>
        <v>0.33183003311958281</v>
      </c>
      <c r="J46" s="651">
        <f>J45/J$19</f>
        <v>0.22651933701657456</v>
      </c>
      <c r="K46" s="651">
        <f>K45/K$19</f>
        <v>0.2541232766566649</v>
      </c>
      <c r="L46" s="516"/>
      <c r="M46" s="651">
        <f>M45/M$19</f>
        <v>0.19272458097604822</v>
      </c>
      <c r="N46" s="651">
        <f>N45/N$19</f>
        <v>0.17439763215095039</v>
      </c>
      <c r="O46" s="651">
        <f>O45/O$19</f>
        <v>0.16985138004246286</v>
      </c>
      <c r="P46" s="651">
        <f>P45/P$19</f>
        <v>0.17232888563537752</v>
      </c>
      <c r="Q46" s="651">
        <f>Q45/Q$19</f>
        <v>0.17615571269383376</v>
      </c>
      <c r="R46" s="516"/>
      <c r="S46" s="651">
        <f>S45/S$19</f>
        <v>0.15996440770400988</v>
      </c>
      <c r="T46" s="651">
        <f>T45/T$19</f>
        <v>0.16350016017348018</v>
      </c>
      <c r="U46" s="651">
        <f>U45/U$19</f>
        <v>0.17861996074286576</v>
      </c>
      <c r="V46" s="651">
        <f>V45/V$19</f>
        <v>0.1791222478660659</v>
      </c>
      <c r="W46" s="651">
        <f>W45/W$19</f>
        <v>0.17161162296243798</v>
      </c>
      <c r="X46" s="516"/>
      <c r="Y46" s="651">
        <f>Y45/Y$19</f>
        <v>0.14682830297458593</v>
      </c>
      <c r="Z46" s="651">
        <f>Z45/Z$19</f>
        <v>0.15783328468370791</v>
      </c>
      <c r="AA46" s="651">
        <f>AA45/AA$19</f>
        <v>0.14750886020829049</v>
      </c>
      <c r="AB46" s="651">
        <f>AB45/AB$19</f>
        <v>0.16486207502415884</v>
      </c>
      <c r="AC46" s="651">
        <f>AC45/AC$19</f>
        <v>0.15486498610649427</v>
      </c>
      <c r="AD46" s="516"/>
      <c r="AE46" s="651">
        <f>AE45/AE$19</f>
        <v>0.16387100471887361</v>
      </c>
      <c r="AF46" s="651">
        <f>AF45/AF$19</f>
        <v>0.14152213108509612</v>
      </c>
      <c r="AG46" s="651">
        <f>AG45/AG$19</f>
        <v>0.13782842379645222</v>
      </c>
      <c r="AH46" s="651">
        <f>AH45/AH$19</f>
        <v>0.15039314390314928</v>
      </c>
      <c r="AI46" s="281">
        <f>AI45/AI$19</f>
        <v>0.14783604037835599</v>
      </c>
      <c r="AJ46" s="516"/>
      <c r="AK46" s="651">
        <f>AK45/AK$19</f>
        <v>0.13387557569637712</v>
      </c>
      <c r="AL46" s="651">
        <f>AL45/AL$19</f>
        <v>0.12921695105306974</v>
      </c>
      <c r="AM46" s="651">
        <f>AM45/AM$19</f>
        <v>0.13034029553482052</v>
      </c>
      <c r="AN46" s="651">
        <f>AN45/AN$19</f>
        <v>0.1442836989294902</v>
      </c>
      <c r="AO46" s="281">
        <f>AO45/AO$19</f>
        <v>0.13488179511152665</v>
      </c>
      <c r="AP46" s="516"/>
      <c r="AQ46" s="651">
        <f>AQ45/AQ$19</f>
        <v>0.1343257061165809</v>
      </c>
      <c r="AR46" s="651">
        <f>AR45/AR$19</f>
        <v>0.12491399856315832</v>
      </c>
      <c r="AS46" s="651">
        <f>AS45/AS$19</f>
        <v>0.13220874760838666</v>
      </c>
      <c r="AT46" s="651">
        <f>AT45/AT$19</f>
        <v>0.12259006916842494</v>
      </c>
      <c r="AU46" s="281">
        <f>AU45/AU$19</f>
        <v>0.12832650271320961</v>
      </c>
      <c r="AV46" s="516"/>
      <c r="AW46" s="651">
        <f>AW45/AW$19</f>
        <v>0.12353570069919062</v>
      </c>
      <c r="AX46" s="651">
        <f>AX45/AX$19</f>
        <v>0.13073425699469407</v>
      </c>
      <c r="AY46" s="651">
        <f>AY45/AY$19</f>
        <v>0.13389542851438063</v>
      </c>
      <c r="AZ46" s="651">
        <f>AZ45/AZ$19</f>
        <v>0.13718722549703571</v>
      </c>
      <c r="BA46" s="281">
        <f>BA45/BA$19</f>
        <v>0.13160327608432401</v>
      </c>
      <c r="BB46" s="516"/>
      <c r="BC46" s="651">
        <f>BC45/BC$19</f>
        <v>0.13033255222086287</v>
      </c>
      <c r="BD46" s="651">
        <f>BD45/BD$19</f>
        <v>0.13818932378566431</v>
      </c>
      <c r="BE46" s="651">
        <f>BE45/BE$19</f>
        <v>0.13195692248891253</v>
      </c>
      <c r="BF46" s="651">
        <f>BF45/BF$19</f>
        <v>0.13737039444739937</v>
      </c>
      <c r="BG46" s="281">
        <f>BG45/BG$19</f>
        <v>0.13456324424203403</v>
      </c>
      <c r="BH46" s="516"/>
      <c r="BI46" s="651">
        <f>BI45/BI$19</f>
        <v>0.14286705633233138</v>
      </c>
      <c r="BJ46" s="651">
        <f>BJ45/BJ$19</f>
        <v>0.13284383573686545</v>
      </c>
      <c r="BK46" s="651">
        <f>BK45/BK$19</f>
        <v>0.12611508574949509</v>
      </c>
      <c r="BL46" s="651">
        <f>BL45/BL$19</f>
        <v>0.12552993845671792</v>
      </c>
      <c r="BM46" s="281">
        <f>BM45/BM$19</f>
        <v>0.13130063060904751</v>
      </c>
      <c r="BN46" s="516"/>
      <c r="BO46" s="651">
        <f>BO45/BO$19</f>
        <v>0.12256656318703833</v>
      </c>
      <c r="BP46" s="651">
        <f>BP45/BP$19</f>
        <v>0.11810581303329876</v>
      </c>
      <c r="BQ46" s="651">
        <f>BQ45/BQ$19</f>
        <v>0.12083871344168809</v>
      </c>
      <c r="BR46" s="651">
        <f>BR45/BR$19</f>
        <v>0.11611981104158355</v>
      </c>
      <c r="BS46" s="281">
        <f>BS45/BS$19</f>
        <v>0.11928581615273778</v>
      </c>
      <c r="BT46" s="516"/>
      <c r="BU46" s="651">
        <f>BU45/BU$19</f>
        <v>0.12315251620766877</v>
      </c>
      <c r="BV46" s="651">
        <f>BV45/BV$19</f>
        <v>0.13813063293678574</v>
      </c>
      <c r="BW46" s="651">
        <f>BW45/BW$19</f>
        <v>0.11679277792337416</v>
      </c>
      <c r="BX46" s="651">
        <f>BX45/BX$19</f>
        <v>0.11982707584947111</v>
      </c>
      <c r="BY46" s="281">
        <f>BY45/BY$19</f>
        <v>0.12405738831437853</v>
      </c>
      <c r="BZ46" s="516"/>
      <c r="CA46" s="651">
        <f>CA45/CA$19</f>
        <v>0.11186267700925681</v>
      </c>
      <c r="CB46" s="651">
        <f>CB45/CB$19</f>
        <v>0.10864198654432025</v>
      </c>
      <c r="CC46" s="651">
        <f>CC45/CC$19</f>
        <v>0.10248291662300213</v>
      </c>
      <c r="CD46" s="651">
        <f>CD45/CD$19</f>
        <v>0.10681444377990432</v>
      </c>
      <c r="CE46" s="281">
        <f>CE45/CE$19</f>
        <v>0.10730004135041292</v>
      </c>
      <c r="CF46" s="516"/>
      <c r="CG46" s="651">
        <f>CG45/CG$19</f>
        <v>9.953102469813066E-2</v>
      </c>
      <c r="CH46" s="651">
        <f>CH45/CH$19</f>
        <v>9.5248990018866025E-2</v>
      </c>
      <c r="CI46" s="651">
        <f>CI45/CI$19</f>
        <v>9.4109290658055914E-2</v>
      </c>
      <c r="CJ46" s="651">
        <f>CJ45/CJ$19</f>
        <v>9.6947714101596222E-2</v>
      </c>
      <c r="CK46" s="281">
        <f>CK45/CK$19</f>
        <v>9.6387907636410752E-2</v>
      </c>
      <c r="CL46" s="516"/>
      <c r="CM46" s="651">
        <f>CM45/CM$19</f>
        <v>9.3479452969655166E-2</v>
      </c>
      <c r="CN46" s="651">
        <f>CN45/CN$19</f>
        <v>0.10713005580820753</v>
      </c>
      <c r="CO46" s="651">
        <f>CO45/CO$19</f>
        <v>9.9258430371484185E-2</v>
      </c>
      <c r="CP46" s="651">
        <f>CP45/CP$19</f>
        <v>9.6270773866297468E-2</v>
      </c>
      <c r="CQ46" s="281">
        <f>CQ45/CQ$19</f>
        <v>9.9032243150129914E-2</v>
      </c>
      <c r="CR46" s="516"/>
      <c r="CS46" s="651">
        <f>CS45/CS$19</f>
        <v>9.3472509181895161E-2</v>
      </c>
      <c r="CT46" s="651">
        <f>CT45/CT$19</f>
        <v>9.5973241609016907E-2</v>
      </c>
      <c r="CU46" s="651">
        <f>CU45/CU$19</f>
        <v>8.8232473493763244E-2</v>
      </c>
      <c r="CV46" s="651">
        <f>CV45/CV$19</f>
        <v>8.5662484395842453E-2</v>
      </c>
      <c r="CW46" s="281">
        <f>CW45/CW$19</f>
        <v>9.0619171046750727E-2</v>
      </c>
      <c r="CX46" s="516"/>
      <c r="CY46" s="1735">
        <v>8.5000000000000006E-2</v>
      </c>
      <c r="CZ46" s="1735">
        <v>8.5000000000000006E-2</v>
      </c>
      <c r="DA46" s="1735">
        <v>8.2000000000000003E-2</v>
      </c>
      <c r="DB46" s="1735">
        <v>8.7999999999999995E-2</v>
      </c>
      <c r="DC46" s="281">
        <f>DC45/DC$19</f>
        <v>8.5041946527193282E-2</v>
      </c>
      <c r="DD46" s="516"/>
      <c r="DE46" s="1735">
        <f>CY46-0.0025</f>
        <v>8.2500000000000004E-2</v>
      </c>
      <c r="DF46" s="1735">
        <f t="shared" ref="DF46:DH46" si="3">CZ46-0.005</f>
        <v>0.08</v>
      </c>
      <c r="DG46" s="1735">
        <f>DA46-0.0025</f>
        <v>7.9500000000000001E-2</v>
      </c>
      <c r="DH46" s="1735">
        <f t="shared" si="3"/>
        <v>8.299999999999999E-2</v>
      </c>
      <c r="DI46" s="281">
        <f>DI45/DI$19</f>
        <v>8.1254483930330204E-2</v>
      </c>
      <c r="DJ46" s="516"/>
      <c r="DK46" s="1735">
        <f>DE46</f>
        <v>8.2500000000000004E-2</v>
      </c>
      <c r="DL46" s="1735">
        <f t="shared" ref="DL46:DN46" si="4">DF46</f>
        <v>0.08</v>
      </c>
      <c r="DM46" s="1735">
        <f t="shared" si="4"/>
        <v>7.9500000000000001E-2</v>
      </c>
      <c r="DN46" s="1735">
        <f t="shared" si="4"/>
        <v>8.299999999999999E-2</v>
      </c>
      <c r="DO46" s="281">
        <f>DO45/DO$19</f>
        <v>8.1254806233668667E-2</v>
      </c>
      <c r="DP46" s="918"/>
    </row>
    <row r="47" spans="1:132" ht="10.5" hidden="1" customHeight="1" outlineLevel="1">
      <c r="A47" s="1736" t="s">
        <v>873</v>
      </c>
      <c r="B47" s="1737"/>
      <c r="C47" s="1738"/>
      <c r="D47" s="1739">
        <f>D45/C45-1</f>
        <v>2.4691295546558707</v>
      </c>
      <c r="E47" s="1739">
        <f>E45/D45-1</f>
        <v>0.21327498176513493</v>
      </c>
      <c r="F47" s="1740"/>
      <c r="G47" s="1738"/>
      <c r="H47" s="1738"/>
      <c r="I47" s="1738"/>
      <c r="J47" s="1738"/>
      <c r="K47" s="1738"/>
      <c r="L47" s="1740"/>
      <c r="M47" s="1741">
        <f>M45/G45-1</f>
        <v>0.66286496350364943</v>
      </c>
      <c r="N47" s="1741">
        <f>N45/H45-1</f>
        <v>0.48992493085736855</v>
      </c>
      <c r="O47" s="1741">
        <f>O45/I45-1</f>
        <v>-8.2607772350817399E-2</v>
      </c>
      <c r="P47" s="1741">
        <f>P45/J45-1</f>
        <v>0.46880317640385716</v>
      </c>
      <c r="Q47" s="1741">
        <f>Q45/K45-1</f>
        <v>0.3053711992591448</v>
      </c>
      <c r="R47" s="1740"/>
      <c r="S47" s="1741">
        <f>S45/M45-1</f>
        <v>0.52894375857338827</v>
      </c>
      <c r="T47" s="1741">
        <f>T45/N45-1</f>
        <v>0.75948024396711755</v>
      </c>
      <c r="U47" s="1741">
        <f>U45/O45-1</f>
        <v>0.91689814814814818</v>
      </c>
      <c r="V47" s="1741">
        <f>V45/P45-1</f>
        <v>0.88820235566711703</v>
      </c>
      <c r="W47" s="1741">
        <f>W45/Q45-1</f>
        <v>0.78941767661838624</v>
      </c>
      <c r="X47" s="1740"/>
      <c r="Y47" s="1741">
        <f>Y45/S45-1</f>
        <v>0.69083079131527003</v>
      </c>
      <c r="Z47" s="1741">
        <f>Z45/T45-1</f>
        <v>0.71137905048982675</v>
      </c>
      <c r="AA47" s="1741">
        <f>AA45/U45-1</f>
        <v>0.47264823088998908</v>
      </c>
      <c r="AB47" s="1741">
        <f>AB45/V45-1</f>
        <v>0.5352285509765824</v>
      </c>
      <c r="AC47" s="1741">
        <f>AC45/W45-1</f>
        <v>0.58537068851592422</v>
      </c>
      <c r="AD47" s="1740"/>
      <c r="AE47" s="1741">
        <f>AE45/Y45-1</f>
        <v>0.82054547384060283</v>
      </c>
      <c r="AF47" s="1741">
        <f>AF45/Z45-1</f>
        <v>0.47239101717305165</v>
      </c>
      <c r="AG47" s="1741">
        <f>AG45/AA45-1</f>
        <v>0.46986469864698654</v>
      </c>
      <c r="AH47" s="1741">
        <f>AH45/AB45-1</f>
        <v>0.44474788516618924</v>
      </c>
      <c r="AI47" s="381">
        <f>AI45/AC45-1</f>
        <v>0.53146751135747938</v>
      </c>
      <c r="AJ47" s="1740"/>
      <c r="AK47" s="1741">
        <f>AK45/AE45-1</f>
        <v>0.26744389390848156</v>
      </c>
      <c r="AL47" s="1741">
        <f>AL45/AF45-1</f>
        <v>0.36473473293857284</v>
      </c>
      <c r="AM47" s="1741">
        <f>AM45/AG45-1</f>
        <v>0.40195258019525792</v>
      </c>
      <c r="AN47" s="1741">
        <f>AN45/AH45-1</f>
        <v>0.44287690179806383</v>
      </c>
      <c r="AO47" s="381">
        <f>AO45/AI45-1</f>
        <v>0.37416484099661163</v>
      </c>
      <c r="AP47" s="1740"/>
      <c r="AQ47" s="1741">
        <f>AQ45/AK45-1</f>
        <v>0.52977969921353996</v>
      </c>
      <c r="AR47" s="1741">
        <f>AR45/AL45-1</f>
        <v>0.44024192488057157</v>
      </c>
      <c r="AS47" s="1741">
        <f>AS45/AM45-1</f>
        <v>0.45459610027855168</v>
      </c>
      <c r="AT47" s="1741">
        <f>AT45/AN45-1</f>
        <v>0.13433026584867069</v>
      </c>
      <c r="AU47" s="381">
        <f>AU45/AO45-1</f>
        <v>0.36828867367753948</v>
      </c>
      <c r="AV47" s="1740"/>
      <c r="AW47" s="1741">
        <f>AW45/AQ45-1</f>
        <v>0.13249353616739823</v>
      </c>
      <c r="AX47" s="1741">
        <f>AX45/AR45-1</f>
        <v>0.25737934392307227</v>
      </c>
      <c r="AY47" s="1741">
        <f>AY45/AS45-1</f>
        <v>0.21078404552169383</v>
      </c>
      <c r="AZ47" s="1741">
        <f>AZ45/AT45-1</f>
        <v>0.36819718309859151</v>
      </c>
      <c r="BA47" s="381">
        <f>BA45/AU45-1</f>
        <v>0.24346133248418722</v>
      </c>
      <c r="BB47" s="1740"/>
      <c r="BC47" s="1741">
        <f>BC45/AW45-1</f>
        <v>0.30375109506490761</v>
      </c>
      <c r="BD47" s="1741">
        <f>BD45/AX45-1</f>
        <v>0.31892545982575027</v>
      </c>
      <c r="BE47" s="1741">
        <f>BE45/AY45-1</f>
        <v>0.27931042273887807</v>
      </c>
      <c r="BF47" s="1741">
        <f>BF45/AZ45-1</f>
        <v>0.29212904819748431</v>
      </c>
      <c r="BG47" s="381">
        <f>BG45/BA45-1</f>
        <v>0.29781921673388845</v>
      </c>
      <c r="BH47" s="1740"/>
      <c r="BI47" s="1741">
        <f>BI45/BC45-1</f>
        <v>0.46722730141923385</v>
      </c>
      <c r="BJ47" s="1741">
        <f>BJ45/BD45-1</f>
        <v>0.33092957539726209</v>
      </c>
      <c r="BK47" s="1741">
        <f>BK45/BE45-1</f>
        <v>0.30135462107698552</v>
      </c>
      <c r="BL47" s="1741">
        <f>BL45/BF45-1</f>
        <v>0.26392606755895454</v>
      </c>
      <c r="BM47" s="381">
        <f>BM45/BG45-1</f>
        <v>0.33458002601013481</v>
      </c>
      <c r="BN47" s="1740"/>
      <c r="BO47" s="1741">
        <f>BO45/BI45-1</f>
        <v>0.18296626281971218</v>
      </c>
      <c r="BP47" s="1741">
        <f>BP45/BJ45-1</f>
        <v>0.19134738670674034</v>
      </c>
      <c r="BQ47" s="1741">
        <f>BQ45/BK45-1</f>
        <v>0.29294012268606484</v>
      </c>
      <c r="BR47" s="1741">
        <f>BR45/BL45-1</f>
        <v>0.22186223589329845</v>
      </c>
      <c r="BS47" s="381">
        <f>BS45/BM45-1</f>
        <v>0.2226056626724644</v>
      </c>
      <c r="BT47" s="1740"/>
      <c r="BU47" s="1741">
        <f>BU45/BO45-1</f>
        <v>0.2896376157013647</v>
      </c>
      <c r="BV47" s="1741">
        <f>BV45/BP45-1</f>
        <v>0.52992639911123463</v>
      </c>
      <c r="BW47" s="1741">
        <f>BW45/BQ45-1</f>
        <v>0.31913843957635746</v>
      </c>
      <c r="BX47" s="1741">
        <f>BX45/BR45-1</f>
        <v>0.41587652053692103</v>
      </c>
      <c r="BY47" s="381">
        <f>BY45/BS45-1</f>
        <v>0.38805810166417021</v>
      </c>
      <c r="BZ47" s="1740"/>
      <c r="CA47" s="1741">
        <f>CA45/BU45-1</f>
        <v>0.2483398526334939</v>
      </c>
      <c r="CB47" s="1741">
        <f>CB45/BV45-1</f>
        <v>8.3552691295270876E-2</v>
      </c>
      <c r="CC47" s="1741">
        <f>CC45/BW45-1</f>
        <v>0.12833305483278035</v>
      </c>
      <c r="CD47" s="1741">
        <f>CD45/BX45-1</f>
        <v>0.12441795221196394</v>
      </c>
      <c r="CE47" s="381">
        <f>CE45/BY45-1</f>
        <v>0.14166854771324133</v>
      </c>
      <c r="CF47" s="1740"/>
      <c r="CG47" s="1741">
        <f>CG45/CA45-1</f>
        <v>9.6028565182540548E-2</v>
      </c>
      <c r="CH47" s="1741">
        <f>CH45/CB45-1</f>
        <v>8.6924956369982542E-2</v>
      </c>
      <c r="CI47" s="1741">
        <f>CI45/CC45-1</f>
        <v>0.13618380688429554</v>
      </c>
      <c r="CJ47" s="1741">
        <f>CJ45/CD45-1</f>
        <v>0.13681993454521879</v>
      </c>
      <c r="CK47" s="381">
        <f>CK45/CE45-1</f>
        <v>0.11455879955461978</v>
      </c>
      <c r="CL47" s="1740"/>
      <c r="CM47" s="1741">
        <f>CM45/CG45-1</f>
        <v>0.19117999042604117</v>
      </c>
      <c r="CN47" s="1741">
        <f>CN45/CH45-1</f>
        <v>0.40128578952100802</v>
      </c>
      <c r="CO47" s="1741">
        <f>CO45/CI45-1</f>
        <v>0.32136029594319471</v>
      </c>
      <c r="CP47" s="1741">
        <f>CP45/CJ45-1</f>
        <v>0.25896577868735626</v>
      </c>
      <c r="CQ47" s="381">
        <f>CQ45/CK45-1</f>
        <v>0.29322527888908057</v>
      </c>
      <c r="CR47" s="1740"/>
      <c r="CS47" s="1741">
        <f>CS45/CM45-1</f>
        <v>0.24564223639925653</v>
      </c>
      <c r="CT47" s="1741">
        <f>CT45/CN45-1</f>
        <v>0.12677889661430997</v>
      </c>
      <c r="CU47" s="1741">
        <f>CU45/CO45-1</f>
        <v>0.11067843503830654</v>
      </c>
      <c r="CV47" s="1741">
        <f>CV45/CP45-1</f>
        <v>0.10586658455742537</v>
      </c>
      <c r="CW47" s="381">
        <f>CW45/CQ45-1</f>
        <v>0.14272203417974527</v>
      </c>
      <c r="CX47" s="1740"/>
      <c r="CY47" s="1741">
        <f>CY45/CS45-1</f>
        <v>0.12136700229233344</v>
      </c>
      <c r="CZ47" s="1741">
        <f>CZ45/CT45-1</f>
        <v>7.7614769692180063E-2</v>
      </c>
      <c r="DA47" s="1741">
        <f>DA45/CU45-1</f>
        <v>0.12205372869892117</v>
      </c>
      <c r="DB47" s="1741">
        <f>DB45/CV45-1</f>
        <v>0.22985305434296133</v>
      </c>
      <c r="DC47" s="381">
        <f>DC45/CW45-1</f>
        <v>0.13811041274918945</v>
      </c>
      <c r="DD47" s="1740"/>
      <c r="DE47" s="1741">
        <f>DE45/CY45-1</f>
        <v>0.16672025916737132</v>
      </c>
      <c r="DF47" s="1741">
        <f>DF45/CZ45-1</f>
        <v>0.13223154893344957</v>
      </c>
      <c r="DG47" s="1741">
        <f>DG45/DA45-1</f>
        <v>0.16637909542426965</v>
      </c>
      <c r="DH47" s="1741">
        <f>DH45/DB45-1</f>
        <v>0.12793589984914</v>
      </c>
      <c r="DI47" s="381">
        <f>DI45/DC45-1</f>
        <v>0.1474052244345776</v>
      </c>
      <c r="DJ47" s="1740"/>
      <c r="DK47" s="1741">
        <f>DK45/DE45-1</f>
        <v>0.19692078603125918</v>
      </c>
      <c r="DL47" s="1741">
        <f>DL45/DF45-1</f>
        <v>0.19418778795264968</v>
      </c>
      <c r="DM47" s="1741">
        <f>DM45/DG45-1</f>
        <v>0.19295287657664995</v>
      </c>
      <c r="DN47" s="1741">
        <f>DN45/DH45-1</f>
        <v>0.19213755742988692</v>
      </c>
      <c r="DO47" s="381">
        <f>DO45/DI45-1</f>
        <v>0.19396302336109716</v>
      </c>
      <c r="DP47" s="918"/>
    </row>
    <row r="48" spans="1:132" ht="10.5" hidden="1" customHeight="1" outlineLevel="1">
      <c r="A48" s="1736" t="s">
        <v>874</v>
      </c>
      <c r="B48" s="1737"/>
      <c r="C48" s="1738"/>
      <c r="D48" s="1739"/>
      <c r="E48" s="1739"/>
      <c r="F48" s="1740"/>
      <c r="G48" s="1738"/>
      <c r="H48" s="1738"/>
      <c r="I48" s="1738"/>
      <c r="J48" s="1738"/>
      <c r="K48" s="1738"/>
      <c r="L48" s="1740"/>
      <c r="M48" s="1741">
        <f>M45/J45-1</f>
        <v>3.3749290981281987E-2</v>
      </c>
      <c r="N48" s="1741">
        <f>N45/M45-1</f>
        <v>3.4567901234567877E-2</v>
      </c>
      <c r="O48" s="1741">
        <f>O45/N45-1</f>
        <v>0.14558472553699287</v>
      </c>
      <c r="P48" s="1741">
        <f>P45/O45-1</f>
        <v>0.19884259259259252</v>
      </c>
      <c r="Q48" s="1741"/>
      <c r="R48" s="1740"/>
      <c r="S48" s="1741">
        <f>S45/P45-1</f>
        <v>7.6076462637574949E-2</v>
      </c>
      <c r="T48" s="1741">
        <f>T45/S45-1</f>
        <v>0.19056163646151081</v>
      </c>
      <c r="U48" s="1741">
        <f>U45/T45-1</f>
        <v>0.24807837226827445</v>
      </c>
      <c r="V48" s="1741">
        <f>V45/U45-1</f>
        <v>0.18089602704987318</v>
      </c>
      <c r="W48" s="1741"/>
      <c r="X48" s="1740"/>
      <c r="Y48" s="1741">
        <f>Y45/V45-1</f>
        <v>-3.6404540341548164E-2</v>
      </c>
      <c r="Z48" s="1741">
        <f>Z45/Y45-1</f>
        <v>0.20503024514485846</v>
      </c>
      <c r="AA48" s="1741">
        <f>AA45/Z45-1</f>
        <v>7.3976221928665709E-2</v>
      </c>
      <c r="AB48" s="1741">
        <f>AB45/AA45-1</f>
        <v>0.23107831078310781</v>
      </c>
      <c r="AC48" s="1741"/>
      <c r="AD48" s="1740"/>
      <c r="AE48" s="1741">
        <f>AE45/AB45-1</f>
        <v>0.1426763471657897</v>
      </c>
      <c r="AF48" s="1741">
        <f>AF45/AE45-1</f>
        <v>-2.5415330807344816E-2</v>
      </c>
      <c r="AG48" s="1741">
        <f>AG45/AF45-1</f>
        <v>7.2133500807464612E-2</v>
      </c>
      <c r="AH48" s="1741">
        <f>AH45/AG45-1</f>
        <v>0.21004184100418399</v>
      </c>
      <c r="AI48" s="381"/>
      <c r="AJ48" s="1740"/>
      <c r="AK48" s="1741">
        <f>AK45/AH45-1</f>
        <v>2.443522360535022E-3</v>
      </c>
      <c r="AL48" s="1741">
        <f>AL45/AK45-1</f>
        <v>4.9395207653037732E-2</v>
      </c>
      <c r="AM48" s="1741">
        <f>AM45/AL45-1</f>
        <v>0.10137178419599424</v>
      </c>
      <c r="AN48" s="1741">
        <f>AN45/AM45-1</f>
        <v>0.24536410664544372</v>
      </c>
      <c r="AO48" s="381"/>
      <c r="AP48" s="1740"/>
      <c r="AQ48" s="1741">
        <f>AQ45/AN45-1</f>
        <v>6.2819529652351713E-2</v>
      </c>
      <c r="AR48" s="1741">
        <f>AR45/AQ45-1</f>
        <v>-1.2025735073056265E-2</v>
      </c>
      <c r="AS48" s="1741">
        <f>AS45/AR45-1</f>
        <v>0.1123486093360111</v>
      </c>
      <c r="AT48" s="1741">
        <f>AT45/AS45-1</f>
        <v>-2.8834053728730158E-2</v>
      </c>
      <c r="AU48" s="381"/>
      <c r="AV48" s="1740"/>
      <c r="AW48" s="1741">
        <f>AW45/AT45-1</f>
        <v>6.1098591549295644E-2</v>
      </c>
      <c r="AX48" s="1741">
        <f>AX45/AW45-1</f>
        <v>9.6923199447821906E-2</v>
      </c>
      <c r="AY48" s="1741">
        <f>AY45/AX45-1</f>
        <v>7.1127783155856772E-2</v>
      </c>
      <c r="AZ48" s="1741">
        <f>AZ45/AY45-1</f>
        <v>9.742651212182829E-2</v>
      </c>
      <c r="BA48" s="381"/>
      <c r="BB48" s="1740"/>
      <c r="BC48" s="1741">
        <f>BC45/AZ45-1</f>
        <v>1.1117745156574932E-2</v>
      </c>
      <c r="BD48" s="1741">
        <f>BD45/BC45-1</f>
        <v>0.10969029341695369</v>
      </c>
      <c r="BE48" s="1741">
        <f>BE45/BD45-1</f>
        <v>3.8955558002128576E-2</v>
      </c>
      <c r="BF48" s="1741">
        <f>BF45/BE45-1</f>
        <v>0.10842267003408623</v>
      </c>
      <c r="BG48" s="381"/>
      <c r="BH48" s="1740"/>
      <c r="BI48" s="1741">
        <f>BI45/BF45-1</f>
        <v>0.14813575525812595</v>
      </c>
      <c r="BJ48" s="1741">
        <f>BJ45/BI45-1</f>
        <v>6.6058814549594391E-3</v>
      </c>
      <c r="BK48" s="1741">
        <f>BK45/BJ45-1</f>
        <v>1.5868639102201598E-2</v>
      </c>
      <c r="BL48" s="1741">
        <f>BL45/BK45-1</f>
        <v>7.6543075837359531E-2</v>
      </c>
      <c r="BM48" s="381"/>
      <c r="BN48" s="1740"/>
      <c r="BO48" s="1741">
        <f>BO45/BL45-1</f>
        <v>7.4592809238061442E-2</v>
      </c>
      <c r="BP48" s="1741">
        <f>BP45/BO45-1</f>
        <v>1.373752067666989E-2</v>
      </c>
      <c r="BQ48" s="1741">
        <f>BQ45/BP45-1</f>
        <v>0.10249733833263908</v>
      </c>
      <c r="BR48" s="1741">
        <f>BR45/BQ45-1</f>
        <v>1.7361366236656073E-2</v>
      </c>
      <c r="BS48" s="381"/>
      <c r="BT48" s="1740"/>
      <c r="BU48" s="1741">
        <f>BU45/BR45-1</f>
        <v>0.13419931285659747</v>
      </c>
      <c r="BV48" s="1741">
        <f>BV45/BU45-1</f>
        <v>0.20261984899481478</v>
      </c>
      <c r="BW48" s="1741">
        <f>BW45/BV45-1</f>
        <v>-4.9400925841880716E-2</v>
      </c>
      <c r="BX48" s="1741">
        <f>BX45/BW45-1</f>
        <v>9.1968839766696009E-2</v>
      </c>
      <c r="BY48" s="381"/>
      <c r="BZ48" s="1740"/>
      <c r="CA48" s="1741">
        <f>CA45/BX45-1</f>
        <v>-7.2869832618005503E-6</v>
      </c>
      <c r="CB48" s="1741">
        <f>CB45/CA45-1</f>
        <v>4.3867958901115056E-2</v>
      </c>
      <c r="CC48" s="1741">
        <f>CC45/CB45-1</f>
        <v>-1.0115183246073189E-2</v>
      </c>
      <c r="CD48" s="1741">
        <f>CD45/CC45-1</f>
        <v>8.8179914104977941E-2</v>
      </c>
      <c r="CE48" s="381"/>
      <c r="CF48" s="1740"/>
      <c r="CG48" s="1741">
        <f>CG45/CD45-1</f>
        <v>-2.5255176436278726E-2</v>
      </c>
      <c r="CH48" s="1741">
        <f>CH45/CG45-1</f>
        <v>3.5197595872559884E-2</v>
      </c>
      <c r="CI48" s="1741">
        <f>CI45/CH45-1</f>
        <v>3.4745860682586116E-2</v>
      </c>
      <c r="CJ48" s="1741">
        <f>CJ45/CI45-1</f>
        <v>8.8789165301156769E-2</v>
      </c>
      <c r="CK48" s="381"/>
      <c r="CL48" s="1740"/>
      <c r="CM48" s="1741">
        <f>CM45/CJ45-1</f>
        <v>2.1354828779422741E-2</v>
      </c>
      <c r="CN48" s="1741">
        <f>CN45/CM45-1</f>
        <v>0.21779050361960883</v>
      </c>
      <c r="CO48" s="1741">
        <f>CO45/CN45-1</f>
        <v>-2.4273201853489912E-2</v>
      </c>
      <c r="CP48" s="1741">
        <f>CP45/CO45-1</f>
        <v>3.7376636431533994E-2</v>
      </c>
      <c r="CQ48" s="381"/>
      <c r="CR48" s="1740"/>
      <c r="CS48" s="1741">
        <f>CS45/CP45-1</f>
        <v>1.0545905707196379E-2</v>
      </c>
      <c r="CT48" s="1741">
        <f>CT45/CS45-1</f>
        <v>0.10158486913739551</v>
      </c>
      <c r="CU48" s="1741">
        <f>CU45/CT45-1</f>
        <v>-3.8215290997543172E-2</v>
      </c>
      <c r="CV48" s="1741">
        <f>CV45/CU45-1</f>
        <v>3.2882355180186895E-2</v>
      </c>
      <c r="CW48" s="381"/>
      <c r="CX48" s="1740"/>
      <c r="CY48" s="1741">
        <f>CY45/CV45-1</f>
        <v>2.4710257806713987E-2</v>
      </c>
      <c r="CZ48" s="1741">
        <f>CZ45/CY45-1</f>
        <v>5.8604473491025155E-2</v>
      </c>
      <c r="DA48" s="1741">
        <f>DA45/CZ45-1</f>
        <v>1.4470377480804153E-3</v>
      </c>
      <c r="DB48" s="1741">
        <f>DB45/DA45-1</f>
        <v>0.13211469897103312</v>
      </c>
      <c r="DC48" s="381"/>
      <c r="DD48" s="1740"/>
      <c r="DE48" s="1741">
        <f>DE45/DB45-1</f>
        <v>-2.7891817369656513E-2</v>
      </c>
      <c r="DF48" s="1741">
        <f>DF45/DE45-1</f>
        <v>2.7311708450139749E-2</v>
      </c>
      <c r="DG48" s="1741">
        <f>DG45/DF45-1</f>
        <v>3.1650187723728074E-2</v>
      </c>
      <c r="DH48" s="1741">
        <f>DH45/DG45-1</f>
        <v>9.4800838531694964E-2</v>
      </c>
      <c r="DI48" s="381"/>
      <c r="DJ48" s="1740"/>
      <c r="DK48" s="1741">
        <f>DK45/DH45-1</f>
        <v>3.1562600513868944E-2</v>
      </c>
      <c r="DL48" s="1741">
        <f>DL45/DK45-1</f>
        <v>2.4965988534424222E-2</v>
      </c>
      <c r="DM48" s="1741">
        <f>DM45/DL45-1</f>
        <v>3.0583356723005384E-2</v>
      </c>
      <c r="DN48" s="1741">
        <f>DN45/DM45-1</f>
        <v>9.4052601025358173E-2</v>
      </c>
      <c r="DO48" s="381"/>
      <c r="DP48" s="918"/>
    </row>
    <row r="49" spans="1:127" ht="12.75" customHeight="1" collapsed="1">
      <c r="A49" s="1742" t="s">
        <v>883</v>
      </c>
      <c r="B49" s="1728"/>
      <c r="C49" s="300"/>
      <c r="D49" s="300"/>
      <c r="E49" s="300"/>
      <c r="F49" s="1731"/>
      <c r="G49" s="1743"/>
      <c r="H49" s="1743"/>
      <c r="I49" s="1743"/>
      <c r="J49" s="1743"/>
      <c r="K49" s="300">
        <f>K150</f>
        <v>4.8049999999999997</v>
      </c>
      <c r="L49" s="1731"/>
      <c r="M49" s="300">
        <f t="shared" ref="M49:AB49" si="5">M150</f>
        <v>1.7315909090909083</v>
      </c>
      <c r="N49" s="300">
        <f t="shared" si="5"/>
        <v>2.0942125984251958</v>
      </c>
      <c r="O49" s="300">
        <f t="shared" si="5"/>
        <v>2.4364361865709894</v>
      </c>
      <c r="P49" s="300">
        <f t="shared" si="5"/>
        <v>2.5650140186915897</v>
      </c>
      <c r="Q49" s="300">
        <f>SUM(M49:P49)</f>
        <v>8.827253712778683</v>
      </c>
      <c r="R49" s="1731"/>
      <c r="S49" s="300">
        <f t="shared" si="5"/>
        <v>3.2859647577092503</v>
      </c>
      <c r="T49" s="300">
        <f t="shared" si="5"/>
        <v>3.9899407294832772</v>
      </c>
      <c r="U49" s="300">
        <f t="shared" si="5"/>
        <v>3.7311300448430487</v>
      </c>
      <c r="V49" s="300">
        <f t="shared" si="5"/>
        <v>5.0279573170731728</v>
      </c>
      <c r="W49" s="300">
        <f>SUM(S49:V49)</f>
        <v>16.03499284910875</v>
      </c>
      <c r="X49" s="1731"/>
      <c r="Y49" s="300">
        <f t="shared" si="5"/>
        <v>5.9474999999999998</v>
      </c>
      <c r="Z49" s="300">
        <f t="shared" si="5"/>
        <v>6.5594994276993521</v>
      </c>
      <c r="AA49" s="300">
        <f t="shared" si="5"/>
        <v>7.5306774628879918</v>
      </c>
      <c r="AB49" s="300">
        <f t="shared" si="5"/>
        <v>8.0334071336760964</v>
      </c>
      <c r="AC49" s="300">
        <f>SUM(Y49:AB49)</f>
        <v>28.071084024263438</v>
      </c>
      <c r="AD49" s="1731"/>
      <c r="AE49" s="510">
        <f>7.606</f>
        <v>7.6059999999999999</v>
      </c>
      <c r="AF49" s="510">
        <v>10.193</v>
      </c>
      <c r="AG49" s="510">
        <v>10.24</v>
      </c>
      <c r="AH49" s="510">
        <f>11.166</f>
        <v>11.166</v>
      </c>
      <c r="AI49" s="265">
        <f>SUM(AE49:AH49)</f>
        <v>39.204999999999998</v>
      </c>
      <c r="AJ49" s="1731"/>
      <c r="AK49" s="510">
        <f>12.012</f>
        <v>12.012</v>
      </c>
      <c r="AL49" s="510">
        <v>13.430999999999999</v>
      </c>
      <c r="AM49" s="510">
        <v>14.178000000000001</v>
      </c>
      <c r="AN49" s="510">
        <f>15.586</f>
        <v>15.586</v>
      </c>
      <c r="AO49" s="265">
        <f>SUM(AK49:AN49)</f>
        <v>55.206999999999994</v>
      </c>
      <c r="AP49" s="1731"/>
      <c r="AQ49" s="510">
        <v>18.065000000000001</v>
      </c>
      <c r="AR49" s="510">
        <v>18.899999999999999</v>
      </c>
      <c r="AS49" s="510">
        <v>19.276</v>
      </c>
      <c r="AT49" s="510">
        <v>21.140999999999998</v>
      </c>
      <c r="AU49" s="265">
        <f>SUM(AQ49:AT49)</f>
        <v>77.382000000000005</v>
      </c>
      <c r="AV49" s="1731"/>
      <c r="AW49" s="510">
        <v>21.663</v>
      </c>
      <c r="AX49" s="510">
        <f>3.171+2.95+9.317+5.439</f>
        <v>20.877000000000002</v>
      </c>
      <c r="AY49" s="510">
        <f>2.995+2.707+9.055+5.65</f>
        <v>20.407</v>
      </c>
      <c r="AZ49" s="510">
        <f>3.248+4.388+11.408+6.901</f>
        <v>25.945</v>
      </c>
      <c r="BA49" s="265">
        <f>SUM(AW49:AZ49)</f>
        <v>88.891999999999996</v>
      </c>
      <c r="BB49" s="1731"/>
      <c r="BC49" s="510">
        <f>3.074+4.102+12.21+7.082</f>
        <v>26.468000000000004</v>
      </c>
      <c r="BD49" s="510">
        <f>3.186+4.041+12.317+7.071</f>
        <v>26.615000000000002</v>
      </c>
      <c r="BE49" s="510">
        <f>2.357+3.976+11.969+7.33</f>
        <v>25.631999999999998</v>
      </c>
      <c r="BF49" s="510">
        <f>3.541+6.778+19.955+11.44</f>
        <v>41.713999999999999</v>
      </c>
      <c r="BG49" s="265">
        <f>SUM(BC49:BF49)</f>
        <v>120.429</v>
      </c>
      <c r="BH49" s="1731"/>
      <c r="BI49" s="510">
        <f>BI150</f>
        <v>47.558</v>
      </c>
      <c r="BJ49" s="510">
        <f>BJ150</f>
        <v>54.594000000000001</v>
      </c>
      <c r="BK49" s="510">
        <f>BK150</f>
        <v>57.006</v>
      </c>
      <c r="BL49" s="510">
        <f>BL150</f>
        <v>70.099999999999994</v>
      </c>
      <c r="BM49" s="265">
        <f>SUM(BI49:BL49)</f>
        <v>229.25800000000001</v>
      </c>
      <c r="BN49" s="1731"/>
      <c r="BO49" s="510">
        <f>BO150</f>
        <v>81.266000000000005</v>
      </c>
      <c r="BP49" s="510">
        <f>BP150</f>
        <v>85.417000000000002</v>
      </c>
      <c r="BQ49" s="510">
        <f>BQ150</f>
        <v>105.11199999999999</v>
      </c>
      <c r="BR49" s="510">
        <f>BR150</f>
        <v>107.55500000000001</v>
      </c>
      <c r="BS49" s="265">
        <f>SUM(BO49:BR49)</f>
        <v>379.34999999999997</v>
      </c>
      <c r="BT49" s="1731"/>
      <c r="BU49" s="510">
        <f>BU150</f>
        <v>114.729</v>
      </c>
      <c r="BV49" s="510">
        <f>BV150</f>
        <v>110.476</v>
      </c>
      <c r="BW49" s="510">
        <f>BW150</f>
        <v>141.536</v>
      </c>
      <c r="BX49" s="510">
        <f>BX150</f>
        <v>136.53899999999999</v>
      </c>
      <c r="BY49" s="265">
        <f>SUM(BU49:BX49)</f>
        <v>503.28</v>
      </c>
      <c r="BZ49" s="1731"/>
      <c r="CA49" s="510">
        <f>CA150</f>
        <v>131.09200000000001</v>
      </c>
      <c r="CB49" s="510">
        <f>CB150</f>
        <v>142.411</v>
      </c>
      <c r="CC49" s="510">
        <f>CC150</f>
        <v>139.46</v>
      </c>
      <c r="CD49" s="510">
        <f>CD150</f>
        <v>151.80199999999999</v>
      </c>
      <c r="CE49" s="265">
        <f>SUM(CA49:CD49)</f>
        <v>564.7650000000001</v>
      </c>
      <c r="CF49" s="1731"/>
      <c r="CG49" s="510">
        <f>CG150</f>
        <v>142.56</v>
      </c>
      <c r="CH49" s="510">
        <f>CH150</f>
        <v>147.779</v>
      </c>
      <c r="CI49" s="510">
        <f>CI150</f>
        <v>144.31700000000001</v>
      </c>
      <c r="CJ49" s="510">
        <f>CJ150</f>
        <v>158.97200000000001</v>
      </c>
      <c r="CK49" s="265">
        <f>SUM(CG49:CJ49)</f>
        <v>593.62800000000004</v>
      </c>
      <c r="CL49" s="1731"/>
      <c r="CM49" s="510">
        <f>CM150</f>
        <v>188.91900000000001</v>
      </c>
      <c r="CN49" s="510">
        <f>CN150</f>
        <v>182.31</v>
      </c>
      <c r="CO49" s="510">
        <f>CO150</f>
        <v>204.751</v>
      </c>
      <c r="CP49" s="510">
        <f>CP150</f>
        <v>244.387</v>
      </c>
      <c r="CQ49" s="265">
        <f>SUM(CM49:CP49)</f>
        <v>820.36699999999996</v>
      </c>
      <c r="CR49" s="1731"/>
      <c r="CS49" s="510">
        <f>CS150</f>
        <v>251.56899999999999</v>
      </c>
      <c r="CT49" s="510">
        <f>CT150</f>
        <v>256.48500000000001</v>
      </c>
      <c r="CU49" s="510">
        <f>CU150</f>
        <v>251.27699999999999</v>
      </c>
      <c r="CV49" s="510">
        <f>CV150</f>
        <v>237.68199999999999</v>
      </c>
      <c r="CW49" s="265">
        <f>SUM(CS49:CV49)</f>
        <v>997.01299999999992</v>
      </c>
      <c r="CX49" s="1731"/>
      <c r="CY49" s="510">
        <f>CY150</f>
        <v>264.14744999999999</v>
      </c>
      <c r="CZ49" s="510">
        <f>CZ150</f>
        <v>282.13350000000003</v>
      </c>
      <c r="DA49" s="510">
        <f>DA150</f>
        <v>276.40469999999999</v>
      </c>
      <c r="DB49" s="510">
        <f>DB150</f>
        <v>261.4502</v>
      </c>
      <c r="DC49" s="265">
        <f>SUM(CY49:DB49)</f>
        <v>1084.1358500000001</v>
      </c>
      <c r="DD49" s="1731"/>
      <c r="DE49" s="510">
        <f>DE150</f>
        <v>277.35482250000001</v>
      </c>
      <c r="DF49" s="510">
        <f>DF150</f>
        <v>296.24017500000002</v>
      </c>
      <c r="DG49" s="510">
        <f>DG150</f>
        <v>290.22493500000002</v>
      </c>
      <c r="DH49" s="510">
        <f>DH150</f>
        <v>274.52271000000002</v>
      </c>
      <c r="DI49" s="265">
        <f>SUM(DE49:DH49)</f>
        <v>1138.3426425</v>
      </c>
      <c r="DJ49" s="1731"/>
      <c r="DK49" s="510">
        <f>DK150</f>
        <v>291.22256362500002</v>
      </c>
      <c r="DL49" s="510">
        <f>DL150</f>
        <v>311.05218375000004</v>
      </c>
      <c r="DM49" s="510">
        <f>DM150</f>
        <v>304.73618175000001</v>
      </c>
      <c r="DN49" s="510">
        <f>DN150</f>
        <v>288.24884550000002</v>
      </c>
      <c r="DO49" s="265">
        <f>SUM(DK49:DN49)</f>
        <v>1195.2597746250001</v>
      </c>
      <c r="DP49" s="273"/>
    </row>
    <row r="50" spans="1:127" ht="12.75" hidden="1" customHeight="1" outlineLevel="1">
      <c r="A50" s="1744" t="s">
        <v>884</v>
      </c>
      <c r="B50" s="1718"/>
      <c r="C50" s="510"/>
      <c r="D50" s="510"/>
      <c r="E50" s="510"/>
      <c r="F50" s="516"/>
      <c r="G50" s="1719"/>
      <c r="H50" s="1719"/>
      <c r="I50" s="1719"/>
      <c r="J50" s="1719"/>
      <c r="K50" s="510"/>
      <c r="L50" s="516"/>
      <c r="M50" s="1719"/>
      <c r="N50" s="1719"/>
      <c r="O50" s="1719"/>
      <c r="P50" s="1719"/>
      <c r="Q50" s="510"/>
      <c r="R50" s="516"/>
      <c r="S50" s="1719"/>
      <c r="T50" s="1719"/>
      <c r="U50" s="1719"/>
      <c r="V50" s="1719"/>
      <c r="W50" s="510"/>
      <c r="X50" s="516"/>
      <c r="Y50" s="1719"/>
      <c r="Z50" s="1719"/>
      <c r="AA50" s="1719"/>
      <c r="AB50" s="1719"/>
      <c r="AC50" s="516"/>
      <c r="AD50" s="516"/>
      <c r="AE50" s="651">
        <f>AE49/AE$19</f>
        <v>7.2655369390367389E-2</v>
      </c>
      <c r="AF50" s="651">
        <f>AF49/AF$19</f>
        <v>8.6281182017488162E-2</v>
      </c>
      <c r="AG50" s="651">
        <f>AG49/AG$19</f>
        <v>7.8737130246899351E-2</v>
      </c>
      <c r="AH50" s="651">
        <f>AH49/AH$19</f>
        <v>7.7422307276282396E-2</v>
      </c>
      <c r="AI50" s="281">
        <f>AI49/AI$19</f>
        <v>7.8867748411781985E-2</v>
      </c>
      <c r="AJ50" s="516"/>
      <c r="AK50" s="651">
        <f>AK49/AK$19</f>
        <v>7.3960052212890676E-2</v>
      </c>
      <c r="AL50" s="651">
        <f>AL49/AL$19</f>
        <v>7.6062272410649057E-2</v>
      </c>
      <c r="AM50" s="651">
        <f>AM49/AM$19</f>
        <v>7.3536200162860541E-2</v>
      </c>
      <c r="AN50" s="651">
        <f>AN49/AN$19</f>
        <v>7.1856011359759525E-2</v>
      </c>
      <c r="AO50" s="281">
        <f>AO49/AO$19</f>
        <v>7.3737144383598241E-2</v>
      </c>
      <c r="AP50" s="516"/>
      <c r="AQ50" s="651">
        <f>AQ49/AQ$19</f>
        <v>7.2953937856894788E-2</v>
      </c>
      <c r="AR50" s="651">
        <f>AR49/AR$19</f>
        <v>7.1842084256700509E-2</v>
      </c>
      <c r="AS50" s="651">
        <f>AS49/AS$19</f>
        <v>6.9717563574417607E-2</v>
      </c>
      <c r="AT50" s="651">
        <f>AT49/AT$19</f>
        <v>7.3004976120835813E-2</v>
      </c>
      <c r="AU50" s="281">
        <f>AU49/AU$19</f>
        <v>7.1864996113372506E-2</v>
      </c>
      <c r="AV50" s="516"/>
      <c r="AW50" s="651">
        <f>AW49/AW$19</f>
        <v>7.1043932258530007E-2</v>
      </c>
      <c r="AX50" s="651">
        <f>AX49/AX$19</f>
        <v>6.6053704822803205E-2</v>
      </c>
      <c r="AY50" s="651">
        <f>AY49/AY$19</f>
        <v>6.1736686542691106E-2</v>
      </c>
      <c r="AZ50" s="651">
        <f>AZ49/AZ$19</f>
        <v>7.3280817062045089E-2</v>
      </c>
      <c r="BA50" s="281">
        <f>BA49/BA$19</f>
        <v>6.8086058105842368E-2</v>
      </c>
      <c r="BB50" s="516"/>
      <c r="BC50" s="651">
        <f>BC49/BC$19</f>
        <v>7.0241737944285371E-2</v>
      </c>
      <c r="BD50" s="651">
        <f>BD49/BD$19</f>
        <v>6.7487042690657556E-2</v>
      </c>
      <c r="BE50" s="651">
        <f>BE49/BE$19</f>
        <v>5.9736137426675703E-2</v>
      </c>
      <c r="BF50" s="651">
        <f>BF49/BF$19</f>
        <v>9.1304471542046156E-2</v>
      </c>
      <c r="BG50" s="281">
        <f>BG49/BG$19</f>
        <v>7.2672841566096755E-2</v>
      </c>
      <c r="BH50" s="516"/>
      <c r="BI50" s="651">
        <f>BI49/BI$19</f>
        <v>9.4293010603453062E-2</v>
      </c>
      <c r="BJ50" s="651">
        <f>BJ49/BJ$19</f>
        <v>9.9988644730239093E-2</v>
      </c>
      <c r="BK50" s="651">
        <f>BK49/BK$19</f>
        <v>9.7569575189128135E-2</v>
      </c>
      <c r="BL50" s="651">
        <f>BL49/BL$19</f>
        <v>0.11093299235812523</v>
      </c>
      <c r="BM50" s="281">
        <f>BM49/BM$19</f>
        <v>0.10114893235898433</v>
      </c>
      <c r="BN50" s="516"/>
      <c r="BO50" s="651">
        <f>BO49/BO$19</f>
        <v>0.11685097927004445</v>
      </c>
      <c r="BP50" s="651">
        <f>BP49/BP$19</f>
        <v>0.11674587131261029</v>
      </c>
      <c r="BQ50" s="651">
        <f>BQ49/BQ$19</f>
        <v>0.13332352441279657</v>
      </c>
      <c r="BR50" s="651">
        <f>BR49/BR$19</f>
        <v>0.12885761147072955</v>
      </c>
      <c r="BS50" s="281">
        <f>BS49/BS$19</f>
        <v>0.12436909771342486</v>
      </c>
      <c r="BT50" s="516"/>
      <c r="BU50" s="651">
        <f>BU49/BU$19</f>
        <v>0.12852874585635976</v>
      </c>
      <c r="BV50" s="651">
        <f>BV49/BV$19</f>
        <v>0.11542857859311624</v>
      </c>
      <c r="BW50" s="651">
        <f>BW49/BW$19</f>
        <v>0.13153487715072198</v>
      </c>
      <c r="BX50" s="651">
        <f>BX49/BX$19</f>
        <v>0.11922283674542149</v>
      </c>
      <c r="BY50" s="281">
        <f>BY49/BY$19</f>
        <v>0.12362555370261331</v>
      </c>
      <c r="BZ50" s="516"/>
      <c r="CA50" s="651">
        <f>CA49/CA$19</f>
        <v>0.10685930229904173</v>
      </c>
      <c r="CB50" s="651">
        <f>CB49/CB$19</f>
        <v>0.10800568199485648</v>
      </c>
      <c r="CC50" s="651">
        <f>CC49/CC$19</f>
        <v>0.10079102088309587</v>
      </c>
      <c r="CD50" s="651">
        <f>CD49/CD$19</f>
        <v>0.10508179381534645</v>
      </c>
      <c r="CE50" s="281">
        <f>CE49/CE$19</f>
        <v>0.10510020682650284</v>
      </c>
      <c r="CF50" s="516"/>
      <c r="CG50" s="651">
        <f>CG49/CG$19</f>
        <v>9.4337687363474726E-2</v>
      </c>
      <c r="CH50" s="651">
        <f>CH49/CH$19</f>
        <v>9.0402181706066731E-2</v>
      </c>
      <c r="CI50" s="651">
        <f>CI49/CI$19</f>
        <v>8.4298938005230237E-2</v>
      </c>
      <c r="CJ50" s="651">
        <f>CJ49/CJ$19</f>
        <v>8.7859055884885462E-2</v>
      </c>
      <c r="CK50" s="281">
        <f>CK49/CK$19</f>
        <v>8.9036863362458932E-2</v>
      </c>
      <c r="CL50" s="516"/>
      <c r="CM50" s="651">
        <f>CM49/CM$19</f>
        <v>9.8569709011203682E-2</v>
      </c>
      <c r="CN50" s="651">
        <f>CN49/CN$19</f>
        <v>8.9516050629033034E-2</v>
      </c>
      <c r="CO50" s="651">
        <f>CO49/CO$19</f>
        <v>9.546502546887202E-2</v>
      </c>
      <c r="CP50" s="651">
        <f>CP49/CP$19</f>
        <v>0.10653368718580918</v>
      </c>
      <c r="CQ50" s="281">
        <f>CQ49/CQ$19</f>
        <v>9.7756025273642078E-2</v>
      </c>
      <c r="CR50" s="516"/>
      <c r="CS50" s="651">
        <f>CS49/CS$19</f>
        <v>0.1053657282125534</v>
      </c>
      <c r="CT50" s="651">
        <f>CT49/CT$19</f>
        <v>0.10012730379463686</v>
      </c>
      <c r="CU50" s="651">
        <f>CU49/CU$19</f>
        <v>9.3765637588200196E-2</v>
      </c>
      <c r="CV50" s="651">
        <f>CV49/CV$19</f>
        <v>8.3367853348453147E-2</v>
      </c>
      <c r="CW50" s="281">
        <f>CW49/CW$19</f>
        <v>9.5134719311390101E-2</v>
      </c>
      <c r="CX50" s="516"/>
      <c r="CY50" s="651">
        <f>CY49/CY$19</f>
        <v>8.9717244070988245E-2</v>
      </c>
      <c r="CZ50" s="651">
        <f>CZ49/CZ$19</f>
        <v>9.0521227309611235E-2</v>
      </c>
      <c r="DA50" s="651">
        <f>DA49/DA$19</f>
        <v>8.54295543845527E-2</v>
      </c>
      <c r="DB50" s="651">
        <f>DB49/DB$19</f>
        <v>7.6600232263104487E-2</v>
      </c>
      <c r="DC50" s="281">
        <f>DC49/DC$19</f>
        <v>8.5300315251674086E-2</v>
      </c>
      <c r="DD50" s="516"/>
      <c r="DE50" s="651">
        <f>DE49/DE$19</f>
        <v>7.8367051535968332E-2</v>
      </c>
      <c r="DF50" s="651">
        <f>DF49/DF$19</f>
        <v>7.9008813858323354E-2</v>
      </c>
      <c r="DG50" s="651">
        <f>DG49/DG$19</f>
        <v>7.4560873802360789E-2</v>
      </c>
      <c r="DH50" s="651">
        <f>DH49/DH$19</f>
        <v>6.725589961819986E-2</v>
      </c>
      <c r="DI50" s="281">
        <f>DI49/DI$19</f>
        <v>7.4582554890129688E-2</v>
      </c>
      <c r="DJ50" s="516"/>
      <c r="DK50" s="651">
        <f>DK49/DK$19</f>
        <v>6.8747577177273422E-2</v>
      </c>
      <c r="DL50" s="651">
        <f>DL49/DL$19</f>
        <v>6.9469186829876475E-2</v>
      </c>
      <c r="DM50" s="651">
        <f>DM49/DM$19</f>
        <v>6.5626160957120247E-2</v>
      </c>
      <c r="DN50" s="651">
        <f>DN49/DN$19</f>
        <v>5.9237035322799274E-2</v>
      </c>
      <c r="DO50" s="281">
        <f>DO49/DO$19</f>
        <v>6.5589965294427649E-2</v>
      </c>
      <c r="DP50" s="261"/>
    </row>
    <row r="51" spans="1:127" ht="12.75" hidden="1" customHeight="1" outlineLevel="1">
      <c r="A51" s="1736" t="s">
        <v>873</v>
      </c>
      <c r="B51" s="1737"/>
      <c r="C51" s="1738"/>
      <c r="D51" s="1738"/>
      <c r="E51" s="1738"/>
      <c r="F51" s="1740"/>
      <c r="G51" s="1745"/>
      <c r="H51" s="1745"/>
      <c r="I51" s="1745"/>
      <c r="J51" s="1745"/>
      <c r="K51" s="1738"/>
      <c r="L51" s="1740"/>
      <c r="M51" s="1745"/>
      <c r="N51" s="1745"/>
      <c r="O51" s="1745"/>
      <c r="P51" s="1745"/>
      <c r="Q51" s="1738"/>
      <c r="R51" s="1740"/>
      <c r="S51" s="1745"/>
      <c r="T51" s="1745"/>
      <c r="U51" s="1745"/>
      <c r="V51" s="1745"/>
      <c r="W51" s="1738"/>
      <c r="X51" s="1740"/>
      <c r="Y51" s="1745"/>
      <c r="Z51" s="1745"/>
      <c r="AA51" s="1745"/>
      <c r="AB51" s="1745"/>
      <c r="AC51" s="1740"/>
      <c r="AD51" s="1740"/>
      <c r="AE51" s="1741">
        <f>AE49/Y49-1</f>
        <v>0.27885666246321983</v>
      </c>
      <c r="AF51" s="1741">
        <f>AF49/Z49-1</f>
        <v>0.55392955092840745</v>
      </c>
      <c r="AG51" s="1741">
        <f>AG49/AA49-1</f>
        <v>0.35977142168999388</v>
      </c>
      <c r="AH51" s="1741">
        <f>AH49/AB49-1</f>
        <v>0.38994573711969038</v>
      </c>
      <c r="AI51" s="381">
        <f>AI49/AC49-1</f>
        <v>0.39663291827678915</v>
      </c>
      <c r="AJ51" s="1740"/>
      <c r="AK51" s="1741">
        <f>AK49/AE49-1</f>
        <v>0.57927951617144369</v>
      </c>
      <c r="AL51" s="1741">
        <f>AL49/AF49-1</f>
        <v>0.31766898852153425</v>
      </c>
      <c r="AM51" s="1741">
        <f>AM49/AG49-1</f>
        <v>0.38457031249999996</v>
      </c>
      <c r="AN51" s="1741">
        <f>AN49/AH49-1</f>
        <v>0.39584452803152415</v>
      </c>
      <c r="AO51" s="381">
        <f>AO49/AI49-1</f>
        <v>0.40816222420609605</v>
      </c>
      <c r="AP51" s="1740"/>
      <c r="AQ51" s="1741">
        <f>AQ49/AK49-1</f>
        <v>0.50391275391275392</v>
      </c>
      <c r="AR51" s="1741">
        <f>AR49/AL49-1</f>
        <v>0.40719231628322539</v>
      </c>
      <c r="AS51" s="1741">
        <f>AS49/AM49-1</f>
        <v>0.35957116659613475</v>
      </c>
      <c r="AT51" s="1741">
        <f>AT49/AN49-1</f>
        <v>0.35640959835750019</v>
      </c>
      <c r="AU51" s="381">
        <f>AU49/AO49-1</f>
        <v>0.40167007806981014</v>
      </c>
      <c r="AV51" s="1740"/>
      <c r="AW51" s="1741">
        <f>AW49/AQ49-1</f>
        <v>0.19916966509825618</v>
      </c>
      <c r="AX51" s="1741">
        <f>AX49/AR49-1</f>
        <v>0.10460317460317481</v>
      </c>
      <c r="AY51" s="1741">
        <f>AY49/AS49-1</f>
        <v>5.8673998754928514E-2</v>
      </c>
      <c r="AZ51" s="1741">
        <f>AZ49/AT49-1</f>
        <v>0.22723617615060787</v>
      </c>
      <c r="BA51" s="381">
        <f>BA49/AU49-1</f>
        <v>0.14874260163862374</v>
      </c>
      <c r="BB51" s="1740"/>
      <c r="BC51" s="1741">
        <f>BC49/AW49-1</f>
        <v>0.22180676729908155</v>
      </c>
      <c r="BD51" s="1741">
        <f>BD49/AX49-1</f>
        <v>0.27484791876227432</v>
      </c>
      <c r="BE51" s="1741">
        <f>BE49/AY49-1</f>
        <v>0.2560395942568725</v>
      </c>
      <c r="BF51" s="1741">
        <f>BF49/AZ49-1</f>
        <v>0.60778570052033132</v>
      </c>
      <c r="BG51" s="381">
        <f>BG49/BA49-1</f>
        <v>0.35477883274085409</v>
      </c>
      <c r="BH51" s="1740"/>
      <c r="BI51" s="1741">
        <f>BI49/BC49-1</f>
        <v>0.79681124376605683</v>
      </c>
      <c r="BJ51" s="1741">
        <f>BJ49/BD49-1</f>
        <v>1.0512492955100505</v>
      </c>
      <c r="BK51" s="1741">
        <f>BK49/BE49-1</f>
        <v>1.2240168539325844</v>
      </c>
      <c r="BL51" s="1741">
        <f>BL49/BF49-1</f>
        <v>0.68049096226686467</v>
      </c>
      <c r="BM51" s="381">
        <f>BM49/BG49-1</f>
        <v>0.90367768560728723</v>
      </c>
      <c r="BN51" s="1740"/>
      <c r="BO51" s="1741">
        <f>BO49/BI49-1</f>
        <v>0.70877665166743786</v>
      </c>
      <c r="BP51" s="1741">
        <f>BP49/BJ49-1</f>
        <v>0.5645858519251199</v>
      </c>
      <c r="BQ51" s="1741">
        <f>BQ49/BK49-1</f>
        <v>0.84387608321931018</v>
      </c>
      <c r="BR51" s="1741">
        <f>BR49/BL49-1</f>
        <v>0.53430813124108445</v>
      </c>
      <c r="BS51" s="381">
        <f>BS49/BM49-1</f>
        <v>0.65468598696664881</v>
      </c>
      <c r="BT51" s="1740"/>
      <c r="BU51" s="1741">
        <f>BU49/BO49-1</f>
        <v>0.41177122043659087</v>
      </c>
      <c r="BV51" s="1741">
        <f>BV49/BP49-1</f>
        <v>0.29337251366823924</v>
      </c>
      <c r="BW51" s="1741">
        <f>BW49/BQ49-1</f>
        <v>0.346525610777076</v>
      </c>
      <c r="BX51" s="1741">
        <f>BX49/BR49-1</f>
        <v>0.26948073078889845</v>
      </c>
      <c r="BY51" s="381">
        <f>BY49/BS49-1</f>
        <v>0.32669039145907486</v>
      </c>
      <c r="BZ51" s="1740"/>
      <c r="CA51" s="1741">
        <f>CA49/BU49-1</f>
        <v>0.14262305084154847</v>
      </c>
      <c r="CB51" s="1741">
        <f>CB49/BV49-1</f>
        <v>0.28906730873673925</v>
      </c>
      <c r="CC51" s="1741">
        <f>CC49/BW49-1</f>
        <v>-1.466764639385032E-2</v>
      </c>
      <c r="CD51" s="1741">
        <f>CD49/BX49-1</f>
        <v>0.1117849112707725</v>
      </c>
      <c r="CE51" s="381">
        <f>CE49/BY49-1</f>
        <v>0.12216857415355298</v>
      </c>
      <c r="CF51" s="1740"/>
      <c r="CG51" s="1741">
        <f>CG49/CA49-1</f>
        <v>8.7480548012083048E-2</v>
      </c>
      <c r="CH51" s="1741">
        <f>CH49/CB49-1</f>
        <v>3.7693717479688971E-2</v>
      </c>
      <c r="CI51" s="1741">
        <f>CI49/CC49-1</f>
        <v>3.4827190592284563E-2</v>
      </c>
      <c r="CJ51" s="1741">
        <f>CJ49/CD49-1</f>
        <v>4.7232579280905407E-2</v>
      </c>
      <c r="CK51" s="381">
        <f>CK49/CE49-1</f>
        <v>5.1106212318397848E-2</v>
      </c>
      <c r="CL51" s="1740"/>
      <c r="CM51" s="1741">
        <f>CM49/CG49-1</f>
        <v>0.32518939393939394</v>
      </c>
      <c r="CN51" s="1741">
        <f>CN49/CH49-1</f>
        <v>0.23366648847265181</v>
      </c>
      <c r="CO51" s="1741">
        <f>CO49/CI49-1</f>
        <v>0.41875870479569288</v>
      </c>
      <c r="CP51" s="1741">
        <f>CP49/CJ49-1</f>
        <v>0.53729587600332129</v>
      </c>
      <c r="CQ51" s="381">
        <f>CQ49/CK49-1</f>
        <v>0.38195469216411615</v>
      </c>
      <c r="CR51" s="1740"/>
      <c r="CS51" s="1741">
        <f>CS49/CM49-1</f>
        <v>0.33162360588400297</v>
      </c>
      <c r="CT51" s="1741">
        <f>CT49/CN49-1</f>
        <v>0.40686193845647534</v>
      </c>
      <c r="CU51" s="1741">
        <f>CU49/CO49-1</f>
        <v>0.22723210143051786</v>
      </c>
      <c r="CV51" s="1741">
        <f>CV49/CP49-1</f>
        <v>-2.7435992912880014E-2</v>
      </c>
      <c r="CW51" s="381">
        <f>CW49/CQ49-1</f>
        <v>0.21532557989290146</v>
      </c>
      <c r="CX51" s="1740"/>
      <c r="CY51" s="1741">
        <f>CY49/CS49-1</f>
        <v>5.0000000000000044E-2</v>
      </c>
      <c r="CZ51" s="1741">
        <f>CZ49/CT49-1</f>
        <v>0.10000000000000009</v>
      </c>
      <c r="DA51" s="1741">
        <f>DA49/CU49-1</f>
        <v>0.10000000000000009</v>
      </c>
      <c r="DB51" s="1741">
        <f>DB49/CV49-1</f>
        <v>0.10000000000000009</v>
      </c>
      <c r="DC51" s="381">
        <f>DC49/CW49-1</f>
        <v>8.7383865606567079E-2</v>
      </c>
      <c r="DD51" s="1740"/>
      <c r="DE51" s="1741">
        <f>DE49/CY49-1</f>
        <v>5.0000000000000044E-2</v>
      </c>
      <c r="DF51" s="1741">
        <f>DF49/CZ49-1</f>
        <v>5.0000000000000044E-2</v>
      </c>
      <c r="DG51" s="1741">
        <f>DG49/DA49-1</f>
        <v>5.0000000000000044E-2</v>
      </c>
      <c r="DH51" s="1741">
        <f>DH49/DB49-1</f>
        <v>5.0000000000000044E-2</v>
      </c>
      <c r="DI51" s="381">
        <f>DI49/DC49-1</f>
        <v>4.9999999999999822E-2</v>
      </c>
      <c r="DJ51" s="1740"/>
      <c r="DK51" s="1741">
        <f>DK49/DE49-1</f>
        <v>5.0000000000000044E-2</v>
      </c>
      <c r="DL51" s="1741">
        <f>DL49/DF49-1</f>
        <v>5.0000000000000044E-2</v>
      </c>
      <c r="DM51" s="1741">
        <f>DM49/DG49-1</f>
        <v>5.0000000000000044E-2</v>
      </c>
      <c r="DN51" s="1741">
        <f>DN49/DH49-1</f>
        <v>5.0000000000000044E-2</v>
      </c>
      <c r="DO51" s="381">
        <f>DO49/DI49-1</f>
        <v>5.0000000000000044E-2</v>
      </c>
      <c r="DP51" s="261"/>
    </row>
    <row r="52" spans="1:127" ht="5.25" customHeight="1" collapsed="1">
      <c r="A52" s="1746"/>
      <c r="B52" s="1718"/>
      <c r="C52" s="510"/>
      <c r="D52" s="510"/>
      <c r="E52" s="510"/>
      <c r="F52" s="516"/>
      <c r="G52" s="1719"/>
      <c r="H52" s="1719"/>
      <c r="I52" s="1719"/>
      <c r="J52" s="1719"/>
      <c r="K52" s="510"/>
      <c r="L52" s="516"/>
      <c r="M52" s="1719"/>
      <c r="N52" s="1719"/>
      <c r="O52" s="1719"/>
      <c r="P52" s="1719"/>
      <c r="Q52" s="510"/>
      <c r="R52" s="516"/>
      <c r="S52" s="1719"/>
      <c r="T52" s="1719"/>
      <c r="U52" s="1719"/>
      <c r="V52" s="1719"/>
      <c r="W52" s="510"/>
      <c r="X52" s="516"/>
      <c r="Y52" s="1719"/>
      <c r="Z52" s="1719"/>
      <c r="AA52" s="1719"/>
      <c r="AB52" s="1719"/>
      <c r="AC52" s="516"/>
      <c r="AD52" s="516"/>
      <c r="AE52" s="1719"/>
      <c r="AF52" s="1719"/>
      <c r="AG52" s="1719"/>
      <c r="AH52" s="1719"/>
      <c r="AI52" s="265"/>
      <c r="AJ52" s="516"/>
      <c r="AK52" s="1719"/>
      <c r="AL52" s="1719"/>
      <c r="AM52" s="1719"/>
      <c r="AN52" s="1719"/>
      <c r="AO52" s="265"/>
      <c r="AP52" s="516"/>
      <c r="AQ52" s="1719"/>
      <c r="AR52" s="1719"/>
      <c r="AS52" s="1719"/>
      <c r="AT52" s="1719"/>
      <c r="AU52" s="265"/>
      <c r="AV52" s="516"/>
      <c r="AW52" s="1719"/>
      <c r="AX52" s="1719"/>
      <c r="AY52" s="1719"/>
      <c r="AZ52" s="1719"/>
      <c r="BA52" s="265"/>
      <c r="BB52" s="516"/>
      <c r="BC52" s="1719"/>
      <c r="BD52" s="1719"/>
      <c r="BE52" s="1719"/>
      <c r="BF52" s="1719"/>
      <c r="BG52" s="265"/>
      <c r="BH52" s="516"/>
      <c r="BI52" s="1719"/>
      <c r="BJ52" s="1719"/>
      <c r="BK52" s="1719"/>
      <c r="BL52" s="1719"/>
      <c r="BM52" s="265"/>
      <c r="BN52" s="516"/>
      <c r="BO52" s="1719"/>
      <c r="BP52" s="1719"/>
      <c r="BQ52" s="1719"/>
      <c r="BR52" s="1719"/>
      <c r="BS52" s="265"/>
      <c r="BT52" s="516"/>
      <c r="BU52" s="1719"/>
      <c r="BV52" s="1719"/>
      <c r="BW52" s="1719"/>
      <c r="BX52" s="1719"/>
      <c r="BY52" s="265"/>
      <c r="BZ52" s="516"/>
      <c r="CA52" s="1719"/>
      <c r="CB52" s="1719"/>
      <c r="CC52" s="1719"/>
      <c r="CD52" s="1719"/>
      <c r="CE52" s="265"/>
      <c r="CF52" s="516"/>
      <c r="CG52" s="1719"/>
      <c r="CH52" s="1719"/>
      <c r="CI52" s="1719"/>
      <c r="CJ52" s="1719"/>
      <c r="CK52" s="265"/>
      <c r="CL52" s="516"/>
      <c r="CM52" s="1719"/>
      <c r="CN52" s="1719"/>
      <c r="CO52" s="1719"/>
      <c r="CP52" s="1719"/>
      <c r="CQ52" s="265"/>
      <c r="CR52" s="516"/>
      <c r="CS52" s="1719"/>
      <c r="CT52" s="1719"/>
      <c r="CU52" s="1719"/>
      <c r="CV52" s="1719"/>
      <c r="CW52" s="265"/>
      <c r="CX52" s="516"/>
      <c r="CY52" s="1719"/>
      <c r="CZ52" s="1719"/>
      <c r="DA52" s="1719"/>
      <c r="DB52" s="1719"/>
      <c r="DC52" s="265"/>
      <c r="DD52" s="516"/>
      <c r="DE52" s="1719"/>
      <c r="DF52" s="1719"/>
      <c r="DG52" s="1719"/>
      <c r="DH52" s="1719"/>
      <c r="DI52" s="265"/>
      <c r="DJ52" s="516"/>
      <c r="DK52" s="1719"/>
      <c r="DL52" s="1719"/>
      <c r="DM52" s="1719"/>
      <c r="DN52" s="1719"/>
      <c r="DO52" s="265"/>
      <c r="DP52" s="261"/>
    </row>
    <row r="53" spans="1:127" ht="12" hidden="1" customHeight="1" outlineLevel="1">
      <c r="A53" s="1717" t="s">
        <v>75</v>
      </c>
      <c r="B53" s="1718"/>
      <c r="C53" s="510">
        <f>C54</f>
        <v>0</v>
      </c>
      <c r="D53" s="510">
        <f>D54</f>
        <v>0</v>
      </c>
      <c r="E53" s="510">
        <f>E54</f>
        <v>7.657</v>
      </c>
      <c r="F53" s="516"/>
      <c r="G53" s="510">
        <f>SUM(G54:G54)</f>
        <v>0</v>
      </c>
      <c r="H53" s="510">
        <f>SUM(H54:H54)</f>
        <v>0</v>
      </c>
      <c r="I53" s="510">
        <f>SUM(I54:I54)</f>
        <v>0</v>
      </c>
      <c r="J53" s="510">
        <f>SUM(J54:J54)</f>
        <v>0</v>
      </c>
      <c r="K53" s="510">
        <f>SUM(G53:J53)</f>
        <v>0</v>
      </c>
      <c r="L53" s="516"/>
      <c r="M53" s="510">
        <f>SUM(M54:M54)</f>
        <v>0</v>
      </c>
      <c r="N53" s="510">
        <f>SUM(N54:N54)</f>
        <v>0</v>
      </c>
      <c r="O53" s="510">
        <f>SUM(O54:O54)</f>
        <v>-4.3419999999999996</v>
      </c>
      <c r="P53" s="510">
        <f>SUM(P54:P54)</f>
        <v>0.89700000000000002</v>
      </c>
      <c r="Q53" s="510">
        <f>SUM(M53:P53)</f>
        <v>-3.4449999999999994</v>
      </c>
      <c r="R53" s="516"/>
      <c r="S53" s="510">
        <f>SUM(S54:S54)</f>
        <v>0</v>
      </c>
      <c r="T53" s="510">
        <f>SUM(T54:T54)</f>
        <v>0</v>
      </c>
      <c r="U53" s="510">
        <f>SUM(U54:U54)</f>
        <v>0</v>
      </c>
      <c r="V53" s="510">
        <f>SUM(V54:V54)</f>
        <v>0</v>
      </c>
      <c r="W53" s="510">
        <f>SUM(S53:V53)</f>
        <v>0</v>
      </c>
      <c r="X53" s="510"/>
      <c r="Y53" s="510">
        <f>SUM(Y54:Y54)</f>
        <v>-0.28499999999999998</v>
      </c>
      <c r="Z53" s="510">
        <f>SUM(Z54:Z54)</f>
        <v>0</v>
      </c>
      <c r="AA53" s="510">
        <f>SUM(AA54:AA54)</f>
        <v>0</v>
      </c>
      <c r="AB53" s="510">
        <f>SUM(AB54:AB54)</f>
        <v>0</v>
      </c>
      <c r="AC53" s="510">
        <f>SUM(Y53:AB53)</f>
        <v>-0.28499999999999998</v>
      </c>
      <c r="AD53" s="510"/>
      <c r="AE53" s="510">
        <f>SUM(AE54:AE55)</f>
        <v>8.8999999999999996E-2</v>
      </c>
      <c r="AF53" s="510">
        <f>SUM(AF54:AF55)</f>
        <v>0.54100000000000004</v>
      </c>
      <c r="AG53" s="510">
        <f>SUM(AG54:AG55)</f>
        <v>0</v>
      </c>
      <c r="AH53" s="510">
        <f>SUM(AH54:AH55)</f>
        <v>0</v>
      </c>
      <c r="AI53" s="265">
        <f>SUM(AE53:AH53)</f>
        <v>0.63</v>
      </c>
      <c r="AJ53" s="510"/>
      <c r="AK53" s="510">
        <f>SUM(AK54:AK55)</f>
        <v>0.5</v>
      </c>
      <c r="AL53" s="510">
        <f>SUM(AL54:AL55)</f>
        <v>1.5</v>
      </c>
      <c r="AM53" s="510">
        <f>SUM(AM54:AM55)</f>
        <v>1.5</v>
      </c>
      <c r="AN53" s="510">
        <f>SUM(AN54:AN55)</f>
        <v>1.3</v>
      </c>
      <c r="AO53" s="265">
        <f>SUM(AK53:AN53)</f>
        <v>4.8</v>
      </c>
      <c r="AP53" s="510"/>
      <c r="AQ53" s="510">
        <f>SUM(AQ54:AQ55)</f>
        <v>1.3</v>
      </c>
      <c r="AR53" s="510">
        <f>SUM(AR54:AR55)</f>
        <v>1.3</v>
      </c>
      <c r="AS53" s="510">
        <f>SUM(AS54:AS55)</f>
        <v>2</v>
      </c>
      <c r="AT53" s="510">
        <f>SUM(AT54:AT55)</f>
        <v>2.9</v>
      </c>
      <c r="AU53" s="265">
        <f>SUM(AQ53:AT53)</f>
        <v>7.5</v>
      </c>
      <c r="AV53" s="510"/>
      <c r="AW53" s="510">
        <f>SUM(AW54:AW55)</f>
        <v>2.2999999999999998</v>
      </c>
      <c r="AX53" s="510">
        <f>SUM(AX54:AX55)</f>
        <v>2.2000000000000002</v>
      </c>
      <c r="AY53" s="510">
        <f>SUM(AY54:AY55)</f>
        <v>2.2000000000000002</v>
      </c>
      <c r="AZ53" s="510">
        <f>SUM(AZ54:AZ55)</f>
        <v>2.9</v>
      </c>
      <c r="BA53" s="265">
        <f>SUM(AW53:AZ53)</f>
        <v>9.6</v>
      </c>
      <c r="BB53" s="510"/>
      <c r="BC53" s="510">
        <f>SUM(BC54:BC55)</f>
        <v>2.5</v>
      </c>
      <c r="BD53" s="510">
        <f>SUM(BD54:BD55)</f>
        <v>5.1159999999999997</v>
      </c>
      <c r="BE53" s="510">
        <f>SUM(BE54:BE55)</f>
        <v>5.181</v>
      </c>
      <c r="BF53" s="510">
        <f>SUM(BF54:BF55)</f>
        <v>6.867</v>
      </c>
      <c r="BG53" s="265">
        <f>SUM(BC53:BF53)</f>
        <v>19.664000000000001</v>
      </c>
      <c r="BH53" s="510"/>
      <c r="BI53" s="510">
        <f>SUM(BI54:BI55)</f>
        <v>10.335000000000001</v>
      </c>
      <c r="BJ53" s="510">
        <f>SUM(BJ54:BJ55)</f>
        <v>18.678999999999998</v>
      </c>
      <c r="BK53" s="510">
        <f>SUM(BK54:BK55)</f>
        <v>18.422000000000001</v>
      </c>
      <c r="BL53" s="510">
        <f>SUM(BL54:BL55)</f>
        <v>19.882999999999999</v>
      </c>
      <c r="BM53" s="265">
        <f>SUM(BI53:BL53)</f>
        <v>67.319000000000003</v>
      </c>
      <c r="BN53" s="510"/>
      <c r="BO53" s="510">
        <f>SUM(BO54:BO55)</f>
        <v>20.875</v>
      </c>
      <c r="BP53" s="510">
        <f>SUM(BP54:BP55)</f>
        <v>20.074999999999999</v>
      </c>
      <c r="BQ53" s="510">
        <f>SUM(BQ54:BQ55)</f>
        <v>26.242000000000001</v>
      </c>
      <c r="BR53" s="510">
        <f>SUM(BR54:BR55)</f>
        <v>20.978999999999999</v>
      </c>
      <c r="BS53" s="265">
        <f>SUM(BO53:BR53)</f>
        <v>88.171000000000006</v>
      </c>
      <c r="BT53" s="510"/>
      <c r="BU53" s="510">
        <f>SUM(BU54:BU55)</f>
        <v>23.765000000000001</v>
      </c>
      <c r="BV53" s="510">
        <f>SUM(BV54:BV55)</f>
        <v>27.026</v>
      </c>
      <c r="BW53" s="510">
        <f>SUM(BW54:BW55)</f>
        <v>49.055</v>
      </c>
      <c r="BX53" s="510">
        <f>SUM(BX54:BX55)</f>
        <v>46.689</v>
      </c>
      <c r="BY53" s="265">
        <f>SUM(BU53:BX53)</f>
        <v>146.535</v>
      </c>
      <c r="BZ53" s="510"/>
      <c r="CA53" s="510">
        <f>SUM(CA54:CA55)</f>
        <v>43.637</v>
      </c>
      <c r="CB53" s="510">
        <f>SUM(CB54:CB55)</f>
        <v>35.918999999999997</v>
      </c>
      <c r="CC53" s="510">
        <f>SUM(CC54:CC55)</f>
        <v>35.445999999999998</v>
      </c>
      <c r="CD53" s="510">
        <f>SUM(CD54:CD55)</f>
        <v>39.970999999999997</v>
      </c>
      <c r="CE53" s="265">
        <f>SUM(CA53:CD53)</f>
        <v>154.97299999999998</v>
      </c>
      <c r="CF53" s="510"/>
      <c r="CG53" s="510">
        <f>SUM(CG54:CG55)</f>
        <v>3.1000000000000014</v>
      </c>
      <c r="CH53" s="510">
        <f>SUM(CH54:CH55)</f>
        <v>39.841000000000001</v>
      </c>
      <c r="CI53" s="510">
        <f>SUM(CI54:CI55)</f>
        <v>39.262</v>
      </c>
      <c r="CJ53" s="510">
        <f>SUM(CJ54:CJ55)</f>
        <v>39.25</v>
      </c>
      <c r="CK53" s="265">
        <f>SUM(CG53:CJ53)</f>
        <v>121.453</v>
      </c>
      <c r="CL53" s="510"/>
      <c r="CM53" s="510">
        <f>SUM(CM54:CM55)</f>
        <v>37.600999999999999</v>
      </c>
      <c r="CN53" s="510">
        <f>SUM(CN54:CN55)</f>
        <v>48.695</v>
      </c>
      <c r="CO53" s="510">
        <f>SUM(CO54:CO55)</f>
        <v>64.766999999999996</v>
      </c>
      <c r="CP53" s="510">
        <f>SUM(CP54:CP55)</f>
        <v>74.213999999999999</v>
      </c>
      <c r="CQ53" s="265">
        <f>SUM(CM53:CP53)</f>
        <v>225.27699999999999</v>
      </c>
      <c r="CR53" s="510"/>
      <c r="CS53" s="510">
        <f>SUM(CS54:CS55)</f>
        <v>74.23</v>
      </c>
      <c r="CT53" s="510">
        <f>SUM(CT54:CT55)</f>
        <v>74.046000000000006</v>
      </c>
      <c r="CU53" s="510">
        <f>SUM(CU54:CU55)</f>
        <v>69.677000000000007</v>
      </c>
      <c r="CV53" s="510">
        <f>SUM(CV54:CV55)</f>
        <v>68.932000000000002</v>
      </c>
      <c r="CW53" s="265">
        <f>SUM(CS53:CV53)</f>
        <v>286.88500000000005</v>
      </c>
      <c r="CX53" s="510"/>
      <c r="CY53" s="510">
        <f>SUM(CY54:CY55)</f>
        <v>68.932000000000002</v>
      </c>
      <c r="CZ53" s="510">
        <f>SUM(CZ54:CZ55)</f>
        <v>68.932000000000002</v>
      </c>
      <c r="DA53" s="510">
        <f>SUM(DA54:DA55)</f>
        <v>68.932000000000002</v>
      </c>
      <c r="DB53" s="510">
        <f>SUM(DB54:DB55)</f>
        <v>68.932000000000002</v>
      </c>
      <c r="DC53" s="265">
        <f>SUM(CY53:DB53)</f>
        <v>275.72800000000001</v>
      </c>
      <c r="DD53" s="510"/>
      <c r="DE53" s="510">
        <f>SUM(DE54:DE55)</f>
        <v>68.932000000000002</v>
      </c>
      <c r="DF53" s="510">
        <f>SUM(DF54:DF55)</f>
        <v>68.932000000000002</v>
      </c>
      <c r="DG53" s="510">
        <f>SUM(DG54:DG55)</f>
        <v>68.932000000000002</v>
      </c>
      <c r="DH53" s="510">
        <f>SUM(DH54:DH55)</f>
        <v>68.932000000000002</v>
      </c>
      <c r="DI53" s="265">
        <f>SUM(DE53:DH53)</f>
        <v>275.72800000000001</v>
      </c>
      <c r="DJ53" s="510"/>
      <c r="DK53" s="510">
        <f>SUM(DK54:DK55)</f>
        <v>68.932000000000002</v>
      </c>
      <c r="DL53" s="510">
        <f>SUM(DL54:DL55)</f>
        <v>68.932000000000002</v>
      </c>
      <c r="DM53" s="510">
        <f>SUM(DM54:DM55)</f>
        <v>68.932000000000002</v>
      </c>
      <c r="DN53" s="510">
        <f>SUM(DN54:DN55)</f>
        <v>68.932000000000002</v>
      </c>
      <c r="DO53" s="265">
        <f>SUM(DK53:DN53)</f>
        <v>275.72800000000001</v>
      </c>
      <c r="DP53" s="261"/>
    </row>
    <row r="54" spans="1:127" ht="12.75" hidden="1" customHeight="1" outlineLevel="1">
      <c r="A54" s="1717" t="s">
        <v>235</v>
      </c>
      <c r="B54" s="1718"/>
      <c r="C54" s="510">
        <v>0</v>
      </c>
      <c r="D54" s="510">
        <v>0</v>
      </c>
      <c r="E54" s="510">
        <v>7.657</v>
      </c>
      <c r="F54" s="516"/>
      <c r="G54" s="1719">
        <v>0</v>
      </c>
      <c r="H54" s="1719">
        <v>0</v>
      </c>
      <c r="I54" s="1719">
        <v>0</v>
      </c>
      <c r="J54" s="1719">
        <v>0</v>
      </c>
      <c r="K54" s="510">
        <f>SUM(G54:J54)</f>
        <v>0</v>
      </c>
      <c r="L54" s="516"/>
      <c r="M54" s="1719">
        <v>0</v>
      </c>
      <c r="N54" s="1719">
        <v>0</v>
      </c>
      <c r="O54" s="1719">
        <v>-4.3419999999999996</v>
      </c>
      <c r="P54" s="1719">
        <v>0.89700000000000002</v>
      </c>
      <c r="Q54" s="510">
        <f>SUM(M54:P54)</f>
        <v>-3.4449999999999994</v>
      </c>
      <c r="R54" s="516"/>
      <c r="S54" s="1719">
        <v>0</v>
      </c>
      <c r="T54" s="1719">
        <v>0</v>
      </c>
      <c r="U54" s="1719">
        <v>0</v>
      </c>
      <c r="V54" s="1719">
        <v>0</v>
      </c>
      <c r="W54" s="510">
        <f>SUM(S54:V54)</f>
        <v>0</v>
      </c>
      <c r="X54" s="516"/>
      <c r="Y54" s="1719">
        <v>-0.28499999999999998</v>
      </c>
      <c r="Z54" s="1719">
        <v>0</v>
      </c>
      <c r="AA54" s="1719">
        <v>0</v>
      </c>
      <c r="AB54" s="1719">
        <v>0</v>
      </c>
      <c r="AC54" s="516">
        <f>SUM(Y54:AB54)</f>
        <v>-0.28499999999999998</v>
      </c>
      <c r="AD54" s="516"/>
      <c r="AE54" s="1719">
        <v>0</v>
      </c>
      <c r="AF54" s="1719">
        <v>0</v>
      </c>
      <c r="AG54" s="1719">
        <v>0</v>
      </c>
      <c r="AH54" s="1719">
        <v>0</v>
      </c>
      <c r="AI54" s="265">
        <f>SUM(AE54:AH54)</f>
        <v>0</v>
      </c>
      <c r="AJ54" s="516"/>
      <c r="AK54" s="1719">
        <v>0</v>
      </c>
      <c r="AL54" s="1719">
        <v>0</v>
      </c>
      <c r="AM54" s="1719">
        <v>0</v>
      </c>
      <c r="AN54" s="1719">
        <v>0</v>
      </c>
      <c r="AO54" s="265">
        <f>SUM(AK54:AN54)</f>
        <v>0</v>
      </c>
      <c r="AP54" s="516"/>
      <c r="AQ54" s="1719">
        <v>0</v>
      </c>
      <c r="AR54" s="1719">
        <v>0</v>
      </c>
      <c r="AS54" s="1719">
        <v>0</v>
      </c>
      <c r="AT54" s="1719">
        <v>0</v>
      </c>
      <c r="AU54" s="265">
        <f>SUM(AQ54:AT54)</f>
        <v>0</v>
      </c>
      <c r="AV54" s="516"/>
      <c r="AW54" s="1719"/>
      <c r="AX54" s="1719"/>
      <c r="AY54" s="1719">
        <v>0</v>
      </c>
      <c r="AZ54" s="1719">
        <v>0</v>
      </c>
      <c r="BA54" s="265">
        <f>SUM(AW54:AZ54)</f>
        <v>0</v>
      </c>
      <c r="BB54" s="516"/>
      <c r="BC54" s="1719">
        <v>0</v>
      </c>
      <c r="BD54" s="1719">
        <v>0</v>
      </c>
      <c r="BE54" s="1719">
        <v>0</v>
      </c>
      <c r="BF54" s="1719">
        <v>0</v>
      </c>
      <c r="BG54" s="265">
        <f>SUM(BC54:BF54)</f>
        <v>0</v>
      </c>
      <c r="BH54" s="516"/>
      <c r="BI54" s="1719">
        <v>0</v>
      </c>
      <c r="BJ54" s="1719">
        <v>0</v>
      </c>
      <c r="BK54" s="1719">
        <v>0</v>
      </c>
      <c r="BL54" s="1719">
        <v>0</v>
      </c>
      <c r="BM54" s="265">
        <f>SUM(BI54:BL54)</f>
        <v>0</v>
      </c>
      <c r="BN54" s="516"/>
      <c r="BO54" s="1719">
        <v>0</v>
      </c>
      <c r="BP54" s="1719">
        <v>0</v>
      </c>
      <c r="BQ54" s="1719">
        <v>0</v>
      </c>
      <c r="BR54" s="1719">
        <v>0</v>
      </c>
      <c r="BS54" s="265">
        <f>SUM(BO54:BR54)</f>
        <v>0</v>
      </c>
      <c r="BT54" s="516"/>
      <c r="BU54" s="1719">
        <v>0</v>
      </c>
      <c r="BV54" s="1719">
        <v>0</v>
      </c>
      <c r="BW54" s="1719">
        <v>0</v>
      </c>
      <c r="BX54" s="1719">
        <v>0</v>
      </c>
      <c r="BY54" s="265">
        <f>SUM(BU54:BX54)</f>
        <v>0</v>
      </c>
      <c r="BZ54" s="516"/>
      <c r="CA54" s="1719">
        <v>0</v>
      </c>
      <c r="CB54" s="1719">
        <v>0</v>
      </c>
      <c r="CC54" s="1719">
        <v>0</v>
      </c>
      <c r="CD54" s="1719">
        <v>0</v>
      </c>
      <c r="CE54" s="265">
        <f>SUM(CA54:CD54)</f>
        <v>0</v>
      </c>
      <c r="CF54" s="516"/>
      <c r="CG54" s="1719">
        <v>-36.616999999999997</v>
      </c>
      <c r="CH54" s="1719">
        <v>0</v>
      </c>
      <c r="CI54" s="1719">
        <v>0</v>
      </c>
      <c r="CJ54" s="1719">
        <v>0</v>
      </c>
      <c r="CK54" s="265">
        <f>SUM(CG54:CJ54)</f>
        <v>-36.616999999999997</v>
      </c>
      <c r="CL54" s="516"/>
      <c r="CM54" s="1719">
        <v>0</v>
      </c>
      <c r="CN54" s="1719">
        <v>0</v>
      </c>
      <c r="CO54" s="1719">
        <v>0</v>
      </c>
      <c r="CP54" s="1719">
        <v>0</v>
      </c>
      <c r="CQ54" s="265">
        <f>SUM(CM54:CP54)</f>
        <v>0</v>
      </c>
      <c r="CR54" s="516"/>
      <c r="CS54" s="1719">
        <v>0</v>
      </c>
      <c r="CT54" s="1719">
        <v>0</v>
      </c>
      <c r="CU54" s="1719">
        <v>0</v>
      </c>
      <c r="CV54" s="1719">
        <v>0</v>
      </c>
      <c r="CW54" s="265">
        <f>SUM(CS54:CV54)</f>
        <v>0</v>
      </c>
      <c r="CX54" s="516"/>
      <c r="CY54" s="1719">
        <v>0</v>
      </c>
      <c r="CZ54" s="1719">
        <v>0</v>
      </c>
      <c r="DA54" s="1719">
        <v>0</v>
      </c>
      <c r="DB54" s="1719">
        <v>0</v>
      </c>
      <c r="DC54" s="265">
        <f>SUM(CY54:DB54)</f>
        <v>0</v>
      </c>
      <c r="DD54" s="516"/>
      <c r="DE54" s="1719">
        <v>0</v>
      </c>
      <c r="DF54" s="1719">
        <v>0</v>
      </c>
      <c r="DG54" s="1719">
        <v>0</v>
      </c>
      <c r="DH54" s="1719">
        <v>0</v>
      </c>
      <c r="DI54" s="265">
        <f>SUM(DE54:DH54)</f>
        <v>0</v>
      </c>
      <c r="DJ54" s="516"/>
      <c r="DK54" s="1719">
        <v>0</v>
      </c>
      <c r="DL54" s="1719">
        <v>0</v>
      </c>
      <c r="DM54" s="1719">
        <v>0</v>
      </c>
      <c r="DN54" s="1719">
        <v>0</v>
      </c>
      <c r="DO54" s="265">
        <f>SUM(DK54:DN54)</f>
        <v>0</v>
      </c>
      <c r="DP54" s="261"/>
    </row>
    <row r="55" spans="1:127" ht="12.75" hidden="1" customHeight="1" outlineLevel="1">
      <c r="A55" s="1717" t="s">
        <v>69</v>
      </c>
      <c r="B55" s="1718"/>
      <c r="C55" s="510"/>
      <c r="D55" s="510"/>
      <c r="E55" s="510"/>
      <c r="F55" s="516"/>
      <c r="G55" s="1719"/>
      <c r="H55" s="1719"/>
      <c r="I55" s="1719"/>
      <c r="J55" s="1719"/>
      <c r="K55" s="510"/>
      <c r="L55" s="516"/>
      <c r="M55" s="1719"/>
      <c r="N55" s="1719"/>
      <c r="O55" s="1719"/>
      <c r="P55" s="1719"/>
      <c r="Q55" s="510"/>
      <c r="R55" s="516"/>
      <c r="S55" s="1719"/>
      <c r="T55" s="1719"/>
      <c r="U55" s="1719"/>
      <c r="V55" s="1719"/>
      <c r="W55" s="510"/>
      <c r="X55" s="516"/>
      <c r="Y55" s="1719"/>
      <c r="Z55" s="1719"/>
      <c r="AA55" s="1719"/>
      <c r="AB55" s="1719"/>
      <c r="AC55" s="516"/>
      <c r="AD55" s="516"/>
      <c r="AE55" s="1719">
        <v>8.8999999999999996E-2</v>
      </c>
      <c r="AF55" s="1719">
        <f>0.541</f>
        <v>0.54100000000000004</v>
      </c>
      <c r="AG55" s="1719">
        <v>0</v>
      </c>
      <c r="AH55" s="1719">
        <v>0</v>
      </c>
      <c r="AI55" s="265">
        <f>SUM(AE55:AH55)</f>
        <v>0.63</v>
      </c>
      <c r="AJ55" s="516"/>
      <c r="AK55" s="1719">
        <v>0.5</v>
      </c>
      <c r="AL55" s="1719">
        <v>1.5</v>
      </c>
      <c r="AM55" s="1719">
        <v>1.5</v>
      </c>
      <c r="AN55" s="1719">
        <v>1.3</v>
      </c>
      <c r="AO55" s="265">
        <f>SUM(AK55:AN55)</f>
        <v>4.8</v>
      </c>
      <c r="AP55" s="516"/>
      <c r="AQ55" s="1719">
        <v>1.3</v>
      </c>
      <c r="AR55" s="1719">
        <v>1.3</v>
      </c>
      <c r="AS55" s="1719">
        <v>2</v>
      </c>
      <c r="AT55" s="1719">
        <v>2.9</v>
      </c>
      <c r="AU55" s="265">
        <f>SUM(AQ55:AT55)</f>
        <v>7.5</v>
      </c>
      <c r="AV55" s="516"/>
      <c r="AW55" s="1719">
        <v>2.2999999999999998</v>
      </c>
      <c r="AX55" s="1719">
        <v>2.2000000000000002</v>
      </c>
      <c r="AY55" s="1719">
        <v>2.2000000000000002</v>
      </c>
      <c r="AZ55" s="1719">
        <v>2.9</v>
      </c>
      <c r="BA55" s="265">
        <f>SUM(AW55:AZ55)</f>
        <v>9.6</v>
      </c>
      <c r="BB55" s="516"/>
      <c r="BC55" s="1719">
        <v>2.5</v>
      </c>
      <c r="BD55" s="1719">
        <v>5.1159999999999997</v>
      </c>
      <c r="BE55" s="1719">
        <f>5.181</f>
        <v>5.181</v>
      </c>
      <c r="BF55" s="1719">
        <v>6.867</v>
      </c>
      <c r="BG55" s="265">
        <f>SUM(BC55:BF55)</f>
        <v>19.664000000000001</v>
      </c>
      <c r="BH55" s="516"/>
      <c r="BI55" s="1719">
        <v>10.335000000000001</v>
      </c>
      <c r="BJ55" s="1719">
        <v>18.678999999999998</v>
      </c>
      <c r="BK55" s="1719">
        <f>18.422</f>
        <v>18.422000000000001</v>
      </c>
      <c r="BL55" s="1719">
        <v>19.882999999999999</v>
      </c>
      <c r="BM55" s="265">
        <v>67</v>
      </c>
      <c r="BN55" s="516"/>
      <c r="BO55" s="1719">
        <v>20.875</v>
      </c>
      <c r="BP55" s="1719">
        <f>17.668+2.407</f>
        <v>20.074999999999999</v>
      </c>
      <c r="BQ55" s="1719">
        <f>23.247+2.995</f>
        <v>26.242000000000001</v>
      </c>
      <c r="BR55" s="1719">
        <v>20.978999999999999</v>
      </c>
      <c r="BS55" s="265">
        <f>SUM(BO55:BR55)</f>
        <v>88.171000000000006</v>
      </c>
      <c r="BT55" s="516"/>
      <c r="BU55" s="1719">
        <v>23.765000000000001</v>
      </c>
      <c r="BV55" s="1719">
        <v>27.026</v>
      </c>
      <c r="BW55" s="1719">
        <v>49.055</v>
      </c>
      <c r="BX55" s="1719">
        <v>46.689</v>
      </c>
      <c r="BY55" s="265">
        <f>SUM(BU55:BX55)</f>
        <v>146.535</v>
      </c>
      <c r="BZ55" s="516"/>
      <c r="CA55" s="1719">
        <v>43.637</v>
      </c>
      <c r="CB55" s="1719">
        <v>35.918999999999997</v>
      </c>
      <c r="CC55" s="1719">
        <v>35.445999999999998</v>
      </c>
      <c r="CD55" s="1719">
        <v>39.970999999999997</v>
      </c>
      <c r="CE55" s="265">
        <f>SUM(CA55:CD55)</f>
        <v>154.97299999999998</v>
      </c>
      <c r="CF55" s="516"/>
      <c r="CG55" s="1719">
        <v>39.716999999999999</v>
      </c>
      <c r="CH55" s="1719">
        <v>39.841000000000001</v>
      </c>
      <c r="CI55" s="1719">
        <v>39.262</v>
      </c>
      <c r="CJ55" s="1719">
        <v>39.25</v>
      </c>
      <c r="CK55" s="265">
        <f>SUM(CG55:CJ55)</f>
        <v>158.07</v>
      </c>
      <c r="CL55" s="516"/>
      <c r="CM55" s="1719">
        <v>37.600999999999999</v>
      </c>
      <c r="CN55" s="1719">
        <v>48.695</v>
      </c>
      <c r="CO55" s="1719">
        <v>64.766999999999996</v>
      </c>
      <c r="CP55" s="1719">
        <v>74.213999999999999</v>
      </c>
      <c r="CQ55" s="265">
        <f>SUM(CM55:CP55)</f>
        <v>225.27699999999999</v>
      </c>
      <c r="CR55" s="516"/>
      <c r="CS55" s="1719">
        <v>74.23</v>
      </c>
      <c r="CT55" s="1719">
        <v>74.046000000000006</v>
      </c>
      <c r="CU55" s="1719">
        <f>69.677</f>
        <v>69.677000000000007</v>
      </c>
      <c r="CV55" s="1719">
        <v>68.932000000000002</v>
      </c>
      <c r="CW55" s="265">
        <f>SUM(CS55:CV55)</f>
        <v>286.88500000000005</v>
      </c>
      <c r="CX55" s="516"/>
      <c r="CY55" s="1719">
        <f>CV55</f>
        <v>68.932000000000002</v>
      </c>
      <c r="CZ55" s="1719">
        <f>CY55</f>
        <v>68.932000000000002</v>
      </c>
      <c r="DA55" s="1719">
        <f>CZ55</f>
        <v>68.932000000000002</v>
      </c>
      <c r="DB55" s="1719">
        <f>DA55</f>
        <v>68.932000000000002</v>
      </c>
      <c r="DC55" s="265">
        <f>SUM(CY55:DB55)</f>
        <v>275.72800000000001</v>
      </c>
      <c r="DD55" s="516"/>
      <c r="DE55" s="1719">
        <f>DB55</f>
        <v>68.932000000000002</v>
      </c>
      <c r="DF55" s="1719">
        <f>DE55</f>
        <v>68.932000000000002</v>
      </c>
      <c r="DG55" s="1719">
        <f>DF55</f>
        <v>68.932000000000002</v>
      </c>
      <c r="DH55" s="1719">
        <f>DG55</f>
        <v>68.932000000000002</v>
      </c>
      <c r="DI55" s="265">
        <f>SUM(DE55:DH55)</f>
        <v>275.72800000000001</v>
      </c>
      <c r="DJ55" s="516"/>
      <c r="DK55" s="1719">
        <f>DH55</f>
        <v>68.932000000000002</v>
      </c>
      <c r="DL55" s="1719">
        <f>DK55</f>
        <v>68.932000000000002</v>
      </c>
      <c r="DM55" s="1719">
        <f>DL55</f>
        <v>68.932000000000002</v>
      </c>
      <c r="DN55" s="1719">
        <f>DM55</f>
        <v>68.932000000000002</v>
      </c>
      <c r="DO55" s="265">
        <f>SUM(DK55:DN55)</f>
        <v>275.72800000000001</v>
      </c>
      <c r="DP55" s="261"/>
      <c r="DW55" s="1866"/>
    </row>
    <row r="56" spans="1:127" ht="12.75" hidden="1" customHeight="1" outlineLevel="1">
      <c r="A56" s="1717" t="s">
        <v>595</v>
      </c>
      <c r="B56" s="1718"/>
      <c r="C56" s="510"/>
      <c r="D56" s="510"/>
      <c r="E56" s="510"/>
      <c r="F56" s="516"/>
      <c r="G56" s="1719"/>
      <c r="H56" s="1719"/>
      <c r="I56" s="1719"/>
      <c r="J56" s="1719"/>
      <c r="K56" s="510"/>
      <c r="L56" s="516"/>
      <c r="M56" s="1719"/>
      <c r="N56" s="1719"/>
      <c r="O56" s="1719"/>
      <c r="P56" s="1719"/>
      <c r="Q56" s="510"/>
      <c r="R56" s="516"/>
      <c r="S56" s="1719"/>
      <c r="T56" s="1719"/>
      <c r="U56" s="1719"/>
      <c r="V56" s="1719"/>
      <c r="W56" s="510"/>
      <c r="X56" s="516"/>
      <c r="Y56" s="1719"/>
      <c r="Z56" s="1719"/>
      <c r="AA56" s="1719"/>
      <c r="AB56" s="1719"/>
      <c r="AC56" s="516"/>
      <c r="AD56" s="516"/>
      <c r="AE56" s="1719">
        <f>AE49</f>
        <v>7.6059999999999999</v>
      </c>
      <c r="AF56" s="1719">
        <f>AF49</f>
        <v>10.193</v>
      </c>
      <c r="AG56" s="1719">
        <f>AG49</f>
        <v>10.24</v>
      </c>
      <c r="AH56" s="1719">
        <f>AH49</f>
        <v>11.166</v>
      </c>
      <c r="AI56" s="265">
        <f>SUM(AE56:AH56)</f>
        <v>39.204999999999998</v>
      </c>
      <c r="AJ56" s="516"/>
      <c r="AK56" s="1719">
        <f>AK49</f>
        <v>12.012</v>
      </c>
      <c r="AL56" s="1719">
        <f>AL49</f>
        <v>13.430999999999999</v>
      </c>
      <c r="AM56" s="1719">
        <f>AM49</f>
        <v>14.178000000000001</v>
      </c>
      <c r="AN56" s="1719">
        <f>AN49</f>
        <v>15.586</v>
      </c>
      <c r="AO56" s="265">
        <f>SUM(AK56:AN56)</f>
        <v>55.206999999999994</v>
      </c>
      <c r="AP56" s="516"/>
      <c r="AQ56" s="1719">
        <f>AQ49</f>
        <v>18.065000000000001</v>
      </c>
      <c r="AR56" s="1719">
        <f>AR49</f>
        <v>18.899999999999999</v>
      </c>
      <c r="AS56" s="1719">
        <f>AS49</f>
        <v>19.276</v>
      </c>
      <c r="AT56" s="1719">
        <f>AT49</f>
        <v>21.140999999999998</v>
      </c>
      <c r="AU56" s="265">
        <f>SUM(AQ56:AT56)</f>
        <v>77.382000000000005</v>
      </c>
      <c r="AV56" s="516"/>
      <c r="AW56" s="1719">
        <f>AW49</f>
        <v>21.663</v>
      </c>
      <c r="AX56" s="1719">
        <f>AX49</f>
        <v>20.877000000000002</v>
      </c>
      <c r="AY56" s="1719">
        <f>AY49</f>
        <v>20.407</v>
      </c>
      <c r="AZ56" s="1719">
        <f>AZ49</f>
        <v>25.945</v>
      </c>
      <c r="BA56" s="265">
        <f>SUM(AW56:AZ56)</f>
        <v>88.891999999999996</v>
      </c>
      <c r="BB56" s="516"/>
      <c r="BC56" s="1719">
        <f>BC49</f>
        <v>26.468000000000004</v>
      </c>
      <c r="BD56" s="1719">
        <f>BD49</f>
        <v>26.615000000000002</v>
      </c>
      <c r="BE56" s="1719">
        <f>BE49</f>
        <v>25.631999999999998</v>
      </c>
      <c r="BF56" s="1719">
        <f>BF49</f>
        <v>41.713999999999999</v>
      </c>
      <c r="BG56" s="265">
        <f>SUM(BC56:BF56)</f>
        <v>120.429</v>
      </c>
      <c r="BH56" s="516"/>
      <c r="BI56" s="1719">
        <f>BI49</f>
        <v>47.558</v>
      </c>
      <c r="BJ56" s="1719">
        <f>BJ49</f>
        <v>54.594000000000001</v>
      </c>
      <c r="BK56" s="1719">
        <f>BK49</f>
        <v>57.006</v>
      </c>
      <c r="BL56" s="1719">
        <f>BL49</f>
        <v>70.099999999999994</v>
      </c>
      <c r="BM56" s="265">
        <f>SUM(BI56:BL56)</f>
        <v>229.25800000000001</v>
      </c>
      <c r="BN56" s="516"/>
      <c r="BO56" s="1719">
        <f>BO49</f>
        <v>81.266000000000005</v>
      </c>
      <c r="BP56" s="1719">
        <f>BP49</f>
        <v>85.417000000000002</v>
      </c>
      <c r="BQ56" s="1719">
        <f>BQ49</f>
        <v>105.11199999999999</v>
      </c>
      <c r="BR56" s="1719">
        <f>BR49</f>
        <v>107.55500000000001</v>
      </c>
      <c r="BS56" s="265">
        <f>SUM(BO56:BR56)</f>
        <v>379.34999999999997</v>
      </c>
      <c r="BT56" s="516"/>
      <c r="BU56" s="1719">
        <f>BU49</f>
        <v>114.729</v>
      </c>
      <c r="BV56" s="1719">
        <f>BV49</f>
        <v>110.476</v>
      </c>
      <c r="BW56" s="1719">
        <f>BW49</f>
        <v>141.536</v>
      </c>
      <c r="BX56" s="1719">
        <f>BX49</f>
        <v>136.53899999999999</v>
      </c>
      <c r="BY56" s="265">
        <f>SUM(BU56:BX56)</f>
        <v>503.28</v>
      </c>
      <c r="BZ56" s="516"/>
      <c r="CA56" s="1719">
        <f>CA49</f>
        <v>131.09200000000001</v>
      </c>
      <c r="CB56" s="1719">
        <f>CB49</f>
        <v>142.411</v>
      </c>
      <c r="CC56" s="1719">
        <f>CC49</f>
        <v>139.46</v>
      </c>
      <c r="CD56" s="1719">
        <f>CD49</f>
        <v>151.80199999999999</v>
      </c>
      <c r="CE56" s="265">
        <f>SUM(CA56:CD56)</f>
        <v>564.7650000000001</v>
      </c>
      <c r="CF56" s="516"/>
      <c r="CG56" s="1719">
        <f>CG49</f>
        <v>142.56</v>
      </c>
      <c r="CH56" s="1719">
        <f>CH49</f>
        <v>147.779</v>
      </c>
      <c r="CI56" s="1719">
        <f>CI49</f>
        <v>144.31700000000001</v>
      </c>
      <c r="CJ56" s="1719">
        <f>CJ49</f>
        <v>158.97200000000001</v>
      </c>
      <c r="CK56" s="265">
        <f>SUM(CG56:CJ56)</f>
        <v>593.62800000000004</v>
      </c>
      <c r="CL56" s="516"/>
      <c r="CM56" s="1719">
        <f>CM49</f>
        <v>188.91900000000001</v>
      </c>
      <c r="CN56" s="1719">
        <f>CN49</f>
        <v>182.31</v>
      </c>
      <c r="CO56" s="1719">
        <f>CO49</f>
        <v>204.751</v>
      </c>
      <c r="CP56" s="1719">
        <f>CP49</f>
        <v>244.387</v>
      </c>
      <c r="CQ56" s="265">
        <f>SUM(CM56:CP56)</f>
        <v>820.36699999999996</v>
      </c>
      <c r="CR56" s="516"/>
      <c r="CS56" s="1719">
        <f>CS49</f>
        <v>251.56899999999999</v>
      </c>
      <c r="CT56" s="1719">
        <f>CT49</f>
        <v>256.48500000000001</v>
      </c>
      <c r="CU56" s="1719">
        <f>CU49</f>
        <v>251.27699999999999</v>
      </c>
      <c r="CV56" s="1719">
        <f>CV49</f>
        <v>237.68199999999999</v>
      </c>
      <c r="CW56" s="265">
        <f>SUM(CS56:CV56)</f>
        <v>997.01299999999992</v>
      </c>
      <c r="CX56" s="516"/>
      <c r="CY56" s="1719">
        <f>CY49</f>
        <v>264.14744999999999</v>
      </c>
      <c r="CZ56" s="1719">
        <f>CZ49</f>
        <v>282.13350000000003</v>
      </c>
      <c r="DA56" s="1719">
        <f>DA49</f>
        <v>276.40469999999999</v>
      </c>
      <c r="DB56" s="1719">
        <f>DB49</f>
        <v>261.4502</v>
      </c>
      <c r="DC56" s="265">
        <f>SUM(CY56:DB56)</f>
        <v>1084.1358500000001</v>
      </c>
      <c r="DD56" s="516"/>
      <c r="DE56" s="1719">
        <f>DE49</f>
        <v>277.35482250000001</v>
      </c>
      <c r="DF56" s="1719">
        <f>DF49</f>
        <v>296.24017500000002</v>
      </c>
      <c r="DG56" s="1719">
        <f>DG49</f>
        <v>290.22493500000002</v>
      </c>
      <c r="DH56" s="1719">
        <f>DH49</f>
        <v>274.52271000000002</v>
      </c>
      <c r="DI56" s="265">
        <f>SUM(DE56:DH56)</f>
        <v>1138.3426425</v>
      </c>
      <c r="DJ56" s="516"/>
      <c r="DK56" s="1719">
        <f>DK49</f>
        <v>291.22256362500002</v>
      </c>
      <c r="DL56" s="1719">
        <f>DL49</f>
        <v>311.05218375000004</v>
      </c>
      <c r="DM56" s="1719">
        <f>DM49</f>
        <v>304.73618175000001</v>
      </c>
      <c r="DN56" s="1719">
        <f>DN49</f>
        <v>288.24884550000002</v>
      </c>
      <c r="DO56" s="265">
        <f>SUM(DK56:DN56)</f>
        <v>1195.2597746250001</v>
      </c>
      <c r="DP56" s="261"/>
    </row>
    <row r="57" spans="1:127" ht="6.75" hidden="1" customHeight="1" outlineLevel="1">
      <c r="A57" s="1717"/>
      <c r="B57" s="1718"/>
      <c r="C57" s="510"/>
      <c r="D57" s="510"/>
      <c r="E57" s="510"/>
      <c r="F57" s="516"/>
      <c r="G57" s="1719"/>
      <c r="H57" s="1719"/>
      <c r="I57" s="1719"/>
      <c r="J57" s="1719"/>
      <c r="K57" s="510"/>
      <c r="L57" s="516"/>
      <c r="M57" s="1719"/>
      <c r="N57" s="1719"/>
      <c r="O57" s="1719"/>
      <c r="P57" s="1719"/>
      <c r="Q57" s="510"/>
      <c r="R57" s="516"/>
      <c r="S57" s="1719"/>
      <c r="T57" s="1719"/>
      <c r="U57" s="1719"/>
      <c r="V57" s="1719"/>
      <c r="W57" s="510"/>
      <c r="X57" s="516"/>
      <c r="Y57" s="1719"/>
      <c r="Z57" s="1719"/>
      <c r="AA57" s="1719"/>
      <c r="AB57" s="1719"/>
      <c r="AC57" s="516"/>
      <c r="AD57" s="516"/>
      <c r="AE57" s="1719"/>
      <c r="AF57" s="1719"/>
      <c r="AG57" s="1719"/>
      <c r="AH57" s="1719"/>
      <c r="AI57" s="265"/>
      <c r="AJ57" s="516"/>
      <c r="AK57" s="1719"/>
      <c r="AL57" s="1719"/>
      <c r="AM57" s="1719"/>
      <c r="AN57" s="1719"/>
      <c r="AO57" s="265"/>
      <c r="AP57" s="516"/>
      <c r="AQ57" s="1719"/>
      <c r="AR57" s="1719"/>
      <c r="AS57" s="1719"/>
      <c r="AT57" s="1719"/>
      <c r="AU57" s="265"/>
      <c r="AV57" s="516"/>
      <c r="AW57" s="1719"/>
      <c r="AX57" s="1719"/>
      <c r="AY57" s="1719"/>
      <c r="AZ57" s="1719"/>
      <c r="BA57" s="265"/>
      <c r="BB57" s="516"/>
      <c r="BC57" s="1719"/>
      <c r="BD57" s="1719"/>
      <c r="BE57" s="1719"/>
      <c r="BF57" s="1719"/>
      <c r="BG57" s="265"/>
      <c r="BH57" s="516"/>
      <c r="BI57" s="1719"/>
      <c r="BJ57" s="1719"/>
      <c r="BK57" s="1719"/>
      <c r="BL57" s="1719"/>
      <c r="BM57" s="265"/>
      <c r="BN57" s="516"/>
      <c r="BO57" s="1719"/>
      <c r="BP57" s="1719"/>
      <c r="BQ57" s="1719"/>
      <c r="BR57" s="1719"/>
      <c r="BS57" s="265"/>
      <c r="BT57" s="516"/>
      <c r="BU57" s="1719"/>
      <c r="BV57" s="1719"/>
      <c r="BW57" s="1719"/>
      <c r="BX57" s="1719"/>
      <c r="BY57" s="265"/>
      <c r="BZ57" s="516"/>
      <c r="CA57" s="1719"/>
      <c r="CB57" s="1719"/>
      <c r="CC57" s="1719"/>
      <c r="CD57" s="1719"/>
      <c r="CE57" s="265"/>
      <c r="CF57" s="516"/>
      <c r="CG57" s="1719"/>
      <c r="CH57" s="1719"/>
      <c r="CI57" s="1719"/>
      <c r="CJ57" s="1719"/>
      <c r="CK57" s="265"/>
      <c r="CL57" s="516"/>
      <c r="CM57" s="1719"/>
      <c r="CN57" s="1719"/>
      <c r="CO57" s="1719"/>
      <c r="CP57" s="1719"/>
      <c r="CQ57" s="265"/>
      <c r="CR57" s="516"/>
      <c r="CS57" s="1719"/>
      <c r="CT57" s="1719"/>
      <c r="CU57" s="1719"/>
      <c r="CV57" s="1719"/>
      <c r="CW57" s="265"/>
      <c r="CX57" s="516"/>
      <c r="CY57" s="1719"/>
      <c r="CZ57" s="1719"/>
      <c r="DA57" s="1719"/>
      <c r="DB57" s="1719"/>
      <c r="DC57" s="265"/>
      <c r="DD57" s="516"/>
      <c r="DE57" s="1719"/>
      <c r="DF57" s="1719"/>
      <c r="DG57" s="1719"/>
      <c r="DH57" s="1719"/>
      <c r="DI57" s="265"/>
      <c r="DJ57" s="516"/>
      <c r="DK57" s="1719"/>
      <c r="DL57" s="1719"/>
      <c r="DM57" s="1719"/>
      <c r="DN57" s="1719"/>
      <c r="DO57" s="265"/>
      <c r="DP57" s="261"/>
    </row>
    <row r="58" spans="1:127" collapsed="1">
      <c r="A58" s="1717" t="s">
        <v>54</v>
      </c>
      <c r="B58" s="1718" t="s">
        <v>939</v>
      </c>
      <c r="C58" s="510">
        <f>SUM(C37:C53)</f>
        <v>5.5640000000000001</v>
      </c>
      <c r="D58" s="510">
        <f>SUM(D37:D53)</f>
        <v>55.886432890107308</v>
      </c>
      <c r="E58" s="510">
        <f>E37+E41+E45</f>
        <v>38.230000000000004</v>
      </c>
      <c r="F58" s="516"/>
      <c r="G58" s="510">
        <f>G41+G37+G45</f>
        <v>9.2420000000000009</v>
      </c>
      <c r="H58" s="510">
        <f>H41+H37+H45</f>
        <v>11.117000000000001</v>
      </c>
      <c r="I58" s="510">
        <f>I41+I37+I45</f>
        <v>15.853</v>
      </c>
      <c r="J58" s="510">
        <f>J41+J37+J45</f>
        <v>14.916</v>
      </c>
      <c r="K58" s="510">
        <f>SUM(G58:J58)</f>
        <v>51.128</v>
      </c>
      <c r="L58" s="516"/>
      <c r="M58" s="510">
        <f>M41+M37+M45</f>
        <v>15.541</v>
      </c>
      <c r="N58" s="510">
        <f>N41+N37+N45</f>
        <v>17.661000000000001</v>
      </c>
      <c r="O58" s="510">
        <f>O41+O37+O45</f>
        <v>20.797000000000001</v>
      </c>
      <c r="P58" s="510">
        <f>P41+P37+P45</f>
        <v>24.478000000000002</v>
      </c>
      <c r="Q58" s="510">
        <f>SUM(M58:P58)</f>
        <v>78.477000000000004</v>
      </c>
      <c r="R58" s="510"/>
      <c r="S58" s="510">
        <f>S41+S37+S45</f>
        <v>28.114999999999998</v>
      </c>
      <c r="T58" s="510">
        <f>T41+T37+T45</f>
        <v>31.233999999999995</v>
      </c>
      <c r="U58" s="510">
        <f>U41+U37+U45</f>
        <v>35.683</v>
      </c>
      <c r="V58" s="510">
        <f>V41+V37+V45</f>
        <v>41.369</v>
      </c>
      <c r="W58" s="510">
        <f>SUM(S58:V58)</f>
        <v>136.40099999999998</v>
      </c>
      <c r="X58" s="510"/>
      <c r="Y58" s="510">
        <f>Y41+Y37+Y45</f>
        <v>48.227000000000004</v>
      </c>
      <c r="Z58" s="510">
        <f>Z41+Z37+Z45</f>
        <v>51.513000000000005</v>
      </c>
      <c r="AA58" s="510">
        <f>AA41+AA37+AA45</f>
        <v>56.702000000000005</v>
      </c>
      <c r="AB58" s="510">
        <f>AB41+AB37+AB45</f>
        <v>64.472000000000008</v>
      </c>
      <c r="AC58" s="510">
        <f>SUM(Y58:AB58)</f>
        <v>220.91400000000002</v>
      </c>
      <c r="AD58" s="510"/>
      <c r="AE58" s="510">
        <f>AE41+AE37+AE45</f>
        <v>73.783999999999992</v>
      </c>
      <c r="AF58" s="510">
        <f>AF41+AF37+AF45</f>
        <v>81.475999999999999</v>
      </c>
      <c r="AG58" s="510">
        <f>AG41+AG37+AG45</f>
        <v>89.88</v>
      </c>
      <c r="AH58" s="510">
        <f>AH41+AH37+AH45</f>
        <v>102.91499999999999</v>
      </c>
      <c r="AI58" s="265">
        <f>SUM(AE58:AH58)</f>
        <v>348.05499999999995</v>
      </c>
      <c r="AJ58" s="510"/>
      <c r="AK58" s="510">
        <f>AK41+AK37+AK45</f>
        <v>112.893</v>
      </c>
      <c r="AL58" s="510">
        <f>AL41+AL37+AL45</f>
        <v>120.35399999999998</v>
      </c>
      <c r="AM58" s="510">
        <f>AM41+AM37+AM45</f>
        <v>130.23999999999998</v>
      </c>
      <c r="AN58" s="510">
        <f>AN41+AN37+AN45</f>
        <v>146.03200000000001</v>
      </c>
      <c r="AO58" s="265">
        <f>SUM(AK58:AN58)</f>
        <v>509.51900000000001</v>
      </c>
      <c r="AP58" s="510"/>
      <c r="AQ58" s="510">
        <f>AQ41+AQ37+AQ45</f>
        <v>165.51300000000001</v>
      </c>
      <c r="AR58" s="510">
        <f>AR41+AR37+AR45</f>
        <v>176.661</v>
      </c>
      <c r="AS58" s="510">
        <f>AS41+AS37+AS45</f>
        <v>187.547</v>
      </c>
      <c r="AT58" s="510">
        <f>AT41+AT37+AT45</f>
        <v>196.52</v>
      </c>
      <c r="AU58" s="265">
        <f>SUM(AQ58:AT58)</f>
        <v>726.24099999999999</v>
      </c>
      <c r="AV58" s="510"/>
      <c r="AW58" s="510">
        <f>AW41+AW37+AW45</f>
        <v>194.49399999999997</v>
      </c>
      <c r="AX58" s="510">
        <f>AX41+AX37+AX45</f>
        <v>206.36999999999998</v>
      </c>
      <c r="AY58" s="510">
        <f>AY41+AY37+AY45</f>
        <v>217.42599999999999</v>
      </c>
      <c r="AZ58" s="510">
        <f>AZ41+AZ37+AZ45</f>
        <v>237.774</v>
      </c>
      <c r="BA58" s="265">
        <f>SUM(AW58:AZ58)</f>
        <v>856.06399999999996</v>
      </c>
      <c r="BB58" s="510"/>
      <c r="BC58" s="510">
        <f>BC41+BC37+BC45</f>
        <v>248.78799999999995</v>
      </c>
      <c r="BD58" s="510">
        <f>BD41+BD37+BD45</f>
        <v>262.24599999999998</v>
      </c>
      <c r="BE58" s="510">
        <f>BE41+BE37+BE45</f>
        <v>287.512</v>
      </c>
      <c r="BF58" s="510">
        <f>BF41+BF37+BF45</f>
        <v>325.62799999999999</v>
      </c>
      <c r="BG58" s="265">
        <f>SUM(BC58:BF58)</f>
        <v>1124.174</v>
      </c>
      <c r="BH58" s="510"/>
      <c r="BI58" s="510">
        <f>BI41+BI37+BI45</f>
        <v>358.95399999999995</v>
      </c>
      <c r="BJ58" s="510">
        <f>BJ41+BJ37+BJ45</f>
        <v>388.31899999999996</v>
      </c>
      <c r="BK58" s="510">
        <f>BK41+BK37+BK45</f>
        <v>412.03100000000006</v>
      </c>
      <c r="BL58" s="510">
        <f>BL41+BL37+BL45</f>
        <v>434.37700000000001</v>
      </c>
      <c r="BM58" s="265">
        <f>SUM(BI58:BL58)</f>
        <v>1593.681</v>
      </c>
      <c r="BN58" s="510"/>
      <c r="BO58" s="510">
        <f>BO41+BO37+BO45</f>
        <v>488.72499999999991</v>
      </c>
      <c r="BP58" s="510">
        <f>BP41+BP37+BP45</f>
        <v>502.73700000000008</v>
      </c>
      <c r="BQ58" s="510">
        <f>BQ41+BQ37+BQ45</f>
        <v>557.56700000000001</v>
      </c>
      <c r="BR58" s="510">
        <f>BR41+BR37+BR45</f>
        <v>571.78199999999993</v>
      </c>
      <c r="BS58" s="265">
        <f>SUM(BO58:BR58)</f>
        <v>2120.8109999999997</v>
      </c>
      <c r="BT58" s="510"/>
      <c r="BU58" s="510">
        <f>BU41+BU37+BU45</f>
        <v>621.66800000000001</v>
      </c>
      <c r="BV58" s="510">
        <f>BV41+BV37+BV45</f>
        <v>674.26299999999992</v>
      </c>
      <c r="BW58" s="510">
        <f>BW41+BW37+BW45</f>
        <v>761.15000000000009</v>
      </c>
      <c r="BX58" s="510">
        <f>BX41+BX37+BX45</f>
        <v>836.71699999999998</v>
      </c>
      <c r="BY58" s="265">
        <f>SUM(BU58:BX58)</f>
        <v>2893.7980000000002</v>
      </c>
      <c r="BZ58" s="510"/>
      <c r="CA58" s="510">
        <f>CA41+CA37+CA45</f>
        <v>855.56099999999992</v>
      </c>
      <c r="CB58" s="510">
        <f>CB41+CB37+CB45</f>
        <v>900.07199999999989</v>
      </c>
      <c r="CC58" s="510">
        <f>CC41+CC37+CC45</f>
        <v>932.04899999999998</v>
      </c>
      <c r="CD58" s="510">
        <f>CD41+CD37+CD45</f>
        <v>966.64100000000008</v>
      </c>
      <c r="CE58" s="265">
        <f>SUM(CA58:CD58)</f>
        <v>3654.3229999999999</v>
      </c>
      <c r="CF58" s="510"/>
      <c r="CG58" s="510">
        <f>CG41+CG37+CG45</f>
        <v>987.67099999999994</v>
      </c>
      <c r="CH58" s="510">
        <f>CH41+CH37+CH45</f>
        <v>1059.0350000000001</v>
      </c>
      <c r="CI58" s="510">
        <f>CI41+CI37+CI45</f>
        <v>1099.0830000000001</v>
      </c>
      <c r="CJ58" s="510">
        <f>CJ41+CJ37+CJ45</f>
        <v>1187.2359999999999</v>
      </c>
      <c r="CK58" s="265">
        <f>SUM(CG58:CJ58)</f>
        <v>4333.0249999999996</v>
      </c>
      <c r="CL58" s="510"/>
      <c r="CM58" s="510">
        <f>CM41+CM37+CM45</f>
        <v>1189.9650000000001</v>
      </c>
      <c r="CN58" s="510">
        <f>CN41+CN37+CN45</f>
        <v>1296.5220000000002</v>
      </c>
      <c r="CO58" s="510">
        <f>CO41+CO37+CO45</f>
        <v>1350.1850000000002</v>
      </c>
      <c r="CP58" s="510">
        <f>CP41+CP37+CP45</f>
        <v>1446.5340000000001</v>
      </c>
      <c r="CQ58" s="265">
        <f>SUM(CM58:CP58)</f>
        <v>5283.2060000000001</v>
      </c>
      <c r="CR58" s="510"/>
      <c r="CS58" s="510">
        <f>CS41+CS37+CS45</f>
        <v>1495.203</v>
      </c>
      <c r="CT58" s="510">
        <f>CT41+CT37+CT45</f>
        <v>1585.2829999999999</v>
      </c>
      <c r="CU58" s="510">
        <f>CU41+CU37+CU45</f>
        <v>1601.4949999999999</v>
      </c>
      <c r="CV58" s="510">
        <f>CV41+CV37+CV45</f>
        <v>1800.3419999999999</v>
      </c>
      <c r="CW58" s="265">
        <f>SUM(CS58:CV58)</f>
        <v>6482.3229999999994</v>
      </c>
      <c r="CX58" s="510"/>
      <c r="CY58" s="510">
        <f>CY41+CY37+CY45</f>
        <v>1781.2540822537071</v>
      </c>
      <c r="CZ58" s="510">
        <f>CZ41+CZ37+CZ45</f>
        <v>1837.3336640823577</v>
      </c>
      <c r="DA58" s="510">
        <f>DA41+DA37+DA45</f>
        <v>1847.4529667983161</v>
      </c>
      <c r="DB58" s="510">
        <f>DB41+DB37+DB45</f>
        <v>2054.7329394431931</v>
      </c>
      <c r="DC58" s="265">
        <f>SUM(CY58:DB58)</f>
        <v>7520.7736525775745</v>
      </c>
      <c r="DD58" s="510"/>
      <c r="DE58" s="510">
        <f>DE41+DE37+DE45</f>
        <v>2079.2661587371608</v>
      </c>
      <c r="DF58" s="510">
        <f>DF41+DF37+DF45</f>
        <v>2135.3159403838717</v>
      </c>
      <c r="DG58" s="510">
        <f>DG41+DG37+DG45</f>
        <v>2154.4745029183623</v>
      </c>
      <c r="DH58" s="510">
        <f>DH41+DH37+DH45</f>
        <v>2342.9325372871667</v>
      </c>
      <c r="DI58" s="265">
        <f>SUM(DE58:DH58)</f>
        <v>8711.9891393265625</v>
      </c>
      <c r="DJ58" s="510"/>
      <c r="DK58" s="510">
        <f>DK41+DK37+DK45</f>
        <v>2403.9946081448538</v>
      </c>
      <c r="DL58" s="510">
        <f>DL41+DL37+DL45</f>
        <v>2460.4170967079235</v>
      </c>
      <c r="DM58" s="510">
        <f>DM41+DM37+DM45</f>
        <v>2481.9597363283347</v>
      </c>
      <c r="DN58" s="510">
        <f>DN41+DN37+DN45</f>
        <v>2681.1793163688435</v>
      </c>
      <c r="DO58" s="265">
        <f>SUM(DK58:DN58)</f>
        <v>10027.550757549954</v>
      </c>
      <c r="DP58" s="261"/>
      <c r="DW58" s="1910"/>
    </row>
    <row r="59" spans="1:127">
      <c r="A59" s="1720" t="s">
        <v>871</v>
      </c>
      <c r="B59" s="1737"/>
      <c r="C59" s="1738" t="s">
        <v>88</v>
      </c>
      <c r="D59" s="1738" t="s">
        <v>88</v>
      </c>
      <c r="E59" s="1738">
        <f>E58/D58-1</f>
        <v>-0.31593415390862678</v>
      </c>
      <c r="F59" s="1740"/>
      <c r="G59" s="1738" t="s">
        <v>88</v>
      </c>
      <c r="H59" s="1738" t="s">
        <v>88</v>
      </c>
      <c r="I59" s="1738" t="s">
        <v>88</v>
      </c>
      <c r="J59" s="1738" t="s">
        <v>88</v>
      </c>
      <c r="K59" s="1738">
        <f>K58/E58-1</f>
        <v>0.33737902171069822</v>
      </c>
      <c r="L59" s="1740"/>
      <c r="M59" s="1739">
        <f>M58/G58-1</f>
        <v>0.68156243237394487</v>
      </c>
      <c r="N59" s="1739">
        <f>N58/H58-1</f>
        <v>0.58864801655122778</v>
      </c>
      <c r="O59" s="1739">
        <f>O58/I58-1</f>
        <v>0.31186526209550247</v>
      </c>
      <c r="P59" s="1739">
        <f>P58/J58-1</f>
        <v>0.64105658353445971</v>
      </c>
      <c r="Q59" s="1739">
        <f>Q58/K58-1</f>
        <v>0.53491237677984671</v>
      </c>
      <c r="R59" s="1739"/>
      <c r="S59" s="1739">
        <f>S58/M58-1</f>
        <v>0.80908564442442565</v>
      </c>
      <c r="T59" s="1739">
        <f>T58/N58-1</f>
        <v>0.76852952833927812</v>
      </c>
      <c r="U59" s="1739">
        <f>U58/O58-1</f>
        <v>0.7157763138914266</v>
      </c>
      <c r="V59" s="1739">
        <f>V58/P58-1</f>
        <v>0.69004820655282284</v>
      </c>
      <c r="W59" s="1739">
        <f>W58/Q58-1</f>
        <v>0.73810160938873781</v>
      </c>
      <c r="X59" s="1739"/>
      <c r="Y59" s="1739">
        <f>Y58/S58-1</f>
        <v>0.7153476791748179</v>
      </c>
      <c r="Z59" s="1739">
        <f>Z58/T58-1</f>
        <v>0.64926042133572426</v>
      </c>
      <c r="AA59" s="1739">
        <f>AA58/U58-1</f>
        <v>0.58904800605330276</v>
      </c>
      <c r="AB59" s="1739">
        <f>AB58/V58-1</f>
        <v>0.55846165002779879</v>
      </c>
      <c r="AC59" s="1739">
        <f>AC58/W58-1</f>
        <v>0.61959223172850675</v>
      </c>
      <c r="AD59" s="1739"/>
      <c r="AE59" s="1739">
        <f>AE58/Y58-1</f>
        <v>0.52993136624712278</v>
      </c>
      <c r="AF59" s="1739">
        <f>AF58/Z58-1</f>
        <v>0.58165899869935722</v>
      </c>
      <c r="AG59" s="1739">
        <f>AG58/AA58-1</f>
        <v>0.58512927233607259</v>
      </c>
      <c r="AH59" s="1739">
        <f>AH58/AB58-1</f>
        <v>0.59627435165653275</v>
      </c>
      <c r="AI59" s="366">
        <f>AI58/AC58-1</f>
        <v>0.57552260155535606</v>
      </c>
      <c r="AJ59" s="1739"/>
      <c r="AK59" s="1739">
        <f>AK58/AE58-1</f>
        <v>0.53004716469695334</v>
      </c>
      <c r="AL59" s="1739">
        <f>AL58/AF58-1</f>
        <v>0.47717119151651999</v>
      </c>
      <c r="AM59" s="1739">
        <f>AM58/AG58-1</f>
        <v>0.4490431686693368</v>
      </c>
      <c r="AN59" s="1739">
        <f>AN58/AH58-1</f>
        <v>0.41895739202254312</v>
      </c>
      <c r="AO59" s="366">
        <f>AO58/AI58-1</f>
        <v>0.46390369338179327</v>
      </c>
      <c r="AP59" s="1739"/>
      <c r="AQ59" s="1739">
        <f>AQ58/AK58-1</f>
        <v>0.46610507294517811</v>
      </c>
      <c r="AR59" s="1739">
        <f>AR58/AL58-1</f>
        <v>0.46784485766987416</v>
      </c>
      <c r="AS59" s="1739">
        <f>AS58/AM58-1</f>
        <v>0.44001074938574947</v>
      </c>
      <c r="AT59" s="1739">
        <f>AT58/AN58-1</f>
        <v>0.34573244220444832</v>
      </c>
      <c r="AU59" s="366">
        <f>AU58/AO58-1</f>
        <v>0.4253462579413132</v>
      </c>
      <c r="AV59" s="1739"/>
      <c r="AW59" s="1739">
        <f>AW58/AQ58-1</f>
        <v>0.17509802855364809</v>
      </c>
      <c r="AX59" s="1739">
        <f>AX58/AR58-1</f>
        <v>0.16816954506087911</v>
      </c>
      <c r="AY59" s="1739">
        <f>AY58/AS58-1</f>
        <v>0.15931473177390187</v>
      </c>
      <c r="AZ59" s="1739">
        <f>AZ58/AT58-1</f>
        <v>0.20992265418278033</v>
      </c>
      <c r="BA59" s="366">
        <f>BA58/AU58-1</f>
        <v>0.17876021871527503</v>
      </c>
      <c r="BB59" s="1739"/>
      <c r="BC59" s="1739">
        <f>BC58/AW58-1</f>
        <v>0.27915514103262828</v>
      </c>
      <c r="BD59" s="1739">
        <f>BD58/AX58-1</f>
        <v>0.27075640839269277</v>
      </c>
      <c r="BE59" s="1739">
        <f>BE58/AY58-1</f>
        <v>0.32234415387304205</v>
      </c>
      <c r="BF59" s="1739">
        <f>BF58/AZ58-1</f>
        <v>0.36948530957968484</v>
      </c>
      <c r="BG59" s="366">
        <f>BG58/BA58-1</f>
        <v>0.31318920080741619</v>
      </c>
      <c r="BH59" s="1739"/>
      <c r="BI59" s="1739">
        <f>BI58/BC58-1</f>
        <v>0.44281074649902741</v>
      </c>
      <c r="BJ59" s="1739">
        <f>BJ58/BD58-1</f>
        <v>0.48074327158469532</v>
      </c>
      <c r="BK59" s="1739">
        <f>BK58/BE58-1</f>
        <v>0.43309148835526878</v>
      </c>
      <c r="BL59" s="1739">
        <f>BL58/BF58-1</f>
        <v>0.33396698072647335</v>
      </c>
      <c r="BM59" s="366">
        <f>BM58/BG58-1</f>
        <v>0.41764620067711955</v>
      </c>
      <c r="BN59" s="1739"/>
      <c r="BO59" s="1739">
        <f>BO58/BI58-1</f>
        <v>0.36152543222808498</v>
      </c>
      <c r="BP59" s="1739">
        <f>BP58/BJ58-1</f>
        <v>0.2946495020846267</v>
      </c>
      <c r="BQ59" s="1739">
        <f>BQ58/BK58-1</f>
        <v>0.35321614150391567</v>
      </c>
      <c r="BR59" s="1739">
        <f>BR58/BL58-1</f>
        <v>0.31632660108615318</v>
      </c>
      <c r="BS59" s="366">
        <f>BS58/BM58-1</f>
        <v>0.33076255536710275</v>
      </c>
      <c r="BT59" s="1739"/>
      <c r="BU59" s="1739">
        <f>BU58/BO58-1</f>
        <v>0.27202005217658209</v>
      </c>
      <c r="BV59" s="1739">
        <f>BV58/BP58-1</f>
        <v>0.34118435683070825</v>
      </c>
      <c r="BW59" s="1739">
        <f>BW58/BQ58-1</f>
        <v>0.36512741966436346</v>
      </c>
      <c r="BX59" s="1739">
        <f>BX58/BR58-1</f>
        <v>0.46334966823019985</v>
      </c>
      <c r="BY59" s="366">
        <f>BY58/BS58-1</f>
        <v>0.36447707975863985</v>
      </c>
      <c r="BZ59" s="1739"/>
      <c r="CA59" s="1739">
        <f>CA58/BU58-1</f>
        <v>0.37623458180250546</v>
      </c>
      <c r="CB59" s="1739">
        <f>CB58/BV58-1</f>
        <v>0.33489751031867376</v>
      </c>
      <c r="CC59" s="1739">
        <f>CC58/BW58-1</f>
        <v>0.22452735991591655</v>
      </c>
      <c r="CD59" s="1739">
        <f>CD58/BX58-1</f>
        <v>0.15527830795836595</v>
      </c>
      <c r="CE59" s="366">
        <f>CE58/BY58-1</f>
        <v>0.26281205529895302</v>
      </c>
      <c r="CF59" s="1739"/>
      <c r="CG59" s="1739">
        <f>CG58/CA58-1</f>
        <v>0.15441330308417522</v>
      </c>
      <c r="CH59" s="1739">
        <f>CH58/CB58-1</f>
        <v>0.17661142664142448</v>
      </c>
      <c r="CI59" s="1739">
        <f>CI58/CC58-1</f>
        <v>0.17921160797340074</v>
      </c>
      <c r="CJ59" s="1739">
        <f>CJ58/CD58-1</f>
        <v>0.22820778344804316</v>
      </c>
      <c r="CK59" s="366">
        <f>CK58/CE58-1</f>
        <v>0.18572578286046415</v>
      </c>
      <c r="CL59" s="1739"/>
      <c r="CM59" s="1739">
        <f>CM58/CG58-1</f>
        <v>0.20481921611548803</v>
      </c>
      <c r="CN59" s="1739">
        <f>CN58/CH58-1</f>
        <v>0.22424849037095096</v>
      </c>
      <c r="CO59" s="1739">
        <f>CO58/CI58-1</f>
        <v>0.22846500218818777</v>
      </c>
      <c r="CP59" s="1739">
        <f>CP58/CJ58-1</f>
        <v>0.21840476535415054</v>
      </c>
      <c r="CQ59" s="366">
        <f>CQ58/CK58-1</f>
        <v>0.21928814165623334</v>
      </c>
      <c r="CR59" s="1739"/>
      <c r="CS59" s="1739">
        <f>CS58/CM58-1</f>
        <v>0.25651006542209198</v>
      </c>
      <c r="CT59" s="1739">
        <f>CT58/CN58-1</f>
        <v>0.22271970703158117</v>
      </c>
      <c r="CU59" s="1739">
        <f>CU58/CO58-1</f>
        <v>0.18613004884515805</v>
      </c>
      <c r="CV59" s="1739">
        <f>CV58/CP58-1</f>
        <v>0.24459017209412282</v>
      </c>
      <c r="CW59" s="366">
        <f>CW58/CQ58-1</f>
        <v>0.22696767833773634</v>
      </c>
      <c r="CX59" s="1739"/>
      <c r="CY59" s="1739">
        <f>CY58/CS58-1</f>
        <v>0.19131253900220035</v>
      </c>
      <c r="CZ59" s="1739">
        <f>CZ58/CT58-1</f>
        <v>0.1589941127750425</v>
      </c>
      <c r="DA59" s="1739">
        <f>DA58/CU58-1</f>
        <v>0.15358022772366842</v>
      </c>
      <c r="DB59" s="1739">
        <f>DB58/CV58-1</f>
        <v>0.14130145241470404</v>
      </c>
      <c r="DC59" s="366">
        <f>DC58/CW58-1</f>
        <v>0.16019730158117307</v>
      </c>
      <c r="DD59" s="1739"/>
      <c r="DE59" s="1739">
        <f>DE58/CY58-1</f>
        <v>0.16730464196685402</v>
      </c>
      <c r="DF59" s="1739">
        <f>DF58/CZ58-1</f>
        <v>0.1621819063824419</v>
      </c>
      <c r="DG59" s="1739">
        <f>DG58/DA58-1</f>
        <v>0.16618638830742327</v>
      </c>
      <c r="DH59" s="1739">
        <f>DH58/DB58-1</f>
        <v>0.14026134117559441</v>
      </c>
      <c r="DI59" s="366">
        <f>DI58/DC58-1</f>
        <v>0.15839001966782051</v>
      </c>
      <c r="DJ59" s="1739"/>
      <c r="DK59" s="1739">
        <f>DK58/DE58-1</f>
        <v>0.15617454650679075</v>
      </c>
      <c r="DL59" s="1739">
        <f>DL58/DF58-1</f>
        <v>0.15224967424052838</v>
      </c>
      <c r="DM59" s="1739">
        <f>DM58/DG58-1</f>
        <v>0.15200237132830963</v>
      </c>
      <c r="DN59" s="1739">
        <f>DN58/DH58-1</f>
        <v>0.14436897934471715</v>
      </c>
      <c r="DO59" s="366">
        <f>DO58/DI58-1</f>
        <v>0.15100588363739442</v>
      </c>
      <c r="DP59" s="261"/>
    </row>
    <row r="60" spans="1:127" ht="5.25" customHeight="1">
      <c r="A60" s="1747"/>
      <c r="B60" s="331"/>
      <c r="C60" s="285"/>
      <c r="D60" s="285"/>
      <c r="E60" s="285"/>
      <c r="F60" s="285"/>
      <c r="G60" s="285"/>
      <c r="H60" s="285"/>
      <c r="I60" s="285"/>
      <c r="J60" s="285"/>
      <c r="K60" s="285"/>
      <c r="L60" s="285"/>
      <c r="M60" s="285"/>
      <c r="N60" s="285"/>
      <c r="O60" s="285"/>
      <c r="P60" s="285"/>
      <c r="Q60" s="285"/>
      <c r="R60" s="285"/>
      <c r="S60" s="285"/>
      <c r="T60" s="285"/>
      <c r="U60" s="285"/>
      <c r="V60" s="285"/>
      <c r="W60" s="285"/>
      <c r="X60" s="285"/>
      <c r="Y60" s="285"/>
      <c r="Z60" s="285"/>
      <c r="AA60" s="285"/>
      <c r="AB60" s="285"/>
      <c r="AC60" s="285"/>
      <c r="AD60" s="285"/>
      <c r="AE60" s="285"/>
      <c r="AF60" s="285"/>
      <c r="AG60" s="285"/>
      <c r="AH60" s="285"/>
      <c r="AI60" s="332"/>
      <c r="AJ60" s="285"/>
      <c r="AK60" s="285"/>
      <c r="AL60" s="285"/>
      <c r="AM60" s="285"/>
      <c r="AN60" s="285"/>
      <c r="AO60" s="332"/>
      <c r="AP60" s="285"/>
      <c r="AQ60" s="285"/>
      <c r="AR60" s="285"/>
      <c r="AS60" s="285"/>
      <c r="AT60" s="285"/>
      <c r="AU60" s="332"/>
      <c r="AV60" s="285"/>
      <c r="AW60" s="285"/>
      <c r="AX60" s="285"/>
      <c r="AY60" s="285"/>
      <c r="AZ60" s="285"/>
      <c r="BA60" s="332"/>
      <c r="BB60" s="285"/>
      <c r="BC60" s="285"/>
      <c r="BD60" s="285"/>
      <c r="BE60" s="285"/>
      <c r="BF60" s="285"/>
      <c r="BG60" s="332"/>
      <c r="BH60" s="285"/>
      <c r="BI60" s="285"/>
      <c r="BJ60" s="285"/>
      <c r="BK60" s="285"/>
      <c r="BL60" s="285"/>
      <c r="BM60" s="332"/>
      <c r="BN60" s="285"/>
      <c r="BO60" s="285"/>
      <c r="BP60" s="285"/>
      <c r="BQ60" s="285"/>
      <c r="BR60" s="285"/>
      <c r="BS60" s="332"/>
      <c r="BT60" s="285"/>
      <c r="BU60" s="285"/>
      <c r="BV60" s="285"/>
      <c r="BW60" s="285"/>
      <c r="BX60" s="285"/>
      <c r="BY60" s="332"/>
      <c r="BZ60" s="285"/>
      <c r="CA60" s="285"/>
      <c r="CB60" s="285"/>
      <c r="CC60" s="285"/>
      <c r="CD60" s="285"/>
      <c r="CE60" s="332"/>
      <c r="CF60" s="285"/>
      <c r="CG60" s="285"/>
      <c r="CH60" s="285"/>
      <c r="CI60" s="285"/>
      <c r="CJ60" s="285"/>
      <c r="CK60" s="332"/>
      <c r="CL60" s="285"/>
      <c r="CM60" s="285"/>
      <c r="CN60" s="285"/>
      <c r="CO60" s="285"/>
      <c r="CP60" s="285"/>
      <c r="CQ60" s="332"/>
      <c r="CR60" s="285"/>
      <c r="CS60" s="285"/>
      <c r="CT60" s="285"/>
      <c r="CU60" s="285"/>
      <c r="CV60" s="285"/>
      <c r="CW60" s="332"/>
      <c r="CX60" s="285"/>
      <c r="CY60" s="285"/>
      <c r="CZ60" s="285"/>
      <c r="DA60" s="285"/>
      <c r="DB60" s="285"/>
      <c r="DC60" s="332"/>
      <c r="DD60" s="285"/>
      <c r="DE60" s="285"/>
      <c r="DF60" s="285"/>
      <c r="DG60" s="285"/>
      <c r="DH60" s="285"/>
      <c r="DI60" s="332"/>
      <c r="DJ60" s="285"/>
      <c r="DK60" s="285"/>
      <c r="DL60" s="285"/>
      <c r="DM60" s="285"/>
      <c r="DN60" s="285"/>
      <c r="DO60" s="332"/>
      <c r="DP60" s="925"/>
    </row>
    <row r="61" spans="1:127" ht="11.25" hidden="1" customHeight="1" outlineLevel="1">
      <c r="A61" s="1747" t="s">
        <v>504</v>
      </c>
      <c r="B61" s="331"/>
      <c r="C61" s="285"/>
      <c r="D61" s="285"/>
      <c r="E61" s="285"/>
      <c r="F61" s="285"/>
      <c r="G61" s="285"/>
      <c r="H61" s="285"/>
      <c r="I61" s="285"/>
      <c r="J61" s="285"/>
      <c r="K61" s="285"/>
      <c r="L61" s="285"/>
      <c r="M61" s="285"/>
      <c r="N61" s="285"/>
      <c r="O61" s="285"/>
      <c r="P61" s="285"/>
      <c r="Q61" s="285"/>
      <c r="R61" s="285"/>
      <c r="S61" s="286">
        <f>S26+S58</f>
        <v>34.478000000000002</v>
      </c>
      <c r="T61" s="286">
        <f>T26+T58</f>
        <v>39.415999999999997</v>
      </c>
      <c r="U61" s="286">
        <f>U26+U58</f>
        <v>44.588000000000001</v>
      </c>
      <c r="V61" s="286">
        <f>V26+V58</f>
        <v>51.373000000000005</v>
      </c>
      <c r="W61" s="286">
        <f>SUM(S61:V61)</f>
        <v>169.85500000000002</v>
      </c>
      <c r="X61" s="285"/>
      <c r="Y61" s="286">
        <f>Y26+Y58</f>
        <v>60.192000000000007</v>
      </c>
      <c r="Z61" s="286">
        <f>Z26+Z58</f>
        <v>67.75</v>
      </c>
      <c r="AA61" s="286">
        <f>AA26+AA58</f>
        <v>76.286000000000001</v>
      </c>
      <c r="AB61" s="286">
        <f>AB26+AB58</f>
        <v>85.812000000000012</v>
      </c>
      <c r="AC61" s="286">
        <f>SUM(Y61:AB61)</f>
        <v>290.04000000000002</v>
      </c>
      <c r="AD61" s="285"/>
      <c r="AE61" s="286">
        <f>AE26+AE58</f>
        <v>97.11099999999999</v>
      </c>
      <c r="AF61" s="286">
        <f>AF26+AF58</f>
        <v>108.682</v>
      </c>
      <c r="AG61" s="286">
        <f>AG26+AG58</f>
        <v>119.93599999999999</v>
      </c>
      <c r="AH61" s="286">
        <f>AH26+AH58</f>
        <v>135.124</v>
      </c>
      <c r="AI61" s="287">
        <f>SUM(AE61:AH61)</f>
        <v>460.85299999999995</v>
      </c>
      <c r="AJ61" s="285"/>
      <c r="AK61" s="286">
        <f>AK26+AK58</f>
        <v>149.786</v>
      </c>
      <c r="AL61" s="286">
        <f>AL26+AL58</f>
        <v>158.30099999999999</v>
      </c>
      <c r="AM61" s="286">
        <f>AM26+AM58</f>
        <v>171.00699999999998</v>
      </c>
      <c r="AN61" s="286">
        <f>AN26+AN58</f>
        <v>189.29000000000002</v>
      </c>
      <c r="AO61" s="287">
        <f>SUM(AK61:AN61)</f>
        <v>668.38400000000001</v>
      </c>
      <c r="AP61" s="285"/>
      <c r="AQ61" s="286">
        <f>AQ26+AQ58</f>
        <v>212.83600000000001</v>
      </c>
      <c r="AR61" s="286">
        <f>AR26+AR58</f>
        <v>226.79500000000002</v>
      </c>
      <c r="AS61" s="286">
        <f>AS26+AS58</f>
        <v>238.578</v>
      </c>
      <c r="AT61" s="286">
        <f>AT26+AT58</f>
        <v>249.452</v>
      </c>
      <c r="AU61" s="287">
        <f>SUM(AQ61:AT61)</f>
        <v>927.66100000000006</v>
      </c>
      <c r="AV61" s="285"/>
      <c r="AW61" s="286">
        <f>AW26+AW58</f>
        <v>252.33799999999997</v>
      </c>
      <c r="AX61" s="288">
        <f>AX26+AX58</f>
        <v>263.49499999999995</v>
      </c>
      <c r="AY61" s="288">
        <f>AY26+AY58</f>
        <v>277.80099999999999</v>
      </c>
      <c r="AZ61" s="288">
        <f>AZ26+AZ58</f>
        <v>299.67700000000002</v>
      </c>
      <c r="BA61" s="287">
        <f>SUM(AW61:AZ61)</f>
        <v>1093.3109999999997</v>
      </c>
      <c r="BB61" s="285"/>
      <c r="BC61" s="286">
        <f>BC26+BC58</f>
        <v>314.79099999999994</v>
      </c>
      <c r="BD61" s="286">
        <f>BD26+BD58</f>
        <v>332.95899999999995</v>
      </c>
      <c r="BE61" s="286">
        <f>BE26+BE58</f>
        <v>363.11799999999999</v>
      </c>
      <c r="BF61" s="286">
        <f>BF26+BF58</f>
        <v>408.67699999999996</v>
      </c>
      <c r="BG61" s="287">
        <f>SUM(BC61:BF61)</f>
        <v>1419.5449999999998</v>
      </c>
      <c r="BH61" s="285"/>
      <c r="BI61" s="286">
        <f>BI26+BI58</f>
        <v>449.27399999999994</v>
      </c>
      <c r="BJ61" s="286">
        <f>BJ26+BJ58</f>
        <v>488.47699999999998</v>
      </c>
      <c r="BK61" s="286">
        <f>BK26+BK58</f>
        <v>518.98900000000003</v>
      </c>
      <c r="BL61" s="286">
        <f>BL26+BL58</f>
        <v>548.30700000000002</v>
      </c>
      <c r="BM61" s="287">
        <f>SUM(BI61:BL61)</f>
        <v>2005.047</v>
      </c>
      <c r="BN61" s="285"/>
      <c r="BO61" s="286">
        <f>BO26+BO58</f>
        <v>615.57499999999993</v>
      </c>
      <c r="BP61" s="286">
        <f>BP26+BP58</f>
        <v>639.62300000000005</v>
      </c>
      <c r="BQ61" s="286">
        <f>BQ26+BQ58</f>
        <v>711.23199999999997</v>
      </c>
      <c r="BR61" s="286">
        <f>BR26+BR58</f>
        <v>726.95399999999995</v>
      </c>
      <c r="BS61" s="287">
        <f>SUM(BO61:BR61)</f>
        <v>2693.384</v>
      </c>
      <c r="BT61" s="285"/>
      <c r="BU61" s="286">
        <f>BU26+BU58</f>
        <v>798.67900000000009</v>
      </c>
      <c r="BV61" s="286">
        <f>BV26+BV58</f>
        <v>859.44899999999984</v>
      </c>
      <c r="BW61" s="286">
        <f>BW26+BW58</f>
        <v>983.37400000000002</v>
      </c>
      <c r="BX61" s="286">
        <f>BX26+BX58</f>
        <v>1065.76</v>
      </c>
      <c r="BY61" s="287">
        <f>SUM(BU61:BX61)</f>
        <v>3707.2619999999997</v>
      </c>
      <c r="BZ61" s="285"/>
      <c r="CA61" s="286">
        <f>CA26+CA58</f>
        <v>1107.384</v>
      </c>
      <c r="CB61" s="286">
        <f>CB26+CB58</f>
        <v>1173.6549999999997</v>
      </c>
      <c r="CC61" s="286">
        <f>CC26+CC58</f>
        <v>1230.7909999999999</v>
      </c>
      <c r="CD61" s="286">
        <f>CD26+CD58</f>
        <v>1287.6510000000001</v>
      </c>
      <c r="CE61" s="287">
        <f>SUM(CA61:CD61)</f>
        <v>4799.4809999999998</v>
      </c>
      <c r="CF61" s="285"/>
      <c r="CG61" s="286">
        <f>CG26+CG58</f>
        <v>1334.402</v>
      </c>
      <c r="CH61" s="286">
        <f>CH26+CH58</f>
        <v>1427.2400000000002</v>
      </c>
      <c r="CI61" s="286">
        <f>CI26+CI58</f>
        <v>1484.9540000000002</v>
      </c>
      <c r="CJ61" s="286">
        <f>CJ26+CJ58</f>
        <v>1590.616</v>
      </c>
      <c r="CK61" s="287">
        <f>SUM(CG61:CJ61)</f>
        <v>5837.2120000000004</v>
      </c>
      <c r="CL61" s="285"/>
      <c r="CM61" s="286">
        <f>CM26+CM58</f>
        <v>1638.0970000000002</v>
      </c>
      <c r="CN61" s="286">
        <f>CN26+CN58</f>
        <v>1773.0620000000001</v>
      </c>
      <c r="CO61" s="286">
        <f>CO26+CO58</f>
        <v>1872.221</v>
      </c>
      <c r="CP61" s="286">
        <f>CP26+CP58</f>
        <v>1998.732</v>
      </c>
      <c r="CQ61" s="287">
        <f>SUM(CM61:CP61)</f>
        <v>7282.112000000001</v>
      </c>
      <c r="CR61" s="285"/>
      <c r="CS61" s="286">
        <f>CS26+CS58</f>
        <v>2070.6619999999998</v>
      </c>
      <c r="CT61" s="286">
        <f>CT26+CT58</f>
        <v>2180.2649999999999</v>
      </c>
      <c r="CU61" s="286">
        <f>CU26+CU58</f>
        <v>2242.8989999999999</v>
      </c>
      <c r="CV61" s="286">
        <f>CV26+CV58</f>
        <v>2466.52</v>
      </c>
      <c r="CW61" s="287">
        <f>SUM(CS61:CV61)</f>
        <v>8960.3459999999995</v>
      </c>
      <c r="CX61" s="285"/>
      <c r="CY61" s="286">
        <f>CY26+CY58</f>
        <v>2481.6387335844711</v>
      </c>
      <c r="CZ61" s="286">
        <f>CZ26+CZ58</f>
        <v>2551.8308317466758</v>
      </c>
      <c r="DA61" s="286">
        <f>DA26+DA58</f>
        <v>2607.0235440635665</v>
      </c>
      <c r="DB61" s="286">
        <f>DB26+DB58</f>
        <v>2833.6785600779649</v>
      </c>
      <c r="DC61" s="287">
        <f>SUM(CY61:DB61)</f>
        <v>10474.171669472678</v>
      </c>
      <c r="DD61" s="285"/>
      <c r="DE61" s="286">
        <f>DE26+DE58</f>
        <v>2905.7898717557732</v>
      </c>
      <c r="DF61" s="286">
        <f>DF26+DF58</f>
        <v>2980.1382725743388</v>
      </c>
      <c r="DG61" s="286">
        <f>DG26+DG58</f>
        <v>3053.3943474576463</v>
      </c>
      <c r="DH61" s="286">
        <f>DH26+DH58</f>
        <v>3255.7621678736277</v>
      </c>
      <c r="DI61" s="287">
        <f>SUM(DE61:DH61)</f>
        <v>12195.084659661385</v>
      </c>
      <c r="DJ61" s="285"/>
      <c r="DK61" s="286">
        <f>DK26+DK58</f>
        <v>3375.1689800523509</v>
      </c>
      <c r="DL61" s="286">
        <f>DL26+DL58</f>
        <v>3451.4923752039058</v>
      </c>
      <c r="DM61" s="286">
        <f>DM26+DM58</f>
        <v>3537.2584656550548</v>
      </c>
      <c r="DN61" s="286">
        <f>DN26+DN58</f>
        <v>3747.6567217198613</v>
      </c>
      <c r="DO61" s="287">
        <f>SUM(DK61:DN61)</f>
        <v>14111.576542631172</v>
      </c>
      <c r="DP61" s="925"/>
    </row>
    <row r="62" spans="1:127" ht="11.25" hidden="1" customHeight="1" outlineLevel="1">
      <c r="A62" s="1720" t="s">
        <v>871</v>
      </c>
      <c r="B62" s="382"/>
      <c r="C62" s="383"/>
      <c r="D62" s="383"/>
      <c r="E62" s="383"/>
      <c r="F62" s="383"/>
      <c r="G62" s="383"/>
      <c r="H62" s="383"/>
      <c r="I62" s="383"/>
      <c r="J62" s="383"/>
      <c r="K62" s="383"/>
      <c r="L62" s="383"/>
      <c r="M62" s="383"/>
      <c r="N62" s="383"/>
      <c r="O62" s="383"/>
      <c r="P62" s="383"/>
      <c r="Q62" s="383"/>
      <c r="R62" s="383"/>
      <c r="S62" s="383"/>
      <c r="T62" s="383"/>
      <c r="U62" s="383"/>
      <c r="V62" s="383"/>
      <c r="W62" s="383"/>
      <c r="X62" s="383"/>
      <c r="Y62" s="383"/>
      <c r="Z62" s="383"/>
      <c r="AA62" s="383"/>
      <c r="AB62" s="383"/>
      <c r="AC62" s="383"/>
      <c r="AD62" s="383"/>
      <c r="AE62" s="384">
        <f>AE61/Y61-1</f>
        <v>0.61335393407761796</v>
      </c>
      <c r="AF62" s="384">
        <f>AF61/Z61-1</f>
        <v>0.60416236162361625</v>
      </c>
      <c r="AG62" s="384">
        <f>AG61/AA61-1</f>
        <v>0.57218886820648596</v>
      </c>
      <c r="AH62" s="384">
        <f>AH61/AB61-1</f>
        <v>0.57465156388383876</v>
      </c>
      <c r="AI62" s="385">
        <f>AI61/AC61-1</f>
        <v>0.58892911322576169</v>
      </c>
      <c r="AJ62" s="383"/>
      <c r="AK62" s="384">
        <f>AK61/AE61-1</f>
        <v>0.54242052908527372</v>
      </c>
      <c r="AL62" s="384">
        <f>AL61/AF61-1</f>
        <v>0.45655214294915436</v>
      </c>
      <c r="AM62" s="384">
        <f>AM61/AG61-1</f>
        <v>0.42581877001067214</v>
      </c>
      <c r="AN62" s="384">
        <f>AN61/AH61-1</f>
        <v>0.40086143098191318</v>
      </c>
      <c r="AO62" s="385">
        <f>AO61/AI61-1</f>
        <v>0.45031929921254732</v>
      </c>
      <c r="AP62" s="383"/>
      <c r="AQ62" s="384">
        <f>AQ61/AK61-1</f>
        <v>0.42093386564832502</v>
      </c>
      <c r="AR62" s="384">
        <f>AR61/AL61-1</f>
        <v>0.43268204243814012</v>
      </c>
      <c r="AS62" s="384">
        <f>AS61/AM61-1</f>
        <v>0.39513587163098607</v>
      </c>
      <c r="AT62" s="384">
        <f>AT61/AN61-1</f>
        <v>0.31782978498600012</v>
      </c>
      <c r="AU62" s="385">
        <f>AU61/AO61-1</f>
        <v>0.38791622779719459</v>
      </c>
      <c r="AV62" s="383"/>
      <c r="AW62" s="384">
        <f>AW61/AQ61-1</f>
        <v>0.18559830103929764</v>
      </c>
      <c r="AX62" s="384">
        <f>AX61/AR61-1</f>
        <v>0.16182014594677985</v>
      </c>
      <c r="AY62" s="384">
        <f>AY61/AS61-1</f>
        <v>0.16440325595821914</v>
      </c>
      <c r="AZ62" s="384">
        <f>AZ61/AT61-1</f>
        <v>0.20134134021775751</v>
      </c>
      <c r="BA62" s="385">
        <f>BA61/AU61-1</f>
        <v>0.1785673861464474</v>
      </c>
      <c r="BB62" s="383"/>
      <c r="BC62" s="384">
        <f>BC61/AW61-1</f>
        <v>0.24749740427521805</v>
      </c>
      <c r="BD62" s="384">
        <f>BD61/AX61-1</f>
        <v>0.26362549573995708</v>
      </c>
      <c r="BE62" s="384">
        <f>BE61/AY61-1</f>
        <v>0.30711552514209806</v>
      </c>
      <c r="BF62" s="384">
        <f>BF61/AZ61-1</f>
        <v>0.36372494385621823</v>
      </c>
      <c r="BG62" s="385">
        <f>BG61/BA61-1</f>
        <v>0.29839085127653542</v>
      </c>
      <c r="BH62" s="383"/>
      <c r="BI62" s="384">
        <f>BI61/BC61-1</f>
        <v>0.4272136115708518</v>
      </c>
      <c r="BJ62" s="384">
        <f>BJ61/BD61-1</f>
        <v>0.46707852918827863</v>
      </c>
      <c r="BK62" s="384">
        <f>BK61/BE61-1</f>
        <v>0.42925715607598636</v>
      </c>
      <c r="BL62" s="384">
        <f>BL61/BF61-1</f>
        <v>0.34166346527942615</v>
      </c>
      <c r="BM62" s="385">
        <f>BM61/BG61-1</f>
        <v>0.41245751279459286</v>
      </c>
      <c r="BN62" s="383"/>
      <c r="BO62" s="384">
        <f>BO61/BI61-1</f>
        <v>0.37015496111504342</v>
      </c>
      <c r="BP62" s="384">
        <f>BP61/BJ61-1</f>
        <v>0.30942296157239757</v>
      </c>
      <c r="BQ62" s="384">
        <f>BQ61/BK61-1</f>
        <v>0.37041825549289076</v>
      </c>
      <c r="BR62" s="384">
        <f>BR61/BL61-1</f>
        <v>0.32581564707362842</v>
      </c>
      <c r="BS62" s="385">
        <f>BS61/BM61-1</f>
        <v>0.34330217695645038</v>
      </c>
      <c r="BT62" s="383"/>
      <c r="BU62" s="384">
        <f>BU61/BO61-1</f>
        <v>0.29745197579498872</v>
      </c>
      <c r="BV62" s="384">
        <f>BV61/BP61-1</f>
        <v>0.34368057433832089</v>
      </c>
      <c r="BW62" s="384">
        <f>BW61/BQ61-1</f>
        <v>0.38263463961126609</v>
      </c>
      <c r="BX62" s="384">
        <f>BX61/BR61-1</f>
        <v>0.46606250189145393</v>
      </c>
      <c r="BY62" s="385">
        <f>BY61/BS61-1</f>
        <v>0.37643277007660236</v>
      </c>
      <c r="BZ62" s="383"/>
      <c r="CA62" s="384">
        <f>CA61/BU61-1</f>
        <v>0.38651949030837152</v>
      </c>
      <c r="CB62" s="384">
        <f>CB61/BV61-1</f>
        <v>0.36559004664616501</v>
      </c>
      <c r="CC62" s="384">
        <f>CC61/BW61-1</f>
        <v>0.25160010331776106</v>
      </c>
      <c r="CD62" s="384">
        <f>CD61/BX61-1</f>
        <v>0.20819978231496772</v>
      </c>
      <c r="CE62" s="385">
        <f>CE61/BY61-1</f>
        <v>0.29461608054677546</v>
      </c>
      <c r="CF62" s="383"/>
      <c r="CG62" s="384">
        <f>CG61/CA61-1</f>
        <v>0.20500386496463729</v>
      </c>
      <c r="CH62" s="384">
        <f>CH61/CB61-1</f>
        <v>0.21606434599605562</v>
      </c>
      <c r="CI62" s="384">
        <f>CI61/CC61-1</f>
        <v>0.20650378496430366</v>
      </c>
      <c r="CJ62" s="384">
        <f>CJ61/CD61-1</f>
        <v>0.23528502676579288</v>
      </c>
      <c r="CK62" s="385">
        <f>CK61/CE61-1</f>
        <v>0.21621733683287858</v>
      </c>
      <c r="CL62" s="383"/>
      <c r="CM62" s="384">
        <f>CM61/CG61-1</f>
        <v>0.22758883754670634</v>
      </c>
      <c r="CN62" s="384">
        <f>CN61/CH61-1</f>
        <v>0.24230122474145888</v>
      </c>
      <c r="CO62" s="384">
        <f>CO61/CI61-1</f>
        <v>0.26079393705124865</v>
      </c>
      <c r="CP62" s="384">
        <f>CP61/CJ61-1</f>
        <v>0.25657732601709027</v>
      </c>
      <c r="CQ62" s="385">
        <f>CQ61/CK61-1</f>
        <v>0.24753255492519388</v>
      </c>
      <c r="CR62" s="383"/>
      <c r="CS62" s="384">
        <f>CS61/CM61-1</f>
        <v>0.2640655589992531</v>
      </c>
      <c r="CT62" s="384">
        <f>CT61/CN61-1</f>
        <v>0.22966089172290638</v>
      </c>
      <c r="CU62" s="384">
        <f>CU61/CO61-1</f>
        <v>0.19798837850873374</v>
      </c>
      <c r="CV62" s="384">
        <f>CV61/CP61-1</f>
        <v>0.23404238287074008</v>
      </c>
      <c r="CW62" s="385">
        <f>CW61/CQ61-1</f>
        <v>0.23045978968738723</v>
      </c>
      <c r="CX62" s="383"/>
      <c r="CY62" s="384">
        <f>CY61/CS61-1</f>
        <v>0.19847601085279565</v>
      </c>
      <c r="CZ62" s="384">
        <f>CZ61/CT61-1</f>
        <v>0.17042232561027038</v>
      </c>
      <c r="DA62" s="384">
        <f>DA61/CU61-1</f>
        <v>0.16234549307105084</v>
      </c>
      <c r="DB62" s="384">
        <f>DB61/CV61-1</f>
        <v>0.14885691584822536</v>
      </c>
      <c r="DC62" s="385">
        <f>DC61/CW61-1</f>
        <v>0.16894723367520403</v>
      </c>
      <c r="DD62" s="383"/>
      <c r="DE62" s="384">
        <f>DE61/CY61-1</f>
        <v>0.17091574709533153</v>
      </c>
      <c r="DF62" s="384">
        <f>DF61/CZ61-1</f>
        <v>0.1678431953635795</v>
      </c>
      <c r="DG62" s="384">
        <f>DG61/DA61-1</f>
        <v>0.17121855474244074</v>
      </c>
      <c r="DH62" s="384">
        <f>DH61/DB61-1</f>
        <v>0.14895253602231073</v>
      </c>
      <c r="DI62" s="385">
        <f>DI61/DC61-1</f>
        <v>0.16430062867924566</v>
      </c>
      <c r="DJ62" s="383"/>
      <c r="DK62" s="384">
        <f>DK61/DE61-1</f>
        <v>0.16153236435261009</v>
      </c>
      <c r="DL62" s="384">
        <f>DL61/DF61-1</f>
        <v>0.15816517876615044</v>
      </c>
      <c r="DM62" s="384">
        <f>DM61/DG61-1</f>
        <v>0.15846761444367297</v>
      </c>
      <c r="DN62" s="384">
        <f>DN61/DH61-1</f>
        <v>0.15108430176504406</v>
      </c>
      <c r="DO62" s="385">
        <f>DO61/DI61-1</f>
        <v>0.15715281496233602</v>
      </c>
      <c r="DP62" s="925"/>
    </row>
    <row r="63" spans="1:127" ht="5.25" hidden="1" customHeight="1" outlineLevel="1">
      <c r="A63" s="1747"/>
      <c r="B63" s="331"/>
      <c r="C63" s="285"/>
      <c r="D63" s="285"/>
      <c r="E63" s="285"/>
      <c r="F63" s="285"/>
      <c r="G63" s="285"/>
      <c r="H63" s="285"/>
      <c r="I63" s="285"/>
      <c r="J63" s="285"/>
      <c r="K63" s="285"/>
      <c r="L63" s="285"/>
      <c r="M63" s="285"/>
      <c r="N63" s="285"/>
      <c r="O63" s="285"/>
      <c r="P63" s="285"/>
      <c r="Q63" s="285"/>
      <c r="R63" s="285"/>
      <c r="S63" s="285"/>
      <c r="T63" s="285"/>
      <c r="U63" s="285"/>
      <c r="V63" s="285"/>
      <c r="W63" s="285"/>
      <c r="X63" s="285"/>
      <c r="Y63" s="285"/>
      <c r="Z63" s="285"/>
      <c r="AA63" s="285"/>
      <c r="AB63" s="285"/>
      <c r="AC63" s="285"/>
      <c r="AD63" s="285"/>
      <c r="AE63" s="285"/>
      <c r="AF63" s="285"/>
      <c r="AG63" s="285"/>
      <c r="AH63" s="285"/>
      <c r="AI63" s="332"/>
      <c r="AJ63" s="285"/>
      <c r="AK63" s="285"/>
      <c r="AL63" s="285"/>
      <c r="AM63" s="285"/>
      <c r="AN63" s="285"/>
      <c r="AO63" s="332"/>
      <c r="AP63" s="285"/>
      <c r="AQ63" s="285"/>
      <c r="AR63" s="285"/>
      <c r="AS63" s="285"/>
      <c r="AT63" s="285"/>
      <c r="AU63" s="332"/>
      <c r="AV63" s="285"/>
      <c r="AW63" s="285"/>
      <c r="AX63" s="285"/>
      <c r="AY63" s="285"/>
      <c r="AZ63" s="285"/>
      <c r="BA63" s="332"/>
      <c r="BB63" s="285"/>
      <c r="BC63" s="285"/>
      <c r="BD63" s="285"/>
      <c r="BE63" s="285"/>
      <c r="BF63" s="285"/>
      <c r="BG63" s="332"/>
      <c r="BH63" s="285"/>
      <c r="BI63" s="285"/>
      <c r="BJ63" s="285"/>
      <c r="BK63" s="285"/>
      <c r="BL63" s="285"/>
      <c r="BM63" s="332"/>
      <c r="BN63" s="285"/>
      <c r="BO63" s="285"/>
      <c r="BP63" s="285"/>
      <c r="BQ63" s="285"/>
      <c r="BR63" s="285"/>
      <c r="BS63" s="332"/>
      <c r="BT63" s="285"/>
      <c r="BU63" s="285"/>
      <c r="BV63" s="285"/>
      <c r="BW63" s="285"/>
      <c r="BX63" s="285"/>
      <c r="BY63" s="332"/>
      <c r="BZ63" s="285"/>
      <c r="CA63" s="285"/>
      <c r="CB63" s="285"/>
      <c r="CC63" s="285"/>
      <c r="CD63" s="285"/>
      <c r="CE63" s="332"/>
      <c r="CF63" s="285"/>
      <c r="CG63" s="285"/>
      <c r="CH63" s="285"/>
      <c r="CI63" s="285"/>
      <c r="CJ63" s="285"/>
      <c r="CK63" s="332"/>
      <c r="CL63" s="285"/>
      <c r="CM63" s="285"/>
      <c r="CN63" s="285"/>
      <c r="CO63" s="285"/>
      <c r="CP63" s="285"/>
      <c r="CQ63" s="332"/>
      <c r="CR63" s="285"/>
      <c r="CS63" s="285"/>
      <c r="CT63" s="285"/>
      <c r="CU63" s="285"/>
      <c r="CV63" s="285"/>
      <c r="CW63" s="332"/>
      <c r="CX63" s="285"/>
      <c r="CY63" s="285"/>
      <c r="CZ63" s="285"/>
      <c r="DA63" s="285"/>
      <c r="DB63" s="285"/>
      <c r="DC63" s="332"/>
      <c r="DD63" s="285"/>
      <c r="DE63" s="285"/>
      <c r="DF63" s="285"/>
      <c r="DG63" s="285"/>
      <c r="DH63" s="285"/>
      <c r="DI63" s="332"/>
      <c r="DJ63" s="285"/>
      <c r="DK63" s="285"/>
      <c r="DL63" s="285"/>
      <c r="DM63" s="285"/>
      <c r="DN63" s="285"/>
      <c r="DO63" s="332"/>
      <c r="DP63" s="925"/>
    </row>
    <row r="64" spans="1:127" collapsed="1">
      <c r="A64" s="318" t="s">
        <v>949</v>
      </c>
      <c r="B64" s="319" t="s">
        <v>940</v>
      </c>
      <c r="C64" s="321">
        <f>C33-C58</f>
        <v>-5.5640000000000001</v>
      </c>
      <c r="D64" s="321">
        <f>D33-D58</f>
        <v>-53.87343289010731</v>
      </c>
      <c r="E64" s="321">
        <f>E33-E58</f>
        <v>-21.868000000000002</v>
      </c>
      <c r="F64" s="319"/>
      <c r="G64" s="321">
        <f>G33-G58</f>
        <v>-1.6340000000000012</v>
      </c>
      <c r="H64" s="321">
        <f>H33-H58</f>
        <v>-1.3859999999999992</v>
      </c>
      <c r="I64" s="321">
        <f>I33-I58</f>
        <v>-4.8730000000000011</v>
      </c>
      <c r="J64" s="321">
        <f>J33-J58</f>
        <v>-2.6069999999999993</v>
      </c>
      <c r="K64" s="321">
        <f>SUM(G64:J64)</f>
        <v>-10.5</v>
      </c>
      <c r="L64" s="321"/>
      <c r="M64" s="321">
        <f>M33-M58</f>
        <v>1.7000000000001236E-2</v>
      </c>
      <c r="N64" s="321">
        <f>N33-N58</f>
        <v>0.13400000000000034</v>
      </c>
      <c r="O64" s="321">
        <f>O33-O58</f>
        <v>-3.1000000000002359E-2</v>
      </c>
      <c r="P64" s="321">
        <f>P33-P58</f>
        <v>0.15299999999999869</v>
      </c>
      <c r="Q64" s="321">
        <f>SUM(M64:P64)</f>
        <v>0.27299999999999791</v>
      </c>
      <c r="R64" s="321"/>
      <c r="S64" s="321">
        <f>S33-S58</f>
        <v>0.36100000000000065</v>
      </c>
      <c r="T64" s="321">
        <f>T33-T58</f>
        <v>1.1650000000000134</v>
      </c>
      <c r="U64" s="321">
        <f>U33-U58</f>
        <v>1.7730000000000032</v>
      </c>
      <c r="V64" s="321">
        <f>V33-V58</f>
        <v>3.2209999999999965</v>
      </c>
      <c r="W64" s="321">
        <f>SUM(S64:V64)</f>
        <v>6.5200000000000138</v>
      </c>
      <c r="X64" s="321"/>
      <c r="Y64" s="321">
        <f>Y33-Y58</f>
        <v>3.9849999999999994</v>
      </c>
      <c r="Z64" s="321">
        <f>Z33-Z58</f>
        <v>4.1929999999999978</v>
      </c>
      <c r="AA64" s="321">
        <f>AA33-AA58</f>
        <v>6.3869999999999862</v>
      </c>
      <c r="AB64" s="321">
        <f>AB33-AB58</f>
        <v>5.2519999999999811</v>
      </c>
      <c r="AC64" s="321">
        <f>SUM(Y64:AB64)</f>
        <v>19.816999999999965</v>
      </c>
      <c r="AD64" s="321"/>
      <c r="AE64" s="321">
        <f>AE33-AE58</f>
        <v>7.5750000000000028</v>
      </c>
      <c r="AF64" s="321">
        <f>AF33-AF58</f>
        <v>9.4549999999999983</v>
      </c>
      <c r="AG64" s="321">
        <f>AG33-AG58</f>
        <v>10.117000000000019</v>
      </c>
      <c r="AH64" s="321">
        <f>AH33-AH58</f>
        <v>9.0980000000000132</v>
      </c>
      <c r="AI64" s="322">
        <f>SUM(AE64:AH64)</f>
        <v>36.245000000000033</v>
      </c>
      <c r="AJ64" s="321"/>
      <c r="AK64" s="321">
        <f>AK33-AK58</f>
        <v>12.626000000000005</v>
      </c>
      <c r="AL64" s="321">
        <f>AL33-AL58</f>
        <v>18.27800000000002</v>
      </c>
      <c r="AM64" s="321">
        <f>AM33-AM58</f>
        <v>21.796000000000021</v>
      </c>
      <c r="AN64" s="321">
        <f>AN33-AN58</f>
        <v>27.615999999999985</v>
      </c>
      <c r="AO64" s="322">
        <f>SUM(AK64:AN64)</f>
        <v>80.316000000000031</v>
      </c>
      <c r="AP64" s="321"/>
      <c r="AQ64" s="321">
        <f>AQ33-AQ58</f>
        <v>34.786000000000001</v>
      </c>
      <c r="AR64" s="321">
        <f>AR33-AR58</f>
        <v>36.282000000000011</v>
      </c>
      <c r="AS64" s="321">
        <f>AS33-AS58</f>
        <v>37.908999999999992</v>
      </c>
      <c r="AT64" s="321">
        <f>AT33-AT58</f>
        <v>40.131</v>
      </c>
      <c r="AU64" s="322">
        <f>SUM(AQ64:AT64)</f>
        <v>149.108</v>
      </c>
      <c r="AV64" s="321"/>
      <c r="AW64" s="321">
        <f>AW33-AW58</f>
        <v>52.585999999999984</v>
      </c>
      <c r="AX64" s="321">
        <f>AX33-AX58</f>
        <v>52.566000000000003</v>
      </c>
      <c r="AY64" s="321">
        <f>AY33-AY58</f>
        <v>52.74799999999999</v>
      </c>
      <c r="AZ64" s="321">
        <f>AZ33-AZ58</f>
        <v>54.372000000000014</v>
      </c>
      <c r="BA64" s="322">
        <f>SUM(AW64:AZ64)</f>
        <v>212.27199999999999</v>
      </c>
      <c r="BB64" s="321"/>
      <c r="BC64" s="321">
        <f>BC33-BC58</f>
        <v>62.022000000000048</v>
      </c>
      <c r="BD64" s="321">
        <f>BD33-BD58</f>
        <v>61.413000000000011</v>
      </c>
      <c r="BE64" s="321">
        <f>BE33-BE58</f>
        <v>65.968999999999994</v>
      </c>
      <c r="BF64" s="321">
        <f>BF33-BF58</f>
        <v>48.19</v>
      </c>
      <c r="BG64" s="322">
        <f>SUM(BC64:BF64)</f>
        <v>237.59400000000005</v>
      </c>
      <c r="BH64" s="321"/>
      <c r="BI64" s="321">
        <f>BI33-BI58</f>
        <v>55.090000000000032</v>
      </c>
      <c r="BJ64" s="321">
        <f>BJ33-BJ58</f>
        <v>57.525000000000034</v>
      </c>
      <c r="BK64" s="321">
        <f>BK33-BK58</f>
        <v>65.270999999999958</v>
      </c>
      <c r="BL64" s="321">
        <f>BL33-BL58</f>
        <v>83.606000000000051</v>
      </c>
      <c r="BM64" s="322">
        <f>SUM(BI64:BL64)</f>
        <v>261.49200000000008</v>
      </c>
      <c r="BN64" s="321"/>
      <c r="BO64" s="321">
        <f>BO33-BO58</f>
        <v>79.892000000000053</v>
      </c>
      <c r="BP64" s="321">
        <f>BP33-BP58</f>
        <v>92.025999999999954</v>
      </c>
      <c r="BQ64" s="321">
        <f>BQ33-BQ58</f>
        <v>77.16599999999994</v>
      </c>
      <c r="BR64" s="321">
        <f>BR33-BR58</f>
        <v>107.72700000000009</v>
      </c>
      <c r="BS64" s="322">
        <f>SUM(BO64:BR64)</f>
        <v>356.81100000000004</v>
      </c>
      <c r="BT64" s="321"/>
      <c r="BU64" s="321">
        <f>BU33-BU58</f>
        <v>93.953999999999951</v>
      </c>
      <c r="BV64" s="321">
        <f>BV33-BV58</f>
        <v>97.645000000000209</v>
      </c>
      <c r="BW64" s="321">
        <f>BW33-BW58</f>
        <v>92.659999999999854</v>
      </c>
      <c r="BX64" s="321">
        <f>BX33-BX58</f>
        <v>79.481999999999971</v>
      </c>
      <c r="BY64" s="322">
        <f>SUM(BU64:BX64)</f>
        <v>363.74099999999999</v>
      </c>
      <c r="BZ64" s="321"/>
      <c r="CA64" s="321">
        <f>CA33-CA58</f>
        <v>119.38800000000015</v>
      </c>
      <c r="CB64" s="321">
        <f>CB33-CB58</f>
        <v>144.89600000000019</v>
      </c>
      <c r="CC64" s="321">
        <f>CC33-CC58</f>
        <v>152.86400000000003</v>
      </c>
      <c r="CD64" s="321">
        <f>CD33-CD58</f>
        <v>156.95699999999988</v>
      </c>
      <c r="CE64" s="322">
        <f>SUM(CA64:CD64)</f>
        <v>574.10500000000025</v>
      </c>
      <c r="CF64" s="321"/>
      <c r="CG64" s="321">
        <f>CG33-CG58</f>
        <v>176.76500000000021</v>
      </c>
      <c r="CH64" s="321">
        <f>CH33-CH58</f>
        <v>207.44399999999973</v>
      </c>
      <c r="CI64" s="321">
        <f>CI33-CI58</f>
        <v>227.01299999999992</v>
      </c>
      <c r="CJ64" s="321">
        <f>CJ33-CJ58</f>
        <v>218.78200000000038</v>
      </c>
      <c r="CK64" s="322">
        <f>SUM(CG64:CJ64)</f>
        <v>830.00400000000025</v>
      </c>
      <c r="CL64" s="321"/>
      <c r="CM64" s="321">
        <f>CM33-CM58</f>
        <v>278.50599999999986</v>
      </c>
      <c r="CN64" s="321">
        <f>CN33-CN58</f>
        <v>263.55599999999981</v>
      </c>
      <c r="CO64" s="321">
        <f>CO33-CO58</f>
        <v>272.55399999999986</v>
      </c>
      <c r="CP64" s="321">
        <f>CP33-CP58</f>
        <v>295.25599999999963</v>
      </c>
      <c r="CQ64" s="322">
        <f>SUM(CM64:CP64)</f>
        <v>1109.8719999999992</v>
      </c>
      <c r="CR64" s="321"/>
      <c r="CS64" s="321">
        <f>CS33-CS58</f>
        <v>316.91699999999992</v>
      </c>
      <c r="CT64" s="321">
        <f>CT33-CT58</f>
        <v>381.32399999999984</v>
      </c>
      <c r="CU64" s="321">
        <f>CU33-CU58</f>
        <v>436.94200000000001</v>
      </c>
      <c r="CV64" s="321">
        <f>CV33-CV58</f>
        <v>384.48299999999995</v>
      </c>
      <c r="CW64" s="322">
        <f>SUM(CS64:CV64)</f>
        <v>1519.6659999999997</v>
      </c>
      <c r="CX64" s="321"/>
      <c r="CY64" s="321">
        <f>CY33-CY58</f>
        <v>462.58288997537511</v>
      </c>
      <c r="CZ64" s="321">
        <f>CZ33-CZ58</f>
        <v>564.93534990278613</v>
      </c>
      <c r="DA64" s="321">
        <f>DA33-DA58</f>
        <v>628.44574980388779</v>
      </c>
      <c r="DB64" s="321">
        <f>DB33-DB58</f>
        <v>579.49908019311943</v>
      </c>
      <c r="DC64" s="322">
        <f>SUM(CY64:DB64)</f>
        <v>2235.4630698751685</v>
      </c>
      <c r="DD64" s="321"/>
      <c r="DE64" s="321">
        <f>DE33-DE58</f>
        <v>633.38656864790482</v>
      </c>
      <c r="DF64" s="321">
        <f>DF33-DF58</f>
        <v>769.31904153254754</v>
      </c>
      <c r="DG64" s="321">
        <f>DG33-DG58</f>
        <v>839.06184571012682</v>
      </c>
      <c r="DH64" s="321">
        <f>DH33-DH58</f>
        <v>826.00183436882344</v>
      </c>
      <c r="DI64" s="322">
        <f>SUM(DE64:DH64)</f>
        <v>3067.7692902594026</v>
      </c>
      <c r="DJ64" s="321"/>
      <c r="DK64" s="321">
        <f>DK33-DK58</f>
        <v>860.94486689893301</v>
      </c>
      <c r="DL64" s="321">
        <f>DL33-DL58</f>
        <v>1026.0637607522794</v>
      </c>
      <c r="DM64" s="321">
        <f>DM33-DM58</f>
        <v>1106.2583469330361</v>
      </c>
      <c r="DN64" s="321">
        <f>DN33-DN58</f>
        <v>1118.3674459186936</v>
      </c>
      <c r="DO64" s="322">
        <f>SUM(DK64:DN64)</f>
        <v>4111.6344205029418</v>
      </c>
      <c r="DP64" s="317"/>
    </row>
    <row r="65" spans="1:130">
      <c r="A65" s="303" t="s">
        <v>950</v>
      </c>
      <c r="B65" s="333" t="s">
        <v>941</v>
      </c>
      <c r="C65" s="334" t="s">
        <v>236</v>
      </c>
      <c r="D65" s="312">
        <f>D64/D19</f>
        <v>-9.912315159173378</v>
      </c>
      <c r="E65" s="312">
        <f>E64/E19</f>
        <v>-0.97585791423088941</v>
      </c>
      <c r="F65" s="311"/>
      <c r="G65" s="312">
        <f>G64/G19</f>
        <v>-0.17474066944711808</v>
      </c>
      <c r="H65" s="312">
        <f>H64/H19</f>
        <v>-0.11663721282504411</v>
      </c>
      <c r="I65" s="312">
        <f>I64/I19</f>
        <v>-0.34338665351278991</v>
      </c>
      <c r="J65" s="312">
        <f>J64/J19</f>
        <v>-0.16748040601310543</v>
      </c>
      <c r="K65" s="312">
        <f>K64/K19</f>
        <v>-0.20591869153380007</v>
      </c>
      <c r="L65" s="311"/>
      <c r="M65" s="335">
        <f>M64/M19</f>
        <v>8.9885264104061946E-4</v>
      </c>
      <c r="N65" s="312">
        <f>N64/N19</f>
        <v>6.1971049345604379E-3</v>
      </c>
      <c r="O65" s="312">
        <f>O64/O19</f>
        <v>-1.2188409216010992E-3</v>
      </c>
      <c r="P65" s="335">
        <f>P64/P19</f>
        <v>5.0910058895950053E-3</v>
      </c>
      <c r="Q65" s="312">
        <f>Q64/Q19</f>
        <v>2.8430688480884573E-3</v>
      </c>
      <c r="R65" s="311"/>
      <c r="S65" s="335">
        <f>S64/S19</f>
        <v>1.0361950687447994E-2</v>
      </c>
      <c r="T65" s="312">
        <f>T64/T19</f>
        <v>2.8708016066632494E-2</v>
      </c>
      <c r="U65" s="312">
        <f>U64/U19</f>
        <v>3.8243351092513173E-2</v>
      </c>
      <c r="V65" s="335">
        <f>V64/V19</f>
        <v>5.8999157416565869E-2</v>
      </c>
      <c r="W65" s="312">
        <f>W64/W19</f>
        <v>3.6966690290574138E-2</v>
      </c>
      <c r="X65" s="311"/>
      <c r="Y65" s="328">
        <f>Y64/Y19</f>
        <v>6.2093896567306045E-2</v>
      </c>
      <c r="Z65" s="328">
        <f>Z64/Z19</f>
        <v>5.8282251226665513E-2</v>
      </c>
      <c r="AA65" s="328">
        <f>AA64/AA19</f>
        <v>7.7256177954108191E-2</v>
      </c>
      <c r="AB65" s="328">
        <f>AB64/AB19</f>
        <v>5.7673723974347509E-2</v>
      </c>
      <c r="AC65" s="328">
        <f>AC64/AC19</f>
        <v>6.3955308416462964E-2</v>
      </c>
      <c r="AD65" s="328"/>
      <c r="AE65" s="328">
        <f>AE64/AE19</f>
        <v>7.235924574441667E-2</v>
      </c>
      <c r="AF65" s="328">
        <f>AF64/AF19</f>
        <v>8.0034197584160749E-2</v>
      </c>
      <c r="AG65" s="328">
        <f>AG64/AG19</f>
        <v>7.7791361983191615E-2</v>
      </c>
      <c r="AH65" s="328">
        <f>AH64/AH19</f>
        <v>6.3083302131436342E-2</v>
      </c>
      <c r="AI65" s="330">
        <f>AI64/AI19</f>
        <v>7.2913188143987784E-2</v>
      </c>
      <c r="AJ65" s="312"/>
      <c r="AK65" s="328">
        <f>AK64/AK19</f>
        <v>7.7740561042287548E-2</v>
      </c>
      <c r="AL65" s="328">
        <f>AL64/AL19</f>
        <v>0.10351174261945091</v>
      </c>
      <c r="AM65" s="328">
        <f>AM64/AM19</f>
        <v>0.11304803348495626</v>
      </c>
      <c r="AN65" s="328">
        <f>AN64/AN19</f>
        <v>0.12731782431099178</v>
      </c>
      <c r="AO65" s="330">
        <f>AO64/AO19</f>
        <v>0.10727394149859762</v>
      </c>
      <c r="AP65" s="328"/>
      <c r="AQ65" s="328">
        <f>AQ64/AQ19</f>
        <v>0.14048024812011856</v>
      </c>
      <c r="AR65" s="328">
        <f>AR64/AR19</f>
        <v>0.13791399476198987</v>
      </c>
      <c r="AS65" s="328">
        <f>AS64/AS19</f>
        <v>0.13710952051995209</v>
      </c>
      <c r="AT65" s="328">
        <f>AT64/AT19</f>
        <v>0.1385820300224806</v>
      </c>
      <c r="AU65" s="330">
        <f>AU64/AU19</f>
        <v>0.13847724070808132</v>
      </c>
      <c r="AV65" s="328"/>
      <c r="AW65" s="328">
        <f>AW64/AW19</f>
        <v>0.17245608741850424</v>
      </c>
      <c r="AX65" s="328">
        <f>AX64/AX19</f>
        <v>0.16631599596280466</v>
      </c>
      <c r="AY65" s="328">
        <f>AY64/AY19</f>
        <v>0.15957694623187482</v>
      </c>
      <c r="AZ65" s="328">
        <f>AZ64/AZ19</f>
        <v>0.15357196320283356</v>
      </c>
      <c r="BA65" s="330">
        <f>BA64/BA19</f>
        <v>0.16258790134369089</v>
      </c>
      <c r="BB65" s="328"/>
      <c r="BC65" s="328">
        <f>BC64/BC19</f>
        <v>0.16459623208328814</v>
      </c>
      <c r="BD65" s="328">
        <f>BD64/BD19</f>
        <v>0.15572353006805759</v>
      </c>
      <c r="BE65" s="328">
        <f>BE64/BE19</f>
        <v>0.15374271418150631</v>
      </c>
      <c r="BF65" s="328">
        <f>BF64/BF19</f>
        <v>0.10547927515009839</v>
      </c>
      <c r="BG65" s="330">
        <f>BG64/BG19</f>
        <v>0.14337602337522687</v>
      </c>
      <c r="BH65" s="328"/>
      <c r="BI65" s="328">
        <f>BI64/BI19</f>
        <v>0.10922666962749131</v>
      </c>
      <c r="BJ65" s="328">
        <f>BJ64/BJ19</f>
        <v>0.10535675693495636</v>
      </c>
      <c r="BK65" s="328">
        <f>BK64/BK19</f>
        <v>0.11171567452846329</v>
      </c>
      <c r="BL65" s="328">
        <f>BL64/BL19</f>
        <v>0.13230618771887911</v>
      </c>
      <c r="BM65" s="330">
        <f>BM64/BM19</f>
        <v>0.11537061572732701</v>
      </c>
      <c r="BN65" s="328"/>
      <c r="BO65" s="328">
        <f>BO64/BO19</f>
        <v>0.1148753283764723</v>
      </c>
      <c r="BP65" s="328">
        <f>BP64/BP19</f>
        <v>0.12577889124429878</v>
      </c>
      <c r="BQ65" s="328">
        <f>BQ64/BQ19</f>
        <v>9.7876960621411949E-2</v>
      </c>
      <c r="BR65" s="328">
        <f>BR64/BR19</f>
        <v>0.12906367821958339</v>
      </c>
      <c r="BS65" s="330">
        <f>BS64/BS19</f>
        <v>0.11697973408257506</v>
      </c>
      <c r="BT65" s="328"/>
      <c r="BU65" s="328">
        <f>BU64/BU19</f>
        <v>0.10525490319089699</v>
      </c>
      <c r="BV65" s="328">
        <f>BV64/BV19</f>
        <v>0.1020223718882369</v>
      </c>
      <c r="BW65" s="328">
        <f>BW64/BW19</f>
        <v>8.6112520608084733E-2</v>
      </c>
      <c r="BX65" s="328">
        <f>BX64/BX19</f>
        <v>6.9401925531896294E-2</v>
      </c>
      <c r="BY65" s="330">
        <f>BY64/BY19</f>
        <v>8.9349234083099402E-2</v>
      </c>
      <c r="BZ65" s="328"/>
      <c r="CA65" s="328">
        <f>CA64/CA19</f>
        <v>9.7318817188524157E-2</v>
      </c>
      <c r="CB65" s="328">
        <f>CB64/CB19</f>
        <v>0.10989032657819091</v>
      </c>
      <c r="CC65" s="328">
        <f>CC64/CC19</f>
        <v>0.11047840682829176</v>
      </c>
      <c r="CD65" s="328">
        <f>CD64/CD19</f>
        <v>0.10865023591174899</v>
      </c>
      <c r="CE65" s="330">
        <f>CE64/CE19</f>
        <v>0.10683833849500134</v>
      </c>
      <c r="CF65" s="328"/>
      <c r="CG65" s="328">
        <f>CG64/CG19</f>
        <v>0.11697251197253528</v>
      </c>
      <c r="CH65" s="328">
        <f>CH64/CH19</f>
        <v>0.12690159076616628</v>
      </c>
      <c r="CI65" s="328">
        <f>CI64/CI19</f>
        <v>0.13260360742934876</v>
      </c>
      <c r="CJ65" s="328">
        <f>CJ64/CJ19</f>
        <v>0.12091424882751078</v>
      </c>
      <c r="CK65" s="330">
        <f>CK64/CK19</f>
        <v>0.12449034199581957</v>
      </c>
      <c r="CL65" s="328"/>
      <c r="CM65" s="328">
        <f>CM64/CM19</f>
        <v>0.1453123051565712</v>
      </c>
      <c r="CN65" s="328">
        <f>CN64/CN19</f>
        <v>0.12940865690080311</v>
      </c>
      <c r="CO65" s="328">
        <f>CO64/CO19</f>
        <v>0.1270781317387604</v>
      </c>
      <c r="CP65" s="328">
        <f>CP64/CP19</f>
        <v>0.12870860701974016</v>
      </c>
      <c r="CQ65" s="330">
        <f>CQ64/CQ19</f>
        <v>0.13225382698537069</v>
      </c>
      <c r="CR65" s="328"/>
      <c r="CS65" s="328">
        <f>CS64/CS19</f>
        <v>0.13273571261935205</v>
      </c>
      <c r="CT65" s="328">
        <f>CT64/CT19</f>
        <v>0.1488622882125118</v>
      </c>
      <c r="CU65" s="328">
        <f>CU64/CU19</f>
        <v>0.16304773305580444</v>
      </c>
      <c r="CV65" s="328">
        <f>CV64/CV19</f>
        <v>0.13485885493631536</v>
      </c>
      <c r="CW65" s="330">
        <f>CW64/CW19</f>
        <v>0.14500613167236831</v>
      </c>
      <c r="CX65" s="328"/>
      <c r="CY65" s="328">
        <f>CY64/CY19</f>
        <v>0.15711551272966606</v>
      </c>
      <c r="CZ65" s="328">
        <f>CZ64/CZ19</f>
        <v>0.18125689159133837</v>
      </c>
      <c r="DA65" s="328">
        <f>DA64/DA19</f>
        <v>0.19423635112070178</v>
      </c>
      <c r="DB65" s="328">
        <f>DB64/DB19</f>
        <v>0.16978286549043894</v>
      </c>
      <c r="DC65" s="330">
        <f>DC64/DC19</f>
        <v>0.17588727888098801</v>
      </c>
      <c r="DD65" s="328"/>
      <c r="DE65" s="328">
        <f>DE64/DE19</f>
        <v>0.17896439448937471</v>
      </c>
      <c r="DF65" s="328">
        <f>DF64/DF19</f>
        <v>0.20518143749445455</v>
      </c>
      <c r="DG65" s="328">
        <f>DG64/DG19</f>
        <v>0.21556102472852195</v>
      </c>
      <c r="DH65" s="328">
        <f>DH64/DH19</f>
        <v>0.20236393723768259</v>
      </c>
      <c r="DI65" s="330">
        <f>DI64/DI19</f>
        <v>0.20099578364079962</v>
      </c>
      <c r="DJ65" s="328"/>
      <c r="DK65" s="328">
        <f>DK64/DK19</f>
        <v>0.20323931272965004</v>
      </c>
      <c r="DL65" s="328">
        <f>DL64/DL19</f>
        <v>0.22915709587930444</v>
      </c>
      <c r="DM65" s="328">
        <f>DM64/DM19</f>
        <v>0.23823717918584569</v>
      </c>
      <c r="DN65" s="328">
        <f>DN64/DN19</f>
        <v>0.22983187246713346</v>
      </c>
      <c r="DO65" s="330">
        <f>DO64/DO19</f>
        <v>0.22562623177775049</v>
      </c>
      <c r="DP65" s="305"/>
      <c r="DW65" s="1942"/>
    </row>
    <row r="66" spans="1:130" ht="5.25" customHeight="1">
      <c r="A66" s="742"/>
      <c r="B66" s="313"/>
      <c r="C66" s="820"/>
      <c r="D66" s="307"/>
      <c r="E66" s="820"/>
      <c r="F66" s="307"/>
      <c r="G66" s="307"/>
      <c r="H66" s="307"/>
      <c r="I66" s="307"/>
      <c r="J66" s="307"/>
      <c r="K66" s="820"/>
      <c r="L66" s="307"/>
      <c r="M66" s="307"/>
      <c r="N66" s="307"/>
      <c r="O66" s="307"/>
      <c r="P66" s="307"/>
      <c r="Q66" s="1748"/>
      <c r="R66" s="307"/>
      <c r="S66" s="307"/>
      <c r="T66" s="307"/>
      <c r="U66" s="307"/>
      <c r="V66" s="307"/>
      <c r="W66" s="1748"/>
      <c r="X66" s="307"/>
      <c r="Y66" s="307"/>
      <c r="Z66" s="307"/>
      <c r="AA66" s="290"/>
      <c r="AB66" s="307"/>
      <c r="AC66" s="1748"/>
      <c r="AD66" s="820"/>
      <c r="AE66" s="307"/>
      <c r="AF66" s="307"/>
      <c r="AG66" s="307"/>
      <c r="AH66" s="307"/>
      <c r="AI66" s="291"/>
      <c r="AJ66" s="820"/>
      <c r="AK66" s="307"/>
      <c r="AL66" s="307"/>
      <c r="AM66" s="307"/>
      <c r="AN66" s="307"/>
      <c r="AO66" s="291"/>
      <c r="AP66" s="820"/>
      <c r="AQ66" s="307"/>
      <c r="AR66" s="307"/>
      <c r="AS66" s="307"/>
      <c r="AT66" s="307"/>
      <c r="AU66" s="291"/>
      <c r="AV66" s="820"/>
      <c r="AW66" s="307"/>
      <c r="AX66" s="307"/>
      <c r="AY66" s="307"/>
      <c r="AZ66" s="307"/>
      <c r="BA66" s="291"/>
      <c r="BB66" s="820"/>
      <c r="BC66" s="307"/>
      <c r="BD66" s="307"/>
      <c r="BE66" s="307"/>
      <c r="BF66" s="307"/>
      <c r="BG66" s="291"/>
      <c r="BH66" s="820"/>
      <c r="BI66" s="307"/>
      <c r="BJ66" s="307"/>
      <c r="BK66" s="307"/>
      <c r="BL66" s="307"/>
      <c r="BM66" s="291"/>
      <c r="BN66" s="820"/>
      <c r="BO66" s="307"/>
      <c r="BP66" s="307"/>
      <c r="BQ66" s="307"/>
      <c r="BR66" s="307"/>
      <c r="BS66" s="291"/>
      <c r="BT66" s="820"/>
      <c r="BU66" s="307"/>
      <c r="BV66" s="307"/>
      <c r="BW66" s="307"/>
      <c r="BX66" s="307"/>
      <c r="BY66" s="291"/>
      <c r="BZ66" s="820"/>
      <c r="CA66" s="307"/>
      <c r="CB66" s="307"/>
      <c r="CC66" s="307"/>
      <c r="CD66" s="307"/>
      <c r="CE66" s="291"/>
      <c r="CF66" s="820"/>
      <c r="CG66" s="307"/>
      <c r="CH66" s="307"/>
      <c r="CI66" s="307"/>
      <c r="CJ66" s="307"/>
      <c r="CK66" s="291"/>
      <c r="CL66" s="820"/>
      <c r="CM66" s="307"/>
      <c r="CN66" s="307"/>
      <c r="CO66" s="307"/>
      <c r="CP66" s="307"/>
      <c r="CQ66" s="291"/>
      <c r="CR66" s="820"/>
      <c r="CS66" s="307"/>
      <c r="CT66" s="307"/>
      <c r="CU66" s="307"/>
      <c r="CV66" s="307"/>
      <c r="CW66" s="291"/>
      <c r="CX66" s="820"/>
      <c r="CY66" s="307"/>
      <c r="CZ66" s="307"/>
      <c r="DA66" s="307"/>
      <c r="DB66" s="307"/>
      <c r="DC66" s="291"/>
      <c r="DD66" s="820"/>
      <c r="DE66" s="307"/>
      <c r="DF66" s="307"/>
      <c r="DG66" s="307"/>
      <c r="DH66" s="307"/>
      <c r="DI66" s="291"/>
      <c r="DJ66" s="820"/>
      <c r="DK66" s="307"/>
      <c r="DL66" s="307"/>
      <c r="DM66" s="307"/>
      <c r="DN66" s="307"/>
      <c r="DO66" s="291"/>
      <c r="DP66" s="669"/>
    </row>
    <row r="67" spans="1:130" ht="12" hidden="1" customHeight="1" outlineLevel="1">
      <c r="A67" s="292" t="s">
        <v>500</v>
      </c>
      <c r="B67" s="336"/>
      <c r="C67" s="293"/>
      <c r="D67" s="337"/>
      <c r="E67" s="293"/>
      <c r="F67" s="337"/>
      <c r="G67" s="294">
        <f>G64+CF!G13-G55</f>
        <v>-1.0010000000000012</v>
      </c>
      <c r="H67" s="294">
        <f>H64+CF!H13-H55</f>
        <v>-8.799999999999919E-2</v>
      </c>
      <c r="I67" s="294">
        <f>I64+CF!I13-I55</f>
        <v>-2.9320000000000013</v>
      </c>
      <c r="J67" s="294">
        <f>J64+CF!J13-J55</f>
        <v>5.7000000000000828E-2</v>
      </c>
      <c r="K67" s="295">
        <f>SUM(G67:J67)</f>
        <v>-3.9640000000000009</v>
      </c>
      <c r="L67" s="337"/>
      <c r="M67" s="294">
        <f>M64+CF!M13-M55</f>
        <v>0.63500000000000123</v>
      </c>
      <c r="N67" s="294">
        <f>N64+CF!N13-N55</f>
        <v>1.4590000000000003</v>
      </c>
      <c r="O67" s="294">
        <f>O64+CF!O13-O55</f>
        <v>1.9249999999999976</v>
      </c>
      <c r="P67" s="294">
        <f>P64+CF!P13-P55</f>
        <v>2.7439999999999989</v>
      </c>
      <c r="Q67" s="295">
        <f>SUM(M67:P67)</f>
        <v>6.7629999999999981</v>
      </c>
      <c r="R67" s="337"/>
      <c r="S67" s="294">
        <f>S64+CF!S13-S55</f>
        <v>1.1090000000000007</v>
      </c>
      <c r="T67" s="294">
        <f>T64+CF!T13-T55</f>
        <v>2.5920000000000134</v>
      </c>
      <c r="U67" s="294">
        <f>U64+CF!U13-U55</f>
        <v>4.0000000000000036</v>
      </c>
      <c r="V67" s="294">
        <f>V64+CF!V13-V55</f>
        <v>6.3679999999999968</v>
      </c>
      <c r="W67" s="295">
        <f>SUM(S67:V67)</f>
        <v>14.069000000000013</v>
      </c>
      <c r="X67" s="337"/>
      <c r="Y67" s="294">
        <f>Y64+CF!Y13-Y55</f>
        <v>5.1059999999999999</v>
      </c>
      <c r="Z67" s="294">
        <f>Z64+CF!Z13-Z55</f>
        <v>6.7819999999999983</v>
      </c>
      <c r="AA67" s="294">
        <f>AA64+CF!AA13-AA55</f>
        <v>10.465999999999987</v>
      </c>
      <c r="AB67" s="294">
        <f>AB64+CF!AB13-AB55</f>
        <v>11.278999999999982</v>
      </c>
      <c r="AC67" s="295">
        <f>SUM(Y67:AB67)</f>
        <v>33.632999999999967</v>
      </c>
      <c r="AD67" s="293"/>
      <c r="AE67" s="294">
        <f>AE64+CF!AE85-AE55</f>
        <v>9.7220000000000031</v>
      </c>
      <c r="AF67" s="294">
        <f>AF64+CF!AF85-AF55</f>
        <v>11.475999999999997</v>
      </c>
      <c r="AG67" s="294">
        <f>AG64+CF!AG85-AG55</f>
        <v>14.086000000000018</v>
      </c>
      <c r="AH67" s="294">
        <f>AH64+CF!AH85-AH55</f>
        <v>12.227000000000013</v>
      </c>
      <c r="AI67" s="296">
        <f>SUM(AE67:AH67)</f>
        <v>47.511000000000031</v>
      </c>
      <c r="AJ67" s="293"/>
      <c r="AK67" s="294">
        <f>AK64+CF!AK85-AK55</f>
        <v>16.974000000000004</v>
      </c>
      <c r="AL67" s="294">
        <f>AL64+CF!AL85-AL55</f>
        <v>22.823000000000022</v>
      </c>
      <c r="AM67" s="294">
        <f>AM64+CF!AM85-AM55</f>
        <v>27.05400000000002</v>
      </c>
      <c r="AN67" s="294">
        <f>AN64+CF!AN85-AN55</f>
        <v>32.883999999999986</v>
      </c>
      <c r="AO67" s="296">
        <f>SUM(AK67:AN67)</f>
        <v>99.735000000000028</v>
      </c>
      <c r="AP67" s="293"/>
      <c r="AQ67" s="294">
        <f>AQ64+CF!AQ85-AQ55</f>
        <v>41.644000000000005</v>
      </c>
      <c r="AR67" s="294">
        <f>AR64+CF!AR85-AR55</f>
        <v>43.852000000000011</v>
      </c>
      <c r="AS67" s="294">
        <f>AS64+CF!AS85-AS55</f>
        <v>43.818999999999988</v>
      </c>
      <c r="AT67" s="294">
        <f>AT64+CF!AT85-AT55</f>
        <v>48.264000000000003</v>
      </c>
      <c r="AU67" s="296">
        <f>SUM(AQ67:AT67)</f>
        <v>177.57900000000001</v>
      </c>
      <c r="AV67" s="293"/>
      <c r="AW67" s="294">
        <f>AW64+CF!AW85-AW55</f>
        <v>62.430999999999983</v>
      </c>
      <c r="AX67" s="294">
        <f>AX64+CF!AX85-AX55</f>
        <v>62.510000000000005</v>
      </c>
      <c r="AY67" s="294">
        <f>AY64+CF!AY85-AY55</f>
        <v>64.148999999999987</v>
      </c>
      <c r="AZ67" s="294">
        <f>AZ64+CF!AZ85-AZ55</f>
        <v>66.759000000000015</v>
      </c>
      <c r="BA67" s="296">
        <f>SUM(AW67:AZ67)</f>
        <v>255.84899999999999</v>
      </c>
      <c r="BB67" s="293"/>
      <c r="BC67" s="294">
        <f>BC64+CF!BC85-BC55</f>
        <v>74.027000000000044</v>
      </c>
      <c r="BD67" s="294">
        <f>BD64+CF!BD85-BD55</f>
        <v>74.090000000000018</v>
      </c>
      <c r="BE67" s="294">
        <f>BE64+CF!BE85-BE55</f>
        <v>80.498000000000005</v>
      </c>
      <c r="BF67" s="294">
        <f>BF64+CF!BF85-BF55</f>
        <v>65.060999999999993</v>
      </c>
      <c r="BG67" s="296">
        <f>SUM(BC67:BF67)</f>
        <v>293.67600000000004</v>
      </c>
      <c r="BH67" s="293"/>
      <c r="BI67" s="294">
        <f>BI64+CF!BI85-BI55</f>
        <v>74.348000000000042</v>
      </c>
      <c r="BJ67" s="294">
        <f>BJ64+CF!BJ85-BJ55</f>
        <v>79.085000000000022</v>
      </c>
      <c r="BK67" s="294">
        <f>BK64+CF!BK85-BK55</f>
        <v>88.401999999999973</v>
      </c>
      <c r="BL67" s="294">
        <f>BL64+CF!BL85-BL55</f>
        <v>109.62400000000007</v>
      </c>
      <c r="BM67" s="296">
        <f>SUM(BI67:BL67)</f>
        <v>351.45900000000012</v>
      </c>
      <c r="BN67" s="293"/>
      <c r="BO67" s="294">
        <f>BO64+CF!BO85-BO55</f>
        <v>108.45800000000006</v>
      </c>
      <c r="BP67" s="294">
        <f>BP64+CF!BP85-BP55</f>
        <v>121.94999999999995</v>
      </c>
      <c r="BQ67" s="294">
        <f>BQ64+CF!BQ85-BQ55</f>
        <v>110.88399999999994</v>
      </c>
      <c r="BR67" s="294">
        <f>BR64+CF!BR85-BR55</f>
        <v>144.14300000000009</v>
      </c>
      <c r="BS67" s="296">
        <f>SUM(BO67:BR67)</f>
        <v>485.43500000000006</v>
      </c>
      <c r="BT67" s="293"/>
      <c r="BU67" s="294">
        <f>BU64+CF!BU85-BU55</f>
        <v>132.48599999999993</v>
      </c>
      <c r="BV67" s="294">
        <f>BV64+CF!BV85-BV55</f>
        <v>148.58500000000021</v>
      </c>
      <c r="BW67" s="294">
        <f>BW64+CF!BW85-BW55</f>
        <v>157.95199999999986</v>
      </c>
      <c r="BX67" s="294">
        <f>BX64+CF!BX85-BX55</f>
        <v>147.60599999999997</v>
      </c>
      <c r="BY67" s="296">
        <f>SUM(BU67:BX67)</f>
        <v>586.62900000000002</v>
      </c>
      <c r="BZ67" s="293"/>
      <c r="CA67" s="294">
        <f>CA64+CF!CA85-CA55</f>
        <v>186.55900000000014</v>
      </c>
      <c r="CB67" s="294">
        <f>CB64+CF!CB85-CB55</f>
        <v>216.57300000000021</v>
      </c>
      <c r="CC67" s="294">
        <f>CC64+CF!CC85-CC55</f>
        <v>229.37200000000004</v>
      </c>
      <c r="CD67" s="294">
        <f>CD64+CF!CD85-CD55</f>
        <v>234.92399999999986</v>
      </c>
      <c r="CE67" s="296">
        <f>SUM(CA67:CD67)</f>
        <v>867.42800000000022</v>
      </c>
      <c r="CF67" s="293"/>
      <c r="CG67" s="294">
        <f>CG64+CF!CG85-CG55</f>
        <v>264.97500000000025</v>
      </c>
      <c r="CH67" s="294">
        <f>CH64+CF!CH85-CH55</f>
        <v>299.27799999999968</v>
      </c>
      <c r="CI67" s="294">
        <f>CI64+CF!CI85-CI55</f>
        <v>321.98699999999997</v>
      </c>
      <c r="CJ67" s="294">
        <f>CJ64+CF!CJ85-CJ55</f>
        <v>311.44400000000036</v>
      </c>
      <c r="CK67" s="296">
        <f>SUM(CG67:CJ67)</f>
        <v>1197.6840000000002</v>
      </c>
      <c r="CL67" s="293"/>
      <c r="CM67" s="294">
        <f>CM64+CF!CM85-CM55</f>
        <v>373.67699999999985</v>
      </c>
      <c r="CN67" s="294">
        <f>CN64+CF!CN85-CN55</f>
        <v>364.22199999999981</v>
      </c>
      <c r="CO67" s="294">
        <f>CO64+CF!CO85-CO55</f>
        <v>377.13299999999987</v>
      </c>
      <c r="CP67" s="294">
        <f>CP64+CF!CP85-CP55</f>
        <v>401.80799999999965</v>
      </c>
      <c r="CQ67" s="296">
        <f>SUM(CM67:CP67)</f>
        <v>1516.8399999999992</v>
      </c>
      <c r="CR67" s="293"/>
      <c r="CS67" s="294">
        <f>CS64+CF!CS85-CS55</f>
        <v>427.7949999999999</v>
      </c>
      <c r="CT67" s="294">
        <f>CT64+CF!CT85-CT55</f>
        <v>499.53499999999991</v>
      </c>
      <c r="CU67" s="294">
        <f>CU64+CF!CU85-CU55</f>
        <v>554.81099999999992</v>
      </c>
      <c r="CV67" s="294">
        <f>CV64+CF!CV85-CV55</f>
        <v>503.24</v>
      </c>
      <c r="CW67" s="296">
        <f>SUM(CS67:CV67)</f>
        <v>1985.3809999999996</v>
      </c>
      <c r="CX67" s="293"/>
      <c r="CY67" s="294">
        <f>CY64+CF!CY85-CY55</f>
        <v>607.63049096557336</v>
      </c>
      <c r="CZ67" s="294">
        <f>CZ64+CF!CZ85-CZ55</f>
        <v>715.7200765537948</v>
      </c>
      <c r="DA67" s="294">
        <f>DA64+CF!DA85-DA55</f>
        <v>783.66936034266939</v>
      </c>
      <c r="DB67" s="294">
        <f>DB64+CF!DB85-DB55</f>
        <v>739.26767958528387</v>
      </c>
      <c r="DC67" s="296">
        <f>SUM(CY67:DB67)</f>
        <v>2846.2876074473215</v>
      </c>
      <c r="DD67" s="293"/>
      <c r="DE67" s="294">
        <f>DE64+CF!DE85-DE55</f>
        <v>799.28412805418418</v>
      </c>
      <c r="DF67" s="294">
        <f>DF64+CF!DF85-DF55</f>
        <v>941.73928794743961</v>
      </c>
      <c r="DG67" s="294">
        <f>DG64+CF!DG85-DG55</f>
        <v>1016.8221736613862</v>
      </c>
      <c r="DH67" s="294">
        <f>DH64+CF!DH85-DH55</f>
        <v>1009.2116209421158</v>
      </c>
      <c r="DI67" s="296">
        <f>SUM(DE67:DH67)</f>
        <v>3767.0572106051259</v>
      </c>
      <c r="DJ67" s="293"/>
      <c r="DK67" s="294">
        <f>DK64+CF!DK85-DK55</f>
        <v>1050.5965208979499</v>
      </c>
      <c r="DL67" s="294">
        <f>DL64+CF!DL85-DL55</f>
        <v>1222.6231100256543</v>
      </c>
      <c r="DM67" s="294">
        <f>DM64+CF!DM85-DM55</f>
        <v>1309.1918197755497</v>
      </c>
      <c r="DN67" s="294">
        <f>DN64+CF!DN85-DN55</f>
        <v>1328.3062393781261</v>
      </c>
      <c r="DO67" s="296">
        <f>SUM(DK67:DN67)</f>
        <v>4910.7176900772793</v>
      </c>
      <c r="DP67" s="669"/>
    </row>
    <row r="68" spans="1:130" ht="12" hidden="1" customHeight="1" outlineLevel="1">
      <c r="A68" s="297" t="s">
        <v>215</v>
      </c>
      <c r="B68" s="338"/>
      <c r="C68" s="298"/>
      <c r="D68" s="339"/>
      <c r="E68" s="298"/>
      <c r="F68" s="339"/>
      <c r="G68" s="299"/>
      <c r="H68" s="299"/>
      <c r="I68" s="299"/>
      <c r="J68" s="299"/>
      <c r="K68" s="300"/>
      <c r="L68" s="339"/>
      <c r="M68" s="299"/>
      <c r="N68" s="299"/>
      <c r="O68" s="299"/>
      <c r="P68" s="299"/>
      <c r="Q68" s="300"/>
      <c r="R68" s="339"/>
      <c r="S68" s="299"/>
      <c r="T68" s="299"/>
      <c r="U68" s="299"/>
      <c r="V68" s="299"/>
      <c r="W68" s="300"/>
      <c r="X68" s="339"/>
      <c r="Y68" s="301">
        <f>Y67/Y19</f>
        <v>7.9561213518861904E-2</v>
      </c>
      <c r="Z68" s="301">
        <f>Z67/Z19</f>
        <v>9.4269074128129168E-2</v>
      </c>
      <c r="AA68" s="301">
        <f>AA67/AA19</f>
        <v>0.12659513988847612</v>
      </c>
      <c r="AB68" s="301">
        <f>AB67/AB19</f>
        <v>0.12385794605991372</v>
      </c>
      <c r="AC68" s="301">
        <f>AC67/AC19</f>
        <v>0.10854361850789224</v>
      </c>
      <c r="AD68" s="298"/>
      <c r="AE68" s="301">
        <f>AE67/AE19</f>
        <v>9.2868196320424923E-2</v>
      </c>
      <c r="AF68" s="301">
        <f>AF67/AF19</f>
        <v>9.7141454413096642E-2</v>
      </c>
      <c r="AG68" s="301">
        <f>AG67/AG19</f>
        <v>0.10830968912674077</v>
      </c>
      <c r="AH68" s="301">
        <f>AH67/AH19</f>
        <v>8.4779021231157603E-2</v>
      </c>
      <c r="AI68" s="302">
        <f>AI67/AI19</f>
        <v>9.5576727325396668E-2</v>
      </c>
      <c r="AJ68" s="298"/>
      <c r="AK68" s="301">
        <f>AK67/AK19</f>
        <v>0.10451198187326062</v>
      </c>
      <c r="AL68" s="301">
        <f>AL67/AL19</f>
        <v>0.12925093017856043</v>
      </c>
      <c r="AM68" s="301">
        <f>AM67/AM19</f>
        <v>0.14031939337043522</v>
      </c>
      <c r="AN68" s="301">
        <f>AN67/AN19</f>
        <v>0.15160484265073343</v>
      </c>
      <c r="AO68" s="302">
        <f>AO67/AO19</f>
        <v>0.13321089889141183</v>
      </c>
      <c r="AP68" s="298"/>
      <c r="AQ68" s="301">
        <f>AQ67/AQ19</f>
        <v>0.168175687136038</v>
      </c>
      <c r="AR68" s="301">
        <f>AR67/AR19</f>
        <v>0.16668884014946198</v>
      </c>
      <c r="AS68" s="301">
        <f>AS67/AS19</f>
        <v>0.15848484738884647</v>
      </c>
      <c r="AT68" s="301">
        <f>AT67/AT19</f>
        <v>0.16666724220689749</v>
      </c>
      <c r="AU68" s="302">
        <f>AU67/AU19</f>
        <v>0.16491838082262769</v>
      </c>
      <c r="AV68" s="298"/>
      <c r="AW68" s="301">
        <f>AW67/AW19</f>
        <v>0.20474282116199444</v>
      </c>
      <c r="AX68" s="301">
        <f>AX67/AX19</f>
        <v>0.19777827697817829</v>
      </c>
      <c r="AY68" s="301">
        <f>AY67/AY19</f>
        <v>0.19406805042520167</v>
      </c>
      <c r="AZ68" s="301">
        <f>AZ67/AZ19</f>
        <v>0.18855864583715817</v>
      </c>
      <c r="BA68" s="302">
        <f>BA67/BA19</f>
        <v>0.19596532736716085</v>
      </c>
      <c r="BB68" s="298"/>
      <c r="BC68" s="301">
        <f>BC67/BC19</f>
        <v>0.19645553630049931</v>
      </c>
      <c r="BD68" s="301">
        <f>BD67/BD19</f>
        <v>0.18786830708062444</v>
      </c>
      <c r="BE68" s="301">
        <f>BE67/BE19</f>
        <v>0.18760298028138817</v>
      </c>
      <c r="BF68" s="301">
        <f>BF67/BF19</f>
        <v>0.14240687114630735</v>
      </c>
      <c r="BG68" s="302">
        <f>BG67/BG19</f>
        <v>0.17721868835384361</v>
      </c>
      <c r="BH68" s="298"/>
      <c r="BI68" s="301">
        <f>BI67/BI19</f>
        <v>0.14740941066372706</v>
      </c>
      <c r="BJ68" s="301">
        <f>BJ67/BJ19</f>
        <v>0.14484379178098253</v>
      </c>
      <c r="BK68" s="301">
        <f>BK67/BK19</f>
        <v>0.15130592544415153</v>
      </c>
      <c r="BL68" s="301">
        <f>BL67/BL19</f>
        <v>0.17347957709368231</v>
      </c>
      <c r="BM68" s="302">
        <f>BM67/BM19</f>
        <v>0.15506417493808847</v>
      </c>
      <c r="BN68" s="298"/>
      <c r="BO68" s="301">
        <f>BO67/BO19</f>
        <v>0.15594988691052208</v>
      </c>
      <c r="BP68" s="301">
        <f>BP67/BP19</f>
        <v>0.16667828425925538</v>
      </c>
      <c r="BQ68" s="301">
        <f>BQ67/BQ19</f>
        <v>0.14064469975824387</v>
      </c>
      <c r="BR68" s="301">
        <f>BR67/BR19</f>
        <v>0.17269232197689904</v>
      </c>
      <c r="BS68" s="302">
        <f>BS67/BS19</f>
        <v>0.15914884130358881</v>
      </c>
      <c r="BT68" s="298"/>
      <c r="BU68" s="301">
        <f>BU67/BU19</f>
        <v>0.14842157975338122</v>
      </c>
      <c r="BV68" s="301">
        <f>BV67/BV19</f>
        <v>0.15524598419799956</v>
      </c>
      <c r="BW68" s="301">
        <f>BW67/BW19</f>
        <v>0.14679090065927269</v>
      </c>
      <c r="BX68" s="301">
        <f>BX67/BX19</f>
        <v>0.12888629652073533</v>
      </c>
      <c r="BY68" s="302">
        <f>BY67/BY19</f>
        <v>0.14409937796656005</v>
      </c>
      <c r="BZ68" s="298"/>
      <c r="CA68" s="301">
        <f>CA67/CA19</f>
        <v>0.15207308285484195</v>
      </c>
      <c r="CB68" s="301">
        <f>CB67/CB19</f>
        <v>0.1642507570810687</v>
      </c>
      <c r="CC68" s="301">
        <f>CC67/CC19</f>
        <v>0.16577253722929491</v>
      </c>
      <c r="CD68" s="301">
        <f>CD67/CD19</f>
        <v>0.16262127857522585</v>
      </c>
      <c r="CE68" s="302">
        <f>CE67/CE19</f>
        <v>0.16142441937283597</v>
      </c>
      <c r="CF68" s="298"/>
      <c r="CG68" s="301">
        <f>CG67/CG19</f>
        <v>0.17534461776891652</v>
      </c>
      <c r="CH68" s="301">
        <f>CH67/CH19</f>
        <v>0.18308003259345518</v>
      </c>
      <c r="CI68" s="301">
        <f>CI67/CI19</f>
        <v>0.18808014406819754</v>
      </c>
      <c r="CJ68" s="301">
        <f>CJ67/CJ19</f>
        <v>0.17212575674340325</v>
      </c>
      <c r="CK68" s="302">
        <f>CK67/CK19</f>
        <v>0.17963779784545755</v>
      </c>
      <c r="CL68" s="298"/>
      <c r="CM68" s="301">
        <f>CM67/CM19</f>
        <v>0.19496838938476035</v>
      </c>
      <c r="CN68" s="301">
        <f>CN67/CN19</f>
        <v>0.17883667923979843</v>
      </c>
      <c r="CO68" s="301">
        <f>CO67/CO19</f>
        <v>0.17583802496765388</v>
      </c>
      <c r="CP68" s="301">
        <f>CP67/CP19</f>
        <v>0.17515697553779691</v>
      </c>
      <c r="CQ68" s="302">
        <f>CQ67/CQ19</f>
        <v>0.18074867635591288</v>
      </c>
      <c r="CR68" s="298"/>
      <c r="CS68" s="301">
        <f>CS67/CS19</f>
        <v>0.1791752231025654</v>
      </c>
      <c r="CT68" s="301">
        <f>CT67/CT19</f>
        <v>0.19500981617269592</v>
      </c>
      <c r="CU68" s="301">
        <f>CU67/CU19</f>
        <v>0.20703131267862532</v>
      </c>
      <c r="CV68" s="301">
        <f>CV67/CV19</f>
        <v>0.17651331829535077</v>
      </c>
      <c r="CW68" s="302">
        <f>CW67/CW19</f>
        <v>0.18944453498717367</v>
      </c>
      <c r="CX68" s="298"/>
      <c r="CY68" s="301">
        <f>CY67/CY19</f>
        <v>0.20638069026573136</v>
      </c>
      <c r="CZ68" s="301">
        <f>CZ67/CZ19</f>
        <v>0.22963547306427068</v>
      </c>
      <c r="DA68" s="301">
        <f>DA67/DA19</f>
        <v>0.24221196035704787</v>
      </c>
      <c r="DB68" s="301">
        <f>DB67/DB19</f>
        <v>0.21659220746757529</v>
      </c>
      <c r="DC68" s="302">
        <f>DC67/DC19</f>
        <v>0.22394723891123949</v>
      </c>
      <c r="DD68" s="298"/>
      <c r="DE68" s="301">
        <f>DE67/DE19</f>
        <v>0.22583901693327782</v>
      </c>
      <c r="DF68" s="301">
        <f>DF67/DF19</f>
        <v>0.25116682470400659</v>
      </c>
      <c r="DG68" s="301">
        <f>DG67/DG19</f>
        <v>0.26122893186213925</v>
      </c>
      <c r="DH68" s="301">
        <f>DH67/DH19</f>
        <v>0.24724889052568258</v>
      </c>
      <c r="DI68" s="302">
        <f>DI67/DI19</f>
        <v>0.24681211148093807</v>
      </c>
      <c r="DJ68" s="298"/>
      <c r="DK68" s="301">
        <f>DK67/DK19</f>
        <v>0.24800951033317017</v>
      </c>
      <c r="DL68" s="301">
        <f>DL67/DL19</f>
        <v>0.27305589765979837</v>
      </c>
      <c r="DM68" s="301">
        <f>DM67/DM19</f>
        <v>0.28193971780751753</v>
      </c>
      <c r="DN68" s="301">
        <f>DN67/DN19</f>
        <v>0.27297567657226479</v>
      </c>
      <c r="DO68" s="302">
        <f>DO67/DO19</f>
        <v>0.26947598313007237</v>
      </c>
      <c r="DP68" s="669"/>
    </row>
    <row r="69" spans="1:130" ht="12" hidden="1" customHeight="1" outlineLevel="1">
      <c r="A69" s="367" t="s">
        <v>871</v>
      </c>
      <c r="B69" s="386"/>
      <c r="C69" s="387"/>
      <c r="D69" s="388"/>
      <c r="E69" s="387"/>
      <c r="F69" s="388"/>
      <c r="G69" s="388"/>
      <c r="H69" s="388"/>
      <c r="I69" s="388"/>
      <c r="J69" s="388"/>
      <c r="K69" s="387"/>
      <c r="L69" s="388"/>
      <c r="M69" s="388"/>
      <c r="N69" s="388"/>
      <c r="O69" s="388"/>
      <c r="P69" s="388"/>
      <c r="Q69" s="389"/>
      <c r="R69" s="388"/>
      <c r="S69" s="388"/>
      <c r="T69" s="388"/>
      <c r="U69" s="388"/>
      <c r="V69" s="388"/>
      <c r="W69" s="389"/>
      <c r="X69" s="388"/>
      <c r="Y69" s="390">
        <f>Y67/S67-1</f>
        <v>3.6041478809738479</v>
      </c>
      <c r="Z69" s="390">
        <f>Z67/T67-1</f>
        <v>1.616512345678998</v>
      </c>
      <c r="AA69" s="390">
        <f>AA67/U67-1</f>
        <v>1.6164999999999945</v>
      </c>
      <c r="AB69" s="390">
        <f>AB67/V67-1</f>
        <v>0.77119974874371677</v>
      </c>
      <c r="AC69" s="390">
        <f>AC67/W67-1</f>
        <v>1.3905750231004288</v>
      </c>
      <c r="AD69" s="387"/>
      <c r="AE69" s="390">
        <f>AE67/Y67-1</f>
        <v>0.90403446925186115</v>
      </c>
      <c r="AF69" s="390">
        <f>AF67/Z67-1</f>
        <v>0.69212621645532302</v>
      </c>
      <c r="AG69" s="390">
        <f>AG67/AA67-1</f>
        <v>0.34588190330594637</v>
      </c>
      <c r="AH69" s="390">
        <f>AH67/AB67-1</f>
        <v>8.4050004433019909E-2</v>
      </c>
      <c r="AI69" s="391">
        <f>AI67/AC67-1</f>
        <v>0.41263045223441486</v>
      </c>
      <c r="AJ69" s="387"/>
      <c r="AK69" s="390">
        <f>AK67/AE67-1</f>
        <v>0.74593704998971377</v>
      </c>
      <c r="AL69" s="390">
        <f>AL67/AF67-1</f>
        <v>0.98875914952945521</v>
      </c>
      <c r="AM69" s="390">
        <f>AM67/AG67-1</f>
        <v>0.9206304131762022</v>
      </c>
      <c r="AN69" s="1927">
        <f>AN67/AH67-1</f>
        <v>1.6894577574220948</v>
      </c>
      <c r="AO69" s="391">
        <f>AO67/AI67-1</f>
        <v>1.0991980804445278</v>
      </c>
      <c r="AP69" s="387"/>
      <c r="AQ69" s="390">
        <f>AQ67/AK67-1</f>
        <v>1.4533993166018613</v>
      </c>
      <c r="AR69" s="390">
        <f>AR67/AL67-1</f>
        <v>0.92139508390658409</v>
      </c>
      <c r="AS69" s="390">
        <f>AS67/AM67-1</f>
        <v>0.61968655282028373</v>
      </c>
      <c r="AT69" s="390">
        <f>AT67/AN67-1</f>
        <v>0.46770465880063328</v>
      </c>
      <c r="AU69" s="391">
        <f>AU67/AO67-1</f>
        <v>0.78050834711986727</v>
      </c>
      <c r="AV69" s="387"/>
      <c r="AW69" s="390">
        <f>AW67/AQ67-1</f>
        <v>0.49915954279127783</v>
      </c>
      <c r="AX69" s="390">
        <f>AX67/AR67-1</f>
        <v>0.4254766031195838</v>
      </c>
      <c r="AY69" s="390">
        <f>AY67/AS67-1</f>
        <v>0.4639539925603049</v>
      </c>
      <c r="AZ69" s="390">
        <f>AZ67/AT67-1</f>
        <v>0.38320487319741448</v>
      </c>
      <c r="BA69" s="391">
        <f>BA67/AU67-1</f>
        <v>0.44076157653776615</v>
      </c>
      <c r="BB69" s="387"/>
      <c r="BC69" s="390">
        <f>BC67/AW67-1</f>
        <v>0.18574105812817443</v>
      </c>
      <c r="BD69" s="390">
        <f>BD67/AX67-1</f>
        <v>0.18525035994240935</v>
      </c>
      <c r="BE69" s="390">
        <f>BE67/AY67-1</f>
        <v>0.25485977957567574</v>
      </c>
      <c r="BF69" s="390">
        <f>BF67/AZ67-1</f>
        <v>-2.5434772839617481E-2</v>
      </c>
      <c r="BG69" s="391">
        <f>BG67/BA67-1</f>
        <v>0.14784892651524939</v>
      </c>
      <c r="BH69" s="387"/>
      <c r="BI69" s="390">
        <f>BI67/BC67-1</f>
        <v>4.3362556904913419E-3</v>
      </c>
      <c r="BJ69" s="390">
        <f>BJ67/BD67-1</f>
        <v>6.7418005128897285E-2</v>
      </c>
      <c r="BK69" s="390">
        <f>BK67/BE67-1</f>
        <v>9.8188774876394103E-2</v>
      </c>
      <c r="BL69" s="390">
        <f>BL67/BF67-1</f>
        <v>0.68494182382687141</v>
      </c>
      <c r="BM69" s="391">
        <f>BM67/BG67-1</f>
        <v>0.19675765128917599</v>
      </c>
      <c r="BN69" s="387"/>
      <c r="BO69" s="390">
        <f>BO67/BI67-1</f>
        <v>0.45878840049496961</v>
      </c>
      <c r="BP69" s="390">
        <f>BP67/BJ67-1</f>
        <v>0.54201175949927172</v>
      </c>
      <c r="BQ69" s="390">
        <f>BQ67/BK67-1</f>
        <v>0.25431551322368251</v>
      </c>
      <c r="BR69" s="390">
        <f>BR67/BL67-1</f>
        <v>0.31488542654893092</v>
      </c>
      <c r="BS69" s="391">
        <f>BS67/BM67-1</f>
        <v>0.38119951402581775</v>
      </c>
      <c r="BT69" s="387"/>
      <c r="BU69" s="390">
        <f>BU67/BO67-1</f>
        <v>0.22154197938372344</v>
      </c>
      <c r="BV69" s="390">
        <f>BV67/BP67-1</f>
        <v>0.21840918409184318</v>
      </c>
      <c r="BW69" s="390">
        <f>BW67/BQ67-1</f>
        <v>0.42447963637675357</v>
      </c>
      <c r="BX69" s="390">
        <f>BX67/BR67-1</f>
        <v>2.4024753196477677E-2</v>
      </c>
      <c r="BY69" s="391">
        <f>BY67/BS67-1</f>
        <v>0.20846045299576654</v>
      </c>
      <c r="BZ69" s="387"/>
      <c r="CA69" s="390">
        <f>CA67/BU67-1</f>
        <v>0.40814123756472553</v>
      </c>
      <c r="CB69" s="390">
        <f>CB67/BV67-1</f>
        <v>0.45756974122556038</v>
      </c>
      <c r="CC69" s="390">
        <f>CC67/BW67-1</f>
        <v>0.45216268233387513</v>
      </c>
      <c r="CD69" s="390">
        <f>CD67/BX67-1</f>
        <v>0.59156131864558303</v>
      </c>
      <c r="CE69" s="391">
        <f>CE67/BY67-1</f>
        <v>0.47866539158480093</v>
      </c>
      <c r="CF69" s="387"/>
      <c r="CG69" s="390">
        <f>CG67/CA67-1</f>
        <v>0.42032815356000008</v>
      </c>
      <c r="CH69" s="390">
        <f>CH67/CB67-1</f>
        <v>0.38188047448204254</v>
      </c>
      <c r="CI69" s="390">
        <f>CI67/CC67-1</f>
        <v>0.40377639816542521</v>
      </c>
      <c r="CJ69" s="390">
        <f>CJ67/CD67-1</f>
        <v>0.32572236127428678</v>
      </c>
      <c r="CK69" s="391">
        <f>CK67/CE67-1</f>
        <v>0.38073015858376702</v>
      </c>
      <c r="CL69" s="387"/>
      <c r="CM69" s="390">
        <f>CM67/CG67-1</f>
        <v>0.41023492782337767</v>
      </c>
      <c r="CN69" s="390">
        <f>CN67/CH67-1</f>
        <v>0.21700225208668922</v>
      </c>
      <c r="CO69" s="390">
        <f>CO67/CI67-1</f>
        <v>0.17126778410308452</v>
      </c>
      <c r="CP69" s="390">
        <f>CP67/CJ67-1</f>
        <v>0.29014525885873277</v>
      </c>
      <c r="CQ69" s="391">
        <f>CQ67/CK67-1</f>
        <v>0.26647763516920908</v>
      </c>
      <c r="CR69" s="387"/>
      <c r="CS69" s="390">
        <f>CS67/CM67-1</f>
        <v>0.14482561142376982</v>
      </c>
      <c r="CT69" s="390">
        <f>CT67/CN67-1</f>
        <v>0.37151242923272121</v>
      </c>
      <c r="CU69" s="390">
        <f>CU67/CO67-1</f>
        <v>0.47112822266945642</v>
      </c>
      <c r="CV69" s="390">
        <f>CV67/CP67-1</f>
        <v>0.2524389758292529</v>
      </c>
      <c r="CW69" s="391">
        <f>CW67/CQ67-1</f>
        <v>0.30889282983043742</v>
      </c>
      <c r="CX69" s="387"/>
      <c r="CY69" s="390">
        <f>CY67/CS67-1</f>
        <v>0.42037772990701971</v>
      </c>
      <c r="CZ69" s="390">
        <f>CZ67/CT67-1</f>
        <v>0.43277263165502911</v>
      </c>
      <c r="DA69" s="390">
        <f>DA67/CU67-1</f>
        <v>0.41249787827326689</v>
      </c>
      <c r="DB69" s="390">
        <f>DB67/CV67-1</f>
        <v>0.46901613461824154</v>
      </c>
      <c r="DC69" s="391">
        <f>DC67/CW67-1</f>
        <v>0.43362287009260281</v>
      </c>
      <c r="DD69" s="387"/>
      <c r="DE69" s="390">
        <f>DE67/CY67-1</f>
        <v>0.31541148763627369</v>
      </c>
      <c r="DF69" s="390">
        <f>DF67/CZ67-1</f>
        <v>0.31579275026338705</v>
      </c>
      <c r="DG69" s="390">
        <f>DG67/DA67-1</f>
        <v>0.29751426445557061</v>
      </c>
      <c r="DH69" s="390">
        <f>DH67/DB67-1</f>
        <v>0.36515047094749997</v>
      </c>
      <c r="DI69" s="391">
        <f>DI67/DC67-1</f>
        <v>0.32349844082818868</v>
      </c>
      <c r="DJ69" s="387"/>
      <c r="DK69" s="390">
        <f>DK67/DE67-1</f>
        <v>0.3144218482801262</v>
      </c>
      <c r="DL69" s="390">
        <f>DL67/DF67-1</f>
        <v>0.29826070301305241</v>
      </c>
      <c r="DM69" s="390">
        <f>DM67/DG67-1</f>
        <v>0.28753272075233682</v>
      </c>
      <c r="DN69" s="390">
        <f>DN67/DH67-1</f>
        <v>0.31618206906707047</v>
      </c>
      <c r="DO69" s="391">
        <f>DO67/DI67-1</f>
        <v>0.3035951979312892</v>
      </c>
      <c r="DP69" s="669"/>
    </row>
    <row r="70" spans="1:130" ht="5.25" hidden="1" customHeight="1" outlineLevel="1">
      <c r="A70" s="742"/>
      <c r="B70" s="313"/>
      <c r="C70" s="820"/>
      <c r="D70" s="307"/>
      <c r="E70" s="820"/>
      <c r="F70" s="307"/>
      <c r="G70" s="307"/>
      <c r="H70" s="307"/>
      <c r="I70" s="307"/>
      <c r="J70" s="307"/>
      <c r="K70" s="820"/>
      <c r="L70" s="307"/>
      <c r="M70" s="307"/>
      <c r="N70" s="307"/>
      <c r="O70" s="307"/>
      <c r="P70" s="307"/>
      <c r="Q70" s="1748"/>
      <c r="R70" s="307"/>
      <c r="S70" s="307"/>
      <c r="T70" s="307"/>
      <c r="U70" s="307"/>
      <c r="V70" s="307"/>
      <c r="W70" s="1748"/>
      <c r="X70" s="307"/>
      <c r="Y70" s="307"/>
      <c r="Z70" s="307"/>
      <c r="AA70" s="290"/>
      <c r="AB70" s="307"/>
      <c r="AC70" s="1748"/>
      <c r="AD70" s="820"/>
      <c r="AE70" s="307"/>
      <c r="AF70" s="307"/>
      <c r="AG70" s="307"/>
      <c r="AH70" s="307"/>
      <c r="AI70" s="291"/>
      <c r="AJ70" s="820"/>
      <c r="AK70" s="307"/>
      <c r="AL70" s="307"/>
      <c r="AM70" s="307"/>
      <c r="AN70" s="307"/>
      <c r="AO70" s="291"/>
      <c r="AP70" s="820"/>
      <c r="AQ70" s="307"/>
      <c r="AR70" s="307"/>
      <c r="AS70" s="307"/>
      <c r="AT70" s="307"/>
      <c r="AU70" s="291"/>
      <c r="AV70" s="820"/>
      <c r="AW70" s="307"/>
      <c r="AX70" s="307"/>
      <c r="AY70" s="307"/>
      <c r="AZ70" s="307"/>
      <c r="BA70" s="291"/>
      <c r="BB70" s="820"/>
      <c r="BC70" s="307"/>
      <c r="BD70" s="307"/>
      <c r="BE70" s="307"/>
      <c r="BF70" s="307"/>
      <c r="BG70" s="291"/>
      <c r="BH70" s="820"/>
      <c r="BI70" s="307"/>
      <c r="BJ70" s="307"/>
      <c r="BK70" s="307"/>
      <c r="BL70" s="307"/>
      <c r="BM70" s="291"/>
      <c r="BN70" s="820"/>
      <c r="BO70" s="307"/>
      <c r="BP70" s="307"/>
      <c r="BQ70" s="307"/>
      <c r="BR70" s="307"/>
      <c r="BS70" s="291"/>
      <c r="BT70" s="820"/>
      <c r="BU70" s="307"/>
      <c r="BV70" s="307"/>
      <c r="BW70" s="307"/>
      <c r="BX70" s="307"/>
      <c r="BY70" s="291"/>
      <c r="BZ70" s="820"/>
      <c r="CA70" s="307"/>
      <c r="CB70" s="307"/>
      <c r="CC70" s="307"/>
      <c r="CD70" s="307"/>
      <c r="CE70" s="291"/>
      <c r="CF70" s="820"/>
      <c r="CG70" s="307"/>
      <c r="CH70" s="307"/>
      <c r="CI70" s="307"/>
      <c r="CJ70" s="307"/>
      <c r="CK70" s="291"/>
      <c r="CL70" s="820"/>
      <c r="CM70" s="307"/>
      <c r="CN70" s="307"/>
      <c r="CO70" s="307"/>
      <c r="CP70" s="307"/>
      <c r="CQ70" s="291"/>
      <c r="CR70" s="820"/>
      <c r="CS70" s="307"/>
      <c r="CT70" s="307"/>
      <c r="CU70" s="307"/>
      <c r="CV70" s="307"/>
      <c r="CW70" s="291"/>
      <c r="CX70" s="820"/>
      <c r="CY70" s="307"/>
      <c r="CZ70" s="307"/>
      <c r="DA70" s="307"/>
      <c r="DB70" s="307"/>
      <c r="DC70" s="291"/>
      <c r="DD70" s="820"/>
      <c r="DE70" s="307"/>
      <c r="DF70" s="307"/>
      <c r="DG70" s="307"/>
      <c r="DH70" s="307"/>
      <c r="DI70" s="291"/>
      <c r="DJ70" s="820"/>
      <c r="DK70" s="307"/>
      <c r="DL70" s="307"/>
      <c r="DM70" s="307"/>
      <c r="DN70" s="307"/>
      <c r="DO70" s="291"/>
      <c r="DP70" s="669"/>
    </row>
    <row r="71" spans="1:130" collapsed="1">
      <c r="A71" s="1717" t="s">
        <v>363</v>
      </c>
      <c r="B71" s="1718" t="s">
        <v>942</v>
      </c>
      <c r="C71" s="510">
        <v>0.112</v>
      </c>
      <c r="D71" s="510">
        <v>1.736</v>
      </c>
      <c r="E71" s="510">
        <v>0.49099999999999999</v>
      </c>
      <c r="F71" s="516"/>
      <c r="G71" s="510">
        <v>2.9000000000000001E-2</v>
      </c>
      <c r="H71" s="510">
        <v>0.183</v>
      </c>
      <c r="I71" s="510">
        <v>-2.3E-2</v>
      </c>
      <c r="J71" s="510">
        <v>0.30300000000000005</v>
      </c>
      <c r="K71" s="510">
        <f>SUM(E71:J71)</f>
        <v>0.9830000000000001</v>
      </c>
      <c r="L71" s="516"/>
      <c r="M71" s="510">
        <v>0.38400000000000001</v>
      </c>
      <c r="N71" s="510">
        <v>1.4999999999999999E-2</v>
      </c>
      <c r="O71" s="510">
        <v>4.5999999999999999E-2</v>
      </c>
      <c r="P71" s="510">
        <v>7.5999999999999998E-2</v>
      </c>
      <c r="Q71" s="510">
        <f>SUM(M71:P71)</f>
        <v>0.52100000000000002</v>
      </c>
      <c r="R71" s="510"/>
      <c r="S71" s="510">
        <f>SUM(S72:S75)</f>
        <v>0.16299999999999998</v>
      </c>
      <c r="T71" s="510">
        <f>SUM(T72:T75)</f>
        <v>0.35299999999999998</v>
      </c>
      <c r="U71" s="510">
        <f>SUM(U72:U75)</f>
        <v>0.79899999999999993</v>
      </c>
      <c r="V71" s="510">
        <f>SUM(V72:V75)</f>
        <v>1.3180000000000001</v>
      </c>
      <c r="W71" s="510">
        <f>SUM(S71:V71)</f>
        <v>2.633</v>
      </c>
      <c r="X71" s="510"/>
      <c r="Y71" s="510">
        <f>SUM(Y72:Y75)</f>
        <v>1.4850000000000001</v>
      </c>
      <c r="Z71" s="510">
        <f>SUM(Z72:Z75)</f>
        <v>2.359</v>
      </c>
      <c r="AA71" s="510">
        <f>SUM(AA72:AA75)</f>
        <v>1.95</v>
      </c>
      <c r="AB71" s="510">
        <f>SUM(AB72:AB75)</f>
        <v>2.302</v>
      </c>
      <c r="AC71" s="510">
        <f>SUM(Y71:AB71)</f>
        <v>8.0960000000000001</v>
      </c>
      <c r="AD71" s="510"/>
      <c r="AE71" s="510">
        <f>SUM(AE72:AE75)</f>
        <v>2.38</v>
      </c>
      <c r="AF71" s="510">
        <f>SUM(AF72:AF75)</f>
        <v>3.3069999999999999</v>
      </c>
      <c r="AG71" s="510">
        <f>SUM(AG72:AG75)</f>
        <v>4.4286906887239716</v>
      </c>
      <c r="AH71" s="510">
        <f>SUM(AH72:AH75)</f>
        <v>5.957617851413227</v>
      </c>
      <c r="AI71" s="265">
        <f>SUM(AE71:AH71)</f>
        <v>16.073308540137198</v>
      </c>
      <c r="AJ71" s="510"/>
      <c r="AK71" s="510">
        <f>SUM(AK72:AK75)</f>
        <v>5.1759999999999993</v>
      </c>
      <c r="AL71" s="510">
        <f>SUM(AL72:AL75)</f>
        <v>5.8950000000000005</v>
      </c>
      <c r="AM71" s="510">
        <f>SUM(AM72:AM75)</f>
        <v>8.1129999999999995</v>
      </c>
      <c r="AN71" s="510">
        <f>SUM(AN72:AN75)</f>
        <v>6.7200000000000006</v>
      </c>
      <c r="AO71" s="265">
        <f>SUM(AK71:AN71)</f>
        <v>25.903999999999996</v>
      </c>
      <c r="AP71" s="510"/>
      <c r="AQ71" s="510">
        <f>SUM(AQ72:AQ75)</f>
        <v>5.9590000000000005</v>
      </c>
      <c r="AR71" s="510">
        <f>SUM(AR72:AR75)</f>
        <v>5.8680000000000003</v>
      </c>
      <c r="AS71" s="510">
        <f>SUM(AS72:AS75)</f>
        <v>4.3739999999999997</v>
      </c>
      <c r="AT71" s="510">
        <f>SUM(AT72:AT75)</f>
        <v>5.649</v>
      </c>
      <c r="AU71" s="265">
        <f>SUM(AQ71:AT71)</f>
        <v>21.85</v>
      </c>
      <c r="AV71" s="510"/>
      <c r="AW71" s="510">
        <f>SUM(AW72:AW75)</f>
        <v>4.6929999999999996</v>
      </c>
      <c r="AX71" s="510">
        <f>SUM(AX72:AX75)</f>
        <v>6.3819999999999997</v>
      </c>
      <c r="AY71" s="510">
        <f>SUM(AY72:AY75)</f>
        <v>6.875</v>
      </c>
      <c r="AZ71" s="510">
        <f>SUM(AZ72:AZ75)</f>
        <v>9.1589999999999989</v>
      </c>
      <c r="BA71" s="265">
        <f>SUM(AW71:AZ71)</f>
        <v>27.108999999999998</v>
      </c>
      <c r="BB71" s="510"/>
      <c r="BC71" s="510">
        <f>SUM(BC72:BC73,BC75)</f>
        <v>4.2930000000000001</v>
      </c>
      <c r="BD71" s="510">
        <f>SUM(BD72:BD73,BD75)</f>
        <v>5.3180000000000005</v>
      </c>
      <c r="BE71" s="510">
        <f>SUM(BE72:BE73,BE75)</f>
        <v>9.0690000000000008</v>
      </c>
      <c r="BF71" s="510">
        <f>SUM(BF72:BF73,BF75)</f>
        <v>7.2000000000000011</v>
      </c>
      <c r="BG71" s="265">
        <f>SUM(BC71:BF71)</f>
        <v>25.880000000000003</v>
      </c>
      <c r="BH71" s="510"/>
      <c r="BI71" s="510">
        <f>SUM(BI72:BI73,BI75)</f>
        <v>6.3419999999999996</v>
      </c>
      <c r="BJ71" s="510">
        <f>SUM(BJ72:BJ73,BJ75)</f>
        <v>0.74700000000000033</v>
      </c>
      <c r="BK71" s="510">
        <f>SUM(BK72:BK73,BK75)</f>
        <v>4.0190000000000001</v>
      </c>
      <c r="BL71" s="510">
        <f>SUM(BL72:BL73,BL75)</f>
        <v>2.9860000000000002</v>
      </c>
      <c r="BM71" s="265">
        <f>SUM(BI71:BL71)</f>
        <v>14.094000000000001</v>
      </c>
      <c r="BN71" s="510"/>
      <c r="BO71" s="510">
        <f>SUM(BO72:BO73,BO75)</f>
        <v>2.274</v>
      </c>
      <c r="BP71" s="510">
        <f>SUM(BP72:BP73,BP75)</f>
        <v>5.641</v>
      </c>
      <c r="BQ71" s="510">
        <f>SUM(BQ72:BQ73,BQ75)</f>
        <v>-2.3050000000000002</v>
      </c>
      <c r="BR71" s="510">
        <f>SUM(BR72:BR73,BR75)</f>
        <v>1.153</v>
      </c>
      <c r="BS71" s="265">
        <f>SUM(BO71:BR71)</f>
        <v>6.7629999999999999</v>
      </c>
      <c r="BT71" s="510"/>
      <c r="BU71" s="510">
        <f>SUM(BU72:BU73,BU75)</f>
        <v>-0.16299999999999881</v>
      </c>
      <c r="BV71" s="510">
        <f>SUM(BV72:BV73,BV75)</f>
        <v>-4.5949999999999989</v>
      </c>
      <c r="BW71" s="510">
        <f>SUM(BW72:BW73,BW75)</f>
        <v>-13.562999999999999</v>
      </c>
      <c r="BX71" s="510">
        <f>SUM(BX72:BX73,BX75)</f>
        <v>-6.5979999999999972</v>
      </c>
      <c r="BY71" s="265">
        <f>SUM(BU71:BX71)</f>
        <v>-24.918999999999997</v>
      </c>
      <c r="BZ71" s="510"/>
      <c r="CA71" s="510">
        <f>SUM(CA72:CA73,CA75)</f>
        <v>-9.9150000000000009</v>
      </c>
      <c r="CB71" s="510">
        <f>SUM(CB72:CB73,CB75)</f>
        <v>-9.958000000000002</v>
      </c>
      <c r="CC71" s="510">
        <f>SUM(CC72:CC73,CC75)</f>
        <v>-5.4549999999999992</v>
      </c>
      <c r="CD71" s="510">
        <f>SUM(CD72:CD73,CD75)</f>
        <v>-10.848000000000003</v>
      </c>
      <c r="CE71" s="265">
        <f>SUM(CA71:CD71)</f>
        <v>-36.176000000000002</v>
      </c>
      <c r="CF71" s="510"/>
      <c r="CG71" s="510">
        <f>SUM(CG72:CG73,CG75)</f>
        <v>-6.1579999999999995</v>
      </c>
      <c r="CH71" s="510">
        <f>SUM(CH72:CH73,CH75)</f>
        <v>-5.455000000000001</v>
      </c>
      <c r="CI71" s="510">
        <f>SUM(CI72:CI73,CI75)</f>
        <v>-14.925999999999998</v>
      </c>
      <c r="CJ71" s="510">
        <f>SUM(CJ72:CJ73,CJ75)</f>
        <v>-17.756</v>
      </c>
      <c r="CK71" s="265">
        <f>SUM(CG71:CJ71)</f>
        <v>-44.295000000000002</v>
      </c>
      <c r="CL71" s="510"/>
      <c r="CM71" s="510">
        <f>SUM(CM72:CM73,CM75)</f>
        <v>-20.762999999999998</v>
      </c>
      <c r="CN71" s="510">
        <f>SUM(CN72:CN73,CN75)</f>
        <v>-1.3619999999999988</v>
      </c>
      <c r="CO71" s="510">
        <f>SUM(CO72:CO73,CO75)</f>
        <v>-9.5720000000000027</v>
      </c>
      <c r="CP71" s="510">
        <f>SUM(CP72:CP73,CP75)</f>
        <v>6.7839999999999989</v>
      </c>
      <c r="CQ71" s="265">
        <f>SUM(CM71:CP71)</f>
        <v>-24.913</v>
      </c>
      <c r="CR71" s="510"/>
      <c r="CS71" s="510">
        <f>SUM(CS72:CS73,CS75)</f>
        <v>-7.3230000000000022</v>
      </c>
      <c r="CT71" s="510">
        <f>SUM(CT72:CT73,CT75)</f>
        <v>-13.541</v>
      </c>
      <c r="CU71" s="510">
        <f>SUM(CU72:CU73,CU75)</f>
        <v>-2.7569999999999979</v>
      </c>
      <c r="CV71" s="510">
        <f>SUM(CV72:CV73,CV75)</f>
        <v>17.337</v>
      </c>
      <c r="CW71" s="265">
        <f>SUM(CS71:CV71)</f>
        <v>-6.2840000000000025</v>
      </c>
      <c r="CX71" s="510"/>
      <c r="CY71" s="510">
        <f>SUM(CY72:CY73,CY75)</f>
        <v>-8.4338036873961393</v>
      </c>
      <c r="CZ71" s="510">
        <f>SUM(CZ72:CZ73,CZ75)</f>
        <v>-8.1895239392781924</v>
      </c>
      <c r="DA71" s="510">
        <f>SUM(DA72:DA73,DA75)</f>
        <v>-8.0636457761716507</v>
      </c>
      <c r="DB71" s="510">
        <f>SUM(DB72:DB73,DB75)</f>
        <v>-7.9734833677620909</v>
      </c>
      <c r="DC71" s="265">
        <f>SUM(CY71:DB71)</f>
        <v>-32.660456770608072</v>
      </c>
      <c r="DD71" s="510"/>
      <c r="DE71" s="510">
        <f>SUM(DE72:DE73,DE75)</f>
        <v>2.2635212031481262</v>
      </c>
      <c r="DF71" s="510">
        <f>SUM(DF72:DF73,DF75)</f>
        <v>2.2635212031481262</v>
      </c>
      <c r="DG71" s="510">
        <f>SUM(DG72:DG73,DG75)</f>
        <v>2.6083453561665189</v>
      </c>
      <c r="DH71" s="510">
        <f>SUM(DH72:DH73,DH75)</f>
        <v>2.7605612544370515</v>
      </c>
      <c r="DI71" s="265">
        <f>SUM(DE71:DH71)</f>
        <v>9.8959490168998236</v>
      </c>
      <c r="DJ71" s="510"/>
      <c r="DK71" s="510">
        <f>SUM(DK72:DK73,DK75)</f>
        <v>3.4132645889045405</v>
      </c>
      <c r="DL71" s="510">
        <f>SUM(DL72:DL73,DL75)</f>
        <v>3.4132645889045405</v>
      </c>
      <c r="DM71" s="510">
        <f>SUM(DM72:DM73,DM75)</f>
        <v>3.8416924163234762</v>
      </c>
      <c r="DN71" s="510">
        <f>SUM(DN72:DN73,DN75)</f>
        <v>4.0704876829904224</v>
      </c>
      <c r="DO71" s="265">
        <f>SUM(DK71:DN71)</f>
        <v>14.738709277122979</v>
      </c>
      <c r="DP71" s="279"/>
    </row>
    <row r="72" spans="1:130" ht="12.75" hidden="1" customHeight="1" outlineLevel="1">
      <c r="A72" s="1717" t="s">
        <v>399</v>
      </c>
      <c r="B72" s="1718"/>
      <c r="C72" s="510"/>
      <c r="D72" s="510"/>
      <c r="E72" s="510">
        <v>0.755</v>
      </c>
      <c r="F72" s="510"/>
      <c r="G72" s="510">
        <f>0.9*K72/4</f>
        <v>0.105975</v>
      </c>
      <c r="H72" s="510">
        <f>(K72-G72)/3</f>
        <v>0.12167499999999999</v>
      </c>
      <c r="I72" s="510">
        <f>(K72-H72-G72)/2</f>
        <v>0.12167500000000001</v>
      </c>
      <c r="J72" s="510">
        <f>K72-I72-H72-G72</f>
        <v>0.12167500000000002</v>
      </c>
      <c r="K72" s="510">
        <v>0.47099999999999997</v>
      </c>
      <c r="L72" s="510"/>
      <c r="M72" s="510">
        <v>7.8E-2</v>
      </c>
      <c r="N72" s="510">
        <v>9.0999999999999998E-2</v>
      </c>
      <c r="O72" s="510">
        <f>0.9*(Q72-N72-M72)/2</f>
        <v>9.4500000000000015E-2</v>
      </c>
      <c r="P72" s="510">
        <f>Q72-O72-N72-M72</f>
        <v>0.11549999999999998</v>
      </c>
      <c r="Q72" s="510">
        <v>0.379</v>
      </c>
      <c r="R72" s="510"/>
      <c r="S72" s="510">
        <v>0.14399999999999999</v>
      </c>
      <c r="T72" s="510">
        <v>0.35299999999999998</v>
      </c>
      <c r="U72" s="510">
        <v>0.98899999999999999</v>
      </c>
      <c r="V72" s="510">
        <v>1.155</v>
      </c>
      <c r="W72" s="510">
        <f>SUM(S72:V72)</f>
        <v>2.641</v>
      </c>
      <c r="X72" s="510"/>
      <c r="Y72" s="510">
        <v>1.4410000000000001</v>
      </c>
      <c r="Z72" s="510">
        <v>1.6930000000000001</v>
      </c>
      <c r="AA72" s="510">
        <v>2.024</v>
      </c>
      <c r="AB72" s="510">
        <v>2.4990000000000001</v>
      </c>
      <c r="AC72" s="510">
        <f>SUM(Y72:AB72)</f>
        <v>7.657</v>
      </c>
      <c r="AD72" s="510"/>
      <c r="AE72" s="510">
        <v>2.9790000000000001</v>
      </c>
      <c r="AF72" s="510">
        <v>3.17</v>
      </c>
      <c r="AG72" s="510">
        <v>4.1319999999999997</v>
      </c>
      <c r="AH72" s="510">
        <v>4.5030000000000001</v>
      </c>
      <c r="AI72" s="265">
        <f>SUM(AE72:AH72)</f>
        <v>14.783999999999999</v>
      </c>
      <c r="AJ72" s="510"/>
      <c r="AK72" s="510">
        <v>5.0069999999999997</v>
      </c>
      <c r="AL72" s="510">
        <v>5.6150000000000002</v>
      </c>
      <c r="AM72" s="510">
        <v>6.556</v>
      </c>
      <c r="AN72" s="510">
        <v>7.3150000000000004</v>
      </c>
      <c r="AO72" s="265">
        <f>SUM(AK72:AN72)</f>
        <v>24.493000000000002</v>
      </c>
      <c r="AP72" s="510"/>
      <c r="AQ72" s="510">
        <v>6.7220000000000004</v>
      </c>
      <c r="AR72" s="510">
        <v>6.7080000000000002</v>
      </c>
      <c r="AS72" s="510">
        <v>3.84</v>
      </c>
      <c r="AT72" s="510">
        <v>5.3970000000000002</v>
      </c>
      <c r="AU72" s="265">
        <f>SUM(AQ72:AT72)</f>
        <v>22.667000000000002</v>
      </c>
      <c r="AV72" s="510"/>
      <c r="AW72" s="510">
        <v>4.3220000000000001</v>
      </c>
      <c r="AX72" s="510">
        <v>7.4539999999999997</v>
      </c>
      <c r="AY72" s="510">
        <v>7.2110000000000003</v>
      </c>
      <c r="AZ72" s="510">
        <v>10.628</v>
      </c>
      <c r="BA72" s="265">
        <f>SUM(AW72:AZ72)</f>
        <v>29.615000000000002</v>
      </c>
      <c r="BB72" s="510"/>
      <c r="BC72" s="510">
        <v>7.875</v>
      </c>
      <c r="BD72" s="510">
        <v>8.7349999999999994</v>
      </c>
      <c r="BE72" s="510">
        <v>11.699</v>
      </c>
      <c r="BF72" s="510">
        <v>9.4260000000000002</v>
      </c>
      <c r="BG72" s="265">
        <f>SUM(BC72:BF72)</f>
        <v>37.734999999999999</v>
      </c>
      <c r="BH72" s="510"/>
      <c r="BI72" s="510">
        <v>8.0549999999999997</v>
      </c>
      <c r="BJ72" s="510">
        <v>5.1120000000000001</v>
      </c>
      <c r="BK72" s="510">
        <v>5.1360000000000001</v>
      </c>
      <c r="BL72" s="510">
        <v>4.9649999999999999</v>
      </c>
      <c r="BM72" s="265">
        <f>SUM(BI72:BL72)</f>
        <v>23.268000000000001</v>
      </c>
      <c r="BN72" s="510"/>
      <c r="BO72" s="510">
        <v>4.4610000000000003</v>
      </c>
      <c r="BP72" s="510">
        <v>7.173</v>
      </c>
      <c r="BQ72" s="510">
        <v>3.887</v>
      </c>
      <c r="BR72" s="510">
        <v>4.0410000000000004</v>
      </c>
      <c r="BS72" s="265">
        <f>SUM(BO72:BR72)</f>
        <v>19.562000000000001</v>
      </c>
      <c r="BT72" s="510"/>
      <c r="BU72" s="510">
        <v>3.3540000000000001</v>
      </c>
      <c r="BV72" s="510">
        <v>4.3869999999999996</v>
      </c>
      <c r="BW72" s="510">
        <v>1.1100000000000001</v>
      </c>
      <c r="BX72" s="510">
        <v>1.367</v>
      </c>
      <c r="BY72" s="265">
        <f>SUM(BU72:BX72)</f>
        <v>10.218</v>
      </c>
      <c r="BZ72" s="510"/>
      <c r="CA72" s="510">
        <v>1.778</v>
      </c>
      <c r="CB72" s="510">
        <v>2.6549999999999998</v>
      </c>
      <c r="CC72" s="510">
        <v>2.6219999999999999</v>
      </c>
      <c r="CD72" s="510">
        <v>2.9830000000000001</v>
      </c>
      <c r="CE72" s="265">
        <f>SUM(CA72:CD72)</f>
        <v>10.038</v>
      </c>
      <c r="CF72" s="510"/>
      <c r="CG72" s="510">
        <v>4.5609999999999999</v>
      </c>
      <c r="CH72" s="510">
        <v>3.2829999999999999</v>
      </c>
      <c r="CI72" s="510">
        <v>3.5070000000000001</v>
      </c>
      <c r="CJ72" s="510">
        <v>3.99</v>
      </c>
      <c r="CK72" s="265">
        <f>SUM(CG72:CJ72)</f>
        <v>15.340999999999999</v>
      </c>
      <c r="CL72" s="510"/>
      <c r="CM72" s="510">
        <v>8.1219999999999999</v>
      </c>
      <c r="CN72" s="510">
        <v>11.916</v>
      </c>
      <c r="CO72" s="510">
        <v>3.7090000000000001</v>
      </c>
      <c r="CP72" s="510">
        <v>3.6269999999999998</v>
      </c>
      <c r="CQ72" s="265">
        <f>SUM(CM72:CP72)</f>
        <v>27.373999999999999</v>
      </c>
      <c r="CR72" s="510"/>
      <c r="CS72" s="510">
        <v>5.266</v>
      </c>
      <c r="CT72" s="510">
        <v>8.7539999999999996</v>
      </c>
      <c r="CU72" s="510">
        <v>10.048999999999999</v>
      </c>
      <c r="CV72" s="510">
        <v>11.779</v>
      </c>
      <c r="CW72" s="265">
        <f>SUM(CS72:CV72)</f>
        <v>35.847999999999999</v>
      </c>
      <c r="CX72" s="510"/>
      <c r="CY72" s="510">
        <f>(BS!CV10+BS!CV11+BS!CV22)*(Model!CY274/4)</f>
        <v>1.4531963126038605</v>
      </c>
      <c r="CZ72" s="510">
        <f>(BS!CY10+BS!CY11+BS!CY22)*(Model!CZ274/4)</f>
        <v>1.6974760607218078</v>
      </c>
      <c r="DA72" s="510">
        <f>(BS!CZ10+BS!CZ11+BS!CZ22)*(Model!DA274/4)</f>
        <v>1.8233542238283507</v>
      </c>
      <c r="DB72" s="510">
        <f>(BS!DA10+BS!DA11+BS!DA22)*(Model!DB274/4)</f>
        <v>1.9135166322379091</v>
      </c>
      <c r="DC72" s="265">
        <f>SUM(CY72:DB72)</f>
        <v>6.8875432293919285</v>
      </c>
      <c r="DD72" s="510"/>
      <c r="DE72" s="510">
        <f>(BS!DB10+BS!DB11+BS!DB22)*(Model!DE274/4)</f>
        <v>2.2635212031481262</v>
      </c>
      <c r="DF72" s="510">
        <f>(BS!DC10+BS!DC11+BS!DC22)*(Model!DF274/4)</f>
        <v>2.2635212031481262</v>
      </c>
      <c r="DG72" s="510">
        <f>(BS!DE10+BS!DE11+BS!DE22)*(Model!DG274/4)</f>
        <v>2.6083453561665189</v>
      </c>
      <c r="DH72" s="510">
        <f>(BS!DF10+BS!DF11+BS!DF22)*(Model!DH274/4)</f>
        <v>2.7605612544370515</v>
      </c>
      <c r="DI72" s="265">
        <f>SUM(DE72:DH72)</f>
        <v>9.8959490168998236</v>
      </c>
      <c r="DJ72" s="510"/>
      <c r="DK72" s="510">
        <f>(BS!DH10+BS!DH11+BS!DH22)*(Model!DK274/4)</f>
        <v>3.4132645889045405</v>
      </c>
      <c r="DL72" s="510">
        <f>(BS!DI10+BS!DI11+BS!DI22)*(Model!DL274/4)</f>
        <v>3.4132645889045405</v>
      </c>
      <c r="DM72" s="510">
        <f>(BS!DK10+BS!DK11+BS!DK22)*(Model!DM274/4)</f>
        <v>3.8416924163234762</v>
      </c>
      <c r="DN72" s="510">
        <f>(BS!DL10+BS!DL11+BS!DL22)*(Model!DN274/4)</f>
        <v>4.0704876829904224</v>
      </c>
      <c r="DO72" s="265">
        <f>SUM(DK72:DN72)</f>
        <v>14.738709277122979</v>
      </c>
      <c r="DP72" s="261"/>
    </row>
    <row r="73" spans="1:130" ht="12.75" hidden="1" customHeight="1" outlineLevel="1">
      <c r="A73" s="1717" t="s">
        <v>527</v>
      </c>
      <c r="B73" s="1718"/>
      <c r="C73" s="510"/>
      <c r="D73" s="510"/>
      <c r="E73" s="510">
        <v>-0.27200000000000002</v>
      </c>
      <c r="F73" s="510"/>
      <c r="G73" s="510">
        <f>K73/4</f>
        <v>-1.925E-2</v>
      </c>
      <c r="H73" s="510">
        <f>(K73-G73)/3</f>
        <v>-1.925E-2</v>
      </c>
      <c r="I73" s="510">
        <f>(K73-H73-G73)/2</f>
        <v>-1.9249999999999996E-2</v>
      </c>
      <c r="J73" s="510">
        <f>K73-I73-H73-G73</f>
        <v>-1.9250000000000007E-2</v>
      </c>
      <c r="K73" s="510">
        <v>-7.6999999999999999E-2</v>
      </c>
      <c r="L73" s="510"/>
      <c r="M73" s="510">
        <v>-8.9999999999999993E-3</v>
      </c>
      <c r="N73" s="510">
        <v>-6.0000000000000001E-3</v>
      </c>
      <c r="O73" s="510">
        <f>(Q73-N73-M73)/2</f>
        <v>-3.5000000000000005E-3</v>
      </c>
      <c r="P73" s="510">
        <f>Q73-O73-N73-M73</f>
        <v>-3.4999999999999996E-3</v>
      </c>
      <c r="Q73" s="510">
        <v>-2.1999999999999999E-2</v>
      </c>
      <c r="R73" s="510"/>
      <c r="S73" s="510">
        <v>-1E-3</v>
      </c>
      <c r="T73" s="510">
        <v>-5.0000000000000001E-3</v>
      </c>
      <c r="U73" s="510">
        <v>-1.4E-2</v>
      </c>
      <c r="V73" s="510">
        <v>0</v>
      </c>
      <c r="W73" s="510">
        <f>SUM(S73:V73)</f>
        <v>-0.02</v>
      </c>
      <c r="X73" s="510"/>
      <c r="Y73" s="510">
        <v>0</v>
      </c>
      <c r="Z73" s="510">
        <v>0</v>
      </c>
      <c r="AA73" s="510">
        <v>0</v>
      </c>
      <c r="AB73" s="510">
        <v>0</v>
      </c>
      <c r="AC73" s="510">
        <f>SUM(Y73:AB73)</f>
        <v>0</v>
      </c>
      <c r="AD73" s="510"/>
      <c r="AE73" s="510">
        <v>-0.59899999999999998</v>
      </c>
      <c r="AF73" s="510">
        <v>0</v>
      </c>
      <c r="AG73" s="510">
        <f>(BS!AF34+BS!AF39+BS!AF40)*(Model!AG276/4)</f>
        <v>-1.2309311276028337E-2</v>
      </c>
      <c r="AH73" s="510">
        <f>(BS!AG34+BS!AG39+BS!AG40)*(Model!AH276/4)</f>
        <v>-8.382148586773254E-3</v>
      </c>
      <c r="AI73" s="265">
        <f>SUM(AE73:AH73)</f>
        <v>-0.6196914598628015</v>
      </c>
      <c r="AJ73" s="510"/>
      <c r="AK73" s="510">
        <v>0</v>
      </c>
      <c r="AL73" s="510">
        <v>0</v>
      </c>
      <c r="AM73" s="510">
        <v>0</v>
      </c>
      <c r="AN73" s="510">
        <v>0</v>
      </c>
      <c r="AO73" s="265">
        <f>SUM(AK73:AN73)</f>
        <v>0</v>
      </c>
      <c r="AP73" s="510"/>
      <c r="AQ73" s="510">
        <v>0</v>
      </c>
      <c r="AR73" s="510">
        <v>0</v>
      </c>
      <c r="AS73" s="510">
        <v>0</v>
      </c>
      <c r="AT73" s="510">
        <v>0</v>
      </c>
      <c r="AU73" s="265">
        <f>SUM(AQ73:AT73)</f>
        <v>0</v>
      </c>
      <c r="AV73" s="510"/>
      <c r="AW73" s="510">
        <v>0.371</v>
      </c>
      <c r="AX73" s="510">
        <v>0</v>
      </c>
      <c r="AY73" s="510">
        <v>0</v>
      </c>
      <c r="AZ73" s="510">
        <v>-1.2070000000000001</v>
      </c>
      <c r="BA73" s="265">
        <f>SUM(AW73:AZ73)</f>
        <v>-0.83600000000000008</v>
      </c>
      <c r="BB73" s="510"/>
      <c r="BC73" s="510">
        <f>-7.06-BC74</f>
        <v>-1.609</v>
      </c>
      <c r="BD73" s="510">
        <f>-7.185-BD74</f>
        <v>-1.6519999999999992</v>
      </c>
      <c r="BE73" s="510">
        <f>-7.374-BE74</f>
        <v>-1.7089999999999996</v>
      </c>
      <c r="BF73" s="510">
        <f>-3.29-BF74</f>
        <v>-0.85999999999999988</v>
      </c>
      <c r="BG73" s="265">
        <f>SUM(BC73:BF73)</f>
        <v>-5.8299999999999983</v>
      </c>
      <c r="BH73" s="510"/>
      <c r="BI73" s="510">
        <f>-3.671-BI74</f>
        <v>-0.91299999999999981</v>
      </c>
      <c r="BJ73" s="510">
        <f>-3.846-BJ74</f>
        <v>-1.1339999999999999</v>
      </c>
      <c r="BK73" s="510">
        <f>-3.859-BK74</f>
        <v>-1.1469999999999998</v>
      </c>
      <c r="BL73" s="510">
        <f>-5.669-BL74</f>
        <v>-1.5249999999999995</v>
      </c>
      <c r="BM73" s="265">
        <f>SUM(BI73:BL73)</f>
        <v>-4.7189999999999994</v>
      </c>
      <c r="BN73" s="510"/>
      <c r="BO73" s="510">
        <f>-6.36-BO74</f>
        <v>-1.4770000000000003</v>
      </c>
      <c r="BP73" s="510">
        <f>-8.033-BP74</f>
        <v>-1.8259999999999996</v>
      </c>
      <c r="BQ73" s="510">
        <f>-8.19-BQ74</f>
        <v>-1.8319999999999999</v>
      </c>
      <c r="BR73" s="510">
        <f>-8.355-BR74</f>
        <v>-1.9660000000000002</v>
      </c>
      <c r="BS73" s="265">
        <f>SUM(BO73:BR73)</f>
        <v>-7.101</v>
      </c>
      <c r="BT73" s="510"/>
      <c r="BU73" s="510">
        <f>-11.883-BU74</f>
        <v>-2.6429999999999989</v>
      </c>
      <c r="BV73" s="510">
        <f>-19.656-BV74</f>
        <v>-7.3039999999999985</v>
      </c>
      <c r="BW73" s="510">
        <f>-22.929-BW74</f>
        <v>-10.381999999999998</v>
      </c>
      <c r="BX73" s="510">
        <f>-22.743-BX74</f>
        <v>-9.9399999999999977</v>
      </c>
      <c r="BY73" s="265">
        <f>SUM(BU73:BX73)</f>
        <v>-30.268999999999991</v>
      </c>
      <c r="BZ73" s="510"/>
      <c r="CA73" s="510">
        <f>-20.359-CA74</f>
        <v>-9.3750000000000018</v>
      </c>
      <c r="CB73" s="510">
        <f>-18.314-CB74</f>
        <v>-9.0980000000000008</v>
      </c>
      <c r="CC73" s="510">
        <f>-17.682-CC74</f>
        <v>-9.0439999999999987</v>
      </c>
      <c r="CD73" s="510">
        <f>-16.882-CD74</f>
        <v>-9.0480000000000018</v>
      </c>
      <c r="CE73" s="265">
        <f>SUM(CA73:CD73)</f>
        <v>-36.565000000000005</v>
      </c>
      <c r="CF73" s="510"/>
      <c r="CG73" s="510">
        <f>-16.675-CG74</f>
        <v>-10.616</v>
      </c>
      <c r="CH73" s="510">
        <f>-18.096-CH74</f>
        <v>-11.986000000000001</v>
      </c>
      <c r="CI73" s="510">
        <f>-18.249-CI74</f>
        <v>-12.100999999999999</v>
      </c>
      <c r="CJ73" s="510">
        <f>-19.465-CJ74</f>
        <v>-12.518000000000001</v>
      </c>
      <c r="CK73" s="265">
        <f>SUM(CG73:CJ73)</f>
        <v>-47.221000000000004</v>
      </c>
      <c r="CL73" s="510"/>
      <c r="CM73" s="510">
        <f>-22.011-CM74</f>
        <v>-15.785</v>
      </c>
      <c r="CN73" s="510">
        <f>-20.708-CN74</f>
        <v>-14.443999999999999</v>
      </c>
      <c r="CO73" s="510">
        <f>-21.946-CO74</f>
        <v>-15.642000000000001</v>
      </c>
      <c r="CP73" s="510">
        <f>-24.323-CP74</f>
        <v>-17.978999999999999</v>
      </c>
      <c r="CQ73" s="265">
        <f>SUM(CM73:CP73)</f>
        <v>-63.85</v>
      </c>
      <c r="CR73" s="510"/>
      <c r="CS73" s="510">
        <f>+-22.196-CS74</f>
        <v>-15.813000000000002</v>
      </c>
      <c r="CT73" s="510">
        <f>-21.629-CT74</f>
        <v>-15.206000000000001</v>
      </c>
      <c r="CU73" s="510">
        <f>-21.557-CU74</f>
        <v>-15.093999999999998</v>
      </c>
      <c r="CV73" s="510">
        <f>-21.561-CV74</f>
        <v>-14.887</v>
      </c>
      <c r="CW73" s="265">
        <f>SUM(CS73:CV73)</f>
        <v>-61</v>
      </c>
      <c r="CX73" s="510"/>
      <c r="CY73" s="510">
        <f>CV73+5</f>
        <v>-9.8870000000000005</v>
      </c>
      <c r="CZ73" s="510">
        <f>CY73</f>
        <v>-9.8870000000000005</v>
      </c>
      <c r="DA73" s="510">
        <f>CZ73</f>
        <v>-9.8870000000000005</v>
      </c>
      <c r="DB73" s="510">
        <f>DA73</f>
        <v>-9.8870000000000005</v>
      </c>
      <c r="DC73" s="265">
        <f>SUM(CY73:DB73)</f>
        <v>-39.548000000000002</v>
      </c>
      <c r="DD73" s="510"/>
      <c r="DE73" s="510">
        <v>0</v>
      </c>
      <c r="DF73" s="510">
        <f>DE73</f>
        <v>0</v>
      </c>
      <c r="DG73" s="510">
        <f>DF73</f>
        <v>0</v>
      </c>
      <c r="DH73" s="510">
        <f>DG73</f>
        <v>0</v>
      </c>
      <c r="DI73" s="265">
        <f>SUM(DE73:DH73)</f>
        <v>0</v>
      </c>
      <c r="DJ73" s="510"/>
      <c r="DK73" s="510">
        <f>DH73</f>
        <v>0</v>
      </c>
      <c r="DL73" s="510">
        <f>DK73</f>
        <v>0</v>
      </c>
      <c r="DM73" s="510">
        <f>DL73</f>
        <v>0</v>
      </c>
      <c r="DN73" s="510">
        <f>DM73</f>
        <v>0</v>
      </c>
      <c r="DO73" s="265">
        <f>SUM(DK73:DN73)</f>
        <v>0</v>
      </c>
      <c r="DP73" s="261"/>
    </row>
    <row r="74" spans="1:130" ht="12.75" hidden="1" customHeight="1" outlineLevel="1">
      <c r="A74" s="1749" t="s">
        <v>604</v>
      </c>
      <c r="B74" s="1718"/>
      <c r="C74" s="510"/>
      <c r="D74" s="510"/>
      <c r="E74" s="510"/>
      <c r="F74" s="510"/>
      <c r="G74" s="510"/>
      <c r="H74" s="510"/>
      <c r="I74" s="510"/>
      <c r="J74" s="510"/>
      <c r="K74" s="510"/>
      <c r="L74" s="510"/>
      <c r="M74" s="510"/>
      <c r="N74" s="510"/>
      <c r="O74" s="510"/>
      <c r="P74" s="510"/>
      <c r="Q74" s="510"/>
      <c r="R74" s="510"/>
      <c r="S74" s="510"/>
      <c r="T74" s="510"/>
      <c r="U74" s="510"/>
      <c r="V74" s="510"/>
      <c r="W74" s="510"/>
      <c r="X74" s="510"/>
      <c r="Y74" s="510"/>
      <c r="Z74" s="510"/>
      <c r="AA74" s="510"/>
      <c r="AB74" s="510"/>
      <c r="AC74" s="510"/>
      <c r="AD74" s="510"/>
      <c r="AE74" s="510"/>
      <c r="AF74" s="510"/>
      <c r="AG74" s="510"/>
      <c r="AH74" s="510"/>
      <c r="AI74" s="265"/>
      <c r="AJ74" s="510"/>
      <c r="AK74" s="510"/>
      <c r="AL74" s="510"/>
      <c r="AM74" s="510"/>
      <c r="AN74" s="510"/>
      <c r="AO74" s="265"/>
      <c r="AP74" s="510"/>
      <c r="AQ74" s="510"/>
      <c r="AR74" s="510"/>
      <c r="AS74" s="510"/>
      <c r="AT74" s="510"/>
      <c r="AU74" s="265"/>
      <c r="AV74" s="510"/>
      <c r="AW74" s="510"/>
      <c r="AX74" s="510"/>
      <c r="AY74" s="510"/>
      <c r="AZ74" s="510"/>
      <c r="BA74" s="265"/>
      <c r="BB74" s="510"/>
      <c r="BC74" s="510">
        <v>-5.4509999999999996</v>
      </c>
      <c r="BD74" s="510">
        <v>-5.5330000000000004</v>
      </c>
      <c r="BE74" s="510">
        <v>-5.665</v>
      </c>
      <c r="BF74" s="510">
        <v>-2.4300000000000002</v>
      </c>
      <c r="BG74" s="265">
        <f>SUM(BC74:BF74)</f>
        <v>-19.079000000000001</v>
      </c>
      <c r="BH74" s="510"/>
      <c r="BI74" s="510">
        <v>-2.758</v>
      </c>
      <c r="BJ74" s="510">
        <f>-2.712</f>
        <v>-2.7120000000000002</v>
      </c>
      <c r="BK74" s="510">
        <f>-2.712</f>
        <v>-2.7120000000000002</v>
      </c>
      <c r="BL74" s="510">
        <v>-4.1440000000000001</v>
      </c>
      <c r="BM74" s="265">
        <f>SUM(BI74:BL74)</f>
        <v>-12.326000000000001</v>
      </c>
      <c r="BN74" s="510"/>
      <c r="BO74" s="510">
        <v>-4.883</v>
      </c>
      <c r="BP74" s="510">
        <v>-6.2069999999999999</v>
      </c>
      <c r="BQ74" s="510">
        <v>-6.3579999999999997</v>
      </c>
      <c r="BR74" s="510">
        <v>-6.3890000000000002</v>
      </c>
      <c r="BS74" s="265">
        <f>SUM(BO74:BR74)</f>
        <v>-23.837</v>
      </c>
      <c r="BT74" s="510"/>
      <c r="BU74" s="510">
        <v>-9.24</v>
      </c>
      <c r="BV74" s="510">
        <v>-12.352</v>
      </c>
      <c r="BW74" s="510">
        <v>-12.547000000000001</v>
      </c>
      <c r="BX74" s="510">
        <f>-12.589-0.214</f>
        <v>-12.803000000000001</v>
      </c>
      <c r="BY74" s="265">
        <f>SUM(BU74:BX74)</f>
        <v>-46.941999999999993</v>
      </c>
      <c r="BZ74" s="510"/>
      <c r="CA74" s="510">
        <v>-10.984</v>
      </c>
      <c r="CB74" s="510">
        <v>-9.2159999999999993</v>
      </c>
      <c r="CC74" s="510">
        <v>-8.6379999999999999</v>
      </c>
      <c r="CD74" s="510">
        <f>-7.738-0.096</f>
        <v>-7.8340000000000005</v>
      </c>
      <c r="CE74" s="265">
        <f>SUM(CA74:CD74)</f>
        <v>-36.672000000000004</v>
      </c>
      <c r="CF74" s="510"/>
      <c r="CG74" s="510">
        <v>-6.0590000000000002</v>
      </c>
      <c r="CH74" s="510">
        <v>-6.11</v>
      </c>
      <c r="CI74" s="510">
        <v>-6.1479999999999997</v>
      </c>
      <c r="CJ74" s="510">
        <f>-6.188-0.759</f>
        <v>-6.9470000000000001</v>
      </c>
      <c r="CK74" s="265">
        <f>SUM(CG74:CJ74)</f>
        <v>-25.263999999999999</v>
      </c>
      <c r="CL74" s="510"/>
      <c r="CM74" s="510">
        <v>-6.226</v>
      </c>
      <c r="CN74" s="510">
        <v>-6.2640000000000002</v>
      </c>
      <c r="CO74" s="510">
        <v>-6.3040000000000003</v>
      </c>
      <c r="CP74" s="510">
        <v>-6.3440000000000003</v>
      </c>
      <c r="CQ74" s="265">
        <f>SUM(CM74:CP74)</f>
        <v>-25.138000000000002</v>
      </c>
      <c r="CR74" s="510"/>
      <c r="CS74" s="510">
        <f>+-6.383</f>
        <v>-6.383</v>
      </c>
      <c r="CT74" s="510">
        <v>-6.423</v>
      </c>
      <c r="CU74" s="510">
        <v>-6.4630000000000001</v>
      </c>
      <c r="CV74" s="510">
        <v>-6.6740000000000004</v>
      </c>
      <c r="CW74" s="265">
        <f>SUM(CS74:CV74)</f>
        <v>-25.943000000000001</v>
      </c>
      <c r="CX74" s="510"/>
      <c r="CY74" s="510">
        <f>-BS!CY262+-BS!CY268</f>
        <v>-6</v>
      </c>
      <c r="CZ74" s="510">
        <f>-BS!CZ262+-BS!CZ268</f>
        <v>-6</v>
      </c>
      <c r="DA74" s="510">
        <f>-BS!DA262+-BS!DA268</f>
        <v>-6</v>
      </c>
      <c r="DB74" s="510">
        <f>-BS!DB262+-BS!DB268</f>
        <v>-6</v>
      </c>
      <c r="DC74" s="265">
        <f>SUM(CY74:DB74)</f>
        <v>-24</v>
      </c>
      <c r="DD74" s="510"/>
      <c r="DE74" s="510">
        <f>-BS!DQ262+-BS!DQ268</f>
        <v>0</v>
      </c>
      <c r="DF74" s="510">
        <f>-BS!DR262+-BS!DR268</f>
        <v>0</v>
      </c>
      <c r="DG74" s="510">
        <f>-BS!DS262+-BS!DS268</f>
        <v>0</v>
      </c>
      <c r="DH74" s="510">
        <f>-BS!DT262+-BS!DT268</f>
        <v>0</v>
      </c>
      <c r="DI74" s="265">
        <f>SUM(DE74:DH74)</f>
        <v>0</v>
      </c>
      <c r="DJ74" s="510"/>
      <c r="DK74" s="510">
        <f>-BS!DW262+-BS!DW268</f>
        <v>0</v>
      </c>
      <c r="DL74" s="510">
        <f>-BS!DX262+-BS!DX268</f>
        <v>0</v>
      </c>
      <c r="DM74" s="510">
        <f>-BS!DY262+-BS!DY268</f>
        <v>0</v>
      </c>
      <c r="DN74" s="510">
        <f>-BS!DZ262+-BS!DZ268</f>
        <v>0</v>
      </c>
      <c r="DO74" s="265">
        <f>SUM(DK74:DN74)</f>
        <v>0</v>
      </c>
      <c r="DP74" s="261"/>
      <c r="DW74" s="1867"/>
    </row>
    <row r="75" spans="1:130" ht="12.75" hidden="1" customHeight="1" outlineLevel="1">
      <c r="A75" s="1717" t="s">
        <v>528</v>
      </c>
      <c r="B75" s="1718"/>
      <c r="C75" s="510"/>
      <c r="D75" s="510"/>
      <c r="E75" s="510">
        <v>8.0000000000000002E-3</v>
      </c>
      <c r="F75" s="510"/>
      <c r="G75" s="510">
        <f>G71-G72-G73</f>
        <v>-5.7724999999999999E-2</v>
      </c>
      <c r="H75" s="510">
        <f>H71-H72-H73</f>
        <v>8.0575000000000008E-2</v>
      </c>
      <c r="I75" s="510">
        <f>I71-I72-I73</f>
        <v>-0.12542500000000001</v>
      </c>
      <c r="J75" s="510">
        <f>J71-J72-J73</f>
        <v>0.20057500000000003</v>
      </c>
      <c r="K75" s="510">
        <v>9.8000000000000004E-2</v>
      </c>
      <c r="L75" s="510"/>
      <c r="M75" s="510">
        <v>0.315</v>
      </c>
      <c r="N75" s="510">
        <v>-7.0000000000000007E-2</v>
      </c>
      <c r="O75" s="510">
        <f>O71-O72-O73</f>
        <v>-4.5000000000000012E-2</v>
      </c>
      <c r="P75" s="510">
        <f>P71-P72-P73</f>
        <v>-3.5999999999999976E-2</v>
      </c>
      <c r="Q75" s="510">
        <v>0.16400000000000001</v>
      </c>
      <c r="R75" s="510"/>
      <c r="S75" s="510">
        <v>0.02</v>
      </c>
      <c r="T75" s="510">
        <v>5.0000000000000001E-3</v>
      </c>
      <c r="U75" s="510">
        <v>-0.17599999999999999</v>
      </c>
      <c r="V75" s="510">
        <v>0.16300000000000001</v>
      </c>
      <c r="W75" s="510">
        <f>SUM(S75:V75)</f>
        <v>1.2000000000000011E-2</v>
      </c>
      <c r="X75" s="510"/>
      <c r="Y75" s="510">
        <v>4.3999999999999997E-2</v>
      </c>
      <c r="Z75" s="510">
        <v>0.66600000000000004</v>
      </c>
      <c r="AA75" s="510">
        <v>-7.3999999999999996E-2</v>
      </c>
      <c r="AB75" s="510">
        <v>-0.19700000000000001</v>
      </c>
      <c r="AC75" s="510">
        <f>SUM(Y75:AB75)</f>
        <v>0.43900000000000011</v>
      </c>
      <c r="AD75" s="510"/>
      <c r="AE75" s="510">
        <v>0</v>
      </c>
      <c r="AF75" s="510">
        <v>0.13700000000000001</v>
      </c>
      <c r="AG75" s="510">
        <v>0.309</v>
      </c>
      <c r="AH75" s="510">
        <f>1.463</f>
        <v>1.4630000000000001</v>
      </c>
      <c r="AI75" s="265">
        <f>SUM(AE75:AH75)</f>
        <v>1.909</v>
      </c>
      <c r="AJ75" s="510"/>
      <c r="AK75" s="510">
        <v>0.16900000000000001</v>
      </c>
      <c r="AL75" s="510">
        <v>0.28000000000000003</v>
      </c>
      <c r="AM75" s="510">
        <f>0.285+1.272</f>
        <v>1.5569999999999999</v>
      </c>
      <c r="AN75" s="510">
        <v>-0.59499999999999997</v>
      </c>
      <c r="AO75" s="265">
        <f>SUM(AK75:AN75)</f>
        <v>1.4110000000000003</v>
      </c>
      <c r="AP75" s="510"/>
      <c r="AQ75" s="510">
        <v>-0.76300000000000001</v>
      </c>
      <c r="AR75" s="510">
        <v>-0.84</v>
      </c>
      <c r="AS75" s="510">
        <v>0.53400000000000003</v>
      </c>
      <c r="AT75" s="510">
        <v>0.252</v>
      </c>
      <c r="AU75" s="265">
        <f>SUM(AQ75:AT75)</f>
        <v>-0.81699999999999995</v>
      </c>
      <c r="AV75" s="510"/>
      <c r="AW75" s="510">
        <v>0</v>
      </c>
      <c r="AX75" s="510">
        <v>-1.0720000000000001</v>
      </c>
      <c r="AY75" s="510">
        <v>-0.33600000000000002</v>
      </c>
      <c r="AZ75" s="510">
        <v>-0.26200000000000001</v>
      </c>
      <c r="BA75" s="265">
        <f>SUM(AW75:AZ75)</f>
        <v>-1.6700000000000002</v>
      </c>
      <c r="BB75" s="510"/>
      <c r="BC75" s="510">
        <v>-1.9730000000000001</v>
      </c>
      <c r="BD75" s="510">
        <v>-1.7649999999999999</v>
      </c>
      <c r="BE75" s="510">
        <v>-0.92100000000000004</v>
      </c>
      <c r="BF75" s="510">
        <v>-1.3660000000000001</v>
      </c>
      <c r="BG75" s="265">
        <f>SUM(BC75:BF75)</f>
        <v>-6.0250000000000004</v>
      </c>
      <c r="BH75" s="510"/>
      <c r="BI75" s="510">
        <v>-0.8</v>
      </c>
      <c r="BJ75" s="510">
        <f>-3.231</f>
        <v>-3.2309999999999999</v>
      </c>
      <c r="BK75" s="510">
        <v>0.03</v>
      </c>
      <c r="BL75" s="510">
        <v>-0.45400000000000001</v>
      </c>
      <c r="BM75" s="265">
        <f>SUM(BI75:BL75)</f>
        <v>-4.4549999999999992</v>
      </c>
      <c r="BN75" s="510"/>
      <c r="BO75" s="510">
        <v>-0.71</v>
      </c>
      <c r="BP75" s="510">
        <v>0.29399999999999998</v>
      </c>
      <c r="BQ75" s="510">
        <v>-4.3600000000000003</v>
      </c>
      <c r="BR75" s="510">
        <v>-0.92200000000000004</v>
      </c>
      <c r="BS75" s="265">
        <f>SUM(BO75:BR75)</f>
        <v>-5.6980000000000004</v>
      </c>
      <c r="BT75" s="510"/>
      <c r="BU75" s="510">
        <v>-0.874</v>
      </c>
      <c r="BV75" s="510">
        <v>-1.6779999999999999</v>
      </c>
      <c r="BW75" s="510">
        <v>-4.2910000000000004</v>
      </c>
      <c r="BX75" s="510">
        <v>1.9750000000000001</v>
      </c>
      <c r="BY75" s="265">
        <f>SUM(BU75:BX75)</f>
        <v>-4.8680000000000003</v>
      </c>
      <c r="BZ75" s="510"/>
      <c r="CA75" s="510">
        <f>-10.847+8.529</f>
        <v>-2.3179999999999996</v>
      </c>
      <c r="CB75" s="510">
        <f>-3.876+0.361</f>
        <v>-3.5149999999999997</v>
      </c>
      <c r="CC75" s="510">
        <f>1.339-0.372</f>
        <v>0.96699999999999997</v>
      </c>
      <c r="CD75" s="510">
        <v>-4.7830000000000004</v>
      </c>
      <c r="CE75" s="265">
        <f>SUM(CA75:CD75)</f>
        <v>-9.6490000000000009</v>
      </c>
      <c r="CF75" s="510"/>
      <c r="CG75" s="510">
        <f>-0.918+0.815</f>
        <v>-0.10300000000000009</v>
      </c>
      <c r="CH75" s="510">
        <f>1.947+1.301</f>
        <v>3.2480000000000002</v>
      </c>
      <c r="CI75" s="510">
        <f>-7.093+0.761</f>
        <v>-6.3319999999999999</v>
      </c>
      <c r="CJ75" s="510">
        <v>-9.2279999999999998</v>
      </c>
      <c r="CK75" s="265">
        <f>SUM(CG75:CJ75)</f>
        <v>-12.414999999999999</v>
      </c>
      <c r="CL75" s="510"/>
      <c r="CM75" s="510">
        <f>-13.806+0.706</f>
        <v>-13.1</v>
      </c>
      <c r="CN75" s="510">
        <f>0.642+0.524</f>
        <v>1.1659999999999999</v>
      </c>
      <c r="CO75" s="510">
        <f>1.782+0.579</f>
        <v>2.3609999999999998</v>
      </c>
      <c r="CP75" s="510">
        <f>20.572+0.564</f>
        <v>21.135999999999999</v>
      </c>
      <c r="CQ75" s="265">
        <f>SUM(CM75:CP75)</f>
        <v>11.562999999999999</v>
      </c>
      <c r="CR75" s="510"/>
      <c r="CS75" s="510">
        <f>2.849+0.375</f>
        <v>3.2240000000000002</v>
      </c>
      <c r="CT75" s="510">
        <f>-7.465+0.376</f>
        <v>-7.0889999999999995</v>
      </c>
      <c r="CU75" s="510">
        <f>1.921+0.367</f>
        <v>2.2880000000000003</v>
      </c>
      <c r="CV75" s="510">
        <f>0.315+20.13</f>
        <v>20.445</v>
      </c>
      <c r="CW75" s="265">
        <f>SUM(CS75:CV75)</f>
        <v>18.868000000000002</v>
      </c>
      <c r="CX75" s="510"/>
      <c r="CY75" s="510">
        <v>0</v>
      </c>
      <c r="CZ75" s="510">
        <v>0</v>
      </c>
      <c r="DA75" s="510">
        <v>0</v>
      </c>
      <c r="DB75" s="510">
        <v>0</v>
      </c>
      <c r="DC75" s="265">
        <f>SUM(CY75:DB75)</f>
        <v>0</v>
      </c>
      <c r="DD75" s="510"/>
      <c r="DE75" s="510">
        <v>0</v>
      </c>
      <c r="DF75" s="510">
        <v>0</v>
      </c>
      <c r="DG75" s="510">
        <v>0</v>
      </c>
      <c r="DH75" s="510">
        <v>0</v>
      </c>
      <c r="DI75" s="265">
        <f>SUM(DE75:DH75)</f>
        <v>0</v>
      </c>
      <c r="DJ75" s="510"/>
      <c r="DK75" s="510">
        <v>0</v>
      </c>
      <c r="DL75" s="510">
        <v>0</v>
      </c>
      <c r="DM75" s="510">
        <v>0</v>
      </c>
      <c r="DN75" s="510">
        <v>0</v>
      </c>
      <c r="DO75" s="265">
        <f>SUM(DK75:DN75)</f>
        <v>0</v>
      </c>
      <c r="DP75" s="261"/>
    </row>
    <row r="76" spans="1:130" ht="6" customHeight="1" collapsed="1">
      <c r="A76" s="742"/>
      <c r="B76" s="313"/>
      <c r="C76" s="820"/>
      <c r="D76" s="820"/>
      <c r="E76" s="820"/>
      <c r="F76" s="307"/>
      <c r="G76" s="307"/>
      <c r="H76" s="307"/>
      <c r="I76" s="307"/>
      <c r="J76" s="307"/>
      <c r="K76" s="820"/>
      <c r="L76" s="307"/>
      <c r="M76" s="307"/>
      <c r="N76" s="307"/>
      <c r="O76" s="307"/>
      <c r="P76" s="307"/>
      <c r="Q76" s="820"/>
      <c r="R76" s="307"/>
      <c r="S76" s="307"/>
      <c r="T76" s="307"/>
      <c r="U76" s="307"/>
      <c r="V76" s="307"/>
      <c r="W76" s="820"/>
      <c r="X76" s="307"/>
      <c r="Y76" s="307"/>
      <c r="Z76" s="307"/>
      <c r="AA76" s="307"/>
      <c r="AB76" s="307"/>
      <c r="AC76" s="510"/>
      <c r="AD76" s="510"/>
      <c r="AE76" s="307"/>
      <c r="AF76" s="307"/>
      <c r="AG76" s="307"/>
      <c r="AH76" s="307"/>
      <c r="AI76" s="304"/>
      <c r="AJ76" s="510"/>
      <c r="AK76" s="307"/>
      <c r="AL76" s="307"/>
      <c r="AM76" s="307"/>
      <c r="AN76" s="307"/>
      <c r="AO76" s="304"/>
      <c r="AP76" s="510"/>
      <c r="AQ76" s="307"/>
      <c r="AR76" s="307"/>
      <c r="AS76" s="307"/>
      <c r="AT76" s="307"/>
      <c r="AU76" s="304"/>
      <c r="AV76" s="510"/>
      <c r="AW76" s="307"/>
      <c r="AX76" s="307"/>
      <c r="AY76" s="307"/>
      <c r="AZ76" s="307"/>
      <c r="BA76" s="304"/>
      <c r="BB76" s="510"/>
      <c r="BC76" s="307"/>
      <c r="BD76" s="307"/>
      <c r="BE76" s="307"/>
      <c r="BF76" s="307"/>
      <c r="BG76" s="304"/>
      <c r="BH76" s="510"/>
      <c r="BI76" s="307"/>
      <c r="BJ76" s="307"/>
      <c r="BK76" s="307"/>
      <c r="BL76" s="307"/>
      <c r="BM76" s="304"/>
      <c r="BN76" s="510"/>
      <c r="BO76" s="307"/>
      <c r="BP76" s="307"/>
      <c r="BQ76" s="307"/>
      <c r="BR76" s="307"/>
      <c r="BS76" s="304"/>
      <c r="BT76" s="510"/>
      <c r="BU76" s="307"/>
      <c r="BV76" s="307"/>
      <c r="BW76" s="307"/>
      <c r="BX76" s="307"/>
      <c r="BY76" s="304"/>
      <c r="BZ76" s="510"/>
      <c r="CA76" s="307"/>
      <c r="CB76" s="307"/>
      <c r="CC76" s="307"/>
      <c r="CD76" s="307"/>
      <c r="CE76" s="304"/>
      <c r="CF76" s="510"/>
      <c r="CG76" s="307"/>
      <c r="CH76" s="307"/>
      <c r="CI76" s="307"/>
      <c r="CJ76" s="307"/>
      <c r="CK76" s="304"/>
      <c r="CL76" s="510"/>
      <c r="CM76" s="307"/>
      <c r="CN76" s="307"/>
      <c r="CO76" s="307"/>
      <c r="CP76" s="307"/>
      <c r="CQ76" s="304"/>
      <c r="CR76" s="510"/>
      <c r="CS76" s="307"/>
      <c r="CT76" s="307"/>
      <c r="CU76" s="307"/>
      <c r="CV76" s="307"/>
      <c r="CW76" s="304"/>
      <c r="CX76" s="510"/>
      <c r="CY76" s="307"/>
      <c r="CZ76" s="307"/>
      <c r="DA76" s="307"/>
      <c r="DB76" s="307"/>
      <c r="DC76" s="304"/>
      <c r="DD76" s="510"/>
      <c r="DE76" s="307"/>
      <c r="DF76" s="307"/>
      <c r="DG76" s="307"/>
      <c r="DH76" s="307"/>
      <c r="DI76" s="304"/>
      <c r="DJ76" s="510"/>
      <c r="DK76" s="307"/>
      <c r="DL76" s="307"/>
      <c r="DM76" s="307"/>
      <c r="DN76" s="307"/>
      <c r="DO76" s="304"/>
      <c r="DP76" s="669"/>
    </row>
    <row r="77" spans="1:130">
      <c r="A77" s="1717" t="s">
        <v>961</v>
      </c>
      <c r="B77" s="1718" t="s">
        <v>50</v>
      </c>
      <c r="C77" s="510">
        <f>C64+C71</f>
        <v>-5.452</v>
      </c>
      <c r="D77" s="510">
        <f>D64+D71</f>
        <v>-52.137432890107313</v>
      </c>
      <c r="E77" s="510">
        <f>E64+E71</f>
        <v>-21.377000000000002</v>
      </c>
      <c r="F77" s="516"/>
      <c r="G77" s="510">
        <f>G64+G71</f>
        <v>-1.6050000000000013</v>
      </c>
      <c r="H77" s="510">
        <f>H64+H71</f>
        <v>-1.2029999999999992</v>
      </c>
      <c r="I77" s="510">
        <f>I64+I71</f>
        <v>-4.8960000000000008</v>
      </c>
      <c r="J77" s="510">
        <f>J64+J71</f>
        <v>-2.3039999999999994</v>
      </c>
      <c r="K77" s="510">
        <f>SUM(G77:J77)</f>
        <v>-10.008000000000001</v>
      </c>
      <c r="L77" s="516"/>
      <c r="M77" s="510">
        <f>M64+M71</f>
        <v>0.40100000000000124</v>
      </c>
      <c r="N77" s="510">
        <f>N64+N71</f>
        <v>0.14900000000000035</v>
      </c>
      <c r="O77" s="510">
        <f>O64+O71</f>
        <v>1.499999999999764E-2</v>
      </c>
      <c r="P77" s="510">
        <f>P64+P71</f>
        <v>0.2289999999999987</v>
      </c>
      <c r="Q77" s="510">
        <f>SUM(M77:P77)</f>
        <v>0.79399999999999804</v>
      </c>
      <c r="R77" s="510"/>
      <c r="S77" s="510">
        <f>S64+S71</f>
        <v>0.52400000000000069</v>
      </c>
      <c r="T77" s="510">
        <f>T64+T71</f>
        <v>1.5180000000000133</v>
      </c>
      <c r="U77" s="510">
        <f>U64+U71</f>
        <v>2.5720000000000032</v>
      </c>
      <c r="V77" s="510">
        <f>V64+V71</f>
        <v>4.5389999999999961</v>
      </c>
      <c r="W77" s="510">
        <f>SUM(S77:V77)</f>
        <v>9.1530000000000129</v>
      </c>
      <c r="X77" s="516"/>
      <c r="Y77" s="510">
        <f>Y64+Y71</f>
        <v>5.47</v>
      </c>
      <c r="Z77" s="510">
        <f>Z64+Z71</f>
        <v>6.5519999999999978</v>
      </c>
      <c r="AA77" s="510">
        <f>AA64+AA71</f>
        <v>8.3369999999999855</v>
      </c>
      <c r="AB77" s="510">
        <f>AB64+AB71</f>
        <v>7.5539999999999807</v>
      </c>
      <c r="AC77" s="510">
        <f>SUM(Y77:AB77)</f>
        <v>27.912999999999965</v>
      </c>
      <c r="AD77" s="510"/>
      <c r="AE77" s="510">
        <f>AE64+AE71</f>
        <v>9.9550000000000018</v>
      </c>
      <c r="AF77" s="510">
        <f>AF64+AF71</f>
        <v>12.761999999999999</v>
      </c>
      <c r="AG77" s="510">
        <f>AG64+AG71</f>
        <v>14.54569068872399</v>
      </c>
      <c r="AH77" s="510">
        <f>AH64+AH71</f>
        <v>15.05561785141324</v>
      </c>
      <c r="AI77" s="265">
        <f>SUM(AE77:AH77)</f>
        <v>52.318308540137231</v>
      </c>
      <c r="AJ77" s="510"/>
      <c r="AK77" s="510">
        <f>AK64+AK71</f>
        <v>17.802000000000003</v>
      </c>
      <c r="AL77" s="510">
        <f>AL64+AL71</f>
        <v>24.17300000000002</v>
      </c>
      <c r="AM77" s="510">
        <f>AM64+AM71</f>
        <v>29.90900000000002</v>
      </c>
      <c r="AN77" s="510">
        <f>AN64+AN71</f>
        <v>34.335999999999984</v>
      </c>
      <c r="AO77" s="265">
        <f>SUM(AK77:AN77)</f>
        <v>106.22000000000003</v>
      </c>
      <c r="AP77" s="510"/>
      <c r="AQ77" s="510">
        <f>AQ64+AQ71</f>
        <v>40.745000000000005</v>
      </c>
      <c r="AR77" s="510">
        <f>AR64+AR71</f>
        <v>42.150000000000013</v>
      </c>
      <c r="AS77" s="510">
        <f>AS64+AS71</f>
        <v>42.282999999999994</v>
      </c>
      <c r="AT77" s="510">
        <f>AT64+AT71</f>
        <v>45.78</v>
      </c>
      <c r="AU77" s="265">
        <f>SUM(AQ77:AT77)</f>
        <v>170.958</v>
      </c>
      <c r="AV77" s="510"/>
      <c r="AW77" s="510">
        <f>AW64+AW71</f>
        <v>57.278999999999982</v>
      </c>
      <c r="AX77" s="510">
        <f>AX64+AX71</f>
        <v>58.948</v>
      </c>
      <c r="AY77" s="510">
        <f>AY64+AY71</f>
        <v>59.62299999999999</v>
      </c>
      <c r="AZ77" s="510">
        <f>AZ64+AZ71</f>
        <v>63.531000000000013</v>
      </c>
      <c r="BA77" s="265">
        <f>SUM(AW77:AZ77)</f>
        <v>239.38099999999997</v>
      </c>
      <c r="BB77" s="510"/>
      <c r="BC77" s="510">
        <f>BC64+BC71</f>
        <v>66.315000000000055</v>
      </c>
      <c r="BD77" s="510">
        <f>BD64+BD71</f>
        <v>66.731000000000009</v>
      </c>
      <c r="BE77" s="510">
        <f>BE64+BE71</f>
        <v>75.037999999999997</v>
      </c>
      <c r="BF77" s="510">
        <f>BF64+BF71</f>
        <v>55.39</v>
      </c>
      <c r="BG77" s="265">
        <f>SUM(BC77:BF77)</f>
        <v>263.47400000000005</v>
      </c>
      <c r="BH77" s="510"/>
      <c r="BI77" s="510">
        <f>BI64+BI71</f>
        <v>61.432000000000031</v>
      </c>
      <c r="BJ77" s="510">
        <f>BJ64+BJ71</f>
        <v>58.272000000000034</v>
      </c>
      <c r="BK77" s="510">
        <f>BK64+BK71</f>
        <v>69.289999999999964</v>
      </c>
      <c r="BL77" s="510">
        <f>BL64+BL71</f>
        <v>86.592000000000056</v>
      </c>
      <c r="BM77" s="265">
        <f>SUM(BI77:BL77)</f>
        <v>275.58600000000007</v>
      </c>
      <c r="BN77" s="510"/>
      <c r="BO77" s="510">
        <f>BO64+BO71</f>
        <v>82.166000000000054</v>
      </c>
      <c r="BP77" s="510">
        <f>BP64+BP71</f>
        <v>97.666999999999959</v>
      </c>
      <c r="BQ77" s="510">
        <f>BQ64+BQ71</f>
        <v>74.860999999999933</v>
      </c>
      <c r="BR77" s="510">
        <f>BR64+BR71</f>
        <v>108.88000000000009</v>
      </c>
      <c r="BS77" s="265">
        <f>SUM(BO77:BR77)</f>
        <v>363.57400000000007</v>
      </c>
      <c r="BT77" s="510"/>
      <c r="BU77" s="510">
        <f>BU64+BU71</f>
        <v>93.790999999999954</v>
      </c>
      <c r="BV77" s="510">
        <f>BV64+BV71</f>
        <v>93.05000000000021</v>
      </c>
      <c r="BW77" s="510">
        <f>BW64+BW71</f>
        <v>79.096999999999852</v>
      </c>
      <c r="BX77" s="510">
        <f>BX64+BX71</f>
        <v>72.883999999999972</v>
      </c>
      <c r="BY77" s="265">
        <f>SUM(BU77:BX77)</f>
        <v>338.822</v>
      </c>
      <c r="BZ77" s="510"/>
      <c r="CA77" s="510">
        <f>CA64+CA71</f>
        <v>109.47300000000014</v>
      </c>
      <c r="CB77" s="510">
        <f>CB64+CB71</f>
        <v>134.93800000000019</v>
      </c>
      <c r="CC77" s="510">
        <v>147.40899999999999</v>
      </c>
      <c r="CD77" s="510">
        <f>CD64+CD71</f>
        <v>146.10899999999987</v>
      </c>
      <c r="CE77" s="265">
        <f>SUM(CA77:CD77)</f>
        <v>537.9290000000002</v>
      </c>
      <c r="CF77" s="510"/>
      <c r="CG77" s="510">
        <f>CG64+CG71</f>
        <v>170.60700000000023</v>
      </c>
      <c r="CH77" s="510">
        <f>CH64+CH71</f>
        <v>201.98899999999972</v>
      </c>
      <c r="CI77" s="510">
        <f>CI64+CI71</f>
        <v>212.08699999999993</v>
      </c>
      <c r="CJ77" s="510">
        <f>CJ64+CJ71</f>
        <v>201.02600000000038</v>
      </c>
      <c r="CK77" s="265">
        <f>SUM(CG77:CJ77)</f>
        <v>785.70900000000029</v>
      </c>
      <c r="CL77" s="510"/>
      <c r="CM77" s="510">
        <f>CM64+CM71</f>
        <v>257.74299999999988</v>
      </c>
      <c r="CN77" s="510">
        <f>CN64+CN71</f>
        <v>262.19399999999979</v>
      </c>
      <c r="CO77" s="510">
        <f>CO64+CO71</f>
        <v>262.98199999999986</v>
      </c>
      <c r="CP77" s="510">
        <f>CP64+CP71</f>
        <v>302.03999999999962</v>
      </c>
      <c r="CQ77" s="265">
        <f>SUM(CM77:CP77)</f>
        <v>1084.9589999999992</v>
      </c>
      <c r="CR77" s="510"/>
      <c r="CS77" s="510">
        <f>CS64+CS71</f>
        <v>309.59399999999994</v>
      </c>
      <c r="CT77" s="510">
        <f>CT64+CT71</f>
        <v>367.78299999999984</v>
      </c>
      <c r="CU77" s="510">
        <f>CU64+CU71</f>
        <v>434.185</v>
      </c>
      <c r="CV77" s="510">
        <f>CV64+CV71</f>
        <v>401.81999999999994</v>
      </c>
      <c r="CW77" s="265">
        <f>SUM(CS77:CV77)</f>
        <v>1513.3819999999996</v>
      </c>
      <c r="CX77" s="510"/>
      <c r="CY77" s="510">
        <f>CY64+CY71</f>
        <v>454.14908628797895</v>
      </c>
      <c r="CZ77" s="510">
        <f>CZ64+CZ71</f>
        <v>556.74582596350797</v>
      </c>
      <c r="DA77" s="510">
        <f>DA64+DA71</f>
        <v>620.3821040277162</v>
      </c>
      <c r="DB77" s="510">
        <f>DB64+DB71</f>
        <v>571.5255968253573</v>
      </c>
      <c r="DC77" s="265">
        <f>SUM(CY77:DB77)</f>
        <v>2202.8026131045604</v>
      </c>
      <c r="DD77" s="510"/>
      <c r="DE77" s="510">
        <f>DE64+DE71</f>
        <v>635.65008985105294</v>
      </c>
      <c r="DF77" s="510">
        <f>DF64+DF71</f>
        <v>771.58256273569566</v>
      </c>
      <c r="DG77" s="510">
        <f>DG64+DG71</f>
        <v>841.67019106629334</v>
      </c>
      <c r="DH77" s="510">
        <f>DH64+DH71</f>
        <v>828.76239562326055</v>
      </c>
      <c r="DI77" s="265">
        <f>SUM(DE77:DH77)</f>
        <v>3077.6652392763026</v>
      </c>
      <c r="DJ77" s="510"/>
      <c r="DK77" s="510">
        <f>DK64+DK71</f>
        <v>864.35813148783757</v>
      </c>
      <c r="DL77" s="510">
        <f>DL64+DL71</f>
        <v>1029.4770253411839</v>
      </c>
      <c r="DM77" s="510">
        <f>DM64+DM71</f>
        <v>1110.1000393493596</v>
      </c>
      <c r="DN77" s="510">
        <f>DN64+DN71</f>
        <v>1122.4379336016841</v>
      </c>
      <c r="DO77" s="265">
        <f>SUM(DK77:DN77)</f>
        <v>4126.373129780065</v>
      </c>
      <c r="DP77" s="261"/>
    </row>
    <row r="78" spans="1:130" ht="12" customHeight="1">
      <c r="A78" s="742"/>
      <c r="B78" s="313"/>
      <c r="C78" s="820"/>
      <c r="D78" s="820"/>
      <c r="E78" s="820"/>
      <c r="F78" s="307"/>
      <c r="G78" s="307"/>
      <c r="H78" s="307"/>
      <c r="I78" s="307"/>
      <c r="J78" s="307"/>
      <c r="K78" s="820"/>
      <c r="L78" s="307"/>
      <c r="M78" s="307"/>
      <c r="N78" s="307"/>
      <c r="O78" s="307"/>
      <c r="P78" s="256"/>
      <c r="Q78" s="510"/>
      <c r="R78" s="256"/>
      <c r="S78" s="256"/>
      <c r="T78" s="256"/>
      <c r="U78" s="256"/>
      <c r="V78" s="256"/>
      <c r="W78" s="510"/>
      <c r="X78" s="307"/>
      <c r="Y78" s="256"/>
      <c r="Z78" s="256"/>
      <c r="AA78" s="256"/>
      <c r="AB78" s="256"/>
      <c r="AC78" s="510"/>
      <c r="AD78" s="510"/>
      <c r="AE78" s="307"/>
      <c r="AF78" s="307"/>
      <c r="AG78" s="307"/>
      <c r="AH78" s="307"/>
      <c r="AI78" s="304"/>
      <c r="AJ78" s="510"/>
      <c r="AK78" s="307"/>
      <c r="AL78" s="307"/>
      <c r="AM78" s="307"/>
      <c r="AN78" s="307"/>
      <c r="AO78" s="304"/>
      <c r="AP78" s="510"/>
      <c r="AQ78" s="307"/>
      <c r="AR78" s="307"/>
      <c r="AS78" s="307"/>
      <c r="AT78" s="307"/>
      <c r="AU78" s="304"/>
      <c r="AV78" s="510"/>
      <c r="AW78" s="307"/>
      <c r="AX78" s="307"/>
      <c r="AY78" s="307"/>
      <c r="AZ78" s="307"/>
      <c r="BA78" s="304"/>
      <c r="BB78" s="510"/>
      <c r="BC78" s="307"/>
      <c r="BD78" s="256">
        <f>BD74+BE74</f>
        <v>-11.198</v>
      </c>
      <c r="BE78" s="307"/>
      <c r="BF78" s="307"/>
      <c r="BG78" s="304"/>
      <c r="BH78" s="510"/>
      <c r="BI78" s="307"/>
      <c r="BJ78" s="307"/>
      <c r="BK78" s="307"/>
      <c r="BL78" s="307"/>
      <c r="BM78" s="304"/>
      <c r="BN78" s="510"/>
      <c r="BO78" s="307"/>
      <c r="BP78" s="307"/>
      <c r="BQ78" s="307"/>
      <c r="BR78" s="307"/>
      <c r="BS78" s="304"/>
      <c r="BT78" s="510"/>
      <c r="BU78" s="307"/>
      <c r="BV78" s="307"/>
      <c r="BW78" s="307"/>
      <c r="BX78" s="307"/>
      <c r="BY78" s="304"/>
      <c r="BZ78" s="510"/>
      <c r="CA78" s="307"/>
      <c r="CB78" s="307"/>
      <c r="CC78" s="307"/>
      <c r="CD78" s="307"/>
      <c r="CE78" s="304"/>
      <c r="CF78" s="510"/>
      <c r="CG78" s="307"/>
      <c r="CH78" s="307"/>
      <c r="CI78" s="307"/>
      <c r="CJ78" s="307"/>
      <c r="CK78" s="304"/>
      <c r="CL78" s="510"/>
      <c r="CM78" s="307"/>
      <c r="CN78" s="307"/>
      <c r="CO78" s="307"/>
      <c r="CP78" s="307"/>
      <c r="CQ78" s="304"/>
      <c r="CR78" s="510"/>
      <c r="CS78" s="307"/>
      <c r="CT78" s="307"/>
      <c r="CU78" s="307"/>
      <c r="CV78" s="307"/>
      <c r="CW78" s="304"/>
      <c r="CX78" s="510"/>
      <c r="CY78" s="307"/>
      <c r="CZ78" s="307"/>
      <c r="DA78" s="307"/>
      <c r="DB78" s="307"/>
      <c r="DC78" s="304"/>
      <c r="DD78" s="510"/>
      <c r="DE78" s="307"/>
      <c r="DF78" s="307"/>
      <c r="DG78" s="307"/>
      <c r="DH78" s="307"/>
      <c r="DI78" s="304"/>
      <c r="DJ78" s="510"/>
      <c r="DK78" s="307"/>
      <c r="DL78" s="307"/>
      <c r="DM78" s="307"/>
      <c r="DN78" s="307"/>
      <c r="DO78" s="304"/>
      <c r="DP78" s="669"/>
    </row>
    <row r="79" spans="1:130">
      <c r="A79" s="1717" t="s">
        <v>82</v>
      </c>
      <c r="B79" s="1718" t="s">
        <v>347</v>
      </c>
      <c r="C79" s="510">
        <v>0</v>
      </c>
      <c r="D79" s="510">
        <v>0</v>
      </c>
      <c r="E79" s="510">
        <v>0</v>
      </c>
      <c r="F79" s="516"/>
      <c r="G79" s="510">
        <v>0</v>
      </c>
      <c r="H79" s="510">
        <v>0</v>
      </c>
      <c r="I79" s="510">
        <v>0</v>
      </c>
      <c r="J79" s="510">
        <v>0</v>
      </c>
      <c r="K79" s="510">
        <f>SUM(G79:J79)</f>
        <v>0</v>
      </c>
      <c r="L79" s="516"/>
      <c r="M79" s="510">
        <v>4.9000000000000002E-2</v>
      </c>
      <c r="N79" s="510">
        <v>2.1999999999999999E-2</v>
      </c>
      <c r="O79" s="510">
        <f>O77*O104</f>
        <v>1.5664448014686553E-3</v>
      </c>
      <c r="P79" s="510">
        <v>1.4999999999999999E-2</v>
      </c>
      <c r="Q79" s="510">
        <f>SUM(M79:P79)</f>
        <v>8.7566444801468662E-2</v>
      </c>
      <c r="R79" s="510"/>
      <c r="S79" s="510">
        <v>7.0000000000000007E-2</v>
      </c>
      <c r="T79" s="510">
        <v>0.20200000000000001</v>
      </c>
      <c r="U79" s="510">
        <v>0.34200000000000003</v>
      </c>
      <c r="V79" s="510">
        <v>0.60299999999999998</v>
      </c>
      <c r="W79" s="510">
        <f>SUM(S79:V79)</f>
        <v>1.2170000000000001</v>
      </c>
      <c r="X79" s="516"/>
      <c r="Y79" s="510">
        <f>1.151-0.057</f>
        <v>1.0940000000000001</v>
      </c>
      <c r="Z79" s="510">
        <v>1.31</v>
      </c>
      <c r="AA79" s="510">
        <v>1.6679999999999999</v>
      </c>
      <c r="AB79" s="510">
        <v>1.33</v>
      </c>
      <c r="AC79" s="510">
        <f>SUM(Y79:AB79)</f>
        <v>5.4020000000000001</v>
      </c>
      <c r="AD79" s="510"/>
      <c r="AE79" s="510">
        <v>4.4800000000000004</v>
      </c>
      <c r="AF79" s="510">
        <v>5.7430000000000003</v>
      </c>
      <c r="AG79" s="510">
        <f>AG77*AG80</f>
        <v>6.5455608099257958</v>
      </c>
      <c r="AH79" s="510">
        <f>AH77*AH80</f>
        <v>6.7750280331359578</v>
      </c>
      <c r="AI79" s="265">
        <f>SUM(AE79:AH79)</f>
        <v>23.543588843061752</v>
      </c>
      <c r="AJ79" s="510"/>
      <c r="AK79" s="510">
        <f>AK77*AK80</f>
        <v>8.0109000000000012</v>
      </c>
      <c r="AL79" s="510">
        <f>AL77*AL80</f>
        <v>10.877850000000009</v>
      </c>
      <c r="AM79" s="510">
        <f>AM77*AM80</f>
        <v>13.45905000000001</v>
      </c>
      <c r="AN79" s="510">
        <f>AN77*AN80</f>
        <v>15.451199999999993</v>
      </c>
      <c r="AO79" s="265">
        <f>SUM(AK79:AN79)</f>
        <v>47.799000000000014</v>
      </c>
      <c r="AP79" s="510"/>
      <c r="AQ79" s="510">
        <f>AQ77*AQ80</f>
        <v>19.557600000000001</v>
      </c>
      <c r="AR79" s="510">
        <f>AR77*AR80</f>
        <v>20.232000000000006</v>
      </c>
      <c r="AS79" s="510">
        <f>AS77*AS80</f>
        <v>17.760993573570719</v>
      </c>
      <c r="AT79" s="510">
        <f>AT77*AT80</f>
        <v>16.560739684438104</v>
      </c>
      <c r="AU79" s="265">
        <f>SUM(AQ79:AT79)</f>
        <v>74.111333258008827</v>
      </c>
      <c r="AV79" s="510"/>
      <c r="AW79" s="510">
        <f>AW77*AW80</f>
        <v>24.057179999999992</v>
      </c>
      <c r="AX79" s="510">
        <f>AX77*AX80</f>
        <v>22.989720000000002</v>
      </c>
      <c r="AY79" s="510">
        <f>AY77*AY80</f>
        <v>25.041659999999997</v>
      </c>
      <c r="AZ79" s="510">
        <f>AZ77*AZ80</f>
        <v>24.141780000000004</v>
      </c>
      <c r="BA79" s="265">
        <f>SUM(AW79:AZ79)</f>
        <v>96.230339999999984</v>
      </c>
      <c r="BB79" s="510"/>
      <c r="BC79" s="510">
        <f>12.219+12.016</f>
        <v>24.234999999999999</v>
      </c>
      <c r="BD79" s="510">
        <f>13.274+12.884</f>
        <v>26.158000000000001</v>
      </c>
      <c r="BE79" s="510">
        <f>16.192+13.197</f>
        <v>29.388999999999999</v>
      </c>
      <c r="BF79" s="510">
        <f>-6.491+18.854</f>
        <v>12.363</v>
      </c>
      <c r="BG79" s="265">
        <f>SUM(BC79:BF79)</f>
        <v>92.144999999999996</v>
      </c>
      <c r="BH79" s="510"/>
      <c r="BI79" s="510">
        <f>21.291+0.251</f>
        <v>21.542000000000002</v>
      </c>
      <c r="BJ79" s="510">
        <f>28.635-13.445</f>
        <v>15.190000000000001</v>
      </c>
      <c r="BK79" s="510">
        <f>25.383-5.094</f>
        <v>20.288999999999998</v>
      </c>
      <c r="BL79" s="510">
        <f>-3.457+28.419</f>
        <v>24.962</v>
      </c>
      <c r="BM79" s="265">
        <f>SUM(BI79:BL79)</f>
        <v>81.983000000000004</v>
      </c>
      <c r="BN79" s="510"/>
      <c r="BO79" s="510">
        <f>33.095-5.393</f>
        <v>27.701999999999998</v>
      </c>
      <c r="BP79" s="510">
        <f>41.154-4.203</f>
        <v>36.951000000000001</v>
      </c>
      <c r="BQ79" s="510">
        <f>42.868+(157.446-149.147)-25.947</f>
        <v>25.22000000000001</v>
      </c>
      <c r="BR79" s="510">
        <f>36.347-5.199</f>
        <v>31.148000000000003</v>
      </c>
      <c r="BS79" s="265">
        <f>SUM(BO79:BR79)</f>
        <v>121.02100000000002</v>
      </c>
      <c r="BT79" s="510"/>
      <c r="BU79" s="510">
        <f>19.049+13.778</f>
        <v>32.826999999999998</v>
      </c>
      <c r="BV79" s="510">
        <f>298.99-133.407-128.828</f>
        <v>36.754999999999995</v>
      </c>
      <c r="BW79" s="510">
        <f>0.393+21.096</f>
        <v>21.489000000000001</v>
      </c>
      <c r="BX79" s="510">
        <f>32.422-6.524</f>
        <v>25.897999999999996</v>
      </c>
      <c r="BY79" s="265">
        <f>SUM(BU79:BX79)</f>
        <v>116.96899999999999</v>
      </c>
      <c r="BZ79" s="510"/>
      <c r="CA79" s="510">
        <f>27.815+12.142</f>
        <v>39.957000000000001</v>
      </c>
      <c r="CB79" s="510">
        <f>8.119+41.134</f>
        <v>49.253</v>
      </c>
      <c r="CC79" s="510">
        <f>17.075+36.729</f>
        <v>53.804000000000002</v>
      </c>
      <c r="CD79" s="510">
        <f>41.063+12.267</f>
        <v>53.33</v>
      </c>
      <c r="CE79" s="265">
        <f>SUM(CA79:CD79)</f>
        <v>196.34399999999999</v>
      </c>
      <c r="CF79" s="510"/>
      <c r="CG79" s="510">
        <f>48.291+13.981</f>
        <v>62.271999999999998</v>
      </c>
      <c r="CH79" s="510">
        <f>7.81+65.916</f>
        <v>73.725999999999999</v>
      </c>
      <c r="CI79" s="510">
        <f>68.548+3.016</f>
        <v>71.564000000000007</v>
      </c>
      <c r="CJ79" s="510">
        <f>49.998+21.366</f>
        <v>71.364000000000004</v>
      </c>
      <c r="CK79" s="265">
        <f>SUM(CG79:CJ79)</f>
        <v>278.92600000000004</v>
      </c>
      <c r="CL79" s="510"/>
      <c r="CM79" s="510">
        <f>91.814-1.604</f>
        <v>90.21</v>
      </c>
      <c r="CN79" s="510">
        <f>-205.339+297.107</f>
        <v>91.768000000000029</v>
      </c>
      <c r="CO79" s="510">
        <f>24.723+67.32</f>
        <v>92.042999999999992</v>
      </c>
      <c r="CP79" s="510">
        <f>27.971+77.743</f>
        <v>105.714</v>
      </c>
      <c r="CQ79" s="265">
        <f>SUM(CM79:CP79)</f>
        <v>379.73500000000001</v>
      </c>
      <c r="CR79" s="510"/>
      <c r="CS79" s="510">
        <f>120.566-13.756</f>
        <v>106.81</v>
      </c>
      <c r="CT79" s="510">
        <f>12.717+114.168</f>
        <v>126.88500000000001</v>
      </c>
      <c r="CU79" s="510">
        <f>55.007+94.787</f>
        <v>149.79400000000001</v>
      </c>
      <c r="CV79" s="510">
        <f>20.662+117.894</f>
        <v>138.55600000000001</v>
      </c>
      <c r="CW79" s="265">
        <f>SUM(CS79:CV79)</f>
        <v>522.04500000000007</v>
      </c>
      <c r="CX79" s="510"/>
      <c r="CY79" s="510">
        <f>CY77*CY80</f>
        <v>97.642053551915467</v>
      </c>
      <c r="CZ79" s="510">
        <f>CZ77*CZ80</f>
        <v>119.70035258215421</v>
      </c>
      <c r="DA79" s="510">
        <f>DA77*DA80</f>
        <v>133.38215236595897</v>
      </c>
      <c r="DB79" s="510">
        <f>DB77*DB80</f>
        <v>122.87800331745181</v>
      </c>
      <c r="DC79" s="265">
        <f>SUM(CY79:DB79)</f>
        <v>473.60256181748048</v>
      </c>
      <c r="DD79" s="510"/>
      <c r="DE79" s="510">
        <f>DE77*DE80</f>
        <v>136.66476931797638</v>
      </c>
      <c r="DF79" s="510">
        <f>DF77*DF80</f>
        <v>165.89025098817456</v>
      </c>
      <c r="DG79" s="510">
        <f>DG77*DG80</f>
        <v>180.95909107925306</v>
      </c>
      <c r="DH79" s="510">
        <f>DH77*DH80</f>
        <v>178.18391505900101</v>
      </c>
      <c r="DI79" s="265">
        <f>SUM(DE79:DH79)</f>
        <v>661.69802644440506</v>
      </c>
      <c r="DJ79" s="510"/>
      <c r="DK79" s="510">
        <f>DK77*DK80</f>
        <v>185.83699826988507</v>
      </c>
      <c r="DL79" s="510">
        <f>DL77*DL80</f>
        <v>221.33756044835454</v>
      </c>
      <c r="DM79" s="510">
        <f>DM77*DM80</f>
        <v>238.67150846011231</v>
      </c>
      <c r="DN79" s="510">
        <f>DN77*DN80</f>
        <v>241.32415572436207</v>
      </c>
      <c r="DO79" s="265">
        <f>SUM(DK79:DN79)</f>
        <v>887.17022290271393</v>
      </c>
      <c r="DP79" s="261"/>
    </row>
    <row r="80" spans="1:130">
      <c r="A80" s="1750" t="s">
        <v>83</v>
      </c>
      <c r="B80" s="1408" t="s">
        <v>788</v>
      </c>
      <c r="C80" s="1751" t="s">
        <v>236</v>
      </c>
      <c r="D80" s="1751" t="s">
        <v>236</v>
      </c>
      <c r="E80" s="1751" t="s">
        <v>236</v>
      </c>
      <c r="F80" s="1356"/>
      <c r="G80" s="1504">
        <f>G79/G77</f>
        <v>0</v>
      </c>
      <c r="H80" s="1504">
        <f>H79/H77</f>
        <v>0</v>
      </c>
      <c r="I80" s="1504">
        <f>I79/I77</f>
        <v>0</v>
      </c>
      <c r="J80" s="1504">
        <f>J79/J77</f>
        <v>0</v>
      </c>
      <c r="K80" s="1504">
        <f>K79/K77</f>
        <v>0</v>
      </c>
      <c r="L80" s="1356"/>
      <c r="M80" s="1504">
        <f>M79/M77</f>
        <v>0.12219451371571034</v>
      </c>
      <c r="N80" s="1504">
        <f>N79/N77</f>
        <v>0.14765100671140904</v>
      </c>
      <c r="O80" s="1504">
        <f>O79/O77</f>
        <v>0.10442965343126011</v>
      </c>
      <c r="P80" s="1504">
        <f>P79/P77</f>
        <v>6.5502183406113912E-2</v>
      </c>
      <c r="Q80" s="1504">
        <f>Q79/Q77</f>
        <v>0.11028519496406659</v>
      </c>
      <c r="R80" s="1356"/>
      <c r="S80" s="1504">
        <f>S79/S77</f>
        <v>0.13358778625954182</v>
      </c>
      <c r="T80" s="1504">
        <f>T79/T77</f>
        <v>0.13306982872200149</v>
      </c>
      <c r="U80" s="1504">
        <f>U79/U77</f>
        <v>0.13297045101088631</v>
      </c>
      <c r="V80" s="1504">
        <f>V79/V77</f>
        <v>0.13284864507600805</v>
      </c>
      <c r="W80" s="1504">
        <f>W79/W77</f>
        <v>0.1329618704249971</v>
      </c>
      <c r="X80" s="1356"/>
      <c r="Y80" s="1504">
        <f>Y79/Y77</f>
        <v>0.2</v>
      </c>
      <c r="Z80" s="1504">
        <f>Z79/Z77</f>
        <v>0.19993894993895001</v>
      </c>
      <c r="AA80" s="1504">
        <f>AA79/AA77</f>
        <v>0.2000719683339334</v>
      </c>
      <c r="AB80" s="1504">
        <f>AB79/AB77</f>
        <v>0.17606566057717812</v>
      </c>
      <c r="AC80" s="1504">
        <f>AC79/AC77</f>
        <v>0.19352989646401345</v>
      </c>
      <c r="AD80" s="1504"/>
      <c r="AE80" s="1504">
        <f>AE79/AE77</f>
        <v>0.45002511300853837</v>
      </c>
      <c r="AF80" s="1504">
        <f>AF79/AF77</f>
        <v>0.45000783576241976</v>
      </c>
      <c r="AG80" s="1504">
        <v>0.45</v>
      </c>
      <c r="AH80" s="1504">
        <v>0.45</v>
      </c>
      <c r="AI80" s="306">
        <f>AI79/AI77</f>
        <v>0.45000668981872244</v>
      </c>
      <c r="AJ80" s="1504"/>
      <c r="AK80" s="1504">
        <v>0.45</v>
      </c>
      <c r="AL80" s="1504">
        <v>0.45</v>
      </c>
      <c r="AM80" s="1504">
        <v>0.45</v>
      </c>
      <c r="AN80" s="1504">
        <v>0.45</v>
      </c>
      <c r="AO80" s="306">
        <f>AO79/AO77</f>
        <v>0.45</v>
      </c>
      <c r="AP80" s="1504"/>
      <c r="AQ80" s="1504">
        <v>0.48</v>
      </c>
      <c r="AR80" s="1504">
        <v>0.48</v>
      </c>
      <c r="AS80" s="1504">
        <f>AS104</f>
        <v>0.42005045937068614</v>
      </c>
      <c r="AT80" s="1504">
        <f>AT104</f>
        <v>0.36174617047702279</v>
      </c>
      <c r="AU80" s="306">
        <f>AU79/AU77</f>
        <v>0.43350608487469922</v>
      </c>
      <c r="AV80" s="1504"/>
      <c r="AW80" s="1504">
        <v>0.42</v>
      </c>
      <c r="AX80" s="1504">
        <v>0.39</v>
      </c>
      <c r="AY80" s="1504">
        <v>0.42</v>
      </c>
      <c r="AZ80" s="1504">
        <v>0.38</v>
      </c>
      <c r="BA80" s="306">
        <f>BA79/BA77</f>
        <v>0.40199656614351181</v>
      </c>
      <c r="BB80" s="1504"/>
      <c r="BC80" s="1504">
        <f>BC79/BC77</f>
        <v>0.36545276332654725</v>
      </c>
      <c r="BD80" s="1504">
        <f>BD79/BD77</f>
        <v>0.39199172798249687</v>
      </c>
      <c r="BE80" s="1504">
        <f>BE79/BE77</f>
        <v>0.39165489485327437</v>
      </c>
      <c r="BF80" s="1504">
        <f>BF79/BF77</f>
        <v>0.22319913341758438</v>
      </c>
      <c r="BG80" s="306">
        <f>BG79/BG77</f>
        <v>0.34973090323902922</v>
      </c>
      <c r="BH80" s="1504"/>
      <c r="BI80" s="1504">
        <f>BI79/BI77</f>
        <v>0.35066414897773135</v>
      </c>
      <c r="BJ80" s="1504">
        <f>BJ79/BJ77</f>
        <v>0.26067408017572752</v>
      </c>
      <c r="BK80" s="1504">
        <f>BK79/BK77</f>
        <v>0.29281281570212164</v>
      </c>
      <c r="BL80" s="1504">
        <v>0.32</v>
      </c>
      <c r="BM80" s="306">
        <f>BM79/BM77</f>
        <v>0.29748608419876182</v>
      </c>
      <c r="BN80" s="1504"/>
      <c r="BO80" s="1504">
        <f>BO79/BO77</f>
        <v>0.3371467516977823</v>
      </c>
      <c r="BP80" s="1504">
        <f>BP79/BP77</f>
        <v>0.3783365927078749</v>
      </c>
      <c r="BQ80" s="1504">
        <f>BQ79/BQ77</f>
        <v>0.33689103805719978</v>
      </c>
      <c r="BR80" s="1504">
        <f>BR79/BR77</f>
        <v>0.28607641440117537</v>
      </c>
      <c r="BS80" s="306">
        <f>BS79/BS77</f>
        <v>0.33286483631942876</v>
      </c>
      <c r="BT80" s="1504"/>
      <c r="BU80" s="1504">
        <f>BU79/BU77</f>
        <v>0.35000159930057267</v>
      </c>
      <c r="BV80" s="1504">
        <f>BV79/BV77</f>
        <v>0.39500268672756489</v>
      </c>
      <c r="BW80" s="1504">
        <f>BW79/BW77</f>
        <v>0.27167907758827819</v>
      </c>
      <c r="BX80" s="1504">
        <f>BX79/BX77</f>
        <v>0.35533176005707706</v>
      </c>
      <c r="BY80" s="306">
        <f>BY79/BY77</f>
        <v>0.34522256524074585</v>
      </c>
      <c r="BZ80" s="1504"/>
      <c r="CA80" s="1504">
        <f>CA79/CA77</f>
        <v>0.36499410813625233</v>
      </c>
      <c r="CB80" s="1504">
        <f>CB79/CB77</f>
        <v>0.3650046688108608</v>
      </c>
      <c r="CC80" s="1504">
        <f>CC79/CC77</f>
        <v>0.36499806660380307</v>
      </c>
      <c r="CD80" s="1504">
        <f>CD79/CD77</f>
        <v>0.36500147150415135</v>
      </c>
      <c r="CE80" s="306">
        <f>CE79/CE77</f>
        <v>0.36499984198658175</v>
      </c>
      <c r="CF80" s="1504"/>
      <c r="CG80" s="1504">
        <f>CG79/CG77</f>
        <v>0.36500260833377246</v>
      </c>
      <c r="CH80" s="1500">
        <f>CH79/CH77</f>
        <v>0.36500007426147019</v>
      </c>
      <c r="CI80" s="1500">
        <f>CI79/CI77</f>
        <v>0.33742756510300032</v>
      </c>
      <c r="CJ80" s="1500">
        <f>CJ79/CJ77</f>
        <v>0.3549988558693894</v>
      </c>
      <c r="CK80" s="1503">
        <f>CK79/CK77</f>
        <v>0.35499911544859475</v>
      </c>
      <c r="CL80" s="1504"/>
      <c r="CM80" s="1504">
        <f>CM79/CM77</f>
        <v>0.34999980600831077</v>
      </c>
      <c r="CN80" s="1504">
        <f>CN79/CN77</f>
        <v>0.35000038139698125</v>
      </c>
      <c r="CO80" s="1504">
        <f>CO79/CO77</f>
        <v>0.34999733822086698</v>
      </c>
      <c r="CP80" s="1500">
        <f>CP79/CP77</f>
        <v>0.35000000000000042</v>
      </c>
      <c r="CQ80" s="1503">
        <f>CQ79/CQ77</f>
        <v>0.34999940089902043</v>
      </c>
      <c r="CR80" s="1504"/>
      <c r="CS80" s="1500">
        <f>CS79/CS77</f>
        <v>0.34500022610257314</v>
      </c>
      <c r="CT80" s="1504">
        <f>CT79/CT77</f>
        <v>0.34499963293572583</v>
      </c>
      <c r="CU80" s="1504">
        <f>CU79/CU77</f>
        <v>0.34500040305399776</v>
      </c>
      <c r="CV80" s="1500">
        <f>CV79/CV77</f>
        <v>0.34482106415808084</v>
      </c>
      <c r="CW80" s="1503">
        <f>CW79/CW77</f>
        <v>0.34495256319950957</v>
      </c>
      <c r="CX80" s="1504"/>
      <c r="CY80" s="1504">
        <v>0.215</v>
      </c>
      <c r="CZ80" s="1504">
        <f>CY80</f>
        <v>0.215</v>
      </c>
      <c r="DA80" s="1504">
        <f>CZ80</f>
        <v>0.215</v>
      </c>
      <c r="DB80" s="1504">
        <f>DA80</f>
        <v>0.215</v>
      </c>
      <c r="DC80" s="1503">
        <f>DC79/DC77</f>
        <v>0.215</v>
      </c>
      <c r="DD80" s="1504"/>
      <c r="DE80" s="1500">
        <f>DB80</f>
        <v>0.215</v>
      </c>
      <c r="DF80" s="1504">
        <f>DE80</f>
        <v>0.215</v>
      </c>
      <c r="DG80" s="1504">
        <f>DF80</f>
        <v>0.215</v>
      </c>
      <c r="DH80" s="1504">
        <f>DG80</f>
        <v>0.215</v>
      </c>
      <c r="DI80" s="1503">
        <f>DI79/DI77</f>
        <v>0.215</v>
      </c>
      <c r="DJ80" s="1504"/>
      <c r="DK80" s="1504">
        <f>DH80</f>
        <v>0.215</v>
      </c>
      <c r="DL80" s="1504">
        <f>DK80</f>
        <v>0.215</v>
      </c>
      <c r="DM80" s="1504">
        <f>DL80</f>
        <v>0.215</v>
      </c>
      <c r="DN80" s="1504">
        <f>DM80</f>
        <v>0.215</v>
      </c>
      <c r="DO80" s="1503">
        <f>DO79/DO77</f>
        <v>0.215</v>
      </c>
      <c r="DP80" s="305"/>
      <c r="DW80" s="1577"/>
      <c r="DX80" s="1577"/>
      <c r="DY80" s="1577"/>
      <c r="DZ80" s="1577"/>
    </row>
    <row r="81" spans="1:127" ht="4.5" customHeight="1">
      <c r="A81" s="742"/>
      <c r="B81" s="313"/>
      <c r="C81" s="820"/>
      <c r="D81" s="820"/>
      <c r="E81" s="820"/>
      <c r="F81" s="307"/>
      <c r="G81" s="307"/>
      <c r="H81" s="307"/>
      <c r="I81" s="307"/>
      <c r="J81" s="307"/>
      <c r="K81" s="820"/>
      <c r="L81" s="307"/>
      <c r="M81" s="307"/>
      <c r="N81" s="307"/>
      <c r="O81" s="307"/>
      <c r="P81" s="307"/>
      <c r="Q81" s="820"/>
      <c r="R81" s="307"/>
      <c r="S81" s="307"/>
      <c r="T81" s="307"/>
      <c r="U81" s="307"/>
      <c r="V81" s="307"/>
      <c r="W81" s="820"/>
      <c r="X81" s="307"/>
      <c r="Y81" s="307"/>
      <c r="Z81" s="307"/>
      <c r="AA81" s="307"/>
      <c r="AB81" s="307"/>
      <c r="AC81" s="820"/>
      <c r="AD81" s="820"/>
      <c r="AE81" s="307"/>
      <c r="AF81" s="307"/>
      <c r="AG81" s="307"/>
      <c r="AH81" s="307"/>
      <c r="AI81" s="304"/>
      <c r="AJ81" s="820"/>
      <c r="AK81" s="307"/>
      <c r="AL81" s="307"/>
      <c r="AM81" s="307"/>
      <c r="AN81" s="307"/>
      <c r="AO81" s="304"/>
      <c r="AP81" s="820"/>
      <c r="AQ81" s="307"/>
      <c r="AR81" s="307"/>
      <c r="AS81" s="307"/>
      <c r="AT81" s="307"/>
      <c r="AU81" s="304"/>
      <c r="AV81" s="820"/>
      <c r="AW81" s="307"/>
      <c r="AX81" s="307"/>
      <c r="AY81" s="307"/>
      <c r="AZ81" s="307"/>
      <c r="BA81" s="304"/>
      <c r="BB81" s="820"/>
      <c r="BC81" s="307"/>
      <c r="BD81" s="307"/>
      <c r="BE81" s="307"/>
      <c r="BF81" s="307"/>
      <c r="BG81" s="304"/>
      <c r="BH81" s="820"/>
      <c r="BI81" s="307"/>
      <c r="BJ81" s="307"/>
      <c r="BK81" s="307"/>
      <c r="BL81" s="307"/>
      <c r="BM81" s="304"/>
      <c r="BN81" s="820"/>
      <c r="BO81" s="307"/>
      <c r="BP81" s="307"/>
      <c r="BQ81" s="307"/>
      <c r="BR81" s="307"/>
      <c r="BS81" s="304"/>
      <c r="BT81" s="820"/>
      <c r="BU81" s="307"/>
      <c r="BV81" s="307"/>
      <c r="BW81" s="307"/>
      <c r="BX81" s="307"/>
      <c r="BY81" s="304"/>
      <c r="BZ81" s="820"/>
      <c r="CA81" s="307"/>
      <c r="CB81" s="307"/>
      <c r="CC81" s="307"/>
      <c r="CD81" s="307"/>
      <c r="CE81" s="304"/>
      <c r="CF81" s="820"/>
      <c r="CG81" s="307"/>
      <c r="CH81" s="307"/>
      <c r="CI81" s="307"/>
      <c r="CJ81" s="307"/>
      <c r="CK81" s="304"/>
      <c r="CL81" s="820"/>
      <c r="CM81" s="307"/>
      <c r="CN81" s="307"/>
      <c r="CO81" s="307"/>
      <c r="CP81" s="307"/>
      <c r="CQ81" s="304"/>
      <c r="CR81" s="820"/>
      <c r="CS81" s="307"/>
      <c r="CT81" s="307"/>
      <c r="CU81" s="307"/>
      <c r="CV81" s="307"/>
      <c r="CW81" s="304"/>
      <c r="CX81" s="820"/>
      <c r="CY81" s="307"/>
      <c r="CZ81" s="307"/>
      <c r="DA81" s="307"/>
      <c r="DB81" s="307"/>
      <c r="DC81" s="304"/>
      <c r="DD81" s="820"/>
      <c r="DE81" s="307"/>
      <c r="DF81" s="307"/>
      <c r="DG81" s="307"/>
      <c r="DH81" s="307"/>
      <c r="DI81" s="304"/>
      <c r="DJ81" s="820"/>
      <c r="DK81" s="307"/>
      <c r="DL81" s="307"/>
      <c r="DM81" s="307"/>
      <c r="DN81" s="307"/>
      <c r="DO81" s="304"/>
      <c r="DP81" s="669"/>
    </row>
    <row r="82" spans="1:127" ht="12" customHeight="1">
      <c r="A82" s="742" t="s">
        <v>805</v>
      </c>
      <c r="B82" s="313"/>
      <c r="C82" s="510">
        <v>0</v>
      </c>
      <c r="D82" s="510">
        <v>0.193</v>
      </c>
      <c r="E82" s="510">
        <v>0.42499999999999999</v>
      </c>
      <c r="F82" s="307"/>
      <c r="G82" s="288">
        <v>4.2999999999999997E-2</v>
      </c>
      <c r="H82" s="288">
        <v>7.6999999999999999E-2</v>
      </c>
      <c r="I82" s="288">
        <v>5.5E-2</v>
      </c>
      <c r="J82" s="288">
        <v>0.11700000000000001</v>
      </c>
      <c r="K82" s="510">
        <f>SUM(G82:J82)</f>
        <v>0.29199999999999998</v>
      </c>
      <c r="L82" s="307"/>
      <c r="M82" s="288">
        <v>1.6E-2</v>
      </c>
      <c r="N82" s="288">
        <v>-5.0000000000000001E-3</v>
      </c>
      <c r="O82" s="288">
        <v>-0.113</v>
      </c>
      <c r="P82" s="510">
        <v>-8.2000000000000003E-2</v>
      </c>
      <c r="Q82" s="510">
        <f>SUM(M82:P82)</f>
        <v>-0.184</v>
      </c>
      <c r="R82" s="307"/>
      <c r="S82" s="510">
        <v>-1.7000000000000001E-2</v>
      </c>
      <c r="T82" s="510">
        <v>-0.14599999999999999</v>
      </c>
      <c r="U82" s="510">
        <v>-7.6999999999999999E-2</v>
      </c>
      <c r="V82" s="510">
        <v>-0.35</v>
      </c>
      <c r="W82" s="510">
        <f>SUM(S82:V82)</f>
        <v>-0.59</v>
      </c>
      <c r="X82" s="307"/>
      <c r="Y82" s="510">
        <v>-0.224</v>
      </c>
      <c r="Z82" s="510">
        <v>-0.20200000000000001</v>
      </c>
      <c r="AA82" s="510">
        <v>-0.34100000000000003</v>
      </c>
      <c r="AB82" s="510">
        <v>-0.26700000000000002</v>
      </c>
      <c r="AC82" s="510">
        <f>SUM(Y82:AB82)</f>
        <v>-1.0340000000000003</v>
      </c>
      <c r="AD82" s="820"/>
      <c r="AE82" s="1719">
        <v>-0.48399999999999999</v>
      </c>
      <c r="AF82" s="1719">
        <v>-0.46</v>
      </c>
      <c r="AG82" s="1719">
        <v>-0.56100000000000005</v>
      </c>
      <c r="AH82" s="1719">
        <v>-0.71499999999999997</v>
      </c>
      <c r="AI82" s="265">
        <f>SUM(AE82:AH82)</f>
        <v>-2.2199999999999998</v>
      </c>
      <c r="AJ82" s="820"/>
      <c r="AK82" s="1719">
        <v>-0.71799999999999997</v>
      </c>
      <c r="AL82" s="1719">
        <v>-0.85399999999999998</v>
      </c>
      <c r="AM82" s="1719">
        <v>-1.125</v>
      </c>
      <c r="AN82" s="1719">
        <v>-1.7749999999999999</v>
      </c>
      <c r="AO82" s="265">
        <f>SUM(AK82:AN82)</f>
        <v>-4.4719999999999995</v>
      </c>
      <c r="AP82" s="820"/>
      <c r="AQ82" s="1719">
        <f>-2.926-AR82</f>
        <v>-1.5140000000000002</v>
      </c>
      <c r="AR82" s="1719">
        <v>-1.4119999999999999</v>
      </c>
      <c r="AS82" s="1719">
        <v>-1.5589999999999999</v>
      </c>
      <c r="AT82" s="1719">
        <v>-0.122</v>
      </c>
      <c r="AU82" s="265">
        <f>SUM(AQ82:AT82)</f>
        <v>-4.6070000000000002</v>
      </c>
      <c r="AV82" s="820"/>
      <c r="AW82" s="1719">
        <v>-0.55700000000000005</v>
      </c>
      <c r="AX82" s="1719">
        <v>-0.64300000000000002</v>
      </c>
      <c r="AY82" s="1719">
        <v>-0.752</v>
      </c>
      <c r="AZ82" s="1719">
        <v>-2.0209999999999999</v>
      </c>
      <c r="BA82" s="265">
        <f>SUM(AW82:AZ82)</f>
        <v>-3.9729999999999999</v>
      </c>
      <c r="BB82" s="820"/>
      <c r="BC82" s="1719">
        <v>-2.1309999999999998</v>
      </c>
      <c r="BD82" s="1719">
        <v>-1.839</v>
      </c>
      <c r="BE82" s="1719">
        <v>-1.296</v>
      </c>
      <c r="BF82" s="1719">
        <v>4.2999999999999997E-2</v>
      </c>
      <c r="BG82" s="265">
        <f>SUM(BC82:BF82)</f>
        <v>-5.2229999999999999</v>
      </c>
      <c r="BH82" s="820"/>
      <c r="BI82" s="1719">
        <v>0</v>
      </c>
      <c r="BJ82" s="1719">
        <v>0</v>
      </c>
      <c r="BK82" s="1719">
        <v>0</v>
      </c>
      <c r="BL82" s="1719">
        <v>0</v>
      </c>
      <c r="BM82" s="265">
        <f>SUM(BI82:BL82)</f>
        <v>0</v>
      </c>
      <c r="BN82" s="820"/>
      <c r="BO82" s="1719">
        <f>BI82*(1+0.2)</f>
        <v>0</v>
      </c>
      <c r="BP82" s="1719">
        <f>BJ82*(1+0.2)</f>
        <v>0</v>
      </c>
      <c r="BQ82" s="1719">
        <f>BK82*(1+0.2)</f>
        <v>0</v>
      </c>
      <c r="BR82" s="1719">
        <f>BL82*(1+0.2)</f>
        <v>0</v>
      </c>
      <c r="BS82" s="265">
        <f>SUM(BO82:BR82)</f>
        <v>0</v>
      </c>
      <c r="BT82" s="820"/>
      <c r="BU82" s="1719">
        <f>BO82*(1+0.2)</f>
        <v>0</v>
      </c>
      <c r="BV82" s="1719">
        <f>BP82*(1+0.2)</f>
        <v>0</v>
      </c>
      <c r="BW82" s="1719">
        <f>BQ82*(1+0.2)</f>
        <v>0</v>
      </c>
      <c r="BX82" s="1719">
        <f>BR82*(1+0.2)</f>
        <v>0</v>
      </c>
      <c r="BY82" s="265">
        <f>SUM(BU82:BX82)</f>
        <v>0</v>
      </c>
      <c r="BZ82" s="820"/>
      <c r="CA82" s="1719">
        <f>BU82*(1+0.2)</f>
        <v>0</v>
      </c>
      <c r="CB82" s="1719">
        <v>0</v>
      </c>
      <c r="CC82" s="1719">
        <v>0</v>
      </c>
      <c r="CD82" s="1719">
        <v>0</v>
      </c>
      <c r="CE82" s="265">
        <f>SUM(CA82:CD82)</f>
        <v>0</v>
      </c>
      <c r="CF82" s="820"/>
      <c r="CG82" s="1719">
        <v>0</v>
      </c>
      <c r="CH82" s="1719">
        <v>0</v>
      </c>
      <c r="CI82" s="1719">
        <v>0</v>
      </c>
      <c r="CJ82" s="1719">
        <v>0</v>
      </c>
      <c r="CK82" s="265">
        <f>SUM(CG82:CJ82)</f>
        <v>0</v>
      </c>
      <c r="CL82" s="820"/>
      <c r="CM82" s="1719">
        <v>0</v>
      </c>
      <c r="CN82" s="1719">
        <v>0</v>
      </c>
      <c r="CO82" s="1719">
        <v>0</v>
      </c>
      <c r="CP82" s="1719">
        <v>0</v>
      </c>
      <c r="CQ82" s="265">
        <f>SUM(CM82:CP82)</f>
        <v>0</v>
      </c>
      <c r="CR82" s="820"/>
      <c r="CS82" s="1719">
        <v>0</v>
      </c>
      <c r="CT82" s="1719">
        <v>0</v>
      </c>
      <c r="CU82" s="1719">
        <v>0</v>
      </c>
      <c r="CV82" s="1719">
        <v>0</v>
      </c>
      <c r="CW82" s="265">
        <f>SUM(CS82:CV82)</f>
        <v>0</v>
      </c>
      <c r="CX82" s="820"/>
      <c r="CY82" s="1719">
        <f>CS82*(1+0.2)</f>
        <v>0</v>
      </c>
      <c r="CZ82" s="1719">
        <f>CT82*(1+0.2)</f>
        <v>0</v>
      </c>
      <c r="DA82" s="1719">
        <f>CU82*(1+0.2)</f>
        <v>0</v>
      </c>
      <c r="DB82" s="1719">
        <f>CV82*(1+0.2)</f>
        <v>0</v>
      </c>
      <c r="DC82" s="265">
        <f>SUM(CY82:DB82)</f>
        <v>0</v>
      </c>
      <c r="DD82" s="820"/>
      <c r="DE82" s="1719">
        <f>CY82*(1+0.2)</f>
        <v>0</v>
      </c>
      <c r="DF82" s="1719">
        <f>CZ82*(1+0.2)</f>
        <v>0</v>
      </c>
      <c r="DG82" s="1719">
        <f>DA82*(1+0.2)</f>
        <v>0</v>
      </c>
      <c r="DH82" s="1719">
        <f>DB82*(1+0.2)</f>
        <v>0</v>
      </c>
      <c r="DI82" s="265">
        <f>SUM(DE82:DH82)</f>
        <v>0</v>
      </c>
      <c r="DJ82" s="820"/>
      <c r="DK82" s="1719">
        <f>DE82*(1+0.2)</f>
        <v>0</v>
      </c>
      <c r="DL82" s="1719">
        <f>DF82*(1+0.2)</f>
        <v>0</v>
      </c>
      <c r="DM82" s="1719">
        <f>DG82*(1+0.2)</f>
        <v>0</v>
      </c>
      <c r="DN82" s="1719">
        <f>DH82*(1+0.2)</f>
        <v>0</v>
      </c>
      <c r="DO82" s="265">
        <f>SUM(DK82:DN82)</f>
        <v>0</v>
      </c>
      <c r="DP82" s="669"/>
    </row>
    <row r="83" spans="1:127" ht="6" customHeight="1">
      <c r="A83" s="742"/>
      <c r="B83" s="313"/>
      <c r="C83" s="820"/>
      <c r="D83" s="820"/>
      <c r="E83" s="820"/>
      <c r="F83" s="307"/>
      <c r="G83" s="307"/>
      <c r="H83" s="307"/>
      <c r="I83" s="307"/>
      <c r="J83" s="307"/>
      <c r="K83" s="820"/>
      <c r="L83" s="307"/>
      <c r="M83" s="307"/>
      <c r="N83" s="307"/>
      <c r="O83" s="307"/>
      <c r="P83" s="307"/>
      <c r="Q83" s="820"/>
      <c r="R83" s="307"/>
      <c r="S83" s="307"/>
      <c r="T83" s="307"/>
      <c r="U83" s="307"/>
      <c r="V83" s="307"/>
      <c r="W83" s="820"/>
      <c r="X83" s="307"/>
      <c r="Y83" s="307"/>
      <c r="Z83" s="307"/>
      <c r="AA83" s="307"/>
      <c r="AB83" s="307"/>
      <c r="AC83" s="820"/>
      <c r="AD83" s="820"/>
      <c r="AE83" s="307"/>
      <c r="AF83" s="307"/>
      <c r="AG83" s="307"/>
      <c r="AH83" s="307"/>
      <c r="AI83" s="304"/>
      <c r="AJ83" s="820"/>
      <c r="AK83" s="307"/>
      <c r="AL83" s="307"/>
      <c r="AM83" s="307"/>
      <c r="AN83" s="307"/>
      <c r="AO83" s="304"/>
      <c r="AP83" s="820"/>
      <c r="AQ83" s="307"/>
      <c r="AR83" s="307"/>
      <c r="AS83" s="307"/>
      <c r="AT83" s="307"/>
      <c r="AU83" s="304"/>
      <c r="AV83" s="820"/>
      <c r="AW83" s="307"/>
      <c r="AX83" s="307"/>
      <c r="AY83" s="307"/>
      <c r="AZ83" s="307"/>
      <c r="BA83" s="304"/>
      <c r="BB83" s="820"/>
      <c r="BC83" s="307"/>
      <c r="BD83" s="307"/>
      <c r="BE83" s="307"/>
      <c r="BF83" s="307"/>
      <c r="BG83" s="304"/>
      <c r="BH83" s="820"/>
      <c r="BI83" s="307"/>
      <c r="BJ83" s="307"/>
      <c r="BK83" s="307"/>
      <c r="BL83" s="307"/>
      <c r="BM83" s="304"/>
      <c r="BN83" s="820"/>
      <c r="BO83" s="307"/>
      <c r="BP83" s="307"/>
      <c r="BQ83" s="307"/>
      <c r="BR83" s="307"/>
      <c r="BS83" s="304"/>
      <c r="BT83" s="820"/>
      <c r="BU83" s="307"/>
      <c r="BV83" s="307"/>
      <c r="BW83" s="307"/>
      <c r="BX83" s="307"/>
      <c r="BY83" s="304"/>
      <c r="BZ83" s="820"/>
      <c r="CA83" s="307"/>
      <c r="CB83" s="307"/>
      <c r="CC83" s="307"/>
      <c r="CD83" s="307"/>
      <c r="CE83" s="304"/>
      <c r="CF83" s="820"/>
      <c r="CG83" s="307"/>
      <c r="CH83" s="307"/>
      <c r="CI83" s="307"/>
      <c r="CJ83" s="307"/>
      <c r="CK83" s="304"/>
      <c r="CL83" s="820"/>
      <c r="CM83" s="307"/>
      <c r="CN83" s="307"/>
      <c r="CO83" s="307"/>
      <c r="CP83" s="307"/>
      <c r="CQ83" s="304"/>
      <c r="CR83" s="820"/>
      <c r="CS83" s="307"/>
      <c r="CT83" s="307"/>
      <c r="CU83" s="307"/>
      <c r="CV83" s="307"/>
      <c r="CW83" s="304"/>
      <c r="CX83" s="820"/>
      <c r="CY83" s="307"/>
      <c r="CZ83" s="307"/>
      <c r="DA83" s="307"/>
      <c r="DB83" s="307"/>
      <c r="DC83" s="304"/>
      <c r="DD83" s="820"/>
      <c r="DE83" s="307"/>
      <c r="DF83" s="307"/>
      <c r="DG83" s="307"/>
      <c r="DH83" s="307"/>
      <c r="DI83" s="304"/>
      <c r="DJ83" s="820"/>
      <c r="DK83" s="307"/>
      <c r="DL83" s="307"/>
      <c r="DM83" s="307"/>
      <c r="DN83" s="307"/>
      <c r="DO83" s="304"/>
      <c r="DP83" s="669"/>
    </row>
    <row r="84" spans="1:127">
      <c r="A84" s="1717" t="s">
        <v>962</v>
      </c>
      <c r="B84" s="1718" t="s">
        <v>789</v>
      </c>
      <c r="C84" s="510">
        <f>C77-C79+C82</f>
        <v>-5.452</v>
      </c>
      <c r="D84" s="510">
        <f>D77-D79+D82</f>
        <v>-51.944432890107315</v>
      </c>
      <c r="E84" s="510">
        <f t="shared" ref="E84:AH84" si="6">E77-E79+E82</f>
        <v>-20.952000000000002</v>
      </c>
      <c r="F84" s="516"/>
      <c r="G84" s="510">
        <f t="shared" si="6"/>
        <v>-1.5620000000000014</v>
      </c>
      <c r="H84" s="510">
        <f t="shared" si="6"/>
        <v>-1.1259999999999992</v>
      </c>
      <c r="I84" s="510">
        <f t="shared" si="6"/>
        <v>-4.8410000000000011</v>
      </c>
      <c r="J84" s="510">
        <f t="shared" si="6"/>
        <v>-2.1869999999999994</v>
      </c>
      <c r="K84" s="510">
        <f>K77-K79+K82</f>
        <v>-9.7160000000000011</v>
      </c>
      <c r="L84" s="516"/>
      <c r="M84" s="510">
        <f t="shared" si="6"/>
        <v>0.36800000000000127</v>
      </c>
      <c r="N84" s="510">
        <f t="shared" si="6"/>
        <v>0.12200000000000036</v>
      </c>
      <c r="O84" s="510">
        <f>O77-O79+O82</f>
        <v>-9.9566444801471018E-2</v>
      </c>
      <c r="P84" s="510">
        <f t="shared" si="6"/>
        <v>0.13199999999999867</v>
      </c>
      <c r="Q84" s="510">
        <f t="shared" si="6"/>
        <v>0.5224335551985293</v>
      </c>
      <c r="R84" s="510"/>
      <c r="S84" s="510">
        <f t="shared" si="6"/>
        <v>0.43700000000000067</v>
      </c>
      <c r="T84" s="510">
        <f>T77-T79+T82</f>
        <v>1.1700000000000135</v>
      </c>
      <c r="U84" s="510">
        <f t="shared" si="6"/>
        <v>2.1530000000000031</v>
      </c>
      <c r="V84" s="510">
        <f t="shared" si="6"/>
        <v>3.5859999999999963</v>
      </c>
      <c r="W84" s="510">
        <f t="shared" si="6"/>
        <v>7.3460000000000125</v>
      </c>
      <c r="X84" s="510"/>
      <c r="Y84" s="510">
        <f t="shared" si="6"/>
        <v>4.1519999999999992</v>
      </c>
      <c r="Z84" s="510">
        <f>Z77-Z79+Z82</f>
        <v>5.0399999999999974</v>
      </c>
      <c r="AA84" s="510">
        <f t="shared" si="6"/>
        <v>6.3279999999999852</v>
      </c>
      <c r="AB84" s="510">
        <f t="shared" si="6"/>
        <v>5.9569999999999803</v>
      </c>
      <c r="AC84" s="510">
        <f t="shared" si="6"/>
        <v>21.476999999999965</v>
      </c>
      <c r="AD84" s="510"/>
      <c r="AE84" s="510">
        <f t="shared" si="6"/>
        <v>4.9910000000000014</v>
      </c>
      <c r="AF84" s="510">
        <f t="shared" si="6"/>
        <v>6.5589999999999984</v>
      </c>
      <c r="AG84" s="510">
        <f t="shared" si="6"/>
        <v>7.4391298787981945</v>
      </c>
      <c r="AH84" s="510">
        <f t="shared" si="6"/>
        <v>7.5655898182772816</v>
      </c>
      <c r="AI84" s="265">
        <f>AI77-AI79+AI82</f>
        <v>26.55471969707548</v>
      </c>
      <c r="AJ84" s="510"/>
      <c r="AK84" s="510">
        <f>AK77-AK79+AK82</f>
        <v>9.0731000000000019</v>
      </c>
      <c r="AL84" s="510">
        <f>AL77-AL79+AL82</f>
        <v>12.441150000000011</v>
      </c>
      <c r="AM84" s="510">
        <f>AM77-AM79+AM82</f>
        <v>15.324950000000008</v>
      </c>
      <c r="AN84" s="510">
        <f>AN77-AN79+AN82</f>
        <v>17.109799999999993</v>
      </c>
      <c r="AO84" s="265">
        <f>AO77-AO79+AO82</f>
        <v>53.949000000000012</v>
      </c>
      <c r="AP84" s="510"/>
      <c r="AQ84" s="510">
        <f>AQ77-AQ79+AQ82</f>
        <v>19.673400000000004</v>
      </c>
      <c r="AR84" s="510">
        <f>AR77-AR79+AR82</f>
        <v>20.506000000000007</v>
      </c>
      <c r="AS84" s="510">
        <f>AS77-AS79+AS82</f>
        <v>22.963006426429274</v>
      </c>
      <c r="AT84" s="510">
        <f>AT77-AT79+AT82</f>
        <v>29.097260315561897</v>
      </c>
      <c r="AU84" s="265">
        <f>AU77-AU79+AU82</f>
        <v>92.239666741991172</v>
      </c>
      <c r="AV84" s="510"/>
      <c r="AW84" s="510">
        <f>AW77-AW79+AW82</f>
        <v>32.664819999999992</v>
      </c>
      <c r="AX84" s="510">
        <f>AX77-AX79+AX82</f>
        <v>35.315280000000001</v>
      </c>
      <c r="AY84" s="510">
        <f>AY77-AY79+AY82</f>
        <v>33.829339999999995</v>
      </c>
      <c r="AZ84" s="510">
        <f>AZ77-AZ79+AZ82</f>
        <v>37.368220000000008</v>
      </c>
      <c r="BA84" s="265">
        <f>BA77-BA79+BA82</f>
        <v>139.17765999999997</v>
      </c>
      <c r="BB84" s="510"/>
      <c r="BC84" s="510">
        <f>BC77-BC79+BC82</f>
        <v>39.949000000000055</v>
      </c>
      <c r="BD84" s="510">
        <f>BD77-BD79+BD82</f>
        <v>38.734000000000009</v>
      </c>
      <c r="BE84" s="510">
        <f>BE77-BE79+BE82</f>
        <v>44.353000000000002</v>
      </c>
      <c r="BF84" s="510">
        <f>BF77-BF79+BF82</f>
        <v>43.07</v>
      </c>
      <c r="BG84" s="265">
        <f>BG77-BG79+BG82</f>
        <v>166.10600000000005</v>
      </c>
      <c r="BH84" s="510"/>
      <c r="BI84" s="510">
        <f>BI77-BI79+BI82</f>
        <v>39.890000000000029</v>
      </c>
      <c r="BJ84" s="510">
        <f>BJ77-BJ79+BJ82</f>
        <v>43.082000000000036</v>
      </c>
      <c r="BK84" s="510">
        <f>BK77-BK79+BK82</f>
        <v>49.000999999999962</v>
      </c>
      <c r="BL84" s="510">
        <f>BL77-BL79+BL82</f>
        <v>61.630000000000052</v>
      </c>
      <c r="BM84" s="265">
        <f>BM77-BM79+BM82</f>
        <v>193.60300000000007</v>
      </c>
      <c r="BN84" s="510"/>
      <c r="BO84" s="510">
        <f>BO77-BO79+BO82</f>
        <v>54.464000000000055</v>
      </c>
      <c r="BP84" s="510">
        <f>BP77-BP79+BP82</f>
        <v>60.715999999999958</v>
      </c>
      <c r="BQ84" s="510">
        <f>BQ77-BQ79+BQ82</f>
        <v>49.64099999999992</v>
      </c>
      <c r="BR84" s="510">
        <f>BR77-BR79+BR82</f>
        <v>77.732000000000085</v>
      </c>
      <c r="BS84" s="265">
        <f>BS77-BS79+BS82</f>
        <v>242.55300000000005</v>
      </c>
      <c r="BT84" s="510"/>
      <c r="BU84" s="510">
        <f>BU77-BU79+BU82</f>
        <v>60.963999999999956</v>
      </c>
      <c r="BV84" s="510">
        <f>BV77-BV79+BV82</f>
        <v>56.295000000000215</v>
      </c>
      <c r="BW84" s="510">
        <f>BW77-BW79+BW82</f>
        <v>57.607999999999848</v>
      </c>
      <c r="BX84" s="510">
        <f>BX77-BX79+BX82</f>
        <v>46.985999999999976</v>
      </c>
      <c r="BY84" s="265">
        <f>BY77-BY79+BY82</f>
        <v>221.85300000000001</v>
      </c>
      <c r="BZ84" s="510"/>
      <c r="CA84" s="510">
        <f>CA77-CA79+CA82</f>
        <v>69.516000000000133</v>
      </c>
      <c r="CB84" s="510">
        <f>CB77-CB79+CB82</f>
        <v>85.685000000000187</v>
      </c>
      <c r="CC84" s="510">
        <f>CC77-CC79+CC82</f>
        <v>93.60499999999999</v>
      </c>
      <c r="CD84" s="510">
        <f>CD77-CD79+CD82</f>
        <v>92.778999999999868</v>
      </c>
      <c r="CE84" s="265">
        <f>CE77-CE79+CE82</f>
        <v>341.58500000000021</v>
      </c>
      <c r="CF84" s="510"/>
      <c r="CG84" s="510">
        <f>CG77-CG79+CG82</f>
        <v>108.33500000000024</v>
      </c>
      <c r="CH84" s="510">
        <f>CH77-CH79+CH82</f>
        <v>128.26299999999972</v>
      </c>
      <c r="CI84" s="510">
        <f>CI77-CI79+CI82</f>
        <v>140.52299999999991</v>
      </c>
      <c r="CJ84" s="510">
        <f>CJ77-CJ79+CJ82</f>
        <v>129.66200000000038</v>
      </c>
      <c r="CK84" s="265">
        <f>CK77-CK79+CK82</f>
        <v>506.78300000000024</v>
      </c>
      <c r="CL84" s="510"/>
      <c r="CM84" s="510">
        <f>CM77-CM79+CM82</f>
        <v>167.5329999999999</v>
      </c>
      <c r="CN84" s="510">
        <f>CN77-CN79+CN82</f>
        <v>170.42599999999976</v>
      </c>
      <c r="CO84" s="510">
        <f>CO77-CO79+CO82</f>
        <v>170.93899999999985</v>
      </c>
      <c r="CP84" s="510">
        <f>CP77-CP79+CP82</f>
        <v>196.32599999999962</v>
      </c>
      <c r="CQ84" s="265">
        <f>CQ77-CQ79+CQ82</f>
        <v>705.22399999999914</v>
      </c>
      <c r="CR84" s="510"/>
      <c r="CS84" s="510">
        <f>CS77-CS79+CS82</f>
        <v>202.78399999999993</v>
      </c>
      <c r="CT84" s="510">
        <f>CT77-CT79+CT82</f>
        <v>240.89799999999985</v>
      </c>
      <c r="CU84" s="510">
        <f>CU77-CU79+CU82</f>
        <v>284.39099999999996</v>
      </c>
      <c r="CV84" s="510">
        <f>CV77-CV79+CV82</f>
        <v>263.2639999999999</v>
      </c>
      <c r="CW84" s="265">
        <f>CW77-CW79+CW82</f>
        <v>991.33699999999953</v>
      </c>
      <c r="CX84" s="510"/>
      <c r="CY84" s="510">
        <f>CY77-CY79+CY82</f>
        <v>356.50703273606348</v>
      </c>
      <c r="CZ84" s="510">
        <f>CZ77-CZ79+CZ82</f>
        <v>437.04547338135376</v>
      </c>
      <c r="DA84" s="510">
        <f>DA77-DA79+DA82</f>
        <v>486.99995166175722</v>
      </c>
      <c r="DB84" s="510">
        <f>DB77-DB79+DB82</f>
        <v>448.64759350790547</v>
      </c>
      <c r="DC84" s="265">
        <f>DC77-DC79+DC82</f>
        <v>1729.20005128708</v>
      </c>
      <c r="DD84" s="510"/>
      <c r="DE84" s="510">
        <f>DE77-DE79+DE82</f>
        <v>498.98532053307656</v>
      </c>
      <c r="DF84" s="510">
        <f>DF77-DF79+DF82</f>
        <v>605.6923117475211</v>
      </c>
      <c r="DG84" s="510">
        <f>DG77-DG79+DG82</f>
        <v>660.71109998704026</v>
      </c>
      <c r="DH84" s="510">
        <f>DH77-DH79+DH82</f>
        <v>650.57848056425951</v>
      </c>
      <c r="DI84" s="265">
        <f>DI77-DI79+DI82</f>
        <v>2415.9672128318975</v>
      </c>
      <c r="DJ84" s="510"/>
      <c r="DK84" s="510">
        <f>DK77-DK79+DK82</f>
        <v>678.52113321795252</v>
      </c>
      <c r="DL84" s="510">
        <f>DL77-DL79+DL82</f>
        <v>808.13946489282932</v>
      </c>
      <c r="DM84" s="510">
        <f>DM77-DM79+DM82</f>
        <v>871.42853088924721</v>
      </c>
      <c r="DN84" s="510">
        <f>DN77-DN79+DN82</f>
        <v>881.11377787732204</v>
      </c>
      <c r="DO84" s="265">
        <f>DO77-DO79+DO82</f>
        <v>3239.2029068773509</v>
      </c>
      <c r="DP84" s="261"/>
    </row>
    <row r="85" spans="1:127" ht="5.25" customHeight="1">
      <c r="A85" s="742"/>
      <c r="B85" s="313"/>
      <c r="C85" s="307"/>
      <c r="D85" s="307"/>
      <c r="E85" s="307"/>
      <c r="F85" s="307"/>
      <c r="G85" s="307"/>
      <c r="H85" s="307"/>
      <c r="I85" s="307"/>
      <c r="J85" s="307"/>
      <c r="K85" s="307"/>
      <c r="L85" s="307"/>
      <c r="M85" s="307"/>
      <c r="N85" s="307"/>
      <c r="O85" s="307"/>
      <c r="P85" s="307"/>
      <c r="Q85" s="307"/>
      <c r="R85" s="307"/>
      <c r="S85" s="307"/>
      <c r="T85" s="307"/>
      <c r="U85" s="307"/>
      <c r="V85" s="307"/>
      <c r="W85" s="307"/>
      <c r="X85" s="307"/>
      <c r="Y85" s="307"/>
      <c r="Z85" s="307"/>
      <c r="AA85" s="307"/>
      <c r="AB85" s="307"/>
      <c r="AC85" s="307"/>
      <c r="AD85" s="307"/>
      <c r="AE85" s="307"/>
      <c r="AF85" s="307"/>
      <c r="AG85" s="307"/>
      <c r="AH85" s="307"/>
      <c r="AI85" s="315"/>
      <c r="AJ85" s="307"/>
      <c r="AK85" s="307"/>
      <c r="AL85" s="307"/>
      <c r="AM85" s="307"/>
      <c r="AN85" s="307"/>
      <c r="AO85" s="315"/>
      <c r="AP85" s="307"/>
      <c r="AQ85" s="307"/>
      <c r="AR85" s="307"/>
      <c r="AS85" s="307"/>
      <c r="AT85" s="307"/>
      <c r="AU85" s="315"/>
      <c r="AV85" s="307"/>
      <c r="AW85" s="307"/>
      <c r="AX85" s="307"/>
      <c r="AY85" s="307"/>
      <c r="AZ85" s="307"/>
      <c r="BA85" s="315"/>
      <c r="BB85" s="307"/>
      <c r="BC85" s="307"/>
      <c r="BD85" s="307"/>
      <c r="BE85" s="307"/>
      <c r="BF85" s="307"/>
      <c r="BG85" s="315"/>
      <c r="BH85" s="307"/>
      <c r="BI85" s="307"/>
      <c r="BJ85" s="307"/>
      <c r="BK85" s="307"/>
      <c r="BL85" s="307"/>
      <c r="BM85" s="315"/>
      <c r="BN85" s="307"/>
      <c r="BO85" s="307"/>
      <c r="BP85" s="307"/>
      <c r="BQ85" s="307"/>
      <c r="BR85" s="307"/>
      <c r="BS85" s="315"/>
      <c r="BT85" s="307"/>
      <c r="BU85" s="307"/>
      <c r="BV85" s="307"/>
      <c r="BW85" s="307"/>
      <c r="BX85" s="307"/>
      <c r="BY85" s="315"/>
      <c r="BZ85" s="307"/>
      <c r="CA85" s="307"/>
      <c r="CB85" s="307"/>
      <c r="CC85" s="307"/>
      <c r="CD85" s="307"/>
      <c r="CE85" s="315"/>
      <c r="CF85" s="307"/>
      <c r="CG85" s="307"/>
      <c r="CH85" s="307"/>
      <c r="CI85" s="307"/>
      <c r="CJ85" s="307"/>
      <c r="CK85" s="315"/>
      <c r="CL85" s="307"/>
      <c r="CM85" s="307"/>
      <c r="CN85" s="307"/>
      <c r="CO85" s="307"/>
      <c r="CP85" s="307"/>
      <c r="CQ85" s="315"/>
      <c r="CR85" s="307"/>
      <c r="CS85" s="307"/>
      <c r="CT85" s="307"/>
      <c r="CU85" s="307"/>
      <c r="CV85" s="307"/>
      <c r="CW85" s="315"/>
      <c r="CX85" s="307"/>
      <c r="CY85" s="307"/>
      <c r="CZ85" s="307"/>
      <c r="DA85" s="307"/>
      <c r="DB85" s="307"/>
      <c r="DC85" s="315"/>
      <c r="DD85" s="307"/>
      <c r="DE85" s="307"/>
      <c r="DF85" s="307"/>
      <c r="DG85" s="307"/>
      <c r="DH85" s="307"/>
      <c r="DI85" s="315"/>
      <c r="DJ85" s="307"/>
      <c r="DK85" s="307"/>
      <c r="DL85" s="307"/>
      <c r="DM85" s="307"/>
      <c r="DN85" s="307"/>
      <c r="DO85" s="315"/>
      <c r="DP85" s="669"/>
    </row>
    <row r="86" spans="1:127">
      <c r="A86" s="341" t="s">
        <v>818</v>
      </c>
      <c r="B86" s="336" t="s">
        <v>791</v>
      </c>
      <c r="C86" s="342">
        <f>C84/C111</f>
        <v>-0.54520000000000002</v>
      </c>
      <c r="D86" s="342">
        <f>D84/D111</f>
        <v>-3.901489626716788</v>
      </c>
      <c r="E86" s="342">
        <f>E84/E111</f>
        <v>-0.99586482247255104</v>
      </c>
      <c r="F86" s="342"/>
      <c r="G86" s="342">
        <f>G84/G111</f>
        <v>-6.2695673115517436E-2</v>
      </c>
      <c r="H86" s="342">
        <f>H84/H111</f>
        <v>-4.3516908212560358E-2</v>
      </c>
      <c r="I86" s="342">
        <f>I84/I111</f>
        <v>-0.17986921304897083</v>
      </c>
      <c r="J86" s="342">
        <f>J84/J111</f>
        <v>-7.8680385667002431E-2</v>
      </c>
      <c r="K86" s="342">
        <f>K84/K111</f>
        <v>-0.3683826386979972</v>
      </c>
      <c r="L86" s="342"/>
      <c r="M86" s="342">
        <f>M84/M111</f>
        <v>4.0166779453819261E-3</v>
      </c>
      <c r="N86" s="342">
        <f>N84/N111</f>
        <v>1.3264762484642271E-3</v>
      </c>
      <c r="O86" s="342">
        <f>O84/O111</f>
        <v>-1.0423513656836823E-3</v>
      </c>
      <c r="P86" s="342">
        <f>P84/P111</f>
        <v>1.3716850943552943E-3</v>
      </c>
      <c r="Q86" s="342">
        <f>Q84/Q111</f>
        <v>5.4757261390280688E-3</v>
      </c>
      <c r="R86" s="343"/>
      <c r="S86" s="344">
        <f>S84/S111</f>
        <v>1.0881690870336079E-3</v>
      </c>
      <c r="T86" s="344">
        <f>T84/T111</f>
        <v>2.714642363270224E-3</v>
      </c>
      <c r="U86" s="344">
        <f>U84/U111</f>
        <v>4.6330567414956687E-3</v>
      </c>
      <c r="V86" s="344">
        <f>V84/V111</f>
        <v>7.6749880145195451E-3</v>
      </c>
      <c r="W86" s="344">
        <f>W84/W111</f>
        <v>1.6563847250031596E-2</v>
      </c>
      <c r="X86" s="342"/>
      <c r="Y86" s="344">
        <f>Y84/Y111</f>
        <v>8.920054654670136E-3</v>
      </c>
      <c r="Z86" s="344">
        <f>Z84/Z111</f>
        <v>1.0680319392408492E-2</v>
      </c>
      <c r="AA86" s="344">
        <f>AA84/AA111</f>
        <v>1.3332771480342138E-2</v>
      </c>
      <c r="AB86" s="344">
        <f>AB84/AB111</f>
        <v>1.2309580684889571E-2</v>
      </c>
      <c r="AC86" s="344">
        <f>AC84/AC111</f>
        <v>4.521968720786268E-2</v>
      </c>
      <c r="AD86" s="342"/>
      <c r="AE86" s="344">
        <f>AE84/AE111</f>
        <v>1.0409366970334037E-2</v>
      </c>
      <c r="AF86" s="344">
        <f>AF84/AF111</f>
        <v>1.3799705449189981E-2</v>
      </c>
      <c r="AG86" s="344">
        <f>AG84/AG111</f>
        <v>1.5462237545203641E-2</v>
      </c>
      <c r="AH86" s="344">
        <f>AH84/AH111</f>
        <v>1.5597996475060164E-2</v>
      </c>
      <c r="AI86" s="345">
        <f>AI84/AI111</f>
        <v>5.5295721636203159E-2</v>
      </c>
      <c r="AJ86" s="342"/>
      <c r="AK86" s="344">
        <f>AK84/AK111</f>
        <v>1.8802793550793721E-2</v>
      </c>
      <c r="AL86" s="344">
        <f>AL84/AL111</f>
        <v>2.5634308061285905E-2</v>
      </c>
      <c r="AM86" s="344">
        <f>AM84/AM111</f>
        <v>3.1360144553855746E-2</v>
      </c>
      <c r="AN86" s="344">
        <f>AN84/AN111</f>
        <v>3.4584815653298823E-2</v>
      </c>
      <c r="AO86" s="345">
        <f>AO84/AO111</f>
        <v>0.110592701771361</v>
      </c>
      <c r="AP86" s="342"/>
      <c r="AQ86" s="344">
        <f>AQ84/AQ111</f>
        <v>3.9532126609545561E-2</v>
      </c>
      <c r="AR86" s="344">
        <f>AR84/AR111</f>
        <v>4.0807635362106583E-2</v>
      </c>
      <c r="AS86" s="344">
        <f>AS84/AS111</f>
        <v>4.5877199512577169E-2</v>
      </c>
      <c r="AT86" s="344">
        <f>AT84/AT111</f>
        <v>5.8412750667618016E-2</v>
      </c>
      <c r="AU86" s="345">
        <f>AU84/AU111</f>
        <v>0.18458787115221983</v>
      </c>
      <c r="AV86" s="342"/>
      <c r="AW86" s="344">
        <f>AW84/AW111</f>
        <v>6.5147747489010657E-2</v>
      </c>
      <c r="AX86" s="344">
        <f>AX84/AX111</f>
        <v>6.9756648705023461E-2</v>
      </c>
      <c r="AY86" s="344">
        <f>AY84/AY111</f>
        <v>6.5766703474447089E-2</v>
      </c>
      <c r="AZ86" s="344">
        <f>AZ84/AZ111</f>
        <v>7.1484195061482791E-2</v>
      </c>
      <c r="BA86" s="345">
        <f>BA84/BA111</f>
        <v>0.27397177165354325</v>
      </c>
      <c r="BB86" s="342"/>
      <c r="BC86" s="344">
        <f>BC84/BC111</f>
        <v>7.5517387392155924E-2</v>
      </c>
      <c r="BD86" s="344">
        <f>BD84/BD111</f>
        <v>7.2170134748390194E-2</v>
      </c>
      <c r="BE86" s="344">
        <f>BE84/BE111</f>
        <v>8.0910145646653622E-2</v>
      </c>
      <c r="BF86" s="344">
        <f>BF84/BF111</f>
        <v>7.6801546373369278E-2</v>
      </c>
      <c r="BG86" s="345">
        <f>BG84/BG111</f>
        <v>0.3055272499862049</v>
      </c>
      <c r="BH86" s="342"/>
      <c r="BI86" s="344">
        <f>BI84/BI111</f>
        <v>7.0695864229913127E-2</v>
      </c>
      <c r="BJ86" s="344">
        <f>BJ84/BJ111</f>
        <v>7.5078769797011002E-2</v>
      </c>
      <c r="BK86" s="344">
        <f>BK84/BK111</f>
        <v>8.6165603393096979E-2</v>
      </c>
      <c r="BL86" s="344">
        <f>BL84/BL111</f>
        <v>0.10863587328223831</v>
      </c>
      <c r="BM86" s="345">
        <f>BM84/BM111</f>
        <v>0.33846678321678331</v>
      </c>
      <c r="BN86" s="342"/>
      <c r="BO86" s="344">
        <f>BO84/BO111</f>
        <v>9.3227708129352174E-2</v>
      </c>
      <c r="BP86" s="344">
        <f>BP84/BP111</f>
        <v>0.10382779047019708</v>
      </c>
      <c r="BQ86" s="344">
        <f>BQ84/BQ111</f>
        <v>8.2720661751962854E-2</v>
      </c>
      <c r="BR86" s="344">
        <f>BR84/BR111</f>
        <v>0.12684229077190204</v>
      </c>
      <c r="BS86" s="345">
        <f>BS84/BS111</f>
        <v>0.4069681208053692</v>
      </c>
      <c r="BT86" s="342"/>
      <c r="BU86" s="344">
        <f>BU84/BU111</f>
        <v>9.7906298128885363E-2</v>
      </c>
      <c r="BV86" s="344">
        <f>BV84/BV111</f>
        <v>9.0121602930253161E-2</v>
      </c>
      <c r="BW86" s="344">
        <f>BW84/BW111</f>
        <v>9.0003077802792278E-2</v>
      </c>
      <c r="BX86" s="344">
        <f>BX84/BX111</f>
        <v>7.2245585171403712E-2</v>
      </c>
      <c r="BY86" s="345">
        <f>BY84/BY111</f>
        <v>0.3496824962122182</v>
      </c>
      <c r="BZ86" s="342"/>
      <c r="CA86" s="344">
        <f>CA84/CA111</f>
        <v>0.10727777777777799</v>
      </c>
      <c r="CB86" s="344">
        <f>CB84/CB111</f>
        <v>0.13227280445823522</v>
      </c>
      <c r="CC86" s="344">
        <f>CC84/CC111</f>
        <v>0.14214062058681501</v>
      </c>
      <c r="CD86" s="344">
        <f>CD84/CD111</f>
        <v>0.14333540351560187</v>
      </c>
      <c r="CE86" s="345">
        <f>CE84/CE111</f>
        <v>0.52518936321837173</v>
      </c>
      <c r="CF86" s="342"/>
      <c r="CG86" s="344">
        <f>CG84/CG111</f>
        <v>0.16307898420917982</v>
      </c>
      <c r="CH86" s="344">
        <f>CH84/CH111</f>
        <v>0.19068963928001662</v>
      </c>
      <c r="CI86" s="344">
        <f>CI84/CI111</f>
        <v>0.20734363241999013</v>
      </c>
      <c r="CJ86" s="344">
        <f>CJ84/CJ111</f>
        <v>0.18985160293719353</v>
      </c>
      <c r="CK86" s="345">
        <f>CK84/CK111</f>
        <v>0.75144867795162607</v>
      </c>
      <c r="CL86" s="342"/>
      <c r="CM86" s="344">
        <f>CM84/CM111</f>
        <v>0.24393308668183836</v>
      </c>
      <c r="CN86" s="344">
        <f>CN84/CN111</f>
        <v>0.24487620120465275</v>
      </c>
      <c r="CO86" s="344">
        <f>CO84/CO111</f>
        <v>0.24256851103441993</v>
      </c>
      <c r="CP86" s="344">
        <f>CP84/CP111</f>
        <v>0.27604776695261357</v>
      </c>
      <c r="CQ86" s="345">
        <f>CQ84/CQ111</f>
        <v>1.0079401888179891</v>
      </c>
      <c r="CR86" s="342"/>
      <c r="CS86" s="344">
        <f>CS84/CS111</f>
        <v>0.28715868893502161</v>
      </c>
      <c r="CT86" s="344">
        <f>CT84/CT111</f>
        <v>0.33027505326397799</v>
      </c>
      <c r="CU86" s="344">
        <f>CU84/CU111</f>
        <v>0.38529831758582095</v>
      </c>
      <c r="CV86" s="344">
        <f>CV84/CV111</f>
        <v>0.35126970741756758</v>
      </c>
      <c r="CW86" s="345">
        <f>CW84/CW111</f>
        <v>1.3565417891096181</v>
      </c>
      <c r="CX86" s="342"/>
      <c r="CY86" s="344">
        <f>CY84/CY111</f>
        <v>0.47104863099460442</v>
      </c>
      <c r="CZ86" s="344">
        <f>CZ84/CZ111</f>
        <v>0.57198391463452947</v>
      </c>
      <c r="DA86" s="344">
        <f>DA84/DA111</f>
        <v>0.63611314150025688</v>
      </c>
      <c r="DB86" s="344">
        <f>DB84/DB111</f>
        <v>0.58487185092161043</v>
      </c>
      <c r="DC86" s="345">
        <f>DC84/DC111</f>
        <v>2.2651312337604095</v>
      </c>
      <c r="DD86" s="342"/>
      <c r="DE86" s="344">
        <f>DE84/DE111</f>
        <v>0.64670000989269716</v>
      </c>
      <c r="DF86" s="344">
        <f>DF84/DF111</f>
        <v>0.77743860666077214</v>
      </c>
      <c r="DG86" s="344">
        <f>DG84/DG111</f>
        <v>0.83997205647568562</v>
      </c>
      <c r="DH86" s="344">
        <f>DH84/DH111</f>
        <v>0.81927859361034672</v>
      </c>
      <c r="DI86" s="345">
        <f>DI84/DI111</f>
        <v>3.0861689123430511</v>
      </c>
      <c r="DJ86" s="342"/>
      <c r="DK86" s="344">
        <f>DK84/DK111</f>
        <v>0.84647222724164994</v>
      </c>
      <c r="DL86" s="344">
        <f>DL84/DL111</f>
        <v>0.99882888353518129</v>
      </c>
      <c r="DM86" s="344">
        <f>DM84/DM111</f>
        <v>1.0671594464389551</v>
      </c>
      <c r="DN86" s="344">
        <f>DN84/DN111</f>
        <v>1.0691999484002561</v>
      </c>
      <c r="DO86" s="345">
        <f>DO84/DO111</f>
        <v>3.9850583903997365</v>
      </c>
      <c r="DP86" s="719"/>
    </row>
    <row r="87" spans="1:127">
      <c r="A87" s="367" t="s">
        <v>871</v>
      </c>
      <c r="B87" s="368"/>
      <c r="C87" s="369" t="s">
        <v>88</v>
      </c>
      <c r="D87" s="369" t="s">
        <v>88</v>
      </c>
      <c r="E87" s="370" t="s">
        <v>88</v>
      </c>
      <c r="F87" s="371"/>
      <c r="G87" s="370" t="s">
        <v>88</v>
      </c>
      <c r="H87" s="370" t="s">
        <v>88</v>
      </c>
      <c r="I87" s="370" t="s">
        <v>88</v>
      </c>
      <c r="J87" s="370" t="s">
        <v>88</v>
      </c>
      <c r="K87" s="370" t="s">
        <v>88</v>
      </c>
      <c r="L87" s="371"/>
      <c r="M87" s="370" t="s">
        <v>88</v>
      </c>
      <c r="N87" s="370" t="s">
        <v>88</v>
      </c>
      <c r="O87" s="370" t="s">
        <v>88</v>
      </c>
      <c r="P87" s="370" t="s">
        <v>88</v>
      </c>
      <c r="Q87" s="370" t="s">
        <v>88</v>
      </c>
      <c r="R87" s="371"/>
      <c r="S87" s="370" t="s">
        <v>88</v>
      </c>
      <c r="T87" s="370" t="s">
        <v>88</v>
      </c>
      <c r="U87" s="370" t="s">
        <v>88</v>
      </c>
      <c r="V87" s="370" t="s">
        <v>88</v>
      </c>
      <c r="W87" s="370" t="s">
        <v>88</v>
      </c>
      <c r="X87" s="371"/>
      <c r="Y87" s="370">
        <f>Y86/S86-1</f>
        <v>7.1973056953736467</v>
      </c>
      <c r="Z87" s="370">
        <f>Z86/T86-1</f>
        <v>2.9343375528636217</v>
      </c>
      <c r="AA87" s="370">
        <f>AA86/U86-1</f>
        <v>1.8777483687881578</v>
      </c>
      <c r="AB87" s="370">
        <f>AB86/V86-1</f>
        <v>0.60385666552212225</v>
      </c>
      <c r="AC87" s="370">
        <f>AC86/W86-1</f>
        <v>1.7300231960166395</v>
      </c>
      <c r="AD87" s="372"/>
      <c r="AE87" s="370">
        <f>AE86/Y86-1</f>
        <v>0.16696224107597413</v>
      </c>
      <c r="AF87" s="370">
        <f>AF86/Z86-1</f>
        <v>0.29206861163709497</v>
      </c>
      <c r="AG87" s="370">
        <f>AG86/AA86-1</f>
        <v>0.15971668516191051</v>
      </c>
      <c r="AH87" s="370">
        <f>AH86/AB86-1</f>
        <v>0.2671427950593992</v>
      </c>
      <c r="AI87" s="373">
        <f>AI86/AC86-1</f>
        <v>0.22282406293576673</v>
      </c>
      <c r="AJ87" s="372"/>
      <c r="AK87" s="370">
        <f>AK86/AE86-1</f>
        <v>0.80633400708999492</v>
      </c>
      <c r="AL87" s="370">
        <f>AL86/AF86-1</f>
        <v>0.85759820422765576</v>
      </c>
      <c r="AM87" s="370">
        <f>AM86/AG86-1</f>
        <v>1.0281763530132548</v>
      </c>
      <c r="AN87" s="370">
        <f>AN86/AH86-1</f>
        <v>1.2172601275168211</v>
      </c>
      <c r="AO87" s="373">
        <f>AO86/AI86-1</f>
        <v>1.0000227594272659</v>
      </c>
      <c r="AP87" s="372"/>
      <c r="AQ87" s="370">
        <f>AQ86/AK86-1</f>
        <v>1.102460280848895</v>
      </c>
      <c r="AR87" s="370">
        <f>AR86/AL86-1</f>
        <v>0.59191483790179333</v>
      </c>
      <c r="AS87" s="370">
        <f>AS86/AM86-1</f>
        <v>0.46291415952470616</v>
      </c>
      <c r="AT87" s="370">
        <f>AT86/AN86-1</f>
        <v>0.68897099967761144</v>
      </c>
      <c r="AU87" s="373">
        <f>AU86/AO86-1</f>
        <v>0.66907823206847961</v>
      </c>
      <c r="AV87" s="372"/>
      <c r="AW87" s="370">
        <f>AW86/AQ86-1</f>
        <v>0.64796971669315306</v>
      </c>
      <c r="AX87" s="370">
        <f>AX86/AR86-1</f>
        <v>0.70940188241827262</v>
      </c>
      <c r="AY87" s="370">
        <f>AY86/AS86-1</f>
        <v>0.43353788315734576</v>
      </c>
      <c r="AZ87" s="370">
        <f>AZ86/AT86-1</f>
        <v>0.22377724459928783</v>
      </c>
      <c r="BA87" s="373">
        <f>BA86/AU86-1</f>
        <v>0.4842349605278955</v>
      </c>
      <c r="BB87" s="372"/>
      <c r="BC87" s="370">
        <f>BC86/AW86-1</f>
        <v>0.15917111953708685</v>
      </c>
      <c r="BD87" s="370">
        <f>BD86/AX86-1</f>
        <v>3.4598652432007215E-2</v>
      </c>
      <c r="BE87" s="370">
        <f>BE86/AY86-1</f>
        <v>0.23026001566416276</v>
      </c>
      <c r="BF87" s="370">
        <f>BF86/AZ86-1</f>
        <v>7.4384992477191547E-2</v>
      </c>
      <c r="BG87" s="373">
        <f>BG86/BA86-1</f>
        <v>0.11517784530212771</v>
      </c>
      <c r="BH87" s="372"/>
      <c r="BI87" s="370">
        <f>BI86/BC86-1</f>
        <v>-6.3846530299108473E-2</v>
      </c>
      <c r="BJ87" s="370">
        <f>BJ86/BD86-1</f>
        <v>4.0302474960886681E-2</v>
      </c>
      <c r="BK87" s="370">
        <f>BK86/BE86-1</f>
        <v>6.4954248993627006E-2</v>
      </c>
      <c r="BL87" s="370">
        <f>BL86/BF86-1</f>
        <v>0.41450111895022324</v>
      </c>
      <c r="BM87" s="373">
        <f>BM86/BG86-1</f>
        <v>0.10781209608002462</v>
      </c>
      <c r="BN87" s="372"/>
      <c r="BO87" s="370">
        <f>BO86/BI86-1</f>
        <v>0.3187151631128271</v>
      </c>
      <c r="BP87" s="370">
        <f>BP86/BJ86-1</f>
        <v>0.38291811055128155</v>
      </c>
      <c r="BQ87" s="370">
        <f>BQ86/BK86-1</f>
        <v>-3.9980473709653297E-2</v>
      </c>
      <c r="BR87" s="370">
        <f>BR86/BL86-1</f>
        <v>0.16759121033954472</v>
      </c>
      <c r="BS87" s="373">
        <f>BS86/BM86-1</f>
        <v>0.20238717943766948</v>
      </c>
      <c r="BT87" s="372"/>
      <c r="BU87" s="370">
        <f>BU86/BO86-1</f>
        <v>5.0184543773635459E-2</v>
      </c>
      <c r="BV87" s="370">
        <f>BV86/BP86-1</f>
        <v>-0.13200885310063659</v>
      </c>
      <c r="BW87" s="370">
        <f>BW86/BQ86-1</f>
        <v>8.803624024026413E-2</v>
      </c>
      <c r="BX87" s="370">
        <f>BX86/BR86-1</f>
        <v>-0.43042982958009246</v>
      </c>
      <c r="BY87" s="373">
        <f>BY86/BS86-1</f>
        <v>-0.14076194587375956</v>
      </c>
      <c r="BZ87" s="372"/>
      <c r="CA87" s="370">
        <f>CA86/BU86-1</f>
        <v>9.5718864138401694E-2</v>
      </c>
      <c r="CB87" s="370">
        <f>CB86/BV86-1</f>
        <v>0.4677147338424914</v>
      </c>
      <c r="CC87" s="370">
        <f>CC86/BW86-1</f>
        <v>0.57928622061417112</v>
      </c>
      <c r="CD87" s="370">
        <f>CD86/BX86-1</f>
        <v>0.98400224976427997</v>
      </c>
      <c r="CE87" s="373">
        <f>CE86/BY86-1</f>
        <v>0.50190349504837806</v>
      </c>
      <c r="CF87" s="372"/>
      <c r="CG87" s="370">
        <f>CG86/CA86-1</f>
        <v>0.52015624845428854</v>
      </c>
      <c r="CH87" s="370">
        <f>CH86/CB86-1</f>
        <v>0.44163904334716331</v>
      </c>
      <c r="CI87" s="370">
        <f>CI86/CC86-1</f>
        <v>0.45872187390198693</v>
      </c>
      <c r="CJ87" s="370">
        <f>CJ86/CD86-1</f>
        <v>0.32452693668615118</v>
      </c>
      <c r="CK87" s="373">
        <f>CK86/CE86-1</f>
        <v>0.43081473194112774</v>
      </c>
      <c r="CL87" s="372"/>
      <c r="CM87" s="370">
        <f>CM86/CG86-1</f>
        <v>0.49579719216884355</v>
      </c>
      <c r="CN87" s="370">
        <f>CN86/CH86-1</f>
        <v>0.28416101750062217</v>
      </c>
      <c r="CO87" s="370">
        <f>CO86/CI86-1</f>
        <v>0.16988647398189283</v>
      </c>
      <c r="CP87" s="370">
        <f>CP86/CJ86-1</f>
        <v>0.45401862655821423</v>
      </c>
      <c r="CQ87" s="373">
        <f>CQ86/CK86-1</f>
        <v>0.34132937936032204</v>
      </c>
      <c r="CR87" s="372"/>
      <c r="CS87" s="370">
        <f>CS86/CM86-1</f>
        <v>0.17720270276234551</v>
      </c>
      <c r="CT87" s="370">
        <f>CT86/CN86-1</f>
        <v>0.34874296333907129</v>
      </c>
      <c r="CU87" s="370">
        <f>CU86/CO86-1</f>
        <v>0.58841028434703957</v>
      </c>
      <c r="CV87" s="370">
        <f>CV86/CP86-1</f>
        <v>0.27249610201652752</v>
      </c>
      <c r="CW87" s="373">
        <f>CW86/CQ86-1</f>
        <v>0.34585544277228775</v>
      </c>
      <c r="CX87" s="372"/>
      <c r="CY87" s="370">
        <f>CY86/CS86-1</f>
        <v>0.64037742595068581</v>
      </c>
      <c r="CZ87" s="370">
        <f>CZ86/CT86-1</f>
        <v>0.73184110934761248</v>
      </c>
      <c r="DA87" s="370">
        <f>DA86/CU86-1</f>
        <v>0.65096267610504088</v>
      </c>
      <c r="DB87" s="370">
        <f>DB86/CV86-1</f>
        <v>0.66502217120120499</v>
      </c>
      <c r="DC87" s="373">
        <f>DC86/CW86-1</f>
        <v>0.66978360117247449</v>
      </c>
      <c r="DD87" s="372"/>
      <c r="DE87" s="370">
        <f>DE86/CY86-1</f>
        <v>0.37289436236596285</v>
      </c>
      <c r="DF87" s="370">
        <f>DF86/CZ86-1</f>
        <v>0.35919662558608567</v>
      </c>
      <c r="DG87" s="370">
        <f>DG86/DA86-1</f>
        <v>0.32047587398466981</v>
      </c>
      <c r="DH87" s="370">
        <f>DH86/DB86-1</f>
        <v>0.40078308148933894</v>
      </c>
      <c r="DI87" s="2024">
        <f>DI86/DC86-1</f>
        <v>0.3624680399729483</v>
      </c>
      <c r="DJ87" s="372"/>
      <c r="DK87" s="370">
        <f>DK86/DE86-1</f>
        <v>0.30891018137157555</v>
      </c>
      <c r="DL87" s="370">
        <f>DL86/DF86-1</f>
        <v>0.28476882287248007</v>
      </c>
      <c r="DM87" s="370">
        <f>DM86/DG86-1</f>
        <v>0.27047017601572532</v>
      </c>
      <c r="DN87" s="370">
        <f>DN86/DH86-1</f>
        <v>0.30505051241308689</v>
      </c>
      <c r="DO87" s="373">
        <f>DO86/DI86-1</f>
        <v>0.29126386260376114</v>
      </c>
      <c r="DP87" s="260"/>
      <c r="DW87" s="2023"/>
    </row>
    <row r="88" spans="1:127" ht="5.25" hidden="1" customHeight="1" outlineLevel="1">
      <c r="A88" s="713"/>
      <c r="B88" s="316"/>
      <c r="C88" s="268"/>
      <c r="D88" s="268"/>
      <c r="E88" s="714"/>
      <c r="F88" s="260"/>
      <c r="G88" s="714"/>
      <c r="H88" s="714"/>
      <c r="I88" s="714"/>
      <c r="J88" s="714"/>
      <c r="K88" s="714"/>
      <c r="L88" s="260"/>
      <c r="M88" s="714"/>
      <c r="N88" s="714"/>
      <c r="O88" s="714"/>
      <c r="P88" s="714"/>
      <c r="Q88" s="714"/>
      <c r="R88" s="260"/>
      <c r="S88" s="714"/>
      <c r="T88" s="714"/>
      <c r="U88" s="714"/>
      <c r="V88" s="714"/>
      <c r="W88" s="714"/>
      <c r="X88" s="260"/>
      <c r="Y88" s="714"/>
      <c r="Z88" s="714"/>
      <c r="AA88" s="714"/>
      <c r="AB88" s="714"/>
      <c r="AC88" s="714"/>
      <c r="AD88" s="279"/>
      <c r="AE88" s="714"/>
      <c r="AF88" s="714"/>
      <c r="AG88" s="714"/>
      <c r="AH88" s="714"/>
      <c r="AI88" s="715"/>
      <c r="AJ88" s="279"/>
      <c r="AK88" s="714"/>
      <c r="AL88" s="714"/>
      <c r="AM88" s="714"/>
      <c r="AN88" s="714"/>
      <c r="AO88" s="715"/>
      <c r="AP88" s="279"/>
      <c r="AQ88" s="714"/>
      <c r="AR88" s="714"/>
      <c r="AS88" s="714"/>
      <c r="AT88" s="714"/>
      <c r="AU88" s="715"/>
      <c r="AV88" s="279"/>
      <c r="AW88" s="714"/>
      <c r="AX88" s="714"/>
      <c r="AY88" s="714"/>
      <c r="AZ88" s="714"/>
      <c r="BA88" s="715"/>
      <c r="BB88" s="279"/>
      <c r="BC88" s="714"/>
      <c r="BD88" s="714"/>
      <c r="BE88" s="714"/>
      <c r="BF88" s="714"/>
      <c r="BG88" s="715"/>
      <c r="BH88" s="279"/>
      <c r="BI88" s="714"/>
      <c r="BJ88" s="714"/>
      <c r="BK88" s="714"/>
      <c r="BL88" s="714"/>
      <c r="BM88" s="715"/>
      <c r="BN88" s="279"/>
      <c r="BO88" s="714"/>
      <c r="BP88" s="714"/>
      <c r="BQ88" s="714"/>
      <c r="BR88" s="714"/>
      <c r="BS88" s="715"/>
      <c r="BT88" s="279"/>
      <c r="BU88" s="714"/>
      <c r="BV88" s="714"/>
      <c r="BW88" s="714"/>
      <c r="BX88" s="714"/>
      <c r="BY88" s="715"/>
      <c r="BZ88" s="279"/>
      <c r="CA88" s="714"/>
      <c r="CB88" s="714"/>
      <c r="CC88" s="714"/>
      <c r="CD88" s="714"/>
      <c r="CE88" s="715"/>
      <c r="CF88" s="279"/>
      <c r="CG88" s="714"/>
      <c r="CH88" s="714"/>
      <c r="CI88" s="714"/>
      <c r="CJ88" s="714"/>
      <c r="CK88" s="715"/>
      <c r="CL88" s="279"/>
      <c r="CM88" s="714"/>
      <c r="CN88" s="714"/>
      <c r="CO88" s="714"/>
      <c r="CP88" s="714"/>
      <c r="CQ88" s="715"/>
      <c r="CR88" s="279"/>
      <c r="CS88" s="714"/>
      <c r="CT88" s="714"/>
      <c r="CU88" s="714"/>
      <c r="CV88" s="714"/>
      <c r="CW88" s="715"/>
      <c r="CX88" s="279"/>
      <c r="CY88" s="714"/>
      <c r="CZ88" s="714"/>
      <c r="DA88" s="714"/>
      <c r="DB88" s="714"/>
      <c r="DC88" s="715"/>
      <c r="DD88" s="279"/>
      <c r="DE88" s="714"/>
      <c r="DF88" s="714"/>
      <c r="DG88" s="714"/>
      <c r="DH88" s="714"/>
      <c r="DI88" s="715"/>
      <c r="DJ88" s="279"/>
      <c r="DK88" s="714"/>
      <c r="DL88" s="714"/>
      <c r="DM88" s="714"/>
      <c r="DN88" s="714"/>
      <c r="DO88" s="715"/>
      <c r="DP88" s="260"/>
    </row>
    <row r="89" spans="1:127" ht="12.75" hidden="1" customHeight="1" outlineLevel="1">
      <c r="A89" s="718" t="s">
        <v>651</v>
      </c>
      <c r="B89" s="719"/>
      <c r="C89" s="720">
        <f>C84/C112</f>
        <v>-0.54520000000000002</v>
      </c>
      <c r="D89" s="720">
        <f>D84/D112</f>
        <v>-3.901489626716788</v>
      </c>
      <c r="E89" s="720">
        <f>E84/E112</f>
        <v>-0.99586482247255104</v>
      </c>
      <c r="F89" s="721"/>
      <c r="G89" s="720">
        <f>G84/G112</f>
        <v>-6.2695673115517436E-2</v>
      </c>
      <c r="H89" s="720">
        <f>H84/H112</f>
        <v>-4.3516908212560358E-2</v>
      </c>
      <c r="I89" s="720">
        <f>I84/I112</f>
        <v>-0.17986921304897083</v>
      </c>
      <c r="J89" s="720">
        <f>J84/J112</f>
        <v>-7.8680385667002431E-2</v>
      </c>
      <c r="K89" s="720">
        <f>SUM(G89:J89)</f>
        <v>-0.36476218004405103</v>
      </c>
      <c r="L89" s="721"/>
      <c r="M89" s="722">
        <f>M84/M112</f>
        <v>1.2840195394277783E-2</v>
      </c>
      <c r="N89" s="722">
        <f>N84/N112</f>
        <v>4.1717959239502243E-3</v>
      </c>
      <c r="O89" s="722">
        <f>O84/O112</f>
        <v>-3.3293133418535086E-3</v>
      </c>
      <c r="P89" s="722">
        <f>P84/P112</f>
        <v>4.3113303066923169E-3</v>
      </c>
      <c r="Q89" s="722">
        <f>SUM(M89:P89)</f>
        <v>1.7994008283066815E-2</v>
      </c>
      <c r="R89" s="721"/>
      <c r="S89" s="722">
        <f>S84/S112</f>
        <v>3.4476773542034891E-3</v>
      </c>
      <c r="T89" s="722">
        <f>T84/T112</f>
        <v>4.5331969499721554E-3</v>
      </c>
      <c r="U89" s="722">
        <f>U84/U112</f>
        <v>5.2595835328375935E-3</v>
      </c>
      <c r="V89" s="722">
        <f>V84/V112</f>
        <v>8.6653521235670432E-3</v>
      </c>
      <c r="W89" s="722">
        <f>SUM(S89:V89)</f>
        <v>2.190580996058028E-2</v>
      </c>
      <c r="X89" s="721"/>
      <c r="Y89" s="722">
        <f>Y84/Y112</f>
        <v>9.8649509128405904E-3</v>
      </c>
      <c r="Z89" s="722">
        <f>Z84/Z112</f>
        <v>1.1818335303055877E-2</v>
      </c>
      <c r="AA89" s="722">
        <f>AA84/AA112</f>
        <v>1.4677911691299915E-2</v>
      </c>
      <c r="AB89" s="722">
        <f>AB84/AB112</f>
        <v>1.3606048147640538E-2</v>
      </c>
      <c r="AC89" s="722">
        <f>SUM(Y89:AB89)</f>
        <v>4.996724605483692E-2</v>
      </c>
      <c r="AD89" s="720"/>
      <c r="AE89" s="722">
        <f>AE84/AE112</f>
        <v>1.1245347296700528E-2</v>
      </c>
      <c r="AF89" s="722">
        <f>AF84/AF112</f>
        <v>1.4661832293138286E-2</v>
      </c>
      <c r="AG89" s="722">
        <f>AG84/AG112</f>
        <v>1.6475018556048621E-2</v>
      </c>
      <c r="AH89" s="722">
        <f>AH84/AH112</f>
        <v>1.660504327790106E-2</v>
      </c>
      <c r="AI89" s="723">
        <f>SUM(AE89:AH89)</f>
        <v>5.89872414237885E-2</v>
      </c>
      <c r="AJ89" s="720"/>
      <c r="AK89" s="722">
        <f>AK84/AK112</f>
        <v>1.97263603711724E-2</v>
      </c>
      <c r="AL89" s="722">
        <f>AL84/AL112</f>
        <v>2.6745038437064706E-2</v>
      </c>
      <c r="AM89" s="722">
        <f>AM84/AM112</f>
        <v>3.2620157513835693E-2</v>
      </c>
      <c r="AN89" s="722">
        <f>AN84/AN112</f>
        <v>3.6035804549283901E-2</v>
      </c>
      <c r="AO89" s="723">
        <f>SUM(AK89:AN89)</f>
        <v>0.11512736087135669</v>
      </c>
      <c r="AP89" s="720"/>
      <c r="AQ89" s="722">
        <f>AQ84/AQ112</f>
        <v>4.108897243107771E-2</v>
      </c>
      <c r="AR89" s="722">
        <f>AR84/AR112</f>
        <v>4.2525922853587736E-2</v>
      </c>
      <c r="AS89" s="722">
        <f>AS84/AS112</f>
        <v>4.7210128343810186E-2</v>
      </c>
      <c r="AT89" s="722">
        <f>AT84/AT112</f>
        <v>5.9417086605110553E-2</v>
      </c>
      <c r="AU89" s="723">
        <f>SUM(AQ89:AT89)</f>
        <v>0.1902421102335862</v>
      </c>
      <c r="AV89" s="720"/>
      <c r="AW89" s="722">
        <f>AW84/AW112</f>
        <v>6.6280903527425591E-2</v>
      </c>
      <c r="AX89" s="722">
        <f>AX84/AX112</f>
        <v>7.1288697253040073E-2</v>
      </c>
      <c r="AY89" s="722">
        <f>AY84/AY112</f>
        <v>6.7897134737197024E-2</v>
      </c>
      <c r="AZ89" s="722">
        <f>AZ84/AZ112</f>
        <v>7.4005267952628045E-2</v>
      </c>
      <c r="BA89" s="723">
        <f>SUM(AW89:AZ89)</f>
        <v>0.27947200347029072</v>
      </c>
      <c r="BB89" s="720"/>
      <c r="BC89" s="722">
        <f>BC84/BC112</f>
        <v>7.8005889152711921E-2</v>
      </c>
      <c r="BD89" s="722">
        <f>BD84/BD112</f>
        <v>7.4798010226939202E-2</v>
      </c>
      <c r="BE89" s="722">
        <f>BE84/BE112</f>
        <v>8.4715558339954769E-2</v>
      </c>
      <c r="BF89" s="722">
        <f>BF84/BF112</f>
        <v>8.1359940760442492E-2</v>
      </c>
      <c r="BG89" s="723">
        <f>SUM(BC89:BF89)</f>
        <v>0.31887939848004837</v>
      </c>
      <c r="BH89" s="720"/>
      <c r="BI89" s="722">
        <f>BI84/BI112</f>
        <v>7.4726122858812818E-2</v>
      </c>
      <c r="BJ89" s="722">
        <f>BJ84/BJ112</f>
        <v>7.9726558741015516E-2</v>
      </c>
      <c r="BK89" s="722">
        <f>BK84/BK112</f>
        <v>9.017681656569515E-2</v>
      </c>
      <c r="BL89" s="722">
        <f>BL84/BL112</f>
        <v>0.11269382679929793</v>
      </c>
      <c r="BM89" s="723">
        <f>SUM(BI89:BL89)</f>
        <v>0.35732332496482144</v>
      </c>
      <c r="BN89" s="720"/>
      <c r="BO89" s="722">
        <f>BO84/BO112</f>
        <v>9.8559536735432593E-2</v>
      </c>
      <c r="BP89" s="722">
        <f>BP84/BP112</f>
        <v>0.10886856733010571</v>
      </c>
      <c r="BQ89" s="722">
        <f>BQ84/BQ112</f>
        <v>8.727136558300444E-2</v>
      </c>
      <c r="BR89" s="722">
        <f>BR84/BR112</f>
        <v>0.13404842381182328</v>
      </c>
      <c r="BS89" s="723">
        <f>SUM(BO89:BR89)</f>
        <v>0.42874789346036601</v>
      </c>
      <c r="BT89" s="720"/>
      <c r="BU89" s="722">
        <f>BU84/BU112</f>
        <v>0.10361243063640296</v>
      </c>
      <c r="BV89" s="722">
        <f>BV84/BV112</f>
        <v>9.4779907568755567E-2</v>
      </c>
      <c r="BW89" s="722">
        <f>BW84/BW112</f>
        <v>9.5938661075462686E-2</v>
      </c>
      <c r="BX89" s="722">
        <f>BX84/BX112</f>
        <v>7.7359254759011703E-2</v>
      </c>
      <c r="BY89" s="723">
        <f>SUM(BU89:BX89)</f>
        <v>0.37169025403963296</v>
      </c>
      <c r="BZ89" s="720"/>
      <c r="CA89" s="722">
        <f>CA84/CA112</f>
        <v>0.11349328666213909</v>
      </c>
      <c r="CB89" s="722">
        <f>CB84/CB112</f>
        <v>0.13886998068121442</v>
      </c>
      <c r="CC89" s="722">
        <f>CC84/CC112</f>
        <v>0.14868604141383976</v>
      </c>
      <c r="CD89" s="722">
        <f>CD84/CD112</f>
        <v>0.14559986441082243</v>
      </c>
      <c r="CE89" s="723">
        <f>SUM(CA89:CD89)</f>
        <v>0.54664917316801565</v>
      </c>
      <c r="CF89" s="720"/>
      <c r="CG89" s="722">
        <f>CG84/CG112</f>
        <v>0.16569823908817444</v>
      </c>
      <c r="CH89" s="722">
        <f>CH84/CH112</f>
        <v>0.19452474043247564</v>
      </c>
      <c r="CI89" s="722">
        <f>CI84/CI112</f>
        <v>0.21158927982581738</v>
      </c>
      <c r="CJ89" s="722">
        <f>CJ84/CJ112</f>
        <v>0.19380740630021356</v>
      </c>
      <c r="CK89" s="723">
        <f>SUM(CG89:CJ89)</f>
        <v>0.76561966564668094</v>
      </c>
      <c r="CL89" s="720"/>
      <c r="CM89" s="722">
        <f>CM84/CM112</f>
        <v>0.24727607104797819</v>
      </c>
      <c r="CN89" s="722">
        <f>CN84/CN112</f>
        <v>0.25021214870670005</v>
      </c>
      <c r="CO89" s="722">
        <f>CO84/CO112</f>
        <v>0.24756976427582431</v>
      </c>
      <c r="CP89" s="722">
        <f>CP84/CP112</f>
        <v>0.28006801770057893</v>
      </c>
      <c r="CQ89" s="723">
        <f>SUM(CM89:CP89)</f>
        <v>1.0251260017310815</v>
      </c>
      <c r="CR89" s="720"/>
      <c r="CS89" s="722">
        <f>CS84/CS112</f>
        <v>0.28715868893502161</v>
      </c>
      <c r="CT89" s="722">
        <f>CT84/CT112</f>
        <v>0.33832135599314062</v>
      </c>
      <c r="CU89" s="722">
        <f>CU84/CU112</f>
        <v>0.39639414868038658</v>
      </c>
      <c r="CV89" s="722">
        <f>CV84/CV112</f>
        <v>0.36356053565189522</v>
      </c>
      <c r="CW89" s="723">
        <f>SUM(CS89:CV89)</f>
        <v>1.3854347292604439</v>
      </c>
      <c r="CX89" s="720"/>
      <c r="CY89" s="722">
        <f>CY84/CY112</f>
        <v>0.48736436464260213</v>
      </c>
      <c r="CZ89" s="722">
        <f>CZ84/CZ112</f>
        <v>0.59160131760589341</v>
      </c>
      <c r="DA89" s="722">
        <f>DA84/DA112</f>
        <v>0.65788578407532217</v>
      </c>
      <c r="DB89" s="722">
        <f>DB84/DB112</f>
        <v>0.60485014291594941</v>
      </c>
      <c r="DC89" s="723">
        <f>SUM(CY89:DB89)</f>
        <v>2.3417016092397676</v>
      </c>
      <c r="DD89" s="720"/>
      <c r="DE89" s="722">
        <f>DE84/DE112</f>
        <v>0.66865704594047115</v>
      </c>
      <c r="DF89" s="722">
        <f>DF84/DF112</f>
        <v>0.80357188954895009</v>
      </c>
      <c r="DG89" s="722">
        <f>DG84/DG112</f>
        <v>0.86792919538527458</v>
      </c>
      <c r="DH89" s="722">
        <f>DH84/DH112</f>
        <v>0.84628095032749207</v>
      </c>
      <c r="DI89" s="723">
        <f>SUM(DE89:DH89)</f>
        <v>3.1864390812021877</v>
      </c>
      <c r="DJ89" s="720"/>
      <c r="DK89" s="722">
        <f>DK84/DK112</f>
        <v>0.87410129883150078</v>
      </c>
      <c r="DL89" s="722">
        <f>DL84/DL112</f>
        <v>1.0311189344725096</v>
      </c>
      <c r="DM89" s="722">
        <f>DM84/DM112</f>
        <v>1.1013314766372793</v>
      </c>
      <c r="DN89" s="722">
        <f>DN84/DN112</f>
        <v>1.1031158408479775</v>
      </c>
      <c r="DO89" s="723">
        <f>SUM(DK89:DN89)</f>
        <v>4.1096675507892675</v>
      </c>
      <c r="DP89" s="721"/>
    </row>
    <row r="90" spans="1:127" ht="5.25" customHeight="1" collapsed="1">
      <c r="A90" s="255"/>
      <c r="B90" s="313"/>
      <c r="C90" s="307"/>
      <c r="D90" s="307"/>
      <c r="E90" s="307"/>
      <c r="F90" s="307"/>
      <c r="G90" s="307"/>
      <c r="H90" s="307"/>
      <c r="I90" s="307"/>
      <c r="J90" s="307"/>
      <c r="K90" s="307"/>
      <c r="L90" s="307"/>
      <c r="M90" s="307"/>
      <c r="N90" s="307"/>
      <c r="O90" s="307"/>
      <c r="P90" s="307"/>
      <c r="Q90" s="307"/>
      <c r="R90" s="307"/>
      <c r="S90" s="307"/>
      <c r="T90" s="307"/>
      <c r="U90" s="307"/>
      <c r="V90" s="307"/>
      <c r="W90" s="307"/>
      <c r="X90" s="307"/>
      <c r="Y90" s="307"/>
      <c r="Z90" s="307"/>
      <c r="AA90" s="307"/>
      <c r="AB90" s="307"/>
      <c r="AC90" s="307"/>
      <c r="AD90" s="307"/>
      <c r="AE90" s="307"/>
      <c r="AF90" s="307"/>
      <c r="AG90" s="307"/>
      <c r="AH90" s="307"/>
      <c r="AI90" s="315"/>
      <c r="AJ90" s="307"/>
      <c r="AK90" s="307"/>
      <c r="AL90" s="307"/>
      <c r="AM90" s="307"/>
      <c r="AN90" s="307"/>
      <c r="AO90" s="315"/>
      <c r="AP90" s="307"/>
      <c r="AQ90" s="307"/>
      <c r="AR90" s="307"/>
      <c r="AS90" s="307"/>
      <c r="AT90" s="307"/>
      <c r="AU90" s="315"/>
      <c r="AV90" s="307"/>
      <c r="AW90" s="307"/>
      <c r="AX90" s="307"/>
      <c r="AY90" s="307"/>
      <c r="AZ90" s="307"/>
      <c r="BA90" s="315"/>
      <c r="BB90" s="307"/>
      <c r="BC90" s="307"/>
      <c r="BD90" s="307"/>
      <c r="BE90" s="307"/>
      <c r="BF90" s="307"/>
      <c r="BG90" s="315"/>
      <c r="BH90" s="307"/>
      <c r="BI90" s="307"/>
      <c r="BJ90" s="307"/>
      <c r="BK90" s="307"/>
      <c r="BL90" s="307"/>
      <c r="BM90" s="315"/>
      <c r="BN90" s="307"/>
      <c r="BO90" s="307"/>
      <c r="BP90" s="307"/>
      <c r="BQ90" s="307"/>
      <c r="BR90" s="307"/>
      <c r="BS90" s="315"/>
      <c r="BT90" s="307"/>
      <c r="BU90" s="307"/>
      <c r="BV90" s="307"/>
      <c r="BW90" s="307"/>
      <c r="BX90" s="307"/>
      <c r="BY90" s="315"/>
      <c r="BZ90" s="307"/>
      <c r="CA90" s="307"/>
      <c r="CB90" s="307"/>
      <c r="CC90" s="307"/>
      <c r="CD90" s="307"/>
      <c r="CE90" s="315"/>
      <c r="CF90" s="307"/>
      <c r="CG90" s="307"/>
      <c r="CH90" s="307"/>
      <c r="CI90" s="307"/>
      <c r="CJ90" s="307"/>
      <c r="CK90" s="315"/>
      <c r="CL90" s="307"/>
      <c r="CM90" s="307"/>
      <c r="CN90" s="307"/>
      <c r="CO90" s="307"/>
      <c r="CP90" s="307"/>
      <c r="CQ90" s="315"/>
      <c r="CR90" s="307"/>
      <c r="CS90" s="307"/>
      <c r="CT90" s="307"/>
      <c r="CU90" s="307"/>
      <c r="CV90" s="307"/>
      <c r="CW90" s="315"/>
      <c r="CX90" s="307"/>
      <c r="CY90" s="307"/>
      <c r="CZ90" s="307"/>
      <c r="DA90" s="307"/>
      <c r="DB90" s="307"/>
      <c r="DC90" s="315"/>
      <c r="DD90" s="307"/>
      <c r="DE90" s="307"/>
      <c r="DF90" s="307"/>
      <c r="DG90" s="307"/>
      <c r="DH90" s="307"/>
      <c r="DI90" s="315"/>
      <c r="DJ90" s="307"/>
      <c r="DK90" s="307"/>
      <c r="DL90" s="307"/>
      <c r="DM90" s="307"/>
      <c r="DN90" s="307"/>
      <c r="DO90" s="315"/>
      <c r="DP90" s="669"/>
    </row>
    <row r="91" spans="1:127" ht="11.25" hidden="1" customHeight="1" outlineLevel="1">
      <c r="A91" s="724" t="s">
        <v>127</v>
      </c>
      <c r="B91" s="313"/>
      <c r="C91" s="307"/>
      <c r="D91" s="307"/>
      <c r="E91" s="307"/>
      <c r="F91" s="307"/>
      <c r="G91" s="307"/>
      <c r="H91" s="307"/>
      <c r="I91" s="307"/>
      <c r="J91" s="307"/>
      <c r="K91" s="307"/>
      <c r="L91" s="307"/>
      <c r="M91" s="307"/>
      <c r="N91" s="307"/>
      <c r="O91" s="307"/>
      <c r="P91" s="307"/>
      <c r="Q91" s="307"/>
      <c r="R91" s="307"/>
      <c r="S91" s="307"/>
      <c r="T91" s="307"/>
      <c r="U91" s="307"/>
      <c r="V91" s="307"/>
      <c r="W91" s="307"/>
      <c r="X91" s="307"/>
      <c r="Y91" s="307"/>
      <c r="Z91" s="307"/>
      <c r="AA91" s="307"/>
      <c r="AB91" s="307"/>
      <c r="AC91" s="307"/>
      <c r="AD91" s="307"/>
      <c r="AE91" s="307"/>
      <c r="AF91" s="307"/>
      <c r="AG91" s="307"/>
      <c r="AH91" s="307"/>
      <c r="AI91" s="315"/>
      <c r="AJ91" s="307"/>
      <c r="AK91" s="307"/>
      <c r="AL91" s="307"/>
      <c r="AM91" s="307"/>
      <c r="AN91" s="307"/>
      <c r="AO91" s="315"/>
      <c r="AP91" s="307"/>
      <c r="AQ91" s="307"/>
      <c r="AR91" s="307"/>
      <c r="AS91" s="307"/>
      <c r="AT91" s="307"/>
      <c r="AU91" s="315"/>
      <c r="AV91" s="307"/>
      <c r="AW91" s="307"/>
      <c r="AX91" s="307"/>
      <c r="AY91" s="307"/>
      <c r="AZ91" s="307"/>
      <c r="BA91" s="315"/>
      <c r="BB91" s="307"/>
      <c r="BC91" s="307"/>
      <c r="BD91" s="307"/>
      <c r="BE91" s="307"/>
      <c r="BF91" s="307"/>
      <c r="BG91" s="315"/>
      <c r="BH91" s="307"/>
      <c r="BI91" s="307"/>
      <c r="BJ91" s="307"/>
      <c r="BK91" s="307"/>
      <c r="BL91" s="307"/>
      <c r="BM91" s="315"/>
      <c r="BN91" s="307"/>
      <c r="BO91" s="307"/>
      <c r="BP91" s="307"/>
      <c r="BQ91" s="307"/>
      <c r="BR91" s="307"/>
      <c r="BS91" s="315"/>
      <c r="BT91" s="307"/>
      <c r="BU91" s="307"/>
      <c r="BV91" s="307"/>
      <c r="BW91" s="307"/>
      <c r="BX91" s="307"/>
      <c r="BY91" s="315"/>
      <c r="BZ91" s="307"/>
      <c r="CA91" s="307"/>
      <c r="CB91" s="307"/>
      <c r="CC91" s="307"/>
      <c r="CD91" s="307"/>
      <c r="CE91" s="315"/>
      <c r="CF91" s="307"/>
      <c r="CG91" s="307"/>
      <c r="CH91" s="307"/>
      <c r="CI91" s="307"/>
      <c r="CJ91" s="307"/>
      <c r="CK91" s="315"/>
      <c r="CL91" s="307"/>
      <c r="CM91" s="307"/>
      <c r="CN91" s="307"/>
      <c r="CO91" s="307"/>
      <c r="CP91" s="307"/>
      <c r="CQ91" s="315"/>
      <c r="CR91" s="307"/>
      <c r="CS91" s="307"/>
      <c r="CT91" s="307"/>
      <c r="CU91" s="307"/>
      <c r="CV91" s="307"/>
      <c r="CW91" s="315"/>
      <c r="CX91" s="307"/>
      <c r="CY91" s="307"/>
      <c r="CZ91" s="307"/>
      <c r="DA91" s="307"/>
      <c r="DB91" s="307"/>
      <c r="DC91" s="315"/>
      <c r="DD91" s="307"/>
      <c r="DE91" s="307"/>
      <c r="DF91" s="307"/>
      <c r="DG91" s="307"/>
      <c r="DH91" s="307"/>
      <c r="DI91" s="315"/>
      <c r="DJ91" s="307"/>
      <c r="DK91" s="307"/>
      <c r="DL91" s="307"/>
      <c r="DM91" s="307"/>
      <c r="DN91" s="307"/>
      <c r="DO91" s="315"/>
      <c r="DP91" s="669"/>
    </row>
    <row r="92" spans="1:127" ht="11.25" hidden="1" customHeight="1" outlineLevel="1">
      <c r="A92" s="724" t="s">
        <v>258</v>
      </c>
      <c r="B92" s="313"/>
      <c r="C92" s="307"/>
      <c r="D92" s="307"/>
      <c r="E92" s="307"/>
      <c r="F92" s="307"/>
      <c r="G92" s="307"/>
      <c r="H92" s="307"/>
      <c r="I92" s="307"/>
      <c r="J92" s="307"/>
      <c r="K92" s="307"/>
      <c r="L92" s="307"/>
      <c r="M92" s="307"/>
      <c r="N92" s="307"/>
      <c r="O92" s="307"/>
      <c r="P92" s="307"/>
      <c r="Q92" s="307"/>
      <c r="R92" s="307"/>
      <c r="S92" s="307"/>
      <c r="T92" s="307"/>
      <c r="U92" s="307"/>
      <c r="V92" s="307"/>
      <c r="W92" s="307"/>
      <c r="X92" s="307"/>
      <c r="Y92" s="307"/>
      <c r="Z92" s="307"/>
      <c r="AA92" s="307"/>
      <c r="AB92" s="307"/>
      <c r="AC92" s="307"/>
      <c r="AD92" s="307"/>
      <c r="AE92" s="307"/>
      <c r="AF92" s="307"/>
      <c r="AG92" s="307"/>
      <c r="AH92" s="307"/>
      <c r="AI92" s="315"/>
      <c r="AJ92" s="307"/>
      <c r="AK92" s="307"/>
      <c r="AL92" s="307"/>
      <c r="AM92" s="307"/>
      <c r="AN92" s="307"/>
      <c r="AO92" s="315"/>
      <c r="AP92" s="307"/>
      <c r="AQ92" s="307"/>
      <c r="AR92" s="307"/>
      <c r="AS92" s="307"/>
      <c r="AT92" s="307"/>
      <c r="AU92" s="315"/>
      <c r="AV92" s="307"/>
      <c r="AW92" s="288">
        <f>AW56</f>
        <v>21.663</v>
      </c>
      <c r="AX92" s="288">
        <f>AX56</f>
        <v>20.877000000000002</v>
      </c>
      <c r="AY92" s="288">
        <f>AY56</f>
        <v>20.407</v>
      </c>
      <c r="AZ92" s="725">
        <f>AZ56</f>
        <v>25.945</v>
      </c>
      <c r="BA92" s="544">
        <f>BA56</f>
        <v>88.891999999999996</v>
      </c>
      <c r="BB92" s="307"/>
      <c r="BC92" s="288">
        <f>BC56</f>
        <v>26.468000000000004</v>
      </c>
      <c r="BD92" s="288">
        <f>BD56</f>
        <v>26.615000000000002</v>
      </c>
      <c r="BE92" s="288">
        <f>BE56</f>
        <v>25.631999999999998</v>
      </c>
      <c r="BF92" s="725">
        <f>BF56</f>
        <v>41.713999999999999</v>
      </c>
      <c r="BG92" s="544">
        <f>BG56</f>
        <v>120.429</v>
      </c>
      <c r="BH92" s="307"/>
      <c r="BI92" s="288">
        <f>BI56</f>
        <v>47.558</v>
      </c>
      <c r="BJ92" s="288">
        <f>BJ56</f>
        <v>54.594000000000001</v>
      </c>
      <c r="BK92" s="288">
        <f>BK56</f>
        <v>57.006</v>
      </c>
      <c r="BL92" s="725">
        <f>BL56</f>
        <v>70.099999999999994</v>
      </c>
      <c r="BM92" s="544">
        <f>BM56</f>
        <v>229.25800000000001</v>
      </c>
      <c r="BN92" s="307"/>
      <c r="BO92" s="288">
        <f t="shared" ref="BO92:CK92" si="7">BO56</f>
        <v>81.266000000000005</v>
      </c>
      <c r="BP92" s="288">
        <f t="shared" si="7"/>
        <v>85.417000000000002</v>
      </c>
      <c r="BQ92" s="288">
        <f t="shared" si="7"/>
        <v>105.11199999999999</v>
      </c>
      <c r="BR92" s="725">
        <f t="shared" si="7"/>
        <v>107.55500000000001</v>
      </c>
      <c r="BS92" s="725">
        <f t="shared" si="7"/>
        <v>379.34999999999997</v>
      </c>
      <c r="BT92" s="307"/>
      <c r="BU92" s="288">
        <f t="shared" si="7"/>
        <v>114.729</v>
      </c>
      <c r="BV92" s="288">
        <f t="shared" si="7"/>
        <v>110.476</v>
      </c>
      <c r="BW92" s="288">
        <f t="shared" si="7"/>
        <v>141.536</v>
      </c>
      <c r="BX92" s="725">
        <f t="shared" si="7"/>
        <v>136.53899999999999</v>
      </c>
      <c r="BY92" s="725">
        <f t="shared" si="7"/>
        <v>503.28</v>
      </c>
      <c r="BZ92" s="307"/>
      <c r="CA92" s="288">
        <f t="shared" si="7"/>
        <v>131.09200000000001</v>
      </c>
      <c r="CB92" s="288">
        <f t="shared" si="7"/>
        <v>142.411</v>
      </c>
      <c r="CC92" s="288">
        <f t="shared" si="7"/>
        <v>139.46</v>
      </c>
      <c r="CD92" s="725">
        <f t="shared" si="7"/>
        <v>151.80199999999999</v>
      </c>
      <c r="CE92" s="544">
        <f t="shared" si="7"/>
        <v>564.7650000000001</v>
      </c>
      <c r="CF92" s="307"/>
      <c r="CG92" s="288">
        <f>CG56</f>
        <v>142.56</v>
      </c>
      <c r="CH92" s="288">
        <f t="shared" si="7"/>
        <v>147.779</v>
      </c>
      <c r="CI92" s="288">
        <f t="shared" si="7"/>
        <v>144.31700000000001</v>
      </c>
      <c r="CJ92" s="288">
        <f t="shared" ref="CJ92" si="8">CJ56</f>
        <v>158.97200000000001</v>
      </c>
      <c r="CK92" s="544">
        <f t="shared" si="7"/>
        <v>593.62800000000004</v>
      </c>
      <c r="CL92" s="307"/>
      <c r="CM92" s="288">
        <f>CM56</f>
        <v>188.91900000000001</v>
      </c>
      <c r="CN92" s="288">
        <f>CN56</f>
        <v>182.31</v>
      </c>
      <c r="CO92" s="288">
        <f t="shared" ref="CO92:CP92" si="9">CO56</f>
        <v>204.751</v>
      </c>
      <c r="CP92" s="288">
        <f t="shared" si="9"/>
        <v>244.387</v>
      </c>
      <c r="CQ92" s="544">
        <f>CQ56</f>
        <v>820.36699999999996</v>
      </c>
      <c r="CR92" s="307"/>
      <c r="CS92" s="288">
        <f>CS56</f>
        <v>251.56899999999999</v>
      </c>
      <c r="CT92" s="288">
        <f>CT56</f>
        <v>256.48500000000001</v>
      </c>
      <c r="CU92" s="288">
        <f t="shared" ref="CU92:CV92" si="10">CU56</f>
        <v>251.27699999999999</v>
      </c>
      <c r="CV92" s="288">
        <f t="shared" si="10"/>
        <v>237.68199999999999</v>
      </c>
      <c r="CW92" s="544">
        <f>CW56</f>
        <v>997.01299999999992</v>
      </c>
      <c r="CX92" s="307"/>
      <c r="CY92" s="288">
        <f>CY56</f>
        <v>264.14744999999999</v>
      </c>
      <c r="CZ92" s="288">
        <f>CZ56</f>
        <v>282.13350000000003</v>
      </c>
      <c r="DA92" s="288">
        <f>DA56</f>
        <v>276.40469999999999</v>
      </c>
      <c r="DB92" s="725">
        <f>DB56</f>
        <v>261.4502</v>
      </c>
      <c r="DC92" s="544">
        <f>DC56</f>
        <v>1084.1358500000001</v>
      </c>
      <c r="DD92" s="307"/>
      <c r="DE92" s="288">
        <f>DE56</f>
        <v>277.35482250000001</v>
      </c>
      <c r="DF92" s="288">
        <f>DF56</f>
        <v>296.24017500000002</v>
      </c>
      <c r="DG92" s="288">
        <f>DG56</f>
        <v>290.22493500000002</v>
      </c>
      <c r="DH92" s="725">
        <f>DH56</f>
        <v>274.52271000000002</v>
      </c>
      <c r="DI92" s="544">
        <f>DI56</f>
        <v>1138.3426425</v>
      </c>
      <c r="DJ92" s="307"/>
      <c r="DK92" s="288">
        <f>DK56</f>
        <v>291.22256362500002</v>
      </c>
      <c r="DL92" s="288">
        <f>DL56</f>
        <v>311.05218375000004</v>
      </c>
      <c r="DM92" s="288">
        <f>DM56</f>
        <v>304.73618175000001</v>
      </c>
      <c r="DN92" s="725">
        <f>DN56</f>
        <v>288.24884550000002</v>
      </c>
      <c r="DO92" s="544">
        <f>DO56</f>
        <v>1195.2597746250001</v>
      </c>
      <c r="DP92" s="669"/>
    </row>
    <row r="93" spans="1:127" ht="11.25" hidden="1" customHeight="1" outlineLevel="1">
      <c r="A93" s="255" t="s">
        <v>61</v>
      </c>
      <c r="B93" s="313"/>
      <c r="C93" s="307"/>
      <c r="D93" s="307"/>
      <c r="E93" s="307"/>
      <c r="F93" s="307"/>
      <c r="G93" s="307"/>
      <c r="H93" s="307"/>
      <c r="I93" s="307"/>
      <c r="J93" s="307"/>
      <c r="K93" s="307"/>
      <c r="L93" s="307"/>
      <c r="M93" s="288">
        <f>M64-M56</f>
        <v>1.7000000000001236E-2</v>
      </c>
      <c r="N93" s="288">
        <f>N64-N56</f>
        <v>0.13400000000000034</v>
      </c>
      <c r="O93" s="288">
        <f>O64-O56</f>
        <v>-3.1000000000002359E-2</v>
      </c>
      <c r="P93" s="288">
        <f>P64-P56</f>
        <v>0.15299999999999869</v>
      </c>
      <c r="Q93" s="288">
        <f>SUM(M93:P93)</f>
        <v>0.27299999999999791</v>
      </c>
      <c r="R93" s="307"/>
      <c r="S93" s="288">
        <f>S64-S56</f>
        <v>0.36100000000000065</v>
      </c>
      <c r="T93" s="288">
        <f>T64-T56</f>
        <v>1.1650000000000134</v>
      </c>
      <c r="U93" s="288">
        <f>U64-U56</f>
        <v>1.7730000000000032</v>
      </c>
      <c r="V93" s="288">
        <f>V64-V56</f>
        <v>3.2209999999999965</v>
      </c>
      <c r="W93" s="288">
        <f>SUM(S93:V93)</f>
        <v>6.5200000000000138</v>
      </c>
      <c r="X93" s="307"/>
      <c r="Y93" s="288">
        <f>Y64-Y56</f>
        <v>3.9849999999999994</v>
      </c>
      <c r="Z93" s="288">
        <f>Z64-Z56</f>
        <v>4.1929999999999978</v>
      </c>
      <c r="AA93" s="288">
        <f>AA64-AA56</f>
        <v>6.3869999999999862</v>
      </c>
      <c r="AB93" s="288">
        <f>AB64-AB56</f>
        <v>5.2519999999999811</v>
      </c>
      <c r="AC93" s="288">
        <f>SUM(Y93:AB93)</f>
        <v>19.816999999999965</v>
      </c>
      <c r="AD93" s="307"/>
      <c r="AE93" s="288">
        <f>AE64-AE56</f>
        <v>-3.099999999999703E-2</v>
      </c>
      <c r="AF93" s="288">
        <f>AF64-AF56</f>
        <v>-0.73800000000000132</v>
      </c>
      <c r="AG93" s="288">
        <f>AG64-AG56</f>
        <v>-0.12299999999998157</v>
      </c>
      <c r="AH93" s="288">
        <f>AH64-AH56</f>
        <v>-2.0679999999999872</v>
      </c>
      <c r="AI93" s="544">
        <f>SUM(AE93:AH93)</f>
        <v>-2.9599999999999671</v>
      </c>
      <c r="AJ93" s="307"/>
      <c r="AK93" s="288">
        <f>AK64-AK56</f>
        <v>0.61400000000000432</v>
      </c>
      <c r="AL93" s="288">
        <f>AL64-AL56</f>
        <v>4.8470000000000208</v>
      </c>
      <c r="AM93" s="288">
        <f>AM64-AM56</f>
        <v>7.6180000000000199</v>
      </c>
      <c r="AN93" s="288">
        <f>AN64-AN56</f>
        <v>12.029999999999985</v>
      </c>
      <c r="AO93" s="544">
        <f>SUM(AK93:AN93)</f>
        <v>25.10900000000003</v>
      </c>
      <c r="AP93" s="307"/>
      <c r="AQ93" s="288">
        <f>AQ64-AQ56</f>
        <v>16.721</v>
      </c>
      <c r="AR93" s="288">
        <f>AR64-AR56</f>
        <v>17.382000000000012</v>
      </c>
      <c r="AS93" s="288">
        <f>AS64-AS56</f>
        <v>18.632999999999992</v>
      </c>
      <c r="AT93" s="288">
        <f>AT64-AT56</f>
        <v>18.990000000000002</v>
      </c>
      <c r="AU93" s="544">
        <f>SUM(AQ93:AT93)</f>
        <v>71.725999999999999</v>
      </c>
      <c r="AV93" s="307"/>
      <c r="AW93" s="288">
        <f>AW64-AW56</f>
        <v>30.922999999999984</v>
      </c>
      <c r="AX93" s="288">
        <f>AX64-AX56</f>
        <v>31.689</v>
      </c>
      <c r="AY93" s="288">
        <f>AY64-AY56</f>
        <v>32.340999999999994</v>
      </c>
      <c r="AZ93" s="288">
        <f>AZ64-AZ56</f>
        <v>28.427000000000014</v>
      </c>
      <c r="BA93" s="544">
        <f>SUM(AW93:AZ93)</f>
        <v>123.38</v>
      </c>
      <c r="BB93" s="307"/>
      <c r="BC93" s="288">
        <f>BC64-BC56</f>
        <v>35.554000000000045</v>
      </c>
      <c r="BD93" s="288">
        <f>BD64-BD56</f>
        <v>34.798000000000009</v>
      </c>
      <c r="BE93" s="288">
        <f>BE64-BE56</f>
        <v>40.336999999999996</v>
      </c>
      <c r="BF93" s="288">
        <f>BF64-BF56</f>
        <v>6.4759999999999991</v>
      </c>
      <c r="BG93" s="544">
        <f>SUM(BC93:BF93)</f>
        <v>117.16500000000005</v>
      </c>
      <c r="BH93" s="307"/>
      <c r="BI93" s="288">
        <f>BI64-BI56</f>
        <v>7.532000000000032</v>
      </c>
      <c r="BJ93" s="288">
        <f>BJ64-BJ56</f>
        <v>2.9310000000000329</v>
      </c>
      <c r="BK93" s="288">
        <f>BK64-BK56</f>
        <v>8.2649999999999579</v>
      </c>
      <c r="BL93" s="288">
        <f>BL64-BL56</f>
        <v>13.506000000000057</v>
      </c>
      <c r="BM93" s="544">
        <f>SUM(BI93:BL93)</f>
        <v>32.23400000000008</v>
      </c>
      <c r="BN93" s="307"/>
      <c r="BO93" s="288">
        <f>BO64-BO56</f>
        <v>-1.3739999999999526</v>
      </c>
      <c r="BP93" s="288">
        <f>BP64-BP56</f>
        <v>6.608999999999952</v>
      </c>
      <c r="BQ93" s="288">
        <f>BQ64-BQ56</f>
        <v>-27.946000000000055</v>
      </c>
      <c r="BR93" s="288">
        <f>BR64-BR56</f>
        <v>0.17200000000008231</v>
      </c>
      <c r="BS93" s="544">
        <f>SUM(BO93:BR93)</f>
        <v>-22.538999999999973</v>
      </c>
      <c r="BT93" s="307"/>
      <c r="BU93" s="288">
        <f>BU64-BU56</f>
        <v>-20.775000000000048</v>
      </c>
      <c r="BV93" s="288">
        <f>BV64-BV56</f>
        <v>-12.83099999999979</v>
      </c>
      <c r="BW93" s="288">
        <f>BW64-BW56</f>
        <v>-48.876000000000147</v>
      </c>
      <c r="BX93" s="288">
        <f>BX64-BX56</f>
        <v>-57.057000000000016</v>
      </c>
      <c r="BY93" s="544">
        <f>SUM(BU93:BX93)</f>
        <v>-139.53899999999999</v>
      </c>
      <c r="BZ93" s="307"/>
      <c r="CA93" s="288">
        <f>CA64-CA56</f>
        <v>-11.703999999999866</v>
      </c>
      <c r="CB93" s="288">
        <f>CB64-CB56</f>
        <v>2.4850000000001842</v>
      </c>
      <c r="CC93" s="288">
        <f>CC64-CC56</f>
        <v>13.404000000000025</v>
      </c>
      <c r="CD93" s="288">
        <f>CD64-CD56</f>
        <v>5.1549999999998875</v>
      </c>
      <c r="CE93" s="544">
        <f>SUM(CA93:CD93)</f>
        <v>9.3400000000002308</v>
      </c>
      <c r="CF93" s="307"/>
      <c r="CG93" s="288">
        <f>CG64-CG56-CG53</f>
        <v>31.10500000000021</v>
      </c>
      <c r="CH93" s="288">
        <f>CH64-CH56</f>
        <v>59.664999999999736</v>
      </c>
      <c r="CI93" s="288">
        <f>CI64-CI56</f>
        <v>82.695999999999913</v>
      </c>
      <c r="CJ93" s="288">
        <f>CJ64-CJ56</f>
        <v>59.810000000000372</v>
      </c>
      <c r="CK93" s="544">
        <f>SUM(CG93:CJ93)</f>
        <v>233.27600000000024</v>
      </c>
      <c r="CL93" s="307"/>
      <c r="CM93" s="288">
        <f>CM64-CM56</f>
        <v>89.586999999999847</v>
      </c>
      <c r="CN93" s="288">
        <f>CN64-CN56</f>
        <v>81.24599999999981</v>
      </c>
      <c r="CO93" s="288">
        <f>CO64-CO56</f>
        <v>67.802999999999855</v>
      </c>
      <c r="CP93" s="288">
        <f>CP64-CP56</f>
        <v>50.86899999999963</v>
      </c>
      <c r="CQ93" s="544">
        <f>SUM(CM93:CP93)</f>
        <v>289.50499999999914</v>
      </c>
      <c r="CR93" s="307"/>
      <c r="CS93" s="288">
        <f>CS64-CS56</f>
        <v>65.347999999999928</v>
      </c>
      <c r="CT93" s="288">
        <f>CT64-CT56</f>
        <v>124.83899999999983</v>
      </c>
      <c r="CU93" s="288">
        <f>CU64-CU56</f>
        <v>185.66500000000002</v>
      </c>
      <c r="CV93" s="288">
        <f>CV64-CV56</f>
        <v>146.80099999999996</v>
      </c>
      <c r="CW93" s="544">
        <f>SUM(CS93:CV93)</f>
        <v>522.65299999999968</v>
      </c>
      <c r="CX93" s="307"/>
      <c r="CY93" s="288">
        <f>CY64-CY56</f>
        <v>198.43543997537512</v>
      </c>
      <c r="CZ93" s="288">
        <f>CZ64-CZ56</f>
        <v>282.8018499027861</v>
      </c>
      <c r="DA93" s="288">
        <f>DA64-DA56</f>
        <v>352.0410498038878</v>
      </c>
      <c r="DB93" s="288">
        <f>DB64-DB56</f>
        <v>318.04888019311943</v>
      </c>
      <c r="DC93" s="544">
        <f>SUM(CY93:DB93)</f>
        <v>1151.3272198751683</v>
      </c>
      <c r="DD93" s="307"/>
      <c r="DE93" s="288">
        <f>DE64-DE56</f>
        <v>356.03174614790481</v>
      </c>
      <c r="DF93" s="288">
        <f>DF64-DF56</f>
        <v>473.07886653254752</v>
      </c>
      <c r="DG93" s="288">
        <f>DG64-DG56</f>
        <v>548.83691071012686</v>
      </c>
      <c r="DH93" s="288">
        <f>DH64-DH56</f>
        <v>551.47912436882348</v>
      </c>
      <c r="DI93" s="544">
        <f>SUM(DE93:DH93)</f>
        <v>1929.4266477594026</v>
      </c>
      <c r="DJ93" s="307"/>
      <c r="DK93" s="288">
        <f>DK64-DK56</f>
        <v>569.72230327393299</v>
      </c>
      <c r="DL93" s="288">
        <f>DL64-DL56</f>
        <v>715.01157700227941</v>
      </c>
      <c r="DM93" s="288">
        <f>DM64-DM56</f>
        <v>801.52216518303612</v>
      </c>
      <c r="DN93" s="288">
        <f>DN64-DN56</f>
        <v>830.11860041869363</v>
      </c>
      <c r="DO93" s="544">
        <f>SUM(DK93:DN93)</f>
        <v>2916.3746458779424</v>
      </c>
      <c r="DP93" s="669"/>
    </row>
    <row r="94" spans="1:127" ht="11.25" hidden="1" customHeight="1" outlineLevel="1">
      <c r="A94" s="726" t="s">
        <v>62</v>
      </c>
      <c r="B94" s="313"/>
      <c r="C94" s="307"/>
      <c r="D94" s="307"/>
      <c r="E94" s="307"/>
      <c r="F94" s="307"/>
      <c r="G94" s="307"/>
      <c r="H94" s="307"/>
      <c r="I94" s="307"/>
      <c r="J94" s="307"/>
      <c r="K94" s="307"/>
      <c r="L94" s="307"/>
      <c r="M94" s="545">
        <f>M93/M19</f>
        <v>8.9885264104061946E-4</v>
      </c>
      <c r="N94" s="545">
        <f>N93/N19</f>
        <v>6.1971049345604379E-3</v>
      </c>
      <c r="O94" s="545">
        <f>O93/O19</f>
        <v>-1.2188409216010992E-3</v>
      </c>
      <c r="P94" s="545">
        <f>P93/P19</f>
        <v>5.0910058895950053E-3</v>
      </c>
      <c r="Q94" s="545">
        <f>Q93/Q25</f>
        <v>2.8764092297966275E-2</v>
      </c>
      <c r="R94" s="307"/>
      <c r="S94" s="545">
        <f>S93/S19</f>
        <v>1.0361950687447994E-2</v>
      </c>
      <c r="T94" s="545">
        <f>T93/T19</f>
        <v>2.8708016066632494E-2</v>
      </c>
      <c r="U94" s="545">
        <f>U93/U19</f>
        <v>3.8243351092513173E-2</v>
      </c>
      <c r="V94" s="545">
        <f>V93/V19</f>
        <v>5.8999157416565869E-2</v>
      </c>
      <c r="W94" s="545">
        <f>W93/W25</f>
        <v>0.31456554252906904</v>
      </c>
      <c r="X94" s="307"/>
      <c r="Y94" s="545">
        <f>Y93/Y19</f>
        <v>6.2093896567306045E-2</v>
      </c>
      <c r="Z94" s="545">
        <f>Z93/Z19</f>
        <v>5.8282251226665513E-2</v>
      </c>
      <c r="AA94" s="545">
        <f>AA93/AA19</f>
        <v>7.7256177954108191E-2</v>
      </c>
      <c r="AB94" s="545">
        <f>AB93/AB19</f>
        <v>5.7673723974347509E-2</v>
      </c>
      <c r="AC94" s="545">
        <f>AC93/AC25</f>
        <v>0.57160575730479568</v>
      </c>
      <c r="AD94" s="307"/>
      <c r="AE94" s="545">
        <f>AE93/AE19</f>
        <v>-2.9612364595071959E-4</v>
      </c>
      <c r="AF94" s="545">
        <f>AF93/AF19</f>
        <v>-6.2469844333274188E-3</v>
      </c>
      <c r="AG94" s="545">
        <f>AG93/AG19</f>
        <v>-9.4576826370773126E-4</v>
      </c>
      <c r="AH94" s="545">
        <f>AH93/AH19</f>
        <v>-1.433900514484605E-2</v>
      </c>
      <c r="AI94" s="727">
        <f>AI93/AI25</f>
        <v>-5.6393842402072229E-2</v>
      </c>
      <c r="AJ94" s="307"/>
      <c r="AK94" s="545">
        <f>AK93/AK19</f>
        <v>3.780508829396869E-3</v>
      </c>
      <c r="AL94" s="545">
        <f>AL93/AL19</f>
        <v>2.7449470208801847E-2</v>
      </c>
      <c r="AM94" s="545">
        <f>AM93/AM19</f>
        <v>3.9511833322095714E-2</v>
      </c>
      <c r="AN94" s="545">
        <f>AN93/AN19</f>
        <v>5.5461812951232259E-2</v>
      </c>
      <c r="AO94" s="727">
        <f>AO93/AO25</f>
        <v>0.34682376341561161</v>
      </c>
      <c r="AP94" s="307"/>
      <c r="AQ94" s="545">
        <f>AQ93/AQ19</f>
        <v>6.7526310263223782E-2</v>
      </c>
      <c r="AR94" s="545">
        <f>AR93/AR19</f>
        <v>6.6071910505289377E-2</v>
      </c>
      <c r="AS94" s="545">
        <f>AS93/AS19</f>
        <v>6.7391956945534487E-2</v>
      </c>
      <c r="AT94" s="545">
        <f>AT93/AT19</f>
        <v>6.5577053901644783E-2</v>
      </c>
      <c r="AU94" s="727">
        <f>AU93/AU25</f>
        <v>0.87111661687191821</v>
      </c>
      <c r="AV94" s="307"/>
      <c r="AW94" s="545">
        <f>AW93/AW19</f>
        <v>0.10141215515997425</v>
      </c>
      <c r="AX94" s="545">
        <f>AX93/AX19</f>
        <v>0.10026229114000146</v>
      </c>
      <c r="AY94" s="545">
        <f>AY93/AY19</f>
        <v>9.7840259689183737E-2</v>
      </c>
      <c r="AZ94" s="545">
        <f>AZ93/AZ19</f>
        <v>8.0291146140788472E-2</v>
      </c>
      <c r="BA94" s="727">
        <f>BA93/BA25</f>
        <v>1.4071142638823946</v>
      </c>
      <c r="BB94" s="307"/>
      <c r="BC94" s="545">
        <f>BC93/BC19</f>
        <v>9.4354494139002751E-2</v>
      </c>
      <c r="BD94" s="545">
        <f>BD93/BD19</f>
        <v>8.8236487377400044E-2</v>
      </c>
      <c r="BE94" s="545">
        <f>BE93/BE19</f>
        <v>9.4006576754830595E-2</v>
      </c>
      <c r="BF94" s="545">
        <f>BF93/BF19</f>
        <v>1.4174803608052233E-2</v>
      </c>
      <c r="BG94" s="727">
        <f>BG93/BG25</f>
        <v>1.1612452426260709</v>
      </c>
      <c r="BH94" s="307"/>
      <c r="BI94" s="545">
        <f>BI93/BI19</f>
        <v>1.4933659024038258E-2</v>
      </c>
      <c r="BJ94" s="545">
        <f>BJ93/BJ19</f>
        <v>5.3681122047172592E-3</v>
      </c>
      <c r="BK94" s="545">
        <f>BK93/BK19</f>
        <v>1.4146099339335156E-2</v>
      </c>
      <c r="BL94" s="545">
        <f>BL93/BL19</f>
        <v>2.1373195360753865E-2</v>
      </c>
      <c r="BM94" s="727">
        <f>BM93/BM25</f>
        <v>0.29124388987775307</v>
      </c>
      <c r="BN94" s="307"/>
      <c r="BO94" s="545">
        <f>BO93/BO19</f>
        <v>-1.9756508935721648E-3</v>
      </c>
      <c r="BP94" s="545">
        <f>BP93/BP19</f>
        <v>9.03301993168849E-3</v>
      </c>
      <c r="BQ94" s="545">
        <f>BQ93/BQ19</f>
        <v>-3.5446563791384625E-2</v>
      </c>
      <c r="BR94" s="545">
        <f>BR93/BR19</f>
        <v>2.060667488538523E-4</v>
      </c>
      <c r="BS94" s="727">
        <f>BS93/BS25</f>
        <v>-0.1448196099849004</v>
      </c>
      <c r="BT94" s="307"/>
      <c r="BU94" s="545">
        <f>BU93/BU19</f>
        <v>-2.3273842665462792E-2</v>
      </c>
      <c r="BV94" s="545">
        <f>BV93/BV19</f>
        <v>-1.3406206704879343E-2</v>
      </c>
      <c r="BW94" s="545">
        <f>BW93/BW19</f>
        <v>-4.5422356542637259E-2</v>
      </c>
      <c r="BX94" s="545">
        <f>BX93/BX19</f>
        <v>-4.9820911213525193E-2</v>
      </c>
      <c r="BY94" s="727">
        <f>BY93/BY25</f>
        <v>-0.66151038209917512</v>
      </c>
      <c r="BZ94" s="307"/>
      <c r="CA94" s="545">
        <f>CA93/CA19</f>
        <v>-9.5404851105175756E-3</v>
      </c>
      <c r="CB94" s="545">
        <f>CB93/CB19</f>
        <v>1.8846445833344211E-3</v>
      </c>
      <c r="CC94" s="545">
        <f>CC93/CC19</f>
        <v>9.6873859451958935E-3</v>
      </c>
      <c r="CD94" s="545">
        <f>CD93/CD19</f>
        <v>3.568442096402545E-3</v>
      </c>
      <c r="CE94" s="727">
        <f>CE93/CE25</f>
        <v>3.0049546361238758E-2</v>
      </c>
      <c r="CF94" s="307"/>
      <c r="CG94" s="545">
        <f>CG93/CG19</f>
        <v>2.0583429892262212E-2</v>
      </c>
      <c r="CH94" s="545">
        <f>CH93/CH19</f>
        <v>3.6499409060099526E-2</v>
      </c>
      <c r="CI94" s="545">
        <f>CI93/CI19</f>
        <v>4.830466942411852E-2</v>
      </c>
      <c r="CJ94" s="545">
        <f>CJ93/CJ19</f>
        <v>3.3055192942625322E-2</v>
      </c>
      <c r="CK94" s="727">
        <f>CK93/CK25</f>
        <v>0.58887559385870636</v>
      </c>
      <c r="CL94" s="307"/>
      <c r="CM94" s="545">
        <f>CM93/CM19</f>
        <v>4.6742596145367528E-2</v>
      </c>
      <c r="CN94" s="545">
        <f>CN93/CN19</f>
        <v>3.9892606271770069E-2</v>
      </c>
      <c r="CO94" s="545">
        <f>CO93/CO19</f>
        <v>3.1613106269888384E-2</v>
      </c>
      <c r="CP94" s="545">
        <f>CP93/CP19</f>
        <v>2.2174919833930967E-2</v>
      </c>
      <c r="CQ94" s="727">
        <f>CQ93/CQ25</f>
        <v>0.50769953825568181</v>
      </c>
      <c r="CR94" s="307"/>
      <c r="CS94" s="545">
        <f>CS93/CS19</f>
        <v>2.7369984406798661E-2</v>
      </c>
      <c r="CT94" s="545">
        <f>CT93/CT19</f>
        <v>4.8734984417874931E-2</v>
      </c>
      <c r="CU94" s="545">
        <f>CU93/CU19</f>
        <v>6.9282095467604249E-2</v>
      </c>
      <c r="CV94" s="545">
        <f>CV93/CV19</f>
        <v>5.1491001587862219E-2</v>
      </c>
      <c r="CW94" s="727">
        <f>CW93/CW25</f>
        <v>0.79269959186025818</v>
      </c>
      <c r="CX94" s="307"/>
      <c r="CY94" s="545">
        <f>CY93/CY19</f>
        <v>6.7398268658677818E-2</v>
      </c>
      <c r="CZ94" s="545">
        <f>CZ93/CZ19</f>
        <v>9.0735664281727121E-2</v>
      </c>
      <c r="DA94" s="545">
        <f>DA93/DA19</f>
        <v>0.10880679673614907</v>
      </c>
      <c r="DB94" s="545">
        <f>DB93/DB19</f>
        <v>9.3182633227334472E-2</v>
      </c>
      <c r="DC94" s="727">
        <f>DC93/DC25</f>
        <v>1.4285066459883906</v>
      </c>
      <c r="DD94" s="307"/>
      <c r="DE94" s="545">
        <f>DE93/DE19</f>
        <v>0.10059734295340637</v>
      </c>
      <c r="DF94" s="545">
        <f>DF93/DF19</f>
        <v>0.12617262363613119</v>
      </c>
      <c r="DG94" s="545">
        <f>DG93/DG19</f>
        <v>0.14100015092616119</v>
      </c>
      <c r="DH94" s="545">
        <f>DH93/DH19</f>
        <v>0.13510803761948273</v>
      </c>
      <c r="DI94" s="727">
        <f>DI93/DI25</f>
        <v>2.0118884225806162</v>
      </c>
      <c r="DJ94" s="307"/>
      <c r="DK94" s="545">
        <f>DK93/DK19</f>
        <v>0.13449173555237665</v>
      </c>
      <c r="DL94" s="545">
        <f>DL93/DL19</f>
        <v>0.15968790904942795</v>
      </c>
      <c r="DM94" s="545">
        <f>DM93/DM19</f>
        <v>0.17261101822872546</v>
      </c>
      <c r="DN94" s="545">
        <f>DN93/DN19</f>
        <v>0.17059483714433418</v>
      </c>
      <c r="DO94" s="727">
        <f>DO93/DO25</f>
        <v>2.5668080793344505</v>
      </c>
      <c r="DP94" s="669"/>
    </row>
    <row r="95" spans="1:127" ht="11.25" hidden="1" customHeight="1" outlineLevel="1">
      <c r="A95" s="255" t="s">
        <v>84</v>
      </c>
      <c r="B95" s="313"/>
      <c r="C95" s="307"/>
      <c r="D95" s="307"/>
      <c r="E95" s="307"/>
      <c r="F95" s="307"/>
      <c r="G95" s="307"/>
      <c r="H95" s="307"/>
      <c r="I95" s="307"/>
      <c r="J95" s="307"/>
      <c r="K95" s="307"/>
      <c r="L95" s="307"/>
      <c r="M95" s="288">
        <f>M93+M71-M103+M82</f>
        <v>0.36800000000000127</v>
      </c>
      <c r="N95" s="288">
        <f>N93+N71-N103+N82</f>
        <v>0.12200000000000036</v>
      </c>
      <c r="O95" s="288">
        <f>O93+O71-O103+O82</f>
        <v>-0.55300000000000238</v>
      </c>
      <c r="P95" s="288">
        <f>P93+P71-P103+P82</f>
        <v>0.13199999999999867</v>
      </c>
      <c r="Q95" s="288">
        <f>SUM(M95:P95)</f>
        <v>6.8999999999997952E-2</v>
      </c>
      <c r="R95" s="307"/>
      <c r="S95" s="288">
        <f>S93+S71-S103+S82</f>
        <v>0.43700000000000067</v>
      </c>
      <c r="T95" s="288">
        <f>T93+T71-T103+T82</f>
        <v>1.1700000000000135</v>
      </c>
      <c r="U95" s="288">
        <f>U93+U71-U103+U82</f>
        <v>2.1530000000000031</v>
      </c>
      <c r="V95" s="288">
        <f>V93+V71-V103+V82</f>
        <v>3.5859999999999963</v>
      </c>
      <c r="W95" s="288">
        <f>SUM(S95:V95)</f>
        <v>7.3460000000000143</v>
      </c>
      <c r="X95" s="307"/>
      <c r="Y95" s="288">
        <f>Y93+Y71-Y103+Y82</f>
        <v>4.0949999999999998</v>
      </c>
      <c r="Z95" s="288">
        <f>Z93+Z71-Z103+Z82</f>
        <v>5.0399999999999974</v>
      </c>
      <c r="AA95" s="288">
        <f>AA93+AA71-AA103+AA82</f>
        <v>13.096999999999985</v>
      </c>
      <c r="AB95" s="288">
        <f>AB93+AB71-AB103+AB82</f>
        <v>5.9569999999999803</v>
      </c>
      <c r="AC95" s="288">
        <f>SUM(Y95:AB95)</f>
        <v>28.188999999999965</v>
      </c>
      <c r="AD95" s="307"/>
      <c r="AE95" s="288">
        <f>AE93+AE71-AE103+AE82</f>
        <v>-0.13999999999999702</v>
      </c>
      <c r="AF95" s="288">
        <f>AF93+AF71-AF103+AF82</f>
        <v>0.39599999999999852</v>
      </c>
      <c r="AG95" s="288">
        <f>AG93+AG71-AG103+AG82</f>
        <v>0.32669068872398987</v>
      </c>
      <c r="AH95" s="288">
        <f>AH93+AH71-AH103+AH82</f>
        <v>0.51561785141324001</v>
      </c>
      <c r="AI95" s="544">
        <f>SUM(AE95:AH95)</f>
        <v>1.0983085401372312</v>
      </c>
      <c r="AJ95" s="307"/>
      <c r="AK95" s="288">
        <f>AK93+AK71-AK103+AK82</f>
        <v>1.2300000000000035</v>
      </c>
      <c r="AL95" s="288">
        <f>AL93+AL71-AL103+AL82</f>
        <v>5.2350000000000225</v>
      </c>
      <c r="AM95" s="288">
        <f>AM93+AM71-AM103+AM82</f>
        <v>8.0120000000000182</v>
      </c>
      <c r="AN95" s="288">
        <f>AN93+AN71-AN103+AN82</f>
        <v>8.6789999999999861</v>
      </c>
      <c r="AO95" s="544">
        <f>SUM(AK95:AN95)</f>
        <v>23.156000000000031</v>
      </c>
      <c r="AP95" s="307"/>
      <c r="AQ95" s="288">
        <f>AQ93+AQ71-AQ103+AQ82</f>
        <v>10.855</v>
      </c>
      <c r="AR95" s="288">
        <f>AR93+AR71-AR103+AR82</f>
        <v>11.280000000000015</v>
      </c>
      <c r="AS95" s="288">
        <f>AS93+AS71-AS103+AS82</f>
        <v>12.623999999999992</v>
      </c>
      <c r="AT95" s="288">
        <f>AT93+AT71-AT103+AT82</f>
        <v>16.653000000000002</v>
      </c>
      <c r="AU95" s="544">
        <f>SUM(AQ95:AT95)</f>
        <v>51.412000000000006</v>
      </c>
      <c r="AV95" s="307"/>
      <c r="AW95" s="288">
        <f>AW93+AW71-AW103+AW82</f>
        <v>19.235999999999986</v>
      </c>
      <c r="AX95" s="288">
        <f>AX93+AX71-AX103+AX82</f>
        <v>23.397999999999996</v>
      </c>
      <c r="AY95" s="288">
        <f>AY93+AY71-AY103+AY82</f>
        <v>22.890999999999995</v>
      </c>
      <c r="AZ95" s="288">
        <f>AZ93+AZ71-AZ103+AZ82</f>
        <v>23.302000000000014</v>
      </c>
      <c r="BA95" s="544">
        <f>SUM(AW95:AZ95)</f>
        <v>88.826999999999998</v>
      </c>
      <c r="BB95" s="307"/>
      <c r="BC95" s="288">
        <f>BC93+BC71-BC103+BC82</f>
        <v>25.700000000000045</v>
      </c>
      <c r="BD95" s="288">
        <f>BD93+BD71-BD103+BD82</f>
        <v>25.393000000000008</v>
      </c>
      <c r="BE95" s="288">
        <f>BE93+BE71-BE103+BE82</f>
        <v>31.917999999999999</v>
      </c>
      <c r="BF95" s="288">
        <f>BF93+BF71-BF103+BF82</f>
        <v>20.21</v>
      </c>
      <c r="BG95" s="544">
        <f>SUM(BC95:BF95)</f>
        <v>103.22100000000006</v>
      </c>
      <c r="BH95" s="307"/>
      <c r="BI95" s="288">
        <f>BI93+BI71-BI103+BI82</f>
        <v>13.623000000000031</v>
      </c>
      <c r="BJ95" s="288">
        <f>BJ93+BJ71-BJ103+BJ82</f>
        <v>17.123000000000033</v>
      </c>
      <c r="BK95" s="288">
        <f>BK93+BK71-BK103+BK82</f>
        <v>17.377999999999957</v>
      </c>
      <c r="BL95" s="288">
        <f>BL93+BL71-BL103+BL82</f>
        <v>19.949000000000058</v>
      </c>
      <c r="BM95" s="544">
        <f>SUM(BI95:BL95)</f>
        <v>68.073000000000079</v>
      </c>
      <c r="BN95" s="307"/>
      <c r="BO95" s="288">
        <f>BO93+BO71-BO103+BO82</f>
        <v>6.2930000000000472</v>
      </c>
      <c r="BP95" s="288">
        <f>BP93+BP71-BP103+BP82</f>
        <v>16.452999999999953</v>
      </c>
      <c r="BQ95" s="288">
        <f>BQ93+BQ71-BQ103+BQ82</f>
        <v>-187.69700000000006</v>
      </c>
      <c r="BR95" s="288">
        <f>BR93+BR71-BR103+BR82</f>
        <v>6.5240000000000826</v>
      </c>
      <c r="BS95" s="544">
        <f>SUM(BO95:BR95)</f>
        <v>-158.42699999999996</v>
      </c>
      <c r="BT95" s="307"/>
      <c r="BU95" s="288">
        <f>BU93+BU71-BU103+BU82</f>
        <v>-34.716000000000051</v>
      </c>
      <c r="BV95" s="288">
        <f>BV93+BV71-BV103+BV82</f>
        <v>115.98100000000022</v>
      </c>
      <c r="BW95" s="288">
        <f>BW93+BW71-BW103+BW82</f>
        <v>-62.83200000000015</v>
      </c>
      <c r="BX95" s="288">
        <f>BX93+BX71-BX103+BX82</f>
        <v>-57.131000000000014</v>
      </c>
      <c r="BY95" s="544">
        <f>SUM(BU95:BX95)</f>
        <v>-38.697999999999993</v>
      </c>
      <c r="BZ95" s="307"/>
      <c r="CA95" s="288">
        <f>CA93+CA71-CA103+CA82</f>
        <v>-33.760999999999868</v>
      </c>
      <c r="CB95" s="288">
        <f>CB93+CB71-CB103+CB82</f>
        <v>-15.591999999999818</v>
      </c>
      <c r="CC95" s="288">
        <f>CC93+CC71-CC103+CC82</f>
        <v>-9.1259999999999728</v>
      </c>
      <c r="CD95" s="288">
        <f>CD93+CD71-CD103+CD82</f>
        <v>-17.960000000000115</v>
      </c>
      <c r="CE95" s="544">
        <f>SUM(CA95:CD95)</f>
        <v>-76.438999999999766</v>
      </c>
      <c r="CF95" s="307"/>
      <c r="CG95" s="288">
        <f>CG93+CG71-CG103+CG82</f>
        <v>38.92800000000021</v>
      </c>
      <c r="CH95" s="288">
        <f>CH93+CH71-CH103+CH82</f>
        <v>46.399999999999736</v>
      </c>
      <c r="CI95" s="288">
        <f>CI93+CI71-CI103+CI82</f>
        <v>-0.77800000000009106</v>
      </c>
      <c r="CJ95" s="288">
        <f>CJ93+CJ71-CJ103+CJ82</f>
        <v>20.688000000000372</v>
      </c>
      <c r="CK95" s="544">
        <f>SUM(CG95:CJ95)</f>
        <v>105.23800000000023</v>
      </c>
      <c r="CL95" s="307"/>
      <c r="CM95" s="288">
        <f>CM93+CM71-CM103+CM82</f>
        <v>67.219999999999843</v>
      </c>
      <c r="CN95" s="288">
        <f>CN93+CN71-CN103+CN82</f>
        <v>285.22299999999984</v>
      </c>
      <c r="CO95" s="288">
        <f>CO93+CO71-CO103+CO82</f>
        <v>33.507999999999853</v>
      </c>
      <c r="CP95" s="288">
        <f>CP93+CP71-CP103+CP82</f>
        <v>29.681999999999629</v>
      </c>
      <c r="CQ95" s="544">
        <f>SUM(CM95:CP95)</f>
        <v>415.63299999999919</v>
      </c>
      <c r="CR95" s="307"/>
      <c r="CS95" s="288">
        <f>CS93+CS71-CS103+CS82</f>
        <v>71.780999999999921</v>
      </c>
      <c r="CT95" s="288">
        <f>CT93+CT71-CT103+CT82</f>
        <v>98.580999999999833</v>
      </c>
      <c r="CU95" s="288">
        <f>CU93+CU71-CU103+CU82</f>
        <v>127.90100000000001</v>
      </c>
      <c r="CV95" s="288">
        <f>CV93+CV71-CV103+CV82</f>
        <v>143.47599999999994</v>
      </c>
      <c r="CW95" s="544">
        <f>SUM(CS95:CV95)</f>
        <v>441.73899999999969</v>
      </c>
      <c r="CX95" s="307"/>
      <c r="CY95" s="288">
        <f>CY93+CY71-CY103+CY82</f>
        <v>172.74119084478212</v>
      </c>
      <c r="CZ95" s="288">
        <f>CZ93+CZ71-CZ103+CZ82</f>
        <v>248.25452293632483</v>
      </c>
      <c r="DA95" s="288">
        <f>DA93+DA71-DA103+DA82</f>
        <v>308.46341069605762</v>
      </c>
      <c r="DB95" s="288">
        <f>DB93+DB71-DB103+DB82</f>
        <v>279.03646844441022</v>
      </c>
      <c r="DC95" s="544">
        <f>SUM(CY95:DB95)</f>
        <v>1008.4955929215748</v>
      </c>
      <c r="DD95" s="307"/>
      <c r="DE95" s="288">
        <f>DE93+DE71-DE103+DE82</f>
        <v>296.08216487057655</v>
      </c>
      <c r="DF95" s="288">
        <f>DF93+DF71-DF103+DF82</f>
        <v>387.96415437252108</v>
      </c>
      <c r="DG95" s="288">
        <f>DG93+DG71-DG103+DG82</f>
        <v>447.70490601204034</v>
      </c>
      <c r="DH95" s="288">
        <f>DH93+DH71-DH103+DH82</f>
        <v>449.8985332142596</v>
      </c>
      <c r="DI95" s="544">
        <f>SUM(DE95:DH95)</f>
        <v>1581.6497584693975</v>
      </c>
      <c r="DJ95" s="307"/>
      <c r="DK95" s="288">
        <f>DK93+DK71-DK103+DK82</f>
        <v>464.73180077232746</v>
      </c>
      <c r="DL95" s="288">
        <f>DL93+DL71-DL103+DL82</f>
        <v>578.78388064907938</v>
      </c>
      <c r="DM95" s="288">
        <f>DM93+DM71-DM103+DM82</f>
        <v>647.0310082154972</v>
      </c>
      <c r="DN95" s="288">
        <f>DN93+DN71-DN103+DN82</f>
        <v>669.65881415982199</v>
      </c>
      <c r="DO95" s="544">
        <f>SUM(DK95:DN95)</f>
        <v>2360.2055037967261</v>
      </c>
      <c r="DP95" s="669"/>
    </row>
    <row r="96" spans="1:127" ht="11.25" customHeight="1" collapsed="1">
      <c r="A96" s="724" t="s">
        <v>597</v>
      </c>
      <c r="B96" s="313"/>
      <c r="C96" s="307"/>
      <c r="D96" s="307"/>
      <c r="E96" s="307"/>
      <c r="F96" s="307"/>
      <c r="G96" s="307"/>
      <c r="H96" s="307"/>
      <c r="I96" s="307"/>
      <c r="J96" s="307"/>
      <c r="K96" s="307"/>
      <c r="L96" s="307"/>
      <c r="M96" s="728">
        <f>M95/M111</f>
        <v>4.0166779453819261E-3</v>
      </c>
      <c r="N96" s="728">
        <f>N95/N111</f>
        <v>1.3264762484642271E-3</v>
      </c>
      <c r="O96" s="728">
        <f>O95/O111</f>
        <v>-5.7893028758074392E-3</v>
      </c>
      <c r="P96" s="728">
        <f>P95/P111</f>
        <v>1.3716850943552943E-3</v>
      </c>
      <c r="Q96" s="728">
        <f>Q95/Q111</f>
        <v>7.2320221362762334E-4</v>
      </c>
      <c r="R96" s="307"/>
      <c r="S96" s="728">
        <f>S95/S111</f>
        <v>1.0881690870336079E-3</v>
      </c>
      <c r="T96" s="728">
        <f>T95/T111</f>
        <v>2.714642363270224E-3</v>
      </c>
      <c r="U96" s="728">
        <f>U95/U111</f>
        <v>4.6330567414956687E-3</v>
      </c>
      <c r="V96" s="728">
        <f>V95/V111</f>
        <v>7.6749880145195451E-3</v>
      </c>
      <c r="W96" s="728">
        <f>W95/W111</f>
        <v>1.6563847250031599E-2</v>
      </c>
      <c r="X96" s="307"/>
      <c r="Y96" s="728">
        <f>Y95/Y111</f>
        <v>8.7975972569542902E-3</v>
      </c>
      <c r="Z96" s="728">
        <f>Z95/Z111</f>
        <v>1.0680319392408492E-2</v>
      </c>
      <c r="AA96" s="728">
        <f>AA95/AA111</f>
        <v>2.7594707344823197E-2</v>
      </c>
      <c r="AB96" s="728">
        <f>AB95/AB111</f>
        <v>1.2309580684889571E-2</v>
      </c>
      <c r="AC96" s="728">
        <f>AC95/AC111</f>
        <v>5.9351760613793436E-2</v>
      </c>
      <c r="AD96" s="307"/>
      <c r="AE96" s="728">
        <f>AE95/AE111</f>
        <v>-2.9198785330529628E-4</v>
      </c>
      <c r="AF96" s="728">
        <f>AF95/AF111</f>
        <v>8.3315800547022624E-4</v>
      </c>
      <c r="AG96" s="728">
        <f>AG95/AG111</f>
        <v>6.7902686404939746E-4</v>
      </c>
      <c r="AH96" s="728">
        <f>AH95/AH111</f>
        <v>1.0630506836878913E-3</v>
      </c>
      <c r="AI96" s="729">
        <f>AI95/AI111</f>
        <v>2.2870421529164742E-3</v>
      </c>
      <c r="AJ96" s="307"/>
      <c r="AK96" s="728">
        <f>AK95/AK111</f>
        <v>2.5490114809135068E-3</v>
      </c>
      <c r="AL96" s="728">
        <f>AL95/AL111</f>
        <v>1.0786430731952608E-2</v>
      </c>
      <c r="AM96" s="728">
        <f>AM95/AM111</f>
        <v>1.6395321235337972E-2</v>
      </c>
      <c r="AN96" s="728">
        <f>AN95/AN111</f>
        <v>1.754325679172054E-2</v>
      </c>
      <c r="AO96" s="729">
        <f>AO95/AO111</f>
        <v>4.7468620404783002E-2</v>
      </c>
      <c r="AP96" s="307"/>
      <c r="AQ96" s="728">
        <f>AQ95/AQ111</f>
        <v>2.1812255855450352E-2</v>
      </c>
      <c r="AR96" s="728">
        <f>AR95/AR111</f>
        <v>2.2447582506805945E-2</v>
      </c>
      <c r="AS96" s="728">
        <f>AS95/AS111</f>
        <v>2.5221164680779635E-2</v>
      </c>
      <c r="AT96" s="728">
        <f>AT95/AT111</f>
        <v>3.3430897834308984E-2</v>
      </c>
      <c r="AU96" s="729">
        <f>AU95/AU111</f>
        <v>0.10288449608369722</v>
      </c>
      <c r="AV96" s="307"/>
      <c r="AW96" s="728">
        <f>AW95/AW111</f>
        <v>3.836488524040875E-2</v>
      </c>
      <c r="AX96" s="728">
        <f>AX95/AX111</f>
        <v>4.6216993505364783E-2</v>
      </c>
      <c r="AY96" s="728">
        <f>AY95/AY111</f>
        <v>4.4501772994494371E-2</v>
      </c>
      <c r="AZ96" s="728">
        <f>AZ95/AZ111</f>
        <v>4.457597159625673E-2</v>
      </c>
      <c r="BA96" s="729">
        <f>BA95/BA111</f>
        <v>0.17485629921259843</v>
      </c>
      <c r="BB96" s="307"/>
      <c r="BC96" s="728">
        <f>BC95/BC111</f>
        <v>4.8581863275136E-2</v>
      </c>
      <c r="BD96" s="728">
        <f>BD95/BD111</f>
        <v>4.7312857739088977E-2</v>
      </c>
      <c r="BE96" s="728">
        <f>BE95/BE111</f>
        <v>5.822582528239105E-2</v>
      </c>
      <c r="BF96" s="728">
        <f>BF95/BF111</f>
        <v>3.6038060185878643E-2</v>
      </c>
      <c r="BG96" s="729">
        <f>BG95/BG111</f>
        <v>0.18985965751282957</v>
      </c>
      <c r="BH96" s="307"/>
      <c r="BI96" s="728">
        <f>BI95/BI111</f>
        <v>2.4143638967262675E-2</v>
      </c>
      <c r="BJ96" s="728">
        <f>BJ95/BJ111</f>
        <v>2.9840160049074339E-2</v>
      </c>
      <c r="BK96" s="728">
        <f>BK95/BK111</f>
        <v>3.0558271377425703E-2</v>
      </c>
      <c r="BL96" s="728">
        <f>BL95/BL111</f>
        <v>3.5164319910877442E-2</v>
      </c>
      <c r="BM96" s="729">
        <f>BM95/BM111</f>
        <v>0.11900874125874139</v>
      </c>
      <c r="BN96" s="307"/>
      <c r="BO96" s="728">
        <f>BO95/BO111</f>
        <v>1.0771922136787916E-2</v>
      </c>
      <c r="BP96" s="728">
        <f>BP95/BP111</f>
        <v>2.8135559598889071E-2</v>
      </c>
      <c r="BQ96" s="728">
        <f>BQ95/BQ111</f>
        <v>-0.31277411915268027</v>
      </c>
      <c r="BR96" s="728">
        <f>BR95/BR111</f>
        <v>1.0645797161991181E-2</v>
      </c>
      <c r="BS96" s="729">
        <f>BS95/BS111</f>
        <v>-0.26581711409395969</v>
      </c>
      <c r="BT96" s="307"/>
      <c r="BU96" s="728">
        <f>BU95/BU111</f>
        <v>-5.5752822089141001E-2</v>
      </c>
      <c r="BV96" s="728">
        <f>BV95/BV111</f>
        <v>0.18567179375528328</v>
      </c>
      <c r="BW96" s="728">
        <f>BW95/BW111</f>
        <v>-9.8164723380521332E-2</v>
      </c>
      <c r="BX96" s="728">
        <f>BX95/BX111</f>
        <v>-8.7844518078309897E-2</v>
      </c>
      <c r="BY96" s="729">
        <f>BY95/BY111</f>
        <v>-6.0995403435700292E-2</v>
      </c>
      <c r="BZ96" s="307"/>
      <c r="CA96" s="728">
        <f>CA95/CA111</f>
        <v>-5.2100308641975103E-2</v>
      </c>
      <c r="CB96" s="728">
        <f>CB95/CB111</f>
        <v>-2.4069528705290014E-2</v>
      </c>
      <c r="CC96" s="728">
        <f>CC95/CC111</f>
        <v>-1.385797023102687E-2</v>
      </c>
      <c r="CD96" s="728">
        <f>CD95/CD111</f>
        <v>-2.7746622049604219E-2</v>
      </c>
      <c r="CE96" s="729">
        <f>CE95/CE111</f>
        <v>-0.11752550532092734</v>
      </c>
      <c r="CF96" s="307"/>
      <c r="CG96" s="728">
        <f>CG95/CG111</f>
        <v>5.8599147988138388E-2</v>
      </c>
      <c r="CH96" s="728">
        <f>CH95/CH111</f>
        <v>6.898325520682301E-2</v>
      </c>
      <c r="CI96" s="728">
        <f>CI95/CI111</f>
        <v>-1.1479497735087587E-3</v>
      </c>
      <c r="CJ96" s="728">
        <f>CJ95/CJ111</f>
        <v>3.0291449781468114E-2</v>
      </c>
      <c r="CK96" s="729">
        <f>CK95/CK111</f>
        <v>0.15604500539732657</v>
      </c>
      <c r="CL96" s="307"/>
      <c r="CM96" s="728">
        <f>CM95/CM111</f>
        <v>9.7874341692401778E-2</v>
      </c>
      <c r="CN96" s="728">
        <f>CN95/CN111</f>
        <v>0.40982200331049684</v>
      </c>
      <c r="CO96" s="728">
        <f>CO95/CO111</f>
        <v>4.7549041867223481E-2</v>
      </c>
      <c r="CP96" s="728">
        <f>CP95/CP111</f>
        <v>4.1734919565861832E-2</v>
      </c>
      <c r="CQ96" s="729">
        <f>CQ95/CQ111</f>
        <v>0.59404275024529363</v>
      </c>
      <c r="CR96" s="307"/>
      <c r="CS96" s="728">
        <f>CS95/CS111</f>
        <v>0.10164775253691005</v>
      </c>
      <c r="CT96" s="728">
        <f>CT95/CT111</f>
        <v>0.13515614503157428</v>
      </c>
      <c r="CU96" s="728">
        <f>CU95/CU111</f>
        <v>0.17328269923290152</v>
      </c>
      <c r="CV96" s="728">
        <f>CV95/CV111</f>
        <v>0.19143814779629165</v>
      </c>
      <c r="CW96" s="729">
        <f>CW95/CW111</f>
        <v>0.60447397139367687</v>
      </c>
      <c r="CX96" s="307"/>
      <c r="CY96" s="728">
        <f>CY95/CY111</f>
        <v>0.2282409433534329</v>
      </c>
      <c r="CZ96" s="728">
        <f>CZ95/CZ111</f>
        <v>0.32490347687674936</v>
      </c>
      <c r="DA96" s="728">
        <f>DA95/DA111</f>
        <v>0.40291098293996319</v>
      </c>
      <c r="DB96" s="728">
        <f>DB95/DB111</f>
        <v>0.36376117499633048</v>
      </c>
      <c r="DC96" s="729">
        <f>DC95/DC111</f>
        <v>1.3210587548479855</v>
      </c>
      <c r="DD96" s="307"/>
      <c r="DE96" s="728">
        <f>DE95/DE111</f>
        <v>0.38373140666000921</v>
      </c>
      <c r="DF96" s="728">
        <f>DF95/DF111</f>
        <v>0.49797282507925433</v>
      </c>
      <c r="DG96" s="728">
        <f>DG95/DG111</f>
        <v>0.56917404687852746</v>
      </c>
      <c r="DH96" s="728">
        <f>DH95/DH111</f>
        <v>0.56656075872575618</v>
      </c>
      <c r="DI96" s="729">
        <f>DI95/DI111</f>
        <v>2.020407515829473</v>
      </c>
      <c r="DJ96" s="307"/>
      <c r="DK96" s="728">
        <f>DK95/DK111</f>
        <v>0.5797646428551454</v>
      </c>
      <c r="DL96" s="728">
        <f>DL95/DL111</f>
        <v>0.71535431992984599</v>
      </c>
      <c r="DM96" s="728">
        <f>DM95/DM111</f>
        <v>0.79236016274505605</v>
      </c>
      <c r="DN96" s="728">
        <f>DN95/DN111</f>
        <v>0.81260693853904009</v>
      </c>
      <c r="DO96" s="729">
        <f>DO95/DO111</f>
        <v>2.9036639618973124</v>
      </c>
      <c r="DP96" s="669"/>
      <c r="DW96" s="2018"/>
    </row>
    <row r="97" spans="1:120" ht="5.25" customHeight="1">
      <c r="A97" s="255"/>
      <c r="B97" s="668"/>
      <c r="C97" s="669"/>
      <c r="D97" s="669"/>
      <c r="E97" s="669"/>
      <c r="F97" s="669"/>
      <c r="G97" s="669"/>
      <c r="H97" s="669"/>
      <c r="I97" s="669"/>
      <c r="J97" s="669"/>
      <c r="K97" s="669"/>
      <c r="L97" s="669"/>
      <c r="M97" s="669"/>
      <c r="N97" s="669"/>
      <c r="O97" s="669"/>
      <c r="P97" s="669"/>
      <c r="Q97" s="669"/>
      <c r="R97" s="669"/>
      <c r="S97" s="669"/>
      <c r="T97" s="669"/>
      <c r="U97" s="669"/>
      <c r="V97" s="669"/>
      <c r="W97" s="669"/>
      <c r="X97" s="669"/>
      <c r="Y97" s="669"/>
      <c r="Z97" s="669"/>
      <c r="AA97" s="669"/>
      <c r="AB97" s="669"/>
      <c r="AC97" s="669"/>
      <c r="AD97" s="669"/>
      <c r="AE97" s="669"/>
      <c r="AF97" s="669"/>
      <c r="AG97" s="669"/>
      <c r="AH97" s="669"/>
      <c r="AI97" s="670"/>
      <c r="AJ97" s="669"/>
      <c r="AK97" s="669"/>
      <c r="AL97" s="669"/>
      <c r="AM97" s="669"/>
      <c r="AN97" s="669"/>
      <c r="AO97" s="670"/>
      <c r="AP97" s="669"/>
      <c r="AQ97" s="669"/>
      <c r="AR97" s="669"/>
      <c r="AS97" s="669"/>
      <c r="AT97" s="669"/>
      <c r="AU97" s="670"/>
      <c r="AV97" s="669"/>
      <c r="AW97" s="669"/>
      <c r="AX97" s="669"/>
      <c r="AY97" s="669"/>
      <c r="AZ97" s="669"/>
      <c r="BA97" s="670"/>
      <c r="BB97" s="669"/>
      <c r="BC97" s="669"/>
      <c r="BD97" s="669"/>
      <c r="BE97" s="669"/>
      <c r="BF97" s="669"/>
      <c r="BG97" s="670"/>
      <c r="BH97" s="669"/>
      <c r="BI97" s="669"/>
      <c r="BJ97" s="669"/>
      <c r="BK97" s="669"/>
      <c r="BL97" s="669"/>
      <c r="BM97" s="670"/>
      <c r="BN97" s="669"/>
      <c r="BO97" s="669"/>
      <c r="BP97" s="669"/>
      <c r="BQ97" s="669"/>
      <c r="BR97" s="669"/>
      <c r="BS97" s="670"/>
      <c r="BT97" s="669"/>
      <c r="BU97" s="669"/>
      <c r="BV97" s="669"/>
      <c r="BW97" s="669"/>
      <c r="BX97" s="669"/>
      <c r="BY97" s="670"/>
      <c r="BZ97" s="669"/>
      <c r="CA97" s="669"/>
      <c r="CB97" s="669"/>
      <c r="CC97" s="669"/>
      <c r="CD97" s="669"/>
      <c r="CE97" s="670"/>
      <c r="CF97" s="669"/>
      <c r="CG97" s="669"/>
      <c r="CH97" s="669"/>
      <c r="CI97" s="669"/>
      <c r="CJ97" s="669"/>
      <c r="CK97" s="670"/>
      <c r="CL97" s="669"/>
      <c r="CM97" s="669"/>
      <c r="CN97" s="669"/>
      <c r="CO97" s="669"/>
      <c r="CP97" s="669"/>
      <c r="CQ97" s="670"/>
      <c r="CR97" s="669"/>
      <c r="CS97" s="669"/>
      <c r="CT97" s="669"/>
      <c r="CU97" s="669"/>
      <c r="CV97" s="669"/>
      <c r="CW97" s="670"/>
      <c r="CX97" s="669"/>
      <c r="CY97" s="669"/>
      <c r="CZ97" s="669"/>
      <c r="DA97" s="669"/>
      <c r="DB97" s="669"/>
      <c r="DC97" s="670"/>
      <c r="DD97" s="669"/>
      <c r="DE97" s="669"/>
      <c r="DF97" s="669"/>
      <c r="DG97" s="669"/>
      <c r="DH97" s="669"/>
      <c r="DI97" s="670"/>
      <c r="DJ97" s="669"/>
      <c r="DK97" s="669"/>
      <c r="DL97" s="669"/>
      <c r="DM97" s="669"/>
      <c r="DN97" s="669"/>
      <c r="DO97" s="670"/>
      <c r="DP97" s="669"/>
    </row>
    <row r="98" spans="1:120" ht="12.75" hidden="1" customHeight="1" outlineLevel="1">
      <c r="A98" s="259" t="s">
        <v>248</v>
      </c>
      <c r="B98" s="730"/>
      <c r="C98" s="260"/>
      <c r="D98" s="260"/>
      <c r="E98" s="260"/>
      <c r="F98" s="260"/>
      <c r="G98" s="260"/>
      <c r="H98" s="260"/>
      <c r="I98" s="260"/>
      <c r="J98" s="260"/>
      <c r="K98" s="260"/>
      <c r="L98" s="260"/>
      <c r="M98" s="260"/>
      <c r="N98" s="260"/>
      <c r="O98" s="260"/>
      <c r="P98" s="260"/>
      <c r="Q98" s="260"/>
      <c r="R98" s="260"/>
      <c r="S98" s="260"/>
      <c r="T98" s="260"/>
      <c r="U98" s="260"/>
      <c r="V98" s="260"/>
      <c r="W98" s="260"/>
      <c r="X98" s="260"/>
      <c r="Y98" s="260"/>
      <c r="Z98" s="260"/>
      <c r="AA98" s="260"/>
      <c r="AB98" s="260"/>
      <c r="AC98" s="260"/>
      <c r="AD98" s="260"/>
      <c r="AE98" s="260"/>
      <c r="AF98" s="260"/>
      <c r="AG98" s="260"/>
      <c r="AH98" s="260"/>
      <c r="AI98" s="262"/>
      <c r="AJ98" s="260"/>
      <c r="AK98" s="260"/>
      <c r="AL98" s="260"/>
      <c r="AM98" s="260"/>
      <c r="AN98" s="260"/>
      <c r="AO98" s="262"/>
      <c r="AP98" s="260"/>
      <c r="AQ98" s="260"/>
      <c r="AR98" s="260"/>
      <c r="AS98" s="279"/>
      <c r="AT98" s="260"/>
      <c r="AU98" s="262"/>
      <c r="AV98" s="260"/>
      <c r="AW98" s="260"/>
      <c r="AX98" s="260"/>
      <c r="AY98" s="260"/>
      <c r="AZ98" s="260"/>
      <c r="BA98" s="262"/>
      <c r="BB98" s="260"/>
      <c r="BC98" s="260"/>
      <c r="BD98" s="260"/>
      <c r="BE98" s="260"/>
      <c r="BF98" s="260"/>
      <c r="BG98" s="262"/>
      <c r="BH98" s="260"/>
      <c r="BI98" s="260"/>
      <c r="BJ98" s="260"/>
      <c r="BK98" s="260"/>
      <c r="BL98" s="260"/>
      <c r="BM98" s="262"/>
      <c r="BN98" s="260"/>
      <c r="BO98" s="260"/>
      <c r="BP98" s="260"/>
      <c r="BQ98" s="260"/>
      <c r="BR98" s="260"/>
      <c r="BS98" s="262"/>
      <c r="BT98" s="260"/>
      <c r="BU98" s="260"/>
      <c r="BV98" s="260"/>
      <c r="BW98" s="260"/>
      <c r="BX98" s="260"/>
      <c r="BY98" s="262"/>
      <c r="BZ98" s="260"/>
      <c r="CA98" s="260"/>
      <c r="CB98" s="260"/>
      <c r="CC98" s="260"/>
      <c r="CD98" s="260"/>
      <c r="CE98" s="262"/>
      <c r="CF98" s="260"/>
      <c r="CG98" s="260"/>
      <c r="CH98" s="260"/>
      <c r="CI98" s="260"/>
      <c r="CJ98" s="260"/>
      <c r="CK98" s="262"/>
      <c r="CL98" s="260"/>
      <c r="CM98" s="260"/>
      <c r="CN98" s="260"/>
      <c r="CO98" s="260"/>
      <c r="CP98" s="260"/>
      <c r="CQ98" s="306">
        <f>CQ64/CK64-1</f>
        <v>0.33718873643982294</v>
      </c>
      <c r="CR98" s="260"/>
      <c r="CS98" s="260"/>
      <c r="CT98" s="260"/>
      <c r="CU98" s="260"/>
      <c r="CV98" s="260"/>
      <c r="CW98" s="306">
        <f>CW64/CQ64-1</f>
        <v>0.36922636123805352</v>
      </c>
      <c r="CX98" s="260"/>
      <c r="CY98" s="260"/>
      <c r="CZ98" s="260"/>
      <c r="DA98" s="260"/>
      <c r="DB98" s="260"/>
      <c r="DC98" s="306">
        <f>DC64/CW64-1</f>
        <v>0.47102262594225897</v>
      </c>
      <c r="DD98" s="260"/>
      <c r="DE98" s="260"/>
      <c r="DF98" s="260"/>
      <c r="DG98" s="260"/>
      <c r="DH98" s="260"/>
      <c r="DI98" s="306">
        <f>DI64/DC64-1</f>
        <v>0.37231937829807737</v>
      </c>
      <c r="DJ98" s="260"/>
      <c r="DK98" s="260"/>
      <c r="DL98" s="260"/>
      <c r="DM98" s="260"/>
      <c r="DN98" s="260"/>
      <c r="DO98" s="306">
        <f>DO64/DI64-1</f>
        <v>0.34026845941706152</v>
      </c>
      <c r="DP98" s="260"/>
    </row>
    <row r="99" spans="1:120" ht="12.75" hidden="1" customHeight="1" outlineLevel="1">
      <c r="A99" s="266" t="s">
        <v>21</v>
      </c>
      <c r="B99" s="660"/>
      <c r="C99" s="267">
        <f>C64</f>
        <v>-5.5640000000000001</v>
      </c>
      <c r="D99" s="263">
        <f>D64-D54</f>
        <v>-53.87343289010731</v>
      </c>
      <c r="E99" s="263">
        <f>E64-E54</f>
        <v>-29.525000000000002</v>
      </c>
      <c r="F99" s="261"/>
      <c r="G99" s="263">
        <f>G64-G54-G56</f>
        <v>-1.6340000000000012</v>
      </c>
      <c r="H99" s="263">
        <f>H64-H54-H56</f>
        <v>-1.3859999999999992</v>
      </c>
      <c r="I99" s="263">
        <f>I64-I54-I56</f>
        <v>-4.8730000000000011</v>
      </c>
      <c r="J99" s="263">
        <f>J64-J54-J56</f>
        <v>-2.6069999999999993</v>
      </c>
      <c r="K99" s="263">
        <f>SUM(G99:J99)</f>
        <v>-10.5</v>
      </c>
      <c r="L99" s="263"/>
      <c r="M99" s="263">
        <f>M64-M54-M56</f>
        <v>1.7000000000001236E-2</v>
      </c>
      <c r="N99" s="263">
        <f>N64-N54-N56</f>
        <v>0.13400000000000034</v>
      </c>
      <c r="O99" s="263">
        <f>O64-O54-O56</f>
        <v>4.3109999999999973</v>
      </c>
      <c r="P99" s="263">
        <f>P64-P54-P56</f>
        <v>-0.74400000000000133</v>
      </c>
      <c r="Q99" s="263">
        <f>SUM(M99:P99)</f>
        <v>3.7179999999999973</v>
      </c>
      <c r="R99" s="263"/>
      <c r="S99" s="263">
        <f>S64-S54-S56</f>
        <v>0.36100000000000065</v>
      </c>
      <c r="T99" s="263">
        <f>T64-T54-T56</f>
        <v>1.1650000000000134</v>
      </c>
      <c r="U99" s="263">
        <f>U64-U54-U56</f>
        <v>1.7730000000000032</v>
      </c>
      <c r="V99" s="263">
        <f>V64-V54-V56</f>
        <v>3.2209999999999965</v>
      </c>
      <c r="W99" s="263">
        <f>SUM(S99:V99)</f>
        <v>6.5200000000000138</v>
      </c>
      <c r="X99" s="263"/>
      <c r="Y99" s="263">
        <f>Y64-Y54-Y56</f>
        <v>4.2699999999999996</v>
      </c>
      <c r="Z99" s="263">
        <f>Z64-Z54-Z56</f>
        <v>4.1929999999999978</v>
      </c>
      <c r="AA99" s="263">
        <f>AA64-AA54-AA56</f>
        <v>6.3869999999999862</v>
      </c>
      <c r="AB99" s="263">
        <f>AB64-AB54-AB56</f>
        <v>5.2519999999999811</v>
      </c>
      <c r="AC99" s="263">
        <f>SUM(Y99:AB99)</f>
        <v>20.101999999999965</v>
      </c>
      <c r="AD99" s="263"/>
      <c r="AE99" s="263">
        <f>AE64-AE53-AE56</f>
        <v>-0.11999999999999744</v>
      </c>
      <c r="AF99" s="263">
        <f>AF64-AF53-AF56</f>
        <v>-1.2790000000000017</v>
      </c>
      <c r="AG99" s="721">
        <f>AG64-AG53-AG56</f>
        <v>-0.12299999999998157</v>
      </c>
      <c r="AH99" s="263">
        <f>AH64-AH53-AH56</f>
        <v>-2.0679999999999872</v>
      </c>
      <c r="AI99" s="265">
        <f>SUM(AE99:AH99)</f>
        <v>-3.5899999999999679</v>
      </c>
      <c r="AJ99" s="263"/>
      <c r="AK99" s="264">
        <f>AK64-AK53-AK56</f>
        <v>0.11400000000000432</v>
      </c>
      <c r="AL99" s="263">
        <f>AL64-AL53-AL56</f>
        <v>3.3470000000000208</v>
      </c>
      <c r="AM99" s="263">
        <f>AM64-AM53-AM56</f>
        <v>6.1180000000000199</v>
      </c>
      <c r="AN99" s="263">
        <f>AN64-AN53-AN56</f>
        <v>10.729999999999984</v>
      </c>
      <c r="AO99" s="265">
        <f>SUM(AK99:AN99)</f>
        <v>20.309000000000029</v>
      </c>
      <c r="AP99" s="263"/>
      <c r="AQ99" s="264">
        <f>AQ64-AQ53-AQ56</f>
        <v>15.421000000000003</v>
      </c>
      <c r="AR99" s="263">
        <f>AR64-AR53-AR56</f>
        <v>16.082000000000015</v>
      </c>
      <c r="AS99" s="263">
        <f>AS64-AS53-AS56</f>
        <v>16.632999999999992</v>
      </c>
      <c r="AT99" s="263">
        <f>AT64-AT53-AT56</f>
        <v>16.090000000000003</v>
      </c>
      <c r="AU99" s="265">
        <f>SUM(AQ99:AT99)</f>
        <v>64.226000000000013</v>
      </c>
      <c r="AV99" s="263"/>
      <c r="AW99" s="263">
        <f>AW64-AW53-AW56</f>
        <v>28.622999999999987</v>
      </c>
      <c r="AX99" s="263">
        <f>AX64-AX53-AX56</f>
        <v>29.488999999999997</v>
      </c>
      <c r="AY99" s="263">
        <f>AY64-AY53-AY56</f>
        <v>30.140999999999988</v>
      </c>
      <c r="AZ99" s="263">
        <f>AZ64-AZ53-AZ56</f>
        <v>25.527000000000015</v>
      </c>
      <c r="BA99" s="265">
        <f>SUM(AW99:AZ99)</f>
        <v>113.77999999999999</v>
      </c>
      <c r="BB99" s="263"/>
      <c r="BC99" s="263">
        <f>BC64-BC53-BC56</f>
        <v>33.054000000000045</v>
      </c>
      <c r="BD99" s="263">
        <f>BD64-BD53-BD56</f>
        <v>29.682000000000009</v>
      </c>
      <c r="BE99" s="263">
        <f>BE64-BE53-BE56</f>
        <v>35.155999999999999</v>
      </c>
      <c r="BF99" s="263">
        <f>BF64-BF53-BF56</f>
        <v>-0.39099999999999824</v>
      </c>
      <c r="BG99" s="265">
        <f>SUM(BC99:BF99)</f>
        <v>97.501000000000062</v>
      </c>
      <c r="BH99" s="263"/>
      <c r="BI99" s="263">
        <f>BI64-BI53-BI56</f>
        <v>-2.8029999999999688</v>
      </c>
      <c r="BJ99" s="263">
        <f>BJ64-BJ53-BJ56</f>
        <v>-15.747999999999969</v>
      </c>
      <c r="BK99" s="263">
        <f>BK64-BK53-BK56</f>
        <v>-10.157000000000039</v>
      </c>
      <c r="BL99" s="263">
        <f>BL64-BL53-BL56</f>
        <v>-6.3769999999999385</v>
      </c>
      <c r="BM99" s="265">
        <f>SUM(BI99:BL99)</f>
        <v>-35.084999999999916</v>
      </c>
      <c r="BN99" s="263"/>
      <c r="BO99" s="263">
        <f>BO64-BO53-BO56</f>
        <v>-22.248999999999953</v>
      </c>
      <c r="BP99" s="263">
        <f>BP64-BP53-BP56</f>
        <v>-13.466000000000051</v>
      </c>
      <c r="BQ99" s="263">
        <f>BQ64-BQ53-BQ56</f>
        <v>-54.188000000000059</v>
      </c>
      <c r="BR99" s="263">
        <f>BR64-BR53-BR56</f>
        <v>-20.806999999999917</v>
      </c>
      <c r="BS99" s="265">
        <f>SUM(BO99:BR99)</f>
        <v>-110.70999999999998</v>
      </c>
      <c r="BT99" s="263"/>
      <c r="BU99" s="263">
        <f>BU64-BU53-BU56</f>
        <v>-44.540000000000049</v>
      </c>
      <c r="BV99" s="263">
        <f>BV64-BV53-BV56</f>
        <v>-39.856999999999786</v>
      </c>
      <c r="BW99" s="263">
        <f>BW64-BW53-BW56</f>
        <v>-97.931000000000154</v>
      </c>
      <c r="BX99" s="263">
        <f>BX64-BX53-BX56</f>
        <v>-103.74600000000001</v>
      </c>
      <c r="BY99" s="265">
        <f>SUM(BU99:BX99)</f>
        <v>-286.07399999999996</v>
      </c>
      <c r="BZ99" s="263"/>
      <c r="CA99" s="263">
        <f>CA64-CA53-CA56</f>
        <v>-55.340999999999866</v>
      </c>
      <c r="CB99" s="263">
        <f>CB64-CB53-CB56</f>
        <v>-33.433999999999813</v>
      </c>
      <c r="CC99" s="263">
        <f>CC64-CC53-CC56</f>
        <v>-22.041999999999973</v>
      </c>
      <c r="CD99" s="263">
        <f>CD64-CD53-CD56</f>
        <v>-34.816000000000116</v>
      </c>
      <c r="CE99" s="265">
        <f>SUM(CA99:CD99)</f>
        <v>-145.63299999999975</v>
      </c>
      <c r="CF99" s="263"/>
      <c r="CG99" s="263">
        <f>CG64-CG53-CG56</f>
        <v>31.105000000000217</v>
      </c>
      <c r="CH99" s="263">
        <f>CH64-CH53-CH56</f>
        <v>19.823999999999728</v>
      </c>
      <c r="CI99" s="263">
        <f>CI64-CI53-CI56</f>
        <v>43.433999999999912</v>
      </c>
      <c r="CJ99" s="263">
        <f>CJ64-CJ53-CJ56</f>
        <v>20.560000000000372</v>
      </c>
      <c r="CK99" s="265">
        <f>SUM(CG99:CJ99)</f>
        <v>114.92300000000023</v>
      </c>
      <c r="CL99" s="263"/>
      <c r="CM99" s="263">
        <f>CM64-CM53-CM56</f>
        <v>51.985999999999848</v>
      </c>
      <c r="CN99" s="263">
        <f>CN64-CN53-CN56</f>
        <v>32.550999999999817</v>
      </c>
      <c r="CO99" s="263">
        <f>CO64-CO53-CO56</f>
        <v>3.0359999999998593</v>
      </c>
      <c r="CP99" s="263">
        <f>CP64-CP53-CP56</f>
        <v>-23.345000000000368</v>
      </c>
      <c r="CQ99" s="265">
        <f>SUM(CM99:CP99)</f>
        <v>64.227999999999156</v>
      </c>
      <c r="CR99" s="263"/>
      <c r="CS99" s="263">
        <f>CS64-CS53-CS56</f>
        <v>-8.8820000000000903</v>
      </c>
      <c r="CT99" s="263">
        <f>CT64-CT53-CT56</f>
        <v>50.792999999999836</v>
      </c>
      <c r="CU99" s="263">
        <f>CU64-CU53-CU56</f>
        <v>115.988</v>
      </c>
      <c r="CV99" s="263">
        <f>CV64-CV53-CV56</f>
        <v>77.868999999999943</v>
      </c>
      <c r="CW99" s="265">
        <f>SUM(CS99:CV99)</f>
        <v>235.76799999999969</v>
      </c>
      <c r="CX99" s="263"/>
      <c r="CY99" s="263">
        <f>CY64-CY53-CY56</f>
        <v>129.5034399753751</v>
      </c>
      <c r="CZ99" s="263">
        <f>CZ64-CZ53-CZ56</f>
        <v>213.86984990278609</v>
      </c>
      <c r="DA99" s="263">
        <f>DA64-DA53-DA56</f>
        <v>283.10904980388779</v>
      </c>
      <c r="DB99" s="263">
        <f>DB64-DB53-DB56</f>
        <v>249.11688019311941</v>
      </c>
      <c r="DC99" s="265">
        <f>SUM(CY99:DB99)</f>
        <v>875.59921987516839</v>
      </c>
      <c r="DD99" s="263"/>
      <c r="DE99" s="263">
        <f>DE64-DE53-DE56</f>
        <v>287.0997461479048</v>
      </c>
      <c r="DF99" s="263">
        <f>DF64-DF53-DF56</f>
        <v>404.14686653254751</v>
      </c>
      <c r="DG99" s="263">
        <f>DG64-DG53-DG56</f>
        <v>479.90491071012679</v>
      </c>
      <c r="DH99" s="263">
        <f>DH64-DH53-DH56</f>
        <v>482.5471243688234</v>
      </c>
      <c r="DI99" s="265">
        <f>SUM(DE99:DH99)</f>
        <v>1653.6986477594025</v>
      </c>
      <c r="DJ99" s="263"/>
      <c r="DK99" s="263">
        <f>DK64-DK53-DK56</f>
        <v>500.79030327393298</v>
      </c>
      <c r="DL99" s="263">
        <f>DL64-DL53-DL56</f>
        <v>646.07957700227939</v>
      </c>
      <c r="DM99" s="263">
        <f>DM64-DM53-DM56</f>
        <v>732.59016518303611</v>
      </c>
      <c r="DN99" s="263">
        <f>DN64-DN53-DN56</f>
        <v>761.18660041869362</v>
      </c>
      <c r="DO99" s="265">
        <f>SUM(DK99:DN99)</f>
        <v>2640.6466458779423</v>
      </c>
      <c r="DP99" s="261"/>
    </row>
    <row r="100" spans="1:120" ht="12.75" hidden="1" customHeight="1" outlineLevel="1">
      <c r="A100" s="284" t="s">
        <v>362</v>
      </c>
      <c r="B100" s="732"/>
      <c r="C100" s="271" t="s">
        <v>236</v>
      </c>
      <c r="D100" s="274">
        <f>D99/D19</f>
        <v>-9.912315159173378</v>
      </c>
      <c r="E100" s="274">
        <f>E99/E19</f>
        <v>-1.3175509839796511</v>
      </c>
      <c r="F100" s="305"/>
      <c r="G100" s="274">
        <f>G99/G19</f>
        <v>-0.17474066944711808</v>
      </c>
      <c r="H100" s="274">
        <f>H99/H19</f>
        <v>-0.11663721282504411</v>
      </c>
      <c r="I100" s="274">
        <f>I99/I19</f>
        <v>-0.34338665351278991</v>
      </c>
      <c r="J100" s="274">
        <f>J99/J19</f>
        <v>-0.16748040601310543</v>
      </c>
      <c r="K100" s="274">
        <f>K99/K19</f>
        <v>-0.20591869153380007</v>
      </c>
      <c r="L100" s="305"/>
      <c r="M100" s="274">
        <f>M99/M19</f>
        <v>8.9885264104061946E-4</v>
      </c>
      <c r="N100" s="274">
        <f>N99/N19</f>
        <v>6.1971049345604379E-3</v>
      </c>
      <c r="O100" s="274">
        <f>O99/O19</f>
        <v>0.16949752300070761</v>
      </c>
      <c r="P100" s="274">
        <f>P99/P19</f>
        <v>-2.4756263933717142E-2</v>
      </c>
      <c r="Q100" s="274">
        <f>Q99/Q19</f>
        <v>3.8719890026347827E-2</v>
      </c>
      <c r="R100" s="305"/>
      <c r="S100" s="274">
        <f>S99/S19</f>
        <v>1.0361950687447994E-2</v>
      </c>
      <c r="T100" s="274">
        <f>T99/T19</f>
        <v>2.8708016066632494E-2</v>
      </c>
      <c r="U100" s="274">
        <f>U99/U19</f>
        <v>3.8243351092513173E-2</v>
      </c>
      <c r="V100" s="274">
        <f>V99/V19</f>
        <v>5.8999157416565869E-2</v>
      </c>
      <c r="W100" s="274">
        <f>W99/W19</f>
        <v>3.6966690290574138E-2</v>
      </c>
      <c r="X100" s="305"/>
      <c r="Y100" s="274">
        <f>Y99/Y19</f>
        <v>6.6534739860074479E-2</v>
      </c>
      <c r="Z100" s="274">
        <f>Z99/Z19</f>
        <v>5.8282251226665513E-2</v>
      </c>
      <c r="AA100" s="274">
        <f>AA99/AA19</f>
        <v>7.7256177954108191E-2</v>
      </c>
      <c r="AB100" s="274">
        <f>AB99/AB19</f>
        <v>5.7673723974347509E-2</v>
      </c>
      <c r="AC100" s="274">
        <f>AC99/AC19</f>
        <v>6.4875087540381418E-2</v>
      </c>
      <c r="AD100" s="274"/>
      <c r="AE100" s="274">
        <f>AE99/AE19</f>
        <v>-1.1462850810996452E-3</v>
      </c>
      <c r="AF100" s="274">
        <f>AF99/AF19</f>
        <v>-1.0826413401389927E-2</v>
      </c>
      <c r="AG100" s="274">
        <f>AG99/AG19</f>
        <v>-9.4576826370773126E-4</v>
      </c>
      <c r="AH100" s="274">
        <f>AH99/AH19</f>
        <v>-1.433900514484605E-2</v>
      </c>
      <c r="AI100" s="306">
        <f>AI99/AI19</f>
        <v>-7.2219160004666451E-3</v>
      </c>
      <c r="AJ100" s="274"/>
      <c r="AK100" s="274">
        <f>AK99/AK19</f>
        <v>7.0191857744504301E-4</v>
      </c>
      <c r="AL100" s="274">
        <f>AL99/AL19</f>
        <v>1.8954688836158442E-2</v>
      </c>
      <c r="AM100" s="274">
        <f>AM99/AM19</f>
        <v>3.1731871392042761E-2</v>
      </c>
      <c r="AN100" s="274">
        <f>AN99/AN19</f>
        <v>4.9468433330567087E-2</v>
      </c>
      <c r="AO100" s="277">
        <f>AO99/AO19</f>
        <v>2.7125684519834423E-2</v>
      </c>
      <c r="AP100" s="274"/>
      <c r="AQ100" s="275">
        <f>AQ99/AQ19</f>
        <v>6.2276372858631308E-2</v>
      </c>
      <c r="AR100" s="275">
        <f>AR99/AR19</f>
        <v>6.1130391482341728E-2</v>
      </c>
      <c r="AS100" s="275">
        <f>AS99/AS19</f>
        <v>6.0158343791932328E-2</v>
      </c>
      <c r="AT100" s="275">
        <f>AT99/AT19</f>
        <v>5.556265388506923E-2</v>
      </c>
      <c r="AU100" s="277">
        <f>AU99/AU19</f>
        <v>5.9646962347541591E-2</v>
      </c>
      <c r="AV100" s="275"/>
      <c r="AW100" s="275">
        <f>AW99/AW19</f>
        <v>9.3869292020306666E-2</v>
      </c>
      <c r="AX100" s="275">
        <f>AX99/AX19</f>
        <v>9.3301609499432073E-2</v>
      </c>
      <c r="AY100" s="275">
        <f>AY99/AY19</f>
        <v>9.1184665511013466E-2</v>
      </c>
      <c r="AZ100" s="275">
        <f>AZ99/AZ19</f>
        <v>7.2100189521789398E-2</v>
      </c>
      <c r="BA100" s="277">
        <f>BA99/BA19</f>
        <v>8.7148806318709707E-2</v>
      </c>
      <c r="BB100" s="274"/>
      <c r="BC100" s="275">
        <f>BC99/BC19</f>
        <v>8.7719903506513958E-2</v>
      </c>
      <c r="BD100" s="275">
        <f>BD99/BD19</f>
        <v>7.5263963973101561E-2</v>
      </c>
      <c r="BE100" s="275">
        <f>BE99/BE19</f>
        <v>8.1932102347542571E-2</v>
      </c>
      <c r="BF100" s="275">
        <f>BF99/BF19</f>
        <v>-8.5582893927554026E-4</v>
      </c>
      <c r="BG100" s="277">
        <f>BG99/BG19</f>
        <v>5.8836947292894605E-2</v>
      </c>
      <c r="BH100" s="274"/>
      <c r="BI100" s="275">
        <f>BI99/BI19</f>
        <v>-5.5574941907034778E-3</v>
      </c>
      <c r="BJ100" s="275">
        <f>BJ99/BJ19</f>
        <v>-2.8842385192728179E-2</v>
      </c>
      <c r="BK100" s="275">
        <f>BK99/BK19</f>
        <v>-1.7384383664806831E-2</v>
      </c>
      <c r="BL100" s="275">
        <f>BL99/BL19</f>
        <v>-1.009157906230753E-2</v>
      </c>
      <c r="BM100" s="277">
        <f>BM99/BM19</f>
        <v>-1.5479548333384033E-2</v>
      </c>
      <c r="BN100" s="274"/>
      <c r="BO100" s="275">
        <f>BO99/BO19</f>
        <v>-3.1991453224955252E-2</v>
      </c>
      <c r="BP100" s="275">
        <f>BP99/BP19</f>
        <v>-1.8405000211850289E-2</v>
      </c>
      <c r="BQ100" s="275">
        <f>BQ99/BQ19</f>
        <v>-6.8731782678291997E-2</v>
      </c>
      <c r="BR100" s="275">
        <f>BR99/BR19</f>
        <v>-2.4928086298837419E-2</v>
      </c>
      <c r="BS100" s="277">
        <f>BS99/BS19</f>
        <v>-3.6296040089240186E-2</v>
      </c>
      <c r="BT100" s="274"/>
      <c r="BU100" s="275">
        <f>BU99/BU19</f>
        <v>-4.9897326224775523E-2</v>
      </c>
      <c r="BV100" s="275">
        <f>BV99/BV19</f>
        <v>-4.1643767487832738E-2</v>
      </c>
      <c r="BW100" s="275">
        <f>BW99/BW19</f>
        <v>-9.1011064706133959E-2</v>
      </c>
      <c r="BX100" s="275">
        <f>BX99/BX19</f>
        <v>-9.0588714001058307E-2</v>
      </c>
      <c r="BY100" s="277">
        <f>BY99/BY19</f>
        <v>-7.0271134656496176E-2</v>
      </c>
      <c r="BZ100" s="274"/>
      <c r="CA100" s="275">
        <f>CA99/CA19</f>
        <v>-4.511107198403605E-2</v>
      </c>
      <c r="CB100" s="275">
        <f>CB99/CB19</f>
        <v>-2.5356622534888535E-2</v>
      </c>
      <c r="CC100" s="275">
        <f>CC99/CC19</f>
        <v>-1.5930271635631696E-2</v>
      </c>
      <c r="CD100" s="275">
        <f>CD99/CD19</f>
        <v>-2.4100655679603129E-2</v>
      </c>
      <c r="CE100" s="277">
        <f>CE99/CE19</f>
        <v>-2.7101641250367958E-2</v>
      </c>
      <c r="CF100" s="274"/>
      <c r="CG100" s="275">
        <f>CG99/CG19</f>
        <v>2.0583429892262219E-2</v>
      </c>
      <c r="CH100" s="275">
        <f>CH99/CH19</f>
        <v>1.2127114475947479E-2</v>
      </c>
      <c r="CI100" s="275">
        <f>CI99/CI19</f>
        <v>2.5370816143068124E-2</v>
      </c>
      <c r="CJ100" s="275">
        <f>CJ99/CJ19</f>
        <v>1.1362895283403856E-2</v>
      </c>
      <c r="CK100" s="277">
        <f>CK99/CK19</f>
        <v>1.7237029668755326E-2</v>
      </c>
      <c r="CL100" s="274"/>
      <c r="CM100" s="275">
        <f>CM99/CM19</f>
        <v>2.7124031424348102E-2</v>
      </c>
      <c r="CN100" s="275">
        <f>CN99/CN19</f>
        <v>1.5982869639765442E-2</v>
      </c>
      <c r="CO100" s="275">
        <f>CO99/CO19</f>
        <v>1.4155330978773341E-3</v>
      </c>
      <c r="CP100" s="275">
        <f>CP99/CP19</f>
        <v>-1.0176600749437386E-2</v>
      </c>
      <c r="CQ100" s="277">
        <f>CQ99/CQ19</f>
        <v>7.6534940962708162E-3</v>
      </c>
      <c r="CR100" s="274"/>
      <c r="CS100" s="275">
        <f>CS99/CS19</f>
        <v>-3.7200863301277533E-3</v>
      </c>
      <c r="CT100" s="275">
        <f>CT99/CT19</f>
        <v>1.9828707884051593E-2</v>
      </c>
      <c r="CU100" s="275">
        <f>CU99/CU19</f>
        <v>4.3281672308170524E-2</v>
      </c>
      <c r="CV100" s="275">
        <f>CV99/CV19</f>
        <v>2.7312843935976196E-2</v>
      </c>
      <c r="CW100" s="277">
        <f>CW99/CW19</f>
        <v>2.2496920805052487E-2</v>
      </c>
      <c r="CX100" s="274"/>
      <c r="CY100" s="275">
        <f>CY99/CY19</f>
        <v>4.3985628982234369E-2</v>
      </c>
      <c r="CZ100" s="275">
        <f>CZ99/CZ19</f>
        <v>6.8619151209347834E-2</v>
      </c>
      <c r="DA100" s="275">
        <f>DA99/DA19</f>
        <v>8.7501695763423246E-2</v>
      </c>
      <c r="DB100" s="275">
        <f>DB99/DB19</f>
        <v>7.298679015526828E-2</v>
      </c>
      <c r="DC100" s="277">
        <f>DC99/DC19</f>
        <v>6.8892555752557899E-2</v>
      </c>
      <c r="DD100" s="274"/>
      <c r="DE100" s="275">
        <f>DE99/DE19</f>
        <v>8.1120495398403547E-2</v>
      </c>
      <c r="DF100" s="275">
        <f>DF99/DF19</f>
        <v>0.10778809642984681</v>
      </c>
      <c r="DG100" s="275">
        <f>DG99/DG19</f>
        <v>0.12329102420021554</v>
      </c>
      <c r="DH100" s="275">
        <f>DH99/DH19</f>
        <v>0.11822024107805358</v>
      </c>
      <c r="DI100" s="277">
        <f>DI99/DI19</f>
        <v>0.1083479310740561</v>
      </c>
      <c r="DJ100" s="274"/>
      <c r="DK100" s="275">
        <f>DK99/DK19</f>
        <v>0.11821927393059796</v>
      </c>
      <c r="DL100" s="275">
        <f>DL99/DL19</f>
        <v>0.14429290384860996</v>
      </c>
      <c r="DM100" s="275">
        <f>DM99/DM19</f>
        <v>0.15776623510806731</v>
      </c>
      <c r="DN100" s="275">
        <f>DN99/DN19</f>
        <v>0.15642885735770848</v>
      </c>
      <c r="DO100" s="277">
        <f>DO99/DO19</f>
        <v>0.14490567283779013</v>
      </c>
      <c r="DP100" s="305"/>
    </row>
    <row r="101" spans="1:120" ht="12.75" hidden="1" customHeight="1" outlineLevel="1">
      <c r="A101" s="266" t="s">
        <v>363</v>
      </c>
      <c r="B101" s="660"/>
      <c r="C101" s="267">
        <f>C71</f>
        <v>0.112</v>
      </c>
      <c r="D101" s="263">
        <f>D71</f>
        <v>1.736</v>
      </c>
      <c r="E101" s="263">
        <f>E71</f>
        <v>0.49099999999999999</v>
      </c>
      <c r="F101" s="261"/>
      <c r="G101" s="263">
        <f>G71</f>
        <v>2.9000000000000001E-2</v>
      </c>
      <c r="H101" s="263">
        <f>H71</f>
        <v>0.183</v>
      </c>
      <c r="I101" s="263">
        <f>I71</f>
        <v>-2.3E-2</v>
      </c>
      <c r="J101" s="263">
        <f>J71</f>
        <v>0.30300000000000005</v>
      </c>
      <c r="K101" s="263">
        <f>SUM(G101:J101)</f>
        <v>0.49200000000000005</v>
      </c>
      <c r="L101" s="261"/>
      <c r="M101" s="263">
        <f>M71</f>
        <v>0.38400000000000001</v>
      </c>
      <c r="N101" s="263">
        <f>N71</f>
        <v>1.4999999999999999E-2</v>
      </c>
      <c r="O101" s="263">
        <f>O71</f>
        <v>4.5999999999999999E-2</v>
      </c>
      <c r="P101" s="263">
        <f>P71</f>
        <v>7.5999999999999998E-2</v>
      </c>
      <c r="Q101" s="263">
        <f>SUM(M101:P101)</f>
        <v>0.52100000000000002</v>
      </c>
      <c r="R101" s="263"/>
      <c r="S101" s="263">
        <f>S71</f>
        <v>0.16299999999999998</v>
      </c>
      <c r="T101" s="263">
        <f>T71</f>
        <v>0.35299999999999998</v>
      </c>
      <c r="U101" s="263">
        <f>U71</f>
        <v>0.79899999999999993</v>
      </c>
      <c r="V101" s="263">
        <f>V71</f>
        <v>1.3180000000000001</v>
      </c>
      <c r="W101" s="263">
        <f>SUM(S101:V101)</f>
        <v>2.633</v>
      </c>
      <c r="X101" s="263"/>
      <c r="Y101" s="263">
        <f>Y71</f>
        <v>1.4850000000000001</v>
      </c>
      <c r="Z101" s="263">
        <f>Z71</f>
        <v>2.359</v>
      </c>
      <c r="AA101" s="263">
        <f>AA71</f>
        <v>1.95</v>
      </c>
      <c r="AB101" s="263">
        <f>AB71</f>
        <v>2.302</v>
      </c>
      <c r="AC101" s="263">
        <f>SUM(Y101:AB101)</f>
        <v>8.0960000000000001</v>
      </c>
      <c r="AD101" s="263"/>
      <c r="AE101" s="263">
        <f>AE71</f>
        <v>2.38</v>
      </c>
      <c r="AF101" s="263">
        <f>AF71</f>
        <v>3.3069999999999999</v>
      </c>
      <c r="AG101" s="263">
        <f>AG71</f>
        <v>4.4286906887239716</v>
      </c>
      <c r="AH101" s="263">
        <f>AH71</f>
        <v>5.957617851413227</v>
      </c>
      <c r="AI101" s="265">
        <f>SUM(AE101:AH101)</f>
        <v>16.073308540137198</v>
      </c>
      <c r="AJ101" s="263"/>
      <c r="AK101" s="263">
        <f>AK71</f>
        <v>5.1759999999999993</v>
      </c>
      <c r="AL101" s="263">
        <f>AL71</f>
        <v>5.8950000000000005</v>
      </c>
      <c r="AM101" s="263">
        <f>AM71</f>
        <v>8.1129999999999995</v>
      </c>
      <c r="AN101" s="263">
        <f>AN71</f>
        <v>6.7200000000000006</v>
      </c>
      <c r="AO101" s="265">
        <f>SUM(AK101:AN101)</f>
        <v>25.903999999999996</v>
      </c>
      <c r="AP101" s="263"/>
      <c r="AQ101" s="263">
        <f>AQ71</f>
        <v>5.9590000000000005</v>
      </c>
      <c r="AR101" s="263">
        <f>AR71</f>
        <v>5.8680000000000003</v>
      </c>
      <c r="AS101" s="263">
        <f>AS71</f>
        <v>4.3739999999999997</v>
      </c>
      <c r="AT101" s="263">
        <f>AT71</f>
        <v>5.649</v>
      </c>
      <c r="AU101" s="265">
        <f>SUM(AQ101:AT101)</f>
        <v>21.85</v>
      </c>
      <c r="AV101" s="263"/>
      <c r="AW101" s="263">
        <f>AW71</f>
        <v>4.6929999999999996</v>
      </c>
      <c r="AX101" s="263">
        <f>AX71</f>
        <v>6.3819999999999997</v>
      </c>
      <c r="AY101" s="263">
        <f>AY71</f>
        <v>6.875</v>
      </c>
      <c r="AZ101" s="263">
        <f>AZ71</f>
        <v>9.1589999999999989</v>
      </c>
      <c r="BA101" s="265">
        <f>SUM(AW101:AZ101)</f>
        <v>27.108999999999998</v>
      </c>
      <c r="BB101" s="263"/>
      <c r="BC101" s="263">
        <f>BC71+BC74</f>
        <v>-1.1579999999999995</v>
      </c>
      <c r="BD101" s="263">
        <f>BD71+BD74</f>
        <v>-0.21499999999999986</v>
      </c>
      <c r="BE101" s="263">
        <f>BE71+BE74</f>
        <v>3.4040000000000008</v>
      </c>
      <c r="BF101" s="263">
        <f>BF71+BF74</f>
        <v>4.7700000000000014</v>
      </c>
      <c r="BG101" s="265">
        <f>SUM(BC101:BF101)</f>
        <v>6.8010000000000028</v>
      </c>
      <c r="BH101" s="263"/>
      <c r="BI101" s="263">
        <f>BI71+BI74</f>
        <v>3.5839999999999996</v>
      </c>
      <c r="BJ101" s="263">
        <f>BJ71+BJ74</f>
        <v>-1.9649999999999999</v>
      </c>
      <c r="BK101" s="263">
        <f>BK71+BK74</f>
        <v>1.3069999999999999</v>
      </c>
      <c r="BL101" s="263">
        <f>BL71+BL74</f>
        <v>-1.1579999999999999</v>
      </c>
      <c r="BM101" s="265">
        <f>SUM(BI101:BL101)</f>
        <v>1.7679999999999998</v>
      </c>
      <c r="BN101" s="263"/>
      <c r="BO101" s="263">
        <f>BO71+BO74</f>
        <v>-2.609</v>
      </c>
      <c r="BP101" s="263">
        <f>BP71+BP74</f>
        <v>-0.56599999999999984</v>
      </c>
      <c r="BQ101" s="263">
        <f>BQ71+BQ74</f>
        <v>-8.6630000000000003</v>
      </c>
      <c r="BR101" s="263">
        <f>BR71+BR74</f>
        <v>-5.2360000000000007</v>
      </c>
      <c r="BS101" s="265">
        <f>SUM(BO101:BR101)</f>
        <v>-17.074000000000002</v>
      </c>
      <c r="BT101" s="263"/>
      <c r="BU101" s="263">
        <f>BU71+BU74</f>
        <v>-9.4029999999999987</v>
      </c>
      <c r="BV101" s="263">
        <f>BV71+BV74</f>
        <v>-16.946999999999999</v>
      </c>
      <c r="BW101" s="263">
        <f>BW71+BW74</f>
        <v>-26.11</v>
      </c>
      <c r="BX101" s="263">
        <f>BX71+BX74</f>
        <v>-19.400999999999996</v>
      </c>
      <c r="BY101" s="265">
        <f>SUM(BU101:BX101)</f>
        <v>-71.86099999999999</v>
      </c>
      <c r="BZ101" s="263"/>
      <c r="CA101" s="263">
        <f>CA71+CA74-8.529</f>
        <v>-29.428000000000001</v>
      </c>
      <c r="CB101" s="263">
        <f>CB71+CB74-0.361</f>
        <v>-19.535</v>
      </c>
      <c r="CC101" s="263">
        <f>CC71+CC74-1.339+15.625</f>
        <v>0.19299999999999962</v>
      </c>
      <c r="CD101" s="263">
        <f>CD71+CD74</f>
        <v>-18.682000000000002</v>
      </c>
      <c r="CE101" s="265">
        <f>SUM(CA101:CD101)</f>
        <v>-67.451999999999998</v>
      </c>
      <c r="CF101" s="263"/>
      <c r="CG101" s="263">
        <f>CG71+CG74-0.815</f>
        <v>-13.031999999999998</v>
      </c>
      <c r="CH101" s="1641">
        <f>CH71+CH74-1.301</f>
        <v>-12.866000000000001</v>
      </c>
      <c r="CI101" s="263">
        <f>CI71+CI74+21.792-0.761</f>
        <v>-4.2999999999996485E-2</v>
      </c>
      <c r="CJ101" s="263">
        <f>CJ71+CJ74+21.792-0.761</f>
        <v>-3.6719999999999979</v>
      </c>
      <c r="CK101" s="265">
        <f>SUM(CG101:CJ101)</f>
        <v>-29.612999999999992</v>
      </c>
      <c r="CL101" s="263"/>
      <c r="CM101" s="263">
        <f>CM71+CM74-0.815</f>
        <v>-27.803999999999998</v>
      </c>
      <c r="CN101" s="263">
        <f>CN71+CN74-0.624</f>
        <v>-8.25</v>
      </c>
      <c r="CO101" s="263">
        <f>CO71+CO74+0.833-0.579</f>
        <v>-15.622000000000003</v>
      </c>
      <c r="CP101" s="263">
        <f>CP71+CP74-0.564</f>
        <v>-0.12400000000000133</v>
      </c>
      <c r="CQ101" s="265">
        <f>SUM(CM101:CP101)</f>
        <v>-51.800000000000004</v>
      </c>
      <c r="CR101" s="263"/>
      <c r="CS101" s="263">
        <f>CS71+CS74-0.375</f>
        <v>-14.081000000000003</v>
      </c>
      <c r="CT101" s="263">
        <f>CT71+CT74-0.376</f>
        <v>-20.34</v>
      </c>
      <c r="CU101" s="263">
        <f>CU71+CU74-0.367</f>
        <v>-9.5869999999999997</v>
      </c>
      <c r="CV101" s="263">
        <f>CV71+CV74-0.315</f>
        <v>10.348000000000001</v>
      </c>
      <c r="CW101" s="265">
        <f>SUM(CS101:CV101)</f>
        <v>-33.660000000000011</v>
      </c>
      <c r="CX101" s="263"/>
      <c r="CY101" s="263">
        <f>CY71+CY74</f>
        <v>-14.433803687396139</v>
      </c>
      <c r="CZ101" s="263">
        <f>CZ71+CZ74</f>
        <v>-14.189523939278192</v>
      </c>
      <c r="DA101" s="263">
        <f>DA71+DA74</f>
        <v>-14.063645776171651</v>
      </c>
      <c r="DB101" s="263">
        <f>DB71+DB74</f>
        <v>-13.973483367762091</v>
      </c>
      <c r="DC101" s="265">
        <f>SUM(CY101:DB101)</f>
        <v>-56.660456770608072</v>
      </c>
      <c r="DD101" s="263"/>
      <c r="DE101" s="263">
        <f>DE71+DE74</f>
        <v>2.2635212031481262</v>
      </c>
      <c r="DF101" s="263">
        <f>DF71+DF74</f>
        <v>2.2635212031481262</v>
      </c>
      <c r="DG101" s="263">
        <f>DG71+DG74</f>
        <v>2.6083453561665189</v>
      </c>
      <c r="DH101" s="263">
        <f>DH71+DH74</f>
        <v>2.7605612544370515</v>
      </c>
      <c r="DI101" s="265">
        <f>SUM(DE101:DH101)</f>
        <v>9.8959490168998236</v>
      </c>
      <c r="DJ101" s="263"/>
      <c r="DK101" s="263">
        <f>DK71+DK74</f>
        <v>3.4132645889045405</v>
      </c>
      <c r="DL101" s="263">
        <f>DL71+DL74</f>
        <v>3.4132645889045405</v>
      </c>
      <c r="DM101" s="263">
        <f>DM71+DM74</f>
        <v>3.8416924163234762</v>
      </c>
      <c r="DN101" s="263">
        <f>DN71+DN74</f>
        <v>4.0704876829904224</v>
      </c>
      <c r="DO101" s="265">
        <f>SUM(DK101:DN101)</f>
        <v>14.738709277122979</v>
      </c>
      <c r="DP101" s="261"/>
    </row>
    <row r="102" spans="1:120" ht="12.75" hidden="1" customHeight="1" outlineLevel="1">
      <c r="A102" s="266" t="s">
        <v>81</v>
      </c>
      <c r="B102" s="660"/>
      <c r="C102" s="267">
        <f>C99+C101</f>
        <v>-5.452</v>
      </c>
      <c r="D102" s="263">
        <f>D77</f>
        <v>-52.137432890107313</v>
      </c>
      <c r="E102" s="263">
        <f>E99+E101</f>
        <v>-29.034000000000002</v>
      </c>
      <c r="F102" s="261"/>
      <c r="G102" s="263">
        <f>G99+G101</f>
        <v>-1.6050000000000013</v>
      </c>
      <c r="H102" s="263">
        <f>H99+H101</f>
        <v>-1.2029999999999992</v>
      </c>
      <c r="I102" s="263">
        <f>I99+I101</f>
        <v>-4.8960000000000008</v>
      </c>
      <c r="J102" s="263">
        <f>J99+J101</f>
        <v>-2.3039999999999994</v>
      </c>
      <c r="K102" s="263">
        <f>SUM(G102:J102)</f>
        <v>-10.008000000000001</v>
      </c>
      <c r="L102" s="261"/>
      <c r="M102" s="263">
        <f>M99+M101</f>
        <v>0.40100000000000124</v>
      </c>
      <c r="N102" s="263">
        <f>N99+N101</f>
        <v>0.14900000000000035</v>
      </c>
      <c r="O102" s="263">
        <f>O99+O101</f>
        <v>4.3569999999999975</v>
      </c>
      <c r="P102" s="263">
        <f>P99+P101</f>
        <v>-0.66800000000000137</v>
      </c>
      <c r="Q102" s="263">
        <f>SUM(M102:P102)</f>
        <v>4.2389999999999981</v>
      </c>
      <c r="R102" s="263"/>
      <c r="S102" s="263">
        <f>S99+S101</f>
        <v>0.52400000000000069</v>
      </c>
      <c r="T102" s="263">
        <f>T99+T101</f>
        <v>1.5180000000000133</v>
      </c>
      <c r="U102" s="263">
        <f>U99+U101</f>
        <v>2.5720000000000032</v>
      </c>
      <c r="V102" s="263">
        <f>V99+V101</f>
        <v>4.5389999999999961</v>
      </c>
      <c r="W102" s="263">
        <f>SUM(S102:V102)</f>
        <v>9.1530000000000129</v>
      </c>
      <c r="X102" s="263"/>
      <c r="Y102" s="263">
        <f>Y99+Y101</f>
        <v>5.7549999999999999</v>
      </c>
      <c r="Z102" s="263">
        <f>Z99+Z101</f>
        <v>6.5519999999999978</v>
      </c>
      <c r="AA102" s="263">
        <f>AA99+AA101</f>
        <v>8.3369999999999855</v>
      </c>
      <c r="AB102" s="263">
        <f>AB99+AB101</f>
        <v>7.5539999999999807</v>
      </c>
      <c r="AC102" s="263">
        <f>SUM(Y102:AB102)</f>
        <v>28.197999999999965</v>
      </c>
      <c r="AD102" s="263"/>
      <c r="AE102" s="263">
        <f>AE99+AE101</f>
        <v>2.2600000000000025</v>
      </c>
      <c r="AF102" s="263">
        <f>AF99+AF101</f>
        <v>2.0279999999999982</v>
      </c>
      <c r="AG102" s="263">
        <f>AG99+AG101</f>
        <v>4.3056906887239901</v>
      </c>
      <c r="AH102" s="263">
        <f>AH99+AH101</f>
        <v>3.8896178514132398</v>
      </c>
      <c r="AI102" s="265">
        <f>SUM(AE102:AH102)</f>
        <v>12.48330854013723</v>
      </c>
      <c r="AJ102" s="263"/>
      <c r="AK102" s="263">
        <f>AK99+AK101</f>
        <v>5.2900000000000036</v>
      </c>
      <c r="AL102" s="263">
        <f>AL99+AL101</f>
        <v>9.2420000000000222</v>
      </c>
      <c r="AM102" s="263">
        <f>AM99+AM101</f>
        <v>14.231000000000019</v>
      </c>
      <c r="AN102" s="263">
        <f>AN99+AN101</f>
        <v>17.449999999999985</v>
      </c>
      <c r="AO102" s="265">
        <f>SUM(AK102:AN102)</f>
        <v>46.213000000000029</v>
      </c>
      <c r="AP102" s="263"/>
      <c r="AQ102" s="263">
        <f>AQ99+AQ101</f>
        <v>21.380000000000003</v>
      </c>
      <c r="AR102" s="263">
        <f>AR99+AR101</f>
        <v>21.950000000000017</v>
      </c>
      <c r="AS102" s="263">
        <f>AS99+AS101</f>
        <v>21.006999999999991</v>
      </c>
      <c r="AT102" s="263">
        <f>AT99+AT101</f>
        <v>21.739000000000004</v>
      </c>
      <c r="AU102" s="265">
        <f>SUM(AQ102:AT102)</f>
        <v>86.076000000000022</v>
      </c>
      <c r="AV102" s="263"/>
      <c r="AW102" s="263">
        <f>AW99+AW101</f>
        <v>33.315999999999988</v>
      </c>
      <c r="AX102" s="263">
        <f>AX99+AX101</f>
        <v>35.870999999999995</v>
      </c>
      <c r="AY102" s="263">
        <f>AY99+AY101</f>
        <v>37.015999999999991</v>
      </c>
      <c r="AZ102" s="263">
        <f>AZ99+AZ101</f>
        <v>34.686000000000014</v>
      </c>
      <c r="BA102" s="265">
        <f>SUM(AW102:AZ102)</f>
        <v>140.88899999999998</v>
      </c>
      <c r="BB102" s="263"/>
      <c r="BC102" s="263">
        <f>BC99+BC101</f>
        <v>31.896000000000043</v>
      </c>
      <c r="BD102" s="263">
        <f>BD99+BD101</f>
        <v>29.467000000000009</v>
      </c>
      <c r="BE102" s="263">
        <f>BE99+BE101</f>
        <v>38.56</v>
      </c>
      <c r="BF102" s="263">
        <f>BF99+BF101</f>
        <v>4.3790000000000031</v>
      </c>
      <c r="BG102" s="265">
        <f>SUM(BC102:BF102)</f>
        <v>104.30200000000006</v>
      </c>
      <c r="BH102" s="263"/>
      <c r="BI102" s="263">
        <f>BI99+BI101</f>
        <v>0.78100000000003078</v>
      </c>
      <c r="BJ102" s="263">
        <f>BJ99+BJ101</f>
        <v>-17.712999999999969</v>
      </c>
      <c r="BK102" s="263">
        <f>BK99+BK101</f>
        <v>-8.8500000000000387</v>
      </c>
      <c r="BL102" s="263">
        <f>BL99+BL101</f>
        <v>-7.534999999999938</v>
      </c>
      <c r="BM102" s="265">
        <f>SUM(BI102:BL102)</f>
        <v>-33.316999999999915</v>
      </c>
      <c r="BN102" s="263"/>
      <c r="BO102" s="263">
        <f>BO99+BO101</f>
        <v>-24.857999999999954</v>
      </c>
      <c r="BP102" s="263">
        <f>BP99+BP101</f>
        <v>-14.03200000000005</v>
      </c>
      <c r="BQ102" s="263">
        <f>BQ99+BQ101</f>
        <v>-62.851000000000056</v>
      </c>
      <c r="BR102" s="263">
        <f>BR99+BR101</f>
        <v>-26.042999999999918</v>
      </c>
      <c r="BS102" s="265">
        <f>SUM(BO102:BR102)</f>
        <v>-127.78399999999998</v>
      </c>
      <c r="BT102" s="263"/>
      <c r="BU102" s="263">
        <f>BU99+BU101</f>
        <v>-53.943000000000048</v>
      </c>
      <c r="BV102" s="263">
        <f>BV99+BV101</f>
        <v>-56.803999999999789</v>
      </c>
      <c r="BW102" s="263">
        <f>BW99+BW101</f>
        <v>-124.04100000000015</v>
      </c>
      <c r="BX102" s="263">
        <f>BX99+BX101</f>
        <v>-123.14700000000001</v>
      </c>
      <c r="BY102" s="265">
        <f>SUM(BU102:BX102)</f>
        <v>-357.935</v>
      </c>
      <c r="BZ102" s="263"/>
      <c r="CA102" s="263">
        <f>CA99+CA101</f>
        <v>-84.768999999999863</v>
      </c>
      <c r="CB102" s="263">
        <f>CB99+CB101</f>
        <v>-52.968999999999809</v>
      </c>
      <c r="CC102" s="263">
        <f>CC99+CC101</f>
        <v>-21.848999999999975</v>
      </c>
      <c r="CD102" s="263">
        <f>CD99+CD101</f>
        <v>-53.498000000000118</v>
      </c>
      <c r="CE102" s="265">
        <f>SUM(CA102:CD102)</f>
        <v>-213.08499999999975</v>
      </c>
      <c r="CF102" s="263"/>
      <c r="CG102" s="263">
        <f>CG99+CG101</f>
        <v>18.073000000000221</v>
      </c>
      <c r="CH102" s="263">
        <f>CH99+CH101</f>
        <v>6.9579999999997266</v>
      </c>
      <c r="CI102" s="263">
        <f>CI99+CI101</f>
        <v>43.390999999999913</v>
      </c>
      <c r="CJ102" s="263">
        <f>CJ99+CJ101</f>
        <v>16.888000000000375</v>
      </c>
      <c r="CK102" s="265">
        <f>SUM(CG102:CJ102)</f>
        <v>85.31000000000023</v>
      </c>
      <c r="CL102" s="263"/>
      <c r="CM102" s="263">
        <f>CM99+CM101</f>
        <v>24.181999999999849</v>
      </c>
      <c r="CN102" s="263">
        <f>CN99+CN101</f>
        <v>24.300999999999817</v>
      </c>
      <c r="CO102" s="263">
        <f>CO99+CO101</f>
        <v>-12.586000000000144</v>
      </c>
      <c r="CP102" s="263">
        <f>CP99+CP101</f>
        <v>-23.469000000000371</v>
      </c>
      <c r="CQ102" s="265">
        <f>SUM(CM102:CP102)</f>
        <v>12.427999999999152</v>
      </c>
      <c r="CR102" s="263"/>
      <c r="CS102" s="263">
        <f>CS99+CS101</f>
        <v>-22.963000000000093</v>
      </c>
      <c r="CT102" s="263">
        <f>CT99+CT101</f>
        <v>30.452999999999836</v>
      </c>
      <c r="CU102" s="263">
        <f>CU99+CU101</f>
        <v>106.401</v>
      </c>
      <c r="CV102" s="263">
        <f>CV99+CV101</f>
        <v>88.216999999999942</v>
      </c>
      <c r="CW102" s="265">
        <f>SUM(CS102:CV102)</f>
        <v>202.10799999999966</v>
      </c>
      <c r="CX102" s="263"/>
      <c r="CY102" s="263">
        <f>CY99+CY101</f>
        <v>115.06963628797897</v>
      </c>
      <c r="CZ102" s="263">
        <f>CZ99+CZ101</f>
        <v>199.6803259635079</v>
      </c>
      <c r="DA102" s="263">
        <f>DA99+DA101</f>
        <v>269.04540402771613</v>
      </c>
      <c r="DB102" s="263">
        <f>DB99+DB101</f>
        <v>235.14339682535731</v>
      </c>
      <c r="DC102" s="265">
        <f>SUM(CY102:DB102)</f>
        <v>818.93876310456028</v>
      </c>
      <c r="DD102" s="263"/>
      <c r="DE102" s="263">
        <f>DE99+DE101</f>
        <v>289.36326735105291</v>
      </c>
      <c r="DF102" s="263">
        <f>DF99+DF101</f>
        <v>406.41038773569562</v>
      </c>
      <c r="DG102" s="263">
        <f>DG99+DG101</f>
        <v>482.51325606629331</v>
      </c>
      <c r="DH102" s="263">
        <f>DH99+DH101</f>
        <v>485.30768562326045</v>
      </c>
      <c r="DI102" s="265">
        <f>SUM(DE102:DH102)</f>
        <v>1663.5945967763023</v>
      </c>
      <c r="DJ102" s="263"/>
      <c r="DK102" s="263">
        <f>DK99+DK101</f>
        <v>504.20356786283753</v>
      </c>
      <c r="DL102" s="263">
        <f>DL99+DL101</f>
        <v>649.49284159118395</v>
      </c>
      <c r="DM102" s="263">
        <f>DM99+DM101</f>
        <v>736.43185759935955</v>
      </c>
      <c r="DN102" s="263">
        <f>DN99+DN101</f>
        <v>765.25708810168408</v>
      </c>
      <c r="DO102" s="265">
        <f>SUM(DK102:DN102)</f>
        <v>2655.3853551550651</v>
      </c>
      <c r="DP102" s="261"/>
    </row>
    <row r="103" spans="1:120" ht="12.75" hidden="1" customHeight="1" outlineLevel="1">
      <c r="A103" s="266" t="s">
        <v>82</v>
      </c>
      <c r="B103" s="660"/>
      <c r="C103" s="267">
        <v>0</v>
      </c>
      <c r="D103" s="263">
        <f>D79</f>
        <v>0</v>
      </c>
      <c r="E103" s="263">
        <v>0</v>
      </c>
      <c r="F103" s="261"/>
      <c r="G103" s="263">
        <f>G79</f>
        <v>0</v>
      </c>
      <c r="H103" s="263">
        <f>H79</f>
        <v>0</v>
      </c>
      <c r="I103" s="263">
        <f>I79</f>
        <v>0</v>
      </c>
      <c r="J103" s="263">
        <f>J79</f>
        <v>0</v>
      </c>
      <c r="K103" s="263">
        <f>SUM(G103:J103)</f>
        <v>0</v>
      </c>
      <c r="L103" s="261"/>
      <c r="M103" s="263">
        <f>M79</f>
        <v>4.9000000000000002E-2</v>
      </c>
      <c r="N103" s="263">
        <f>N79</f>
        <v>2.1999999999999999E-2</v>
      </c>
      <c r="O103" s="263">
        <v>0.45500000000000002</v>
      </c>
      <c r="P103" s="263">
        <v>1.4999999999999999E-2</v>
      </c>
      <c r="Q103" s="263">
        <f>SUM(M103:P103)</f>
        <v>0.54100000000000004</v>
      </c>
      <c r="R103" s="263"/>
      <c r="S103" s="263">
        <f>S79</f>
        <v>7.0000000000000007E-2</v>
      </c>
      <c r="T103" s="263">
        <f>T79</f>
        <v>0.20200000000000001</v>
      </c>
      <c r="U103" s="263">
        <f>U79</f>
        <v>0.34200000000000003</v>
      </c>
      <c r="V103" s="263">
        <f>V79</f>
        <v>0.60299999999999998</v>
      </c>
      <c r="W103" s="263">
        <f>SUM(S103:V103)</f>
        <v>1.2170000000000001</v>
      </c>
      <c r="X103" s="263"/>
      <c r="Y103" s="733">
        <v>1.151</v>
      </c>
      <c r="Z103" s="733">
        <f>Z79</f>
        <v>1.31</v>
      </c>
      <c r="AA103" s="733">
        <v>-5.101</v>
      </c>
      <c r="AB103" s="733">
        <f>AB79</f>
        <v>1.33</v>
      </c>
      <c r="AC103" s="263">
        <f>SUM(Y103:AB103)</f>
        <v>-1.3099999999999996</v>
      </c>
      <c r="AD103" s="263"/>
      <c r="AE103" s="263">
        <v>2.0049999999999999</v>
      </c>
      <c r="AF103" s="263">
        <v>1.7130000000000001</v>
      </c>
      <c r="AG103" s="263">
        <v>3.4180000000000001</v>
      </c>
      <c r="AH103" s="263">
        <v>2.6589999999999998</v>
      </c>
      <c r="AI103" s="265">
        <f>SUM(AE103:AH103)</f>
        <v>9.7949999999999999</v>
      </c>
      <c r="AJ103" s="263"/>
      <c r="AK103" s="263">
        <v>3.8420000000000001</v>
      </c>
      <c r="AL103" s="263">
        <v>4.6529999999999996</v>
      </c>
      <c r="AM103" s="263">
        <v>6.5940000000000003</v>
      </c>
      <c r="AN103" s="263">
        <v>8.2959999999999994</v>
      </c>
      <c r="AO103" s="265">
        <f>SUM(AK103:AN103)</f>
        <v>23.384999999999998</v>
      </c>
      <c r="AP103" s="263"/>
      <c r="AQ103" s="263">
        <v>10.311</v>
      </c>
      <c r="AR103" s="263">
        <v>10.558</v>
      </c>
      <c r="AS103" s="263">
        <v>8.8239999999999998</v>
      </c>
      <c r="AT103" s="263">
        <v>7.8639999999999999</v>
      </c>
      <c r="AU103" s="265">
        <f>SUM(AQ103:AT103)</f>
        <v>37.556999999999995</v>
      </c>
      <c r="AV103" s="263"/>
      <c r="AW103" s="734">
        <v>15.823</v>
      </c>
      <c r="AX103" s="263">
        <v>14.03</v>
      </c>
      <c r="AY103" s="263">
        <v>15.573</v>
      </c>
      <c r="AZ103" s="263">
        <v>12.263</v>
      </c>
      <c r="BA103" s="265">
        <f>SUM(AW103:AZ103)</f>
        <v>57.689</v>
      </c>
      <c r="BB103" s="263"/>
      <c r="BC103" s="263">
        <v>12.016</v>
      </c>
      <c r="BD103" s="263">
        <v>12.884</v>
      </c>
      <c r="BE103" s="263">
        <v>16.192</v>
      </c>
      <c r="BF103" s="263">
        <v>-6.4909999999999997</v>
      </c>
      <c r="BG103" s="265">
        <f>SUM(BC103:BF103)</f>
        <v>34.600999999999999</v>
      </c>
      <c r="BH103" s="263"/>
      <c r="BI103" s="263">
        <v>0.251</v>
      </c>
      <c r="BJ103" s="733">
        <v>-13.445</v>
      </c>
      <c r="BK103" s="733">
        <v>-5.0940000000000003</v>
      </c>
      <c r="BL103" s="733">
        <v>-3.4569999999999999</v>
      </c>
      <c r="BM103" s="265">
        <f>SUM(BI103:BL103)</f>
        <v>-21.745000000000001</v>
      </c>
      <c r="BN103" s="263"/>
      <c r="BO103" s="733">
        <v>-5.3929999999999998</v>
      </c>
      <c r="BP103" s="733">
        <v>-4.2030000000000003</v>
      </c>
      <c r="BQ103" s="733">
        <v>157.446</v>
      </c>
      <c r="BR103" s="733">
        <v>-5.1989999999999998</v>
      </c>
      <c r="BS103" s="265">
        <f>SUM(BO103:BR103)</f>
        <v>142.65099999999998</v>
      </c>
      <c r="BT103" s="263"/>
      <c r="BU103" s="733">
        <v>13.778</v>
      </c>
      <c r="BV103" s="733">
        <v>-133.40700000000001</v>
      </c>
      <c r="BW103" s="733">
        <v>0.39300000000000002</v>
      </c>
      <c r="BX103" s="733">
        <v>-6.524</v>
      </c>
      <c r="BY103" s="265">
        <f>SUM(BU103:BX103)</f>
        <v>-125.76</v>
      </c>
      <c r="BZ103" s="263"/>
      <c r="CA103" s="733">
        <v>12.141999999999999</v>
      </c>
      <c r="CB103" s="733">
        <v>8.1189999999999998</v>
      </c>
      <c r="CC103" s="733">
        <v>17.074999999999999</v>
      </c>
      <c r="CD103" s="733">
        <v>12.266999999999999</v>
      </c>
      <c r="CE103" s="265">
        <f>SUM(CA103:CD103)</f>
        <v>49.602999999999994</v>
      </c>
      <c r="CF103" s="263"/>
      <c r="CG103" s="733">
        <v>-13.981</v>
      </c>
      <c r="CH103" s="733">
        <v>7.81</v>
      </c>
      <c r="CI103" s="733">
        <v>68.548000000000002</v>
      </c>
      <c r="CJ103" s="733">
        <v>21.366</v>
      </c>
      <c r="CK103" s="265">
        <f>SUM(CG103:CJ103)</f>
        <v>83.742999999999995</v>
      </c>
      <c r="CL103" s="263"/>
      <c r="CM103" s="733">
        <v>1.6040000000000001</v>
      </c>
      <c r="CN103" s="733">
        <v>-205.339</v>
      </c>
      <c r="CO103" s="733">
        <v>24.722999999999999</v>
      </c>
      <c r="CP103" s="733">
        <v>27.971</v>
      </c>
      <c r="CQ103" s="265">
        <f>SUM(CM103:CP103)</f>
        <v>-151.041</v>
      </c>
      <c r="CR103" s="263"/>
      <c r="CS103" s="733">
        <f>+-13.756</f>
        <v>-13.756</v>
      </c>
      <c r="CT103" s="733">
        <v>12.717000000000001</v>
      </c>
      <c r="CU103" s="733">
        <v>55.006999999999998</v>
      </c>
      <c r="CV103" s="733">
        <v>20.661999999999999</v>
      </c>
      <c r="CW103" s="265">
        <f>SUM(CS103:CV103)</f>
        <v>74.63</v>
      </c>
      <c r="CX103" s="263"/>
      <c r="CY103" s="733">
        <f>CY102*0.15</f>
        <v>17.260445443196843</v>
      </c>
      <c r="CZ103" s="733">
        <f>CZ102*0.132</f>
        <v>26.357803027183042</v>
      </c>
      <c r="DA103" s="733">
        <f>DA102*0.132</f>
        <v>35.513993331658533</v>
      </c>
      <c r="DB103" s="733">
        <f>DB102*0.132</f>
        <v>31.038928380947166</v>
      </c>
      <c r="DC103" s="265">
        <f>SUM(CY103:DB103)</f>
        <v>110.17117018298558</v>
      </c>
      <c r="DD103" s="263"/>
      <c r="DE103" s="733">
        <f>DE102*DE104</f>
        <v>62.213102480476373</v>
      </c>
      <c r="DF103" s="733">
        <f t="shared" ref="DF103:DH103" si="11">DF102*DF104</f>
        <v>87.378233363174559</v>
      </c>
      <c r="DG103" s="733">
        <f t="shared" si="11"/>
        <v>103.74035005425306</v>
      </c>
      <c r="DH103" s="733">
        <f t="shared" si="11"/>
        <v>104.341152409001</v>
      </c>
      <c r="DI103" s="265">
        <f>SUM(DE103:DH103)</f>
        <v>357.67283830690496</v>
      </c>
      <c r="DJ103" s="263"/>
      <c r="DK103" s="733">
        <f>DK102*DK104</f>
        <v>108.40376709051007</v>
      </c>
      <c r="DL103" s="733">
        <f t="shared" ref="DL103" si="12">DL102*DL104</f>
        <v>139.64096094210456</v>
      </c>
      <c r="DM103" s="733">
        <f t="shared" ref="DM103" si="13">DM102*DM104</f>
        <v>158.33284938386231</v>
      </c>
      <c r="DN103" s="733">
        <f t="shared" ref="DN103" si="14">DN102*DN104</f>
        <v>164.53027394186208</v>
      </c>
      <c r="DO103" s="265">
        <f>SUM(DK103:DN103)</f>
        <v>570.90785135833903</v>
      </c>
      <c r="DP103" s="261"/>
    </row>
    <row r="104" spans="1:120" ht="12.75" hidden="1" customHeight="1" outlineLevel="1">
      <c r="A104" s="284" t="s">
        <v>83</v>
      </c>
      <c r="B104" s="730"/>
      <c r="C104" s="272">
        <v>0</v>
      </c>
      <c r="D104" s="274">
        <f>D103/D102</f>
        <v>0</v>
      </c>
      <c r="E104" s="274">
        <f>E103/E102</f>
        <v>0</v>
      </c>
      <c r="F104" s="260"/>
      <c r="G104" s="274">
        <f>G103/G102</f>
        <v>0</v>
      </c>
      <c r="H104" s="274">
        <f>H103/H102</f>
        <v>0</v>
      </c>
      <c r="I104" s="274">
        <f>I103/I102</f>
        <v>0</v>
      </c>
      <c r="J104" s="274">
        <f>J103/J102</f>
        <v>0</v>
      </c>
      <c r="K104" s="274">
        <f>K103/K102</f>
        <v>0</v>
      </c>
      <c r="L104" s="260"/>
      <c r="M104" s="274">
        <f>M103/M102</f>
        <v>0.12219451371571034</v>
      </c>
      <c r="N104" s="274">
        <f>N103/N102</f>
        <v>0.14765100671140904</v>
      </c>
      <c r="O104" s="274">
        <f>O103/O102</f>
        <v>0.10442965343126011</v>
      </c>
      <c r="P104" s="274">
        <f>P103/P102</f>
        <v>-2.2455089820359233E-2</v>
      </c>
      <c r="Q104" s="274">
        <f>Q103/Q102</f>
        <v>0.12762443972635062</v>
      </c>
      <c r="R104" s="260"/>
      <c r="S104" s="274">
        <f>S103/S102</f>
        <v>0.13358778625954182</v>
      </c>
      <c r="T104" s="274">
        <f>T103/T102</f>
        <v>0.13306982872200149</v>
      </c>
      <c r="U104" s="274">
        <f>U103/U102</f>
        <v>0.13297045101088631</v>
      </c>
      <c r="V104" s="274">
        <f>V103/V102</f>
        <v>0.13284864507600805</v>
      </c>
      <c r="W104" s="274">
        <f>W103/W102</f>
        <v>0.1329618704249971</v>
      </c>
      <c r="X104" s="260"/>
      <c r="Y104" s="274">
        <f>Y103/Y102</f>
        <v>0.2</v>
      </c>
      <c r="Z104" s="274">
        <f>Z103/Z102</f>
        <v>0.19993894993895001</v>
      </c>
      <c r="AA104" s="274">
        <f>AA103/AA102</f>
        <v>-0.61185078565431317</v>
      </c>
      <c r="AB104" s="274">
        <f>AB103/AB102</f>
        <v>0.17606566057717812</v>
      </c>
      <c r="AC104" s="274">
        <f>AC103/AC102</f>
        <v>-4.6457195545783432E-2</v>
      </c>
      <c r="AD104" s="274"/>
      <c r="AE104" s="274">
        <f>AE103/AE102</f>
        <v>0.88716814159291935</v>
      </c>
      <c r="AF104" s="274">
        <f>AF103/AF102</f>
        <v>0.84467455621301857</v>
      </c>
      <c r="AG104" s="274">
        <f>AG103/AG102</f>
        <v>0.79383314945294858</v>
      </c>
      <c r="AH104" s="274">
        <f>AH103/AH102</f>
        <v>0.68361471526923612</v>
      </c>
      <c r="AI104" s="306">
        <f>AI103/AI102</f>
        <v>0.78464775331847425</v>
      </c>
      <c r="AJ104" s="274"/>
      <c r="AK104" s="274">
        <f>AK103/AK102</f>
        <v>0.72627599243856289</v>
      </c>
      <c r="AL104" s="274">
        <f>AL103/AL102</f>
        <v>0.50346245401428136</v>
      </c>
      <c r="AM104" s="274">
        <f>AM103/AM102</f>
        <v>0.46335464830299988</v>
      </c>
      <c r="AN104" s="274">
        <f>AN103/AN102</f>
        <v>0.47541547277937002</v>
      </c>
      <c r="AO104" s="306">
        <f>AO103/AO102</f>
        <v>0.50602644277584197</v>
      </c>
      <c r="AP104" s="274"/>
      <c r="AQ104" s="274">
        <f>AQ103/AQ102</f>
        <v>0.48227315247895225</v>
      </c>
      <c r="AR104" s="274">
        <f>AR103/AR102</f>
        <v>0.48100227790432765</v>
      </c>
      <c r="AS104" s="274">
        <f>AS103/AS102</f>
        <v>0.42005045937068614</v>
      </c>
      <c r="AT104" s="274">
        <f>AT103/AT102</f>
        <v>0.36174617047702279</v>
      </c>
      <c r="AU104" s="306">
        <f>AU103/AU102</f>
        <v>0.43632371392722691</v>
      </c>
      <c r="AV104" s="274"/>
      <c r="AW104" s="274">
        <f>AW103/AW102</f>
        <v>0.47493696722295614</v>
      </c>
      <c r="AX104" s="274">
        <f>AX103/AX102</f>
        <v>0.39112374898943442</v>
      </c>
      <c r="AY104" s="274">
        <f>AY103/AY102</f>
        <v>0.42070996325913129</v>
      </c>
      <c r="AZ104" s="274">
        <f>AZ103/AZ102</f>
        <v>0.35354321628322649</v>
      </c>
      <c r="BA104" s="306">
        <f>BA103/BA102</f>
        <v>0.40946418811972551</v>
      </c>
      <c r="BB104" s="274"/>
      <c r="BC104" s="274">
        <f>BC103/BC102</f>
        <v>0.3767243541509902</v>
      </c>
      <c r="BD104" s="274">
        <f>BD103/BD102</f>
        <v>0.43723487290867735</v>
      </c>
      <c r="BE104" s="274">
        <f>BE103/BE102</f>
        <v>0.41991701244813279</v>
      </c>
      <c r="BF104" s="274">
        <f>BF103/BF102</f>
        <v>-1.4823018954099099</v>
      </c>
      <c r="BG104" s="306">
        <f>BG103/BG102</f>
        <v>0.33173860520411858</v>
      </c>
      <c r="BH104" s="274"/>
      <c r="BI104" s="274">
        <f>BI103/BI102</f>
        <v>0.32138284250959043</v>
      </c>
      <c r="BJ104" s="274">
        <f>BJ103/BJ102</f>
        <v>0.75904702760684373</v>
      </c>
      <c r="BK104" s="274">
        <f>BK103/BK102</f>
        <v>0.57559322033898053</v>
      </c>
      <c r="BL104" s="274">
        <f>BL103/BL102</f>
        <v>0.4587923025879268</v>
      </c>
      <c r="BM104" s="306">
        <f>BM103/BM102</f>
        <v>0.65266980820602261</v>
      </c>
      <c r="BN104" s="274"/>
      <c r="BO104" s="274">
        <f>BO103/BO102</f>
        <v>0.21695228900152908</v>
      </c>
      <c r="BP104" s="274">
        <f>BP103/BP102</f>
        <v>0.29952964652223385</v>
      </c>
      <c r="BQ104" s="274">
        <f>BQ103/BQ102</f>
        <v>-2.5050675406914742</v>
      </c>
      <c r="BR104" s="274">
        <f>BR103/BR102</f>
        <v>0.19963137887340232</v>
      </c>
      <c r="BS104" s="306">
        <f>BS103/BS102</f>
        <v>-1.1163447692981907</v>
      </c>
      <c r="BT104" s="274"/>
      <c r="BU104" s="274">
        <f>BU103/BU102</f>
        <v>-0.25541775577924825</v>
      </c>
      <c r="BV104" s="274">
        <f>BV103/BV102</f>
        <v>2.3485493979297321</v>
      </c>
      <c r="BW104" s="274">
        <f>BW103/BW102</f>
        <v>-3.1683072532469065E-3</v>
      </c>
      <c r="BX104" s="274">
        <f>BX103/BX102</f>
        <v>5.2977336029298314E-2</v>
      </c>
      <c r="BY104" s="306">
        <f>BY103/BY102</f>
        <v>0.35134870856440414</v>
      </c>
      <c r="BZ104" s="274"/>
      <c r="CA104" s="274">
        <f>CA103/CA102</f>
        <v>-0.14323632459979496</v>
      </c>
      <c r="CB104" s="274">
        <f>CB103/CB102</f>
        <v>-0.15327833260964016</v>
      </c>
      <c r="CC104" s="274">
        <f>CC103/CC102</f>
        <v>-0.78150029749645378</v>
      </c>
      <c r="CD104" s="274">
        <f>CD103/CD102</f>
        <v>-0.22929829152491629</v>
      </c>
      <c r="CE104" s="306">
        <f>CE103/CE102</f>
        <v>-0.23278503883426827</v>
      </c>
      <c r="CF104" s="274"/>
      <c r="CG104" s="274">
        <f>CG103/CG102</f>
        <v>-0.77358490566036786</v>
      </c>
      <c r="CH104" s="274">
        <f>CH103/CH102</f>
        <v>1.1224489795918808</v>
      </c>
      <c r="CI104" s="274">
        <f>CI103/CI102</f>
        <v>1.5797746076375316</v>
      </c>
      <c r="CJ104" s="274">
        <f>CJ103/CJ102</f>
        <v>1.2651586925627383</v>
      </c>
      <c r="CK104" s="306">
        <f>CK103/CK102</f>
        <v>0.98163169616691792</v>
      </c>
      <c r="CL104" s="274"/>
      <c r="CM104" s="274">
        <f>CM103/CM102</f>
        <v>6.6330328343396333E-2</v>
      </c>
      <c r="CN104" s="274">
        <f>CN103/CN102</f>
        <v>-8.4498168799638513</v>
      </c>
      <c r="CO104" s="274">
        <f>CO103/CO102</f>
        <v>-1.9643254409661304</v>
      </c>
      <c r="CP104" s="274">
        <f>CP103/CP102</f>
        <v>-1.1918275171502646</v>
      </c>
      <c r="CQ104" s="306">
        <f>CQ103/CQ102</f>
        <v>-12.15328290955989</v>
      </c>
      <c r="CR104" s="274"/>
      <c r="CS104" s="274">
        <f>CS103/CS102</f>
        <v>0.59905064669250296</v>
      </c>
      <c r="CT104" s="274">
        <f>CT103/CT102</f>
        <v>0.41759432568220106</v>
      </c>
      <c r="CU104" s="274">
        <f>CU103/CU102</f>
        <v>0.51697822388887327</v>
      </c>
      <c r="CV104" s="274">
        <f>CV103/CV102</f>
        <v>0.23421789451012859</v>
      </c>
      <c r="CW104" s="306">
        <f>CW103/CW102</f>
        <v>0.36925802046430678</v>
      </c>
      <c r="CX104" s="274"/>
      <c r="CY104" s="275">
        <f>CY103/CY102</f>
        <v>0.15</v>
      </c>
      <c r="CZ104" s="275">
        <f>CZ103/CZ102</f>
        <v>0.13200000000000001</v>
      </c>
      <c r="DA104" s="275">
        <f>DA103/DA102</f>
        <v>0.13200000000000001</v>
      </c>
      <c r="DB104" s="275">
        <f>DB103/DB102</f>
        <v>0.13200000000000001</v>
      </c>
      <c r="DC104" s="277">
        <f>DC103/DC102</f>
        <v>0.13452919210385353</v>
      </c>
      <c r="DD104" s="274"/>
      <c r="DE104" s="274">
        <f>DE80</f>
        <v>0.215</v>
      </c>
      <c r="DF104" s="274">
        <f t="shared" ref="DF104:DH104" si="15">DF80</f>
        <v>0.215</v>
      </c>
      <c r="DG104" s="274">
        <f t="shared" si="15"/>
        <v>0.215</v>
      </c>
      <c r="DH104" s="274">
        <f t="shared" si="15"/>
        <v>0.215</v>
      </c>
      <c r="DI104" s="306">
        <f>DI103/DI102</f>
        <v>0.21499999999999997</v>
      </c>
      <c r="DJ104" s="274"/>
      <c r="DK104" s="274">
        <f>DK80</f>
        <v>0.215</v>
      </c>
      <c r="DL104" s="274">
        <f t="shared" ref="DL104:DN104" si="16">DL80</f>
        <v>0.215</v>
      </c>
      <c r="DM104" s="274">
        <f t="shared" si="16"/>
        <v>0.215</v>
      </c>
      <c r="DN104" s="274">
        <f t="shared" si="16"/>
        <v>0.215</v>
      </c>
      <c r="DO104" s="306">
        <f>DO103/DO102</f>
        <v>0.21500000000000002</v>
      </c>
      <c r="DP104" s="260"/>
    </row>
    <row r="105" spans="1:120" ht="12.75" hidden="1" customHeight="1" outlineLevel="1">
      <c r="A105" s="255" t="s">
        <v>805</v>
      </c>
      <c r="B105" s="730"/>
      <c r="C105" s="268">
        <v>0</v>
      </c>
      <c r="D105" s="263">
        <f>D82</f>
        <v>0.193</v>
      </c>
      <c r="E105" s="263">
        <f>E82</f>
        <v>0.42499999999999999</v>
      </c>
      <c r="F105" s="260"/>
      <c r="G105" s="263">
        <f>G82</f>
        <v>4.2999999999999997E-2</v>
      </c>
      <c r="H105" s="735">
        <f>H82</f>
        <v>7.6999999999999999E-2</v>
      </c>
      <c r="I105" s="735">
        <f>I82</f>
        <v>5.5E-2</v>
      </c>
      <c r="J105" s="735">
        <f>J82</f>
        <v>0.11700000000000001</v>
      </c>
      <c r="K105" s="736">
        <f>SUM(G105:J105)</f>
        <v>0.29199999999999998</v>
      </c>
      <c r="L105" s="737"/>
      <c r="M105" s="735">
        <f>M82</f>
        <v>1.6E-2</v>
      </c>
      <c r="N105" s="735">
        <f>N82</f>
        <v>-5.0000000000000001E-3</v>
      </c>
      <c r="O105" s="735">
        <v>-0.113</v>
      </c>
      <c r="P105" s="735">
        <v>-8.2000000000000003E-2</v>
      </c>
      <c r="Q105" s="736">
        <f>SUM(M105:P105)</f>
        <v>-0.184</v>
      </c>
      <c r="R105" s="260"/>
      <c r="S105" s="735">
        <f>S82</f>
        <v>-1.7000000000000001E-2</v>
      </c>
      <c r="T105" s="735">
        <f>T82</f>
        <v>-0.14599999999999999</v>
      </c>
      <c r="U105" s="735">
        <f>U82</f>
        <v>-7.6999999999999999E-2</v>
      </c>
      <c r="V105" s="735">
        <f>V82</f>
        <v>-0.35</v>
      </c>
      <c r="W105" s="736">
        <f>SUM(S105:V105)</f>
        <v>-0.59</v>
      </c>
      <c r="X105" s="260"/>
      <c r="Y105" s="735">
        <f>Y82</f>
        <v>-0.224</v>
      </c>
      <c r="Z105" s="735">
        <f>Z82</f>
        <v>-0.20200000000000001</v>
      </c>
      <c r="AA105" s="735">
        <f>AA82</f>
        <v>-0.34100000000000003</v>
      </c>
      <c r="AB105" s="735">
        <f>AB82</f>
        <v>-0.26700000000000002</v>
      </c>
      <c r="AC105" s="263">
        <f>SUM(Y105:AB105)</f>
        <v>-1.0340000000000003</v>
      </c>
      <c r="AD105" s="274"/>
      <c r="AE105" s="735">
        <f>AE82</f>
        <v>-0.48399999999999999</v>
      </c>
      <c r="AF105" s="735">
        <v>-0.46</v>
      </c>
      <c r="AG105" s="735">
        <f>AG82</f>
        <v>-0.56100000000000005</v>
      </c>
      <c r="AH105" s="735">
        <f>AH82</f>
        <v>-0.71499999999999997</v>
      </c>
      <c r="AI105" s="738">
        <f>SUM(AE105:AH105)</f>
        <v>-2.2199999999999998</v>
      </c>
      <c r="AJ105" s="274"/>
      <c r="AK105" s="735">
        <f>AK82</f>
        <v>-0.71799999999999997</v>
      </c>
      <c r="AL105" s="735">
        <f>AL82</f>
        <v>-0.85399999999999998</v>
      </c>
      <c r="AM105" s="735">
        <f>AM82</f>
        <v>-1.125</v>
      </c>
      <c r="AN105" s="735">
        <f>AN82</f>
        <v>-1.7749999999999999</v>
      </c>
      <c r="AO105" s="738">
        <f>SUM(AK105:AN105)</f>
        <v>-4.4719999999999995</v>
      </c>
      <c r="AP105" s="274"/>
      <c r="AQ105" s="735">
        <v>-1.514</v>
      </c>
      <c r="AR105" s="735">
        <f>AR82</f>
        <v>-1.4119999999999999</v>
      </c>
      <c r="AS105" s="735">
        <f>AS82</f>
        <v>-1.5589999999999999</v>
      </c>
      <c r="AT105" s="735">
        <f>AT82</f>
        <v>-0.122</v>
      </c>
      <c r="AU105" s="738">
        <f>SUM(AQ105:AT105)</f>
        <v>-4.6070000000000002</v>
      </c>
      <c r="AV105" s="274"/>
      <c r="AW105" s="735">
        <f>AW82</f>
        <v>-0.55700000000000005</v>
      </c>
      <c r="AX105" s="735">
        <f>AX82</f>
        <v>-0.64300000000000002</v>
      </c>
      <c r="AY105" s="735">
        <f>AY82</f>
        <v>-0.752</v>
      </c>
      <c r="AZ105" s="735">
        <f>AZ82</f>
        <v>-2.0209999999999999</v>
      </c>
      <c r="BA105" s="738">
        <f>SUM(AW105:AZ105)</f>
        <v>-3.9729999999999999</v>
      </c>
      <c r="BB105" s="274"/>
      <c r="BC105" s="735">
        <f>BC82</f>
        <v>-2.1309999999999998</v>
      </c>
      <c r="BD105" s="735">
        <f>BD82</f>
        <v>-1.839</v>
      </c>
      <c r="BE105" s="735">
        <f>BE82</f>
        <v>-1.296</v>
      </c>
      <c r="BF105" s="735">
        <f>BF82</f>
        <v>4.2999999999999997E-2</v>
      </c>
      <c r="BG105" s="738">
        <f>SUM(BC105:BF105)</f>
        <v>-5.2229999999999999</v>
      </c>
      <c r="BH105" s="274"/>
      <c r="BI105" s="735">
        <f>BI82</f>
        <v>0</v>
      </c>
      <c r="BJ105" s="735">
        <f>BJ82</f>
        <v>0</v>
      </c>
      <c r="BK105" s="735">
        <f>BK82</f>
        <v>0</v>
      </c>
      <c r="BL105" s="735">
        <f>BL82</f>
        <v>0</v>
      </c>
      <c r="BM105" s="738">
        <f>SUM(BI105:BL105)</f>
        <v>0</v>
      </c>
      <c r="BN105" s="274"/>
      <c r="BO105" s="735">
        <f>BO82</f>
        <v>0</v>
      </c>
      <c r="BP105" s="735">
        <f>BP82</f>
        <v>0</v>
      </c>
      <c r="BQ105" s="735">
        <f>BQ82</f>
        <v>0</v>
      </c>
      <c r="BR105" s="735">
        <f>BR82</f>
        <v>0</v>
      </c>
      <c r="BS105" s="738">
        <f>SUM(BO105:BR105)</f>
        <v>0</v>
      </c>
      <c r="BT105" s="274"/>
      <c r="BU105" s="735">
        <f>BU82</f>
        <v>0</v>
      </c>
      <c r="BV105" s="735">
        <f>BV82</f>
        <v>0</v>
      </c>
      <c r="BW105" s="735">
        <f>BW82</f>
        <v>0</v>
      </c>
      <c r="BX105" s="735">
        <f>BX82</f>
        <v>0</v>
      </c>
      <c r="BY105" s="738">
        <f>SUM(BU105:BX105)</f>
        <v>0</v>
      </c>
      <c r="BZ105" s="274"/>
      <c r="CA105" s="735">
        <f>CA82</f>
        <v>0</v>
      </c>
      <c r="CB105" s="735">
        <f>CB82</f>
        <v>0</v>
      </c>
      <c r="CC105" s="735">
        <f>CC82</f>
        <v>0</v>
      </c>
      <c r="CD105" s="735">
        <f>CD82</f>
        <v>0</v>
      </c>
      <c r="CE105" s="738">
        <f>SUM(CA105:CD105)</f>
        <v>0</v>
      </c>
      <c r="CF105" s="274"/>
      <c r="CG105" s="735">
        <v>0</v>
      </c>
      <c r="CH105" s="735">
        <v>0</v>
      </c>
      <c r="CI105" s="735">
        <v>0</v>
      </c>
      <c r="CJ105" s="735">
        <v>0</v>
      </c>
      <c r="CK105" s="738">
        <f>SUM(CG105:CJ105)</f>
        <v>0</v>
      </c>
      <c r="CL105" s="274"/>
      <c r="CM105" s="735">
        <v>0</v>
      </c>
      <c r="CN105" s="735">
        <v>0</v>
      </c>
      <c r="CO105" s="735">
        <v>0</v>
      </c>
      <c r="CP105" s="735">
        <v>0</v>
      </c>
      <c r="CQ105" s="738">
        <f>SUM(CM105:CP105)</f>
        <v>0</v>
      </c>
      <c r="CR105" s="274"/>
      <c r="CS105" s="735">
        <v>0</v>
      </c>
      <c r="CT105" s="735">
        <v>0</v>
      </c>
      <c r="CU105" s="735">
        <v>0</v>
      </c>
      <c r="CV105" s="735">
        <v>0</v>
      </c>
      <c r="CW105" s="738">
        <f>SUM(CS105:CV105)</f>
        <v>0</v>
      </c>
      <c r="CX105" s="274"/>
      <c r="CY105" s="735">
        <f>CY82</f>
        <v>0</v>
      </c>
      <c r="CZ105" s="735">
        <f>CZ82</f>
        <v>0</v>
      </c>
      <c r="DA105" s="735">
        <f>DA82</f>
        <v>0</v>
      </c>
      <c r="DB105" s="735">
        <f>DB82</f>
        <v>0</v>
      </c>
      <c r="DC105" s="738">
        <f>SUM(CY105:DB105)</f>
        <v>0</v>
      </c>
      <c r="DD105" s="274"/>
      <c r="DE105" s="735">
        <f>DE82</f>
        <v>0</v>
      </c>
      <c r="DF105" s="735">
        <f>DF82</f>
        <v>0</v>
      </c>
      <c r="DG105" s="735">
        <f>DG82</f>
        <v>0</v>
      </c>
      <c r="DH105" s="735">
        <f>DH82</f>
        <v>0</v>
      </c>
      <c r="DI105" s="738">
        <f>SUM(DE105:DH105)</f>
        <v>0</v>
      </c>
      <c r="DJ105" s="274"/>
      <c r="DK105" s="735">
        <f>DK82</f>
        <v>0</v>
      </c>
      <c r="DL105" s="735">
        <f>DL82</f>
        <v>0</v>
      </c>
      <c r="DM105" s="735">
        <f>DM82</f>
        <v>0</v>
      </c>
      <c r="DN105" s="735">
        <f>DN82</f>
        <v>0</v>
      </c>
      <c r="DO105" s="738">
        <f>SUM(DK105:DN105)</f>
        <v>0</v>
      </c>
      <c r="DP105" s="260"/>
    </row>
    <row r="106" spans="1:120" ht="12.75" hidden="1" customHeight="1" outlineLevel="1">
      <c r="A106" s="266" t="s">
        <v>22</v>
      </c>
      <c r="B106" s="660"/>
      <c r="C106" s="267">
        <f>C102+C103+C105</f>
        <v>-5.452</v>
      </c>
      <c r="D106" s="263">
        <f>D84</f>
        <v>-51.944432890107315</v>
      </c>
      <c r="E106" s="263">
        <f>E102+E105</f>
        <v>-28.609000000000002</v>
      </c>
      <c r="F106" s="261"/>
      <c r="G106" s="263">
        <f>G102+G105</f>
        <v>-1.5620000000000014</v>
      </c>
      <c r="H106" s="263">
        <f>H102-H103+H105</f>
        <v>-1.1259999999999992</v>
      </c>
      <c r="I106" s="263">
        <f>I102-I103+I105</f>
        <v>-4.8410000000000011</v>
      </c>
      <c r="J106" s="263">
        <f>J102-J103+J105</f>
        <v>-2.1869999999999994</v>
      </c>
      <c r="K106" s="263">
        <f>SUM(G106:J106)</f>
        <v>-9.7160000000000011</v>
      </c>
      <c r="L106" s="264"/>
      <c r="M106" s="263">
        <f>M102-M103+M105</f>
        <v>0.36800000000000127</v>
      </c>
      <c r="N106" s="263">
        <f>N102-N103+N105</f>
        <v>0.12200000000000036</v>
      </c>
      <c r="O106" s="263">
        <f>O102-O103+O105</f>
        <v>3.7889999999999975</v>
      </c>
      <c r="P106" s="263">
        <f>P102-P103+P105</f>
        <v>-0.76500000000000135</v>
      </c>
      <c r="Q106" s="264">
        <f>SUM(M106:P106)</f>
        <v>3.5139999999999976</v>
      </c>
      <c r="R106" s="261"/>
      <c r="S106" s="263">
        <f>S102-S103+S105</f>
        <v>0.43700000000000067</v>
      </c>
      <c r="T106" s="263">
        <f>T102-T103+T105</f>
        <v>1.1700000000000135</v>
      </c>
      <c r="U106" s="263">
        <f>U102-U103+U105</f>
        <v>2.1530000000000031</v>
      </c>
      <c r="V106" s="263">
        <f>V102-V103+V105</f>
        <v>3.5859999999999963</v>
      </c>
      <c r="W106" s="263">
        <f>SUM(S106:V106)</f>
        <v>7.3460000000000143</v>
      </c>
      <c r="X106" s="263"/>
      <c r="Y106" s="263">
        <f>Y102-Y103+Y105</f>
        <v>4.38</v>
      </c>
      <c r="Z106" s="263">
        <f>Z102-Z103+Z105</f>
        <v>5.0399999999999974</v>
      </c>
      <c r="AA106" s="263">
        <f>AA102-AA103+AA105</f>
        <v>13.096999999999985</v>
      </c>
      <c r="AB106" s="263">
        <f>AB102-AB103+AB105</f>
        <v>5.9569999999999803</v>
      </c>
      <c r="AC106" s="263">
        <f>SUM(Y106:AB106)</f>
        <v>28.473999999999961</v>
      </c>
      <c r="AD106" s="263"/>
      <c r="AE106" s="263">
        <f>AE102-AE103+AE105</f>
        <v>-0.22899999999999743</v>
      </c>
      <c r="AF106" s="263">
        <f>AF102-AF103+AF105</f>
        <v>-0.14500000000000185</v>
      </c>
      <c r="AG106" s="263">
        <f>AG102-AG103+AG105</f>
        <v>0.32669068872398987</v>
      </c>
      <c r="AH106" s="263">
        <f>AH102-AH103+AH105</f>
        <v>0.51561785141324001</v>
      </c>
      <c r="AI106" s="265">
        <f>SUM(AE106:AH106)</f>
        <v>0.46830854013723061</v>
      </c>
      <c r="AJ106" s="263"/>
      <c r="AK106" s="263">
        <f>AK102-AK103+AK105</f>
        <v>0.73000000000000353</v>
      </c>
      <c r="AL106" s="264">
        <f>AL102-AL103+AL105</f>
        <v>3.7350000000000225</v>
      </c>
      <c r="AM106" s="263">
        <f>AM102-AM103+AM105</f>
        <v>6.5120000000000191</v>
      </c>
      <c r="AN106" s="263">
        <f>AN102-AN103+AN105</f>
        <v>7.3789999999999853</v>
      </c>
      <c r="AO106" s="265">
        <f>SUM(AK106:AN106)</f>
        <v>18.35600000000003</v>
      </c>
      <c r="AP106" s="263"/>
      <c r="AQ106" s="263">
        <f>AQ102-AQ103+AQ105</f>
        <v>9.5550000000000033</v>
      </c>
      <c r="AR106" s="263">
        <f>AR102-AR103+AR105</f>
        <v>9.9800000000000182</v>
      </c>
      <c r="AS106" s="263">
        <f>AS102-AS103+AS105</f>
        <v>10.623999999999992</v>
      </c>
      <c r="AT106" s="263">
        <f>AT102-AT103+AT105</f>
        <v>13.753000000000004</v>
      </c>
      <c r="AU106" s="265">
        <f>SUM(AQ106:AT106)</f>
        <v>43.91200000000002</v>
      </c>
      <c r="AV106" s="263"/>
      <c r="AW106" s="263">
        <f>AW102-AW103+AW105</f>
        <v>16.935999999999989</v>
      </c>
      <c r="AX106" s="263">
        <f>AX102-AX103+AX105</f>
        <v>21.197999999999993</v>
      </c>
      <c r="AY106" s="263">
        <f>AY102-AY103+AY105</f>
        <v>20.690999999999992</v>
      </c>
      <c r="AZ106" s="263">
        <f>AZ102-AZ103+AZ105</f>
        <v>20.402000000000015</v>
      </c>
      <c r="BA106" s="265">
        <f>SUM(AW106:AZ106)</f>
        <v>79.22699999999999</v>
      </c>
      <c r="BB106" s="263"/>
      <c r="BC106" s="263">
        <f>BC102-BC103+BC105</f>
        <v>17.749000000000045</v>
      </c>
      <c r="BD106" s="263">
        <f>BD102-BD103+BD105</f>
        <v>14.744000000000009</v>
      </c>
      <c r="BE106" s="263">
        <f>BE102-BE103+BE105</f>
        <v>21.072000000000003</v>
      </c>
      <c r="BF106" s="263">
        <f>BF102-BF103+BF105</f>
        <v>10.913000000000002</v>
      </c>
      <c r="BG106" s="265">
        <f>SUM(BC106:BF106)</f>
        <v>64.478000000000051</v>
      </c>
      <c r="BH106" s="263"/>
      <c r="BI106" s="263">
        <f>BI102-BI103+BI105</f>
        <v>0.53000000000003078</v>
      </c>
      <c r="BJ106" s="263">
        <f>BJ102-BJ103+BJ105</f>
        <v>-4.2679999999999687</v>
      </c>
      <c r="BK106" s="263">
        <f>BK102-BK103+BK105</f>
        <v>-3.7560000000000384</v>
      </c>
      <c r="BL106" s="263">
        <f>BL102-BL103+BL105</f>
        <v>-4.0779999999999381</v>
      </c>
      <c r="BM106" s="265">
        <f>SUM(BI106:BL106)</f>
        <v>-11.571999999999914</v>
      </c>
      <c r="BN106" s="263"/>
      <c r="BO106" s="263">
        <f>BO102-BO103+BO105</f>
        <v>-19.464999999999954</v>
      </c>
      <c r="BP106" s="263">
        <f>BP102-BP103+BP105</f>
        <v>-9.8290000000000504</v>
      </c>
      <c r="BQ106" s="263">
        <f>BQ102-BQ103+BQ105</f>
        <v>-220.29700000000005</v>
      </c>
      <c r="BR106" s="263">
        <f>BR102-BR103+BR105</f>
        <v>-20.843999999999916</v>
      </c>
      <c r="BS106" s="265">
        <f>SUM(BO106:BR106)</f>
        <v>-270.435</v>
      </c>
      <c r="BT106" s="263"/>
      <c r="BU106" s="263">
        <f>BU102-BU103+BU105</f>
        <v>-67.721000000000046</v>
      </c>
      <c r="BV106" s="263">
        <f>BV102-BV103+BV105</f>
        <v>76.603000000000222</v>
      </c>
      <c r="BW106" s="263">
        <f>BW102-BW103+BW105</f>
        <v>-124.43400000000015</v>
      </c>
      <c r="BX106" s="263">
        <f>BX102-BX103+BX105</f>
        <v>-116.623</v>
      </c>
      <c r="BY106" s="265">
        <f>SUM(BU106:BX106)</f>
        <v>-232.17499999999998</v>
      </c>
      <c r="BZ106" s="263"/>
      <c r="CA106" s="263">
        <f>CA102-CA103+CA105</f>
        <v>-96.910999999999859</v>
      </c>
      <c r="CB106" s="263">
        <f>CB102-CB103+CB105</f>
        <v>-61.087999999999809</v>
      </c>
      <c r="CC106" s="263">
        <f>CC102-CC103+CC105</f>
        <v>-38.923999999999978</v>
      </c>
      <c r="CD106" s="263">
        <f>CD102-CD103+CD105</f>
        <v>-65.765000000000114</v>
      </c>
      <c r="CE106" s="265">
        <f>SUM(CA106:CD106)</f>
        <v>-262.68799999999976</v>
      </c>
      <c r="CF106" s="263"/>
      <c r="CG106" s="263">
        <f>CG102-CG103+CG105</f>
        <v>32.054000000000222</v>
      </c>
      <c r="CH106" s="263">
        <f>CH102-CH103+CH105</f>
        <v>-0.85200000000027298</v>
      </c>
      <c r="CI106" s="263">
        <f>CI102-CI103+CI105</f>
        <v>-25.157000000000089</v>
      </c>
      <c r="CJ106" s="263">
        <f>CJ102-CJ103+CJ105</f>
        <v>-4.4779999999996249</v>
      </c>
      <c r="CK106" s="265">
        <f>SUM(CG106:CJ106)</f>
        <v>1.5670000000002346</v>
      </c>
      <c r="CL106" s="263"/>
      <c r="CM106" s="263">
        <f>CM102-CM103+CM105</f>
        <v>22.57799999999985</v>
      </c>
      <c r="CN106" s="263">
        <f>CN102-CN103+CN105</f>
        <v>229.63999999999982</v>
      </c>
      <c r="CO106" s="263">
        <f>CO102-CO103+CO105</f>
        <v>-37.30900000000014</v>
      </c>
      <c r="CP106" s="263">
        <f>CP102-CP103+CP105</f>
        <v>-51.440000000000367</v>
      </c>
      <c r="CQ106" s="265">
        <f>SUM(CM106:CP106)</f>
        <v>163.46899999999917</v>
      </c>
      <c r="CR106" s="263"/>
      <c r="CS106" s="263">
        <f>CS102-CS103+CS105</f>
        <v>-9.2070000000000931</v>
      </c>
      <c r="CT106" s="263">
        <f>CT102-CT103+CT105</f>
        <v>17.735999999999834</v>
      </c>
      <c r="CU106" s="263">
        <f>CU102-CU103+CU105</f>
        <v>51.393999999999998</v>
      </c>
      <c r="CV106" s="263">
        <f>CV102-CV103+CV105</f>
        <v>67.55499999999995</v>
      </c>
      <c r="CW106" s="265">
        <f>SUM(CS106:CV106)</f>
        <v>127.4779999999997</v>
      </c>
      <c r="CX106" s="263"/>
      <c r="CY106" s="263">
        <f>CY102-CY103+CY105</f>
        <v>97.809190844782123</v>
      </c>
      <c r="CZ106" s="263">
        <f>CZ102-CZ103+CZ105</f>
        <v>173.32252293632484</v>
      </c>
      <c r="DA106" s="263">
        <f>DA102-DA103+DA105</f>
        <v>233.53141069605761</v>
      </c>
      <c r="DB106" s="263">
        <f>DB102-DB103+DB105</f>
        <v>204.10446844441014</v>
      </c>
      <c r="DC106" s="265">
        <f>SUM(CY106:DB106)</f>
        <v>708.76759292157476</v>
      </c>
      <c r="DD106" s="263"/>
      <c r="DE106" s="263">
        <f>DE102-DE103+DE105</f>
        <v>227.15016487057653</v>
      </c>
      <c r="DF106" s="263">
        <f>DF102-DF103+DF105</f>
        <v>319.03215437252106</v>
      </c>
      <c r="DG106" s="263">
        <f>DG102-DG103+DG105</f>
        <v>378.77290601204027</v>
      </c>
      <c r="DH106" s="263">
        <f>DH102-DH103+DH105</f>
        <v>380.96653321425947</v>
      </c>
      <c r="DI106" s="265">
        <f>SUM(DE106:DH106)</f>
        <v>1305.9217584693974</v>
      </c>
      <c r="DJ106" s="263"/>
      <c r="DK106" s="263">
        <f>DK102-DK103+DK105</f>
        <v>395.79980077232744</v>
      </c>
      <c r="DL106" s="263">
        <f>DL102-DL103+DL105</f>
        <v>509.85188064907936</v>
      </c>
      <c r="DM106" s="263">
        <f>DM102-DM103+DM105</f>
        <v>578.09900821549718</v>
      </c>
      <c r="DN106" s="263">
        <f>DN102-DN103+DN105</f>
        <v>600.72681415982197</v>
      </c>
      <c r="DO106" s="265">
        <f>SUM(DK106:DN106)</f>
        <v>2084.4775037967261</v>
      </c>
      <c r="DP106" s="261"/>
    </row>
    <row r="107" spans="1:120" ht="12.75" hidden="1" customHeight="1" outlineLevel="1">
      <c r="A107" s="718" t="s">
        <v>1</v>
      </c>
      <c r="B107" s="739"/>
      <c r="C107" s="721">
        <f>C106/C112</f>
        <v>-0.54520000000000002</v>
      </c>
      <c r="D107" s="721">
        <f>D106/D112</f>
        <v>-3.901489626716788</v>
      </c>
      <c r="E107" s="721">
        <f>E106/E112</f>
        <v>-1.3598079756642425</v>
      </c>
      <c r="F107" s="721"/>
      <c r="G107" s="721">
        <f>G106/G112</f>
        <v>-6.2695673115517436E-2</v>
      </c>
      <c r="H107" s="721">
        <f>H106/H112</f>
        <v>-4.3516908212560358E-2</v>
      </c>
      <c r="I107" s="721">
        <f>I106/I112</f>
        <v>-0.17986921304897083</v>
      </c>
      <c r="J107" s="721">
        <f>J106/J112</f>
        <v>-7.8680385667002431E-2</v>
      </c>
      <c r="K107" s="721">
        <f>K106/K111</f>
        <v>-0.3683826386979972</v>
      </c>
      <c r="L107" s="721"/>
      <c r="M107" s="721">
        <f>M106/M112</f>
        <v>1.2840195394277783E-2</v>
      </c>
      <c r="N107" s="721">
        <f>N106/N112</f>
        <v>4.1717959239502243E-3</v>
      </c>
      <c r="O107" s="721">
        <f>O106/O112</f>
        <v>0.12669698388283279</v>
      </c>
      <c r="P107" s="721">
        <f>P106/P112</f>
        <v>-2.4986118822876224E-2</v>
      </c>
      <c r="Q107" s="721">
        <f>Q106/Q111</f>
        <v>3.6830906937500608E-2</v>
      </c>
      <c r="R107" s="721"/>
      <c r="S107" s="721">
        <f>S106/S112</f>
        <v>3.4476773542034891E-3</v>
      </c>
      <c r="T107" s="721">
        <f>T106/T112</f>
        <v>4.5331969499721554E-3</v>
      </c>
      <c r="U107" s="721">
        <f>U106/U112</f>
        <v>5.2595835328375935E-3</v>
      </c>
      <c r="V107" s="721">
        <f>V106/V112</f>
        <v>8.6653521235670432E-3</v>
      </c>
      <c r="W107" s="721">
        <f>W106/W112</f>
        <v>2.4323536813106811E-2</v>
      </c>
      <c r="X107" s="721"/>
      <c r="Y107" s="721">
        <f>Y106/Y112</f>
        <v>1.0406667870482127E-2</v>
      </c>
      <c r="Z107" s="721">
        <f>Z106/Z112</f>
        <v>1.1818335303055877E-2</v>
      </c>
      <c r="AA107" s="721">
        <f>AA106/AA112</f>
        <v>3.0378730945157275E-2</v>
      </c>
      <c r="AB107" s="721">
        <f>AB106/AB112</f>
        <v>1.3606048147640538E-2</v>
      </c>
      <c r="AC107" s="721">
        <f>AC106/AC112</f>
        <v>6.6358111005462558E-2</v>
      </c>
      <c r="AD107" s="721"/>
      <c r="AE107" s="721">
        <f>AE106/AE112</f>
        <v>-5.1596564434870586E-4</v>
      </c>
      <c r="AF107" s="721">
        <f>AF106/AF112</f>
        <v>-3.2412954451975593E-4</v>
      </c>
      <c r="AG107" s="721">
        <f>AG106/AG112</f>
        <v>7.2350331913892429E-4</v>
      </c>
      <c r="AH107" s="721">
        <f>AH106/AH112</f>
        <v>1.1316839721988499E-3</v>
      </c>
      <c r="AI107" s="740">
        <f>AI106/AI112</f>
        <v>1.041646274091063E-3</v>
      </c>
      <c r="AJ107" s="721"/>
      <c r="AK107" s="721">
        <f>AK106/AK112</f>
        <v>1.5871359371059414E-3</v>
      </c>
      <c r="AL107" s="721">
        <f>AL106/AL112</f>
        <v>8.0292190482742498E-3</v>
      </c>
      <c r="AM107" s="721">
        <f>AM106/AM112</f>
        <v>1.3861217539378501E-2</v>
      </c>
      <c r="AN107" s="721">
        <f>AN106/AN112</f>
        <v>1.5541280539174359E-2</v>
      </c>
      <c r="AO107" s="740">
        <f>AO106/AO112</f>
        <v>3.9269967118141569E-2</v>
      </c>
      <c r="AP107" s="721"/>
      <c r="AQ107" s="721">
        <f>AQ106/AQ112</f>
        <v>1.9956140350877203E-2</v>
      </c>
      <c r="AR107" s="721">
        <f>AR106/AR112</f>
        <v>2.0696806304438032E-2</v>
      </c>
      <c r="AS107" s="721">
        <f>AS106/AS112</f>
        <v>2.1842105263157878E-2</v>
      </c>
      <c r="AT107" s="721">
        <f>AT106/AT112</f>
        <v>2.8083853366876868E-2</v>
      </c>
      <c r="AU107" s="740">
        <f>AU106/AU112</f>
        <v>9.0675190696253016E-2</v>
      </c>
      <c r="AV107" s="721"/>
      <c r="AW107" s="721">
        <f>AW106/AW112</f>
        <v>3.436520948655096E-2</v>
      </c>
      <c r="AX107" s="721">
        <f>AX106/AX112</f>
        <v>4.2791046945399917E-2</v>
      </c>
      <c r="AY107" s="721">
        <f>AY106/AY112</f>
        <v>4.1527845794430022E-2</v>
      </c>
      <c r="AZ107" s="721">
        <f>AZ106/AZ112</f>
        <v>4.0404800570364829E-2</v>
      </c>
      <c r="BA107" s="740">
        <f>BA106/BA112</f>
        <v>0.15913893397181464</v>
      </c>
      <c r="BB107" s="721"/>
      <c r="BC107" s="721">
        <f>BC106/BC112</f>
        <v>3.4657351287178291E-2</v>
      </c>
      <c r="BD107" s="721">
        <f>BD106/BD112</f>
        <v>2.8471675086125678E-2</v>
      </c>
      <c r="BE107" s="721">
        <f>BE106/BE112</f>
        <v>4.0248151091009113E-2</v>
      </c>
      <c r="BF107" s="721">
        <f>BF106/BF112</f>
        <v>2.0614837091216833E-2</v>
      </c>
      <c r="BG107" s="740">
        <f>BG106/BG112</f>
        <v>0.12382327750102748</v>
      </c>
      <c r="BH107" s="721"/>
      <c r="BI107" s="721">
        <f>BI106/BI112</f>
        <v>9.9285146942023239E-4</v>
      </c>
      <c r="BJ107" s="721">
        <f>BJ106/BJ112</f>
        <v>-7.8982626783030384E-3</v>
      </c>
      <c r="BK107" s="721">
        <f>BK106/BK112</f>
        <v>-6.9121879761791542E-3</v>
      </c>
      <c r="BL107" s="721">
        <f>BL106/BL112</f>
        <v>-7.4568461088354637E-3</v>
      </c>
      <c r="BM107" s="740">
        <f>BM106/BM112</f>
        <v>-2.1385512110202128E-2</v>
      </c>
      <c r="BN107" s="721"/>
      <c r="BO107" s="721">
        <f>BO106/BO112</f>
        <v>-3.522439377488229E-2</v>
      </c>
      <c r="BP107" s="721">
        <f>BP106/BP112</f>
        <v>-1.7624170701093868E-2</v>
      </c>
      <c r="BQ107" s="721">
        <f>BQ106/BQ112</f>
        <v>-0.3872931654043868</v>
      </c>
      <c r="BR107" s="721">
        <f>BR106/BR112</f>
        <v>-3.5945368007173753E-2</v>
      </c>
      <c r="BS107" s="740">
        <f>BS106/BS112</f>
        <v>-0.47885959755501567</v>
      </c>
      <c r="BT107" s="721"/>
      <c r="BU107" s="721">
        <f>BU106/BU112</f>
        <v>-0.1150964079641732</v>
      </c>
      <c r="BV107" s="721">
        <f>BV106/BV112</f>
        <v>0.12897104999537037</v>
      </c>
      <c r="BW107" s="721">
        <f>BW106/BW112</f>
        <v>-0.20722870698972659</v>
      </c>
      <c r="BX107" s="721">
        <f>BX106/BX112</f>
        <v>-0.19201184113906752</v>
      </c>
      <c r="BY107" s="740">
        <f>BY106/BY112</f>
        <v>-0.38854798025756199</v>
      </c>
      <c r="BZ107" s="721"/>
      <c r="CA107" s="721">
        <f>CA106/CA112</f>
        <v>-0.15821894101666559</v>
      </c>
      <c r="CB107" s="721">
        <f>CB106/CB112</f>
        <v>-9.9005536323206869E-2</v>
      </c>
      <c r="CC107" s="721">
        <f>CC106/CC112</f>
        <v>-6.1828486469657558E-2</v>
      </c>
      <c r="CD107" s="721">
        <f>CD106/CD112</f>
        <v>-0.10320627602127386</v>
      </c>
      <c r="CE107" s="740">
        <f>CE106/CE112</f>
        <v>-0.42092461027242334</v>
      </c>
      <c r="CF107" s="721"/>
      <c r="CG107" s="721">
        <f>CG106/CG112</f>
        <v>4.9026550567520824E-2</v>
      </c>
      <c r="CH107" s="721">
        <f>CH106/CH112</f>
        <v>-1.2921503383557433E-3</v>
      </c>
      <c r="CI107" s="721">
        <f>CI106/CI112</f>
        <v>-3.7879574963373325E-2</v>
      </c>
      <c r="CJ107" s="721">
        <f>CJ106/CJ112</f>
        <v>-6.6933223721081054E-3</v>
      </c>
      <c r="CK107" s="740">
        <f>CK106/CK112</f>
        <v>2.3685623604911624E-3</v>
      </c>
      <c r="CL107" s="721"/>
      <c r="CM107" s="721">
        <f>CM106/CM112</f>
        <v>3.3324772624624507E-2</v>
      </c>
      <c r="CN107" s="721">
        <f>CN106/CN112</f>
        <v>0.33714760558252044</v>
      </c>
      <c r="CO107" s="721">
        <f>CO106/CO112</f>
        <v>-5.4034365097296533E-2</v>
      </c>
      <c r="CP107" s="721">
        <f>CP106/CP112</f>
        <v>-7.3381512537910976E-2</v>
      </c>
      <c r="CQ107" s="740">
        <f>CQ106/CQ112</f>
        <v>0.23776427201609129</v>
      </c>
      <c r="CR107" s="721"/>
      <c r="CS107" s="721">
        <f>CS106/CS112</f>
        <v>-1.3037863189525659E-2</v>
      </c>
      <c r="CT107" s="721">
        <f>CT106/CT112</f>
        <v>2.4908747975883109E-2</v>
      </c>
      <c r="CU107" s="721">
        <f>CU106/CU112</f>
        <v>7.1634759458913219E-2</v>
      </c>
      <c r="CV107" s="721">
        <f>CV106/CV112</f>
        <v>9.3291646354852056E-2</v>
      </c>
      <c r="CW107" s="740">
        <f>CW106/CW112</f>
        <v>0.17830431308647288</v>
      </c>
      <c r="CX107" s="721"/>
      <c r="CY107" s="721">
        <f>CY106/CY112</f>
        <v>0.13371044544741234</v>
      </c>
      <c r="CZ107" s="721">
        <f>CZ106/CZ112</f>
        <v>0.23461593629282551</v>
      </c>
      <c r="DA107" s="721">
        <f>DA106/DA112</f>
        <v>0.31547640755968603</v>
      </c>
      <c r="DB107" s="721">
        <f>DB106/DB112</f>
        <v>0.27516611856341106</v>
      </c>
      <c r="DC107" s="740">
        <f>DC106/DC112</f>
        <v>0.96030836537769471</v>
      </c>
      <c r="DD107" s="721"/>
      <c r="DE107" s="721">
        <f>DE106/DE112</f>
        <v>0.30438883064733874</v>
      </c>
      <c r="DF107" s="721">
        <f>DF106/DF112</f>
        <v>0.42325990629853538</v>
      </c>
      <c r="DG107" s="721">
        <f>DG106/DG112</f>
        <v>0.49756703581220396</v>
      </c>
      <c r="DH107" s="721">
        <f>DH106/DH112</f>
        <v>0.49556622206732942</v>
      </c>
      <c r="DI107" s="740">
        <f>DI106/DI112</f>
        <v>1.7239891200916138</v>
      </c>
      <c r="DJ107" s="721"/>
      <c r="DK107" s="721">
        <f>DK106/DK112</f>
        <v>0.50988702192892421</v>
      </c>
      <c r="DL107" s="721">
        <f>DL106/DL112</f>
        <v>0.65052871534172807</v>
      </c>
      <c r="DM107" s="721">
        <f>DM106/DM112</f>
        <v>0.73061486030394585</v>
      </c>
      <c r="DN107" s="721">
        <f>DN106/DN112</f>
        <v>0.75208364840040309</v>
      </c>
      <c r="DO107" s="740">
        <f>DO106/DO112</f>
        <v>2.6469555603767949</v>
      </c>
      <c r="DP107" s="721"/>
    </row>
    <row r="108" spans="1:120" collapsed="1">
      <c r="A108" s="657" t="s">
        <v>0</v>
      </c>
      <c r="B108" s="658" t="s">
        <v>161</v>
      </c>
      <c r="C108" s="342">
        <f>C106/C112</f>
        <v>-0.54520000000000002</v>
      </c>
      <c r="D108" s="342">
        <f>D106/D112</f>
        <v>-3.901489626716788</v>
      </c>
      <c r="E108" s="342">
        <f>E106/E112</f>
        <v>-1.3598079756642425</v>
      </c>
      <c r="F108" s="520"/>
      <c r="G108" s="342">
        <f>G106/G112</f>
        <v>-6.2695673115517436E-2</v>
      </c>
      <c r="H108" s="342">
        <f>H106/H112</f>
        <v>-4.3516908212560358E-2</v>
      </c>
      <c r="I108" s="342">
        <f>I106/I112</f>
        <v>-0.17986921304897083</v>
      </c>
      <c r="J108" s="342">
        <f>J106/J112</f>
        <v>-7.8680385667002431E-2</v>
      </c>
      <c r="K108" s="342">
        <f>K106/K112</f>
        <v>-0.3683826386979972</v>
      </c>
      <c r="L108" s="520"/>
      <c r="M108" s="342">
        <f>M106/M111</f>
        <v>4.0166779453819261E-3</v>
      </c>
      <c r="N108" s="342">
        <f>N106/N111</f>
        <v>1.3264762484642271E-3</v>
      </c>
      <c r="O108" s="342">
        <f>O106/O111</f>
        <v>3.9666670156300682E-2</v>
      </c>
      <c r="P108" s="342">
        <f>P106/P111</f>
        <v>-7.9495386150137317E-3</v>
      </c>
      <c r="Q108" s="342">
        <f>Q106/Q111</f>
        <v>3.6830906937500608E-2</v>
      </c>
      <c r="R108" s="520"/>
      <c r="S108" s="342">
        <f>S106/S111</f>
        <v>1.0881690870336079E-3</v>
      </c>
      <c r="T108" s="342">
        <f>T106/T111</f>
        <v>2.714642363270224E-3</v>
      </c>
      <c r="U108" s="342">
        <f>U106/U111</f>
        <v>4.6330567414956687E-3</v>
      </c>
      <c r="V108" s="342">
        <f>V106/V111</f>
        <v>7.6749880145195451E-3</v>
      </c>
      <c r="W108" s="342">
        <f>W106/W111</f>
        <v>1.6563847250031599E-2</v>
      </c>
      <c r="X108" s="342"/>
      <c r="Y108" s="342">
        <f>Y106/Y111</f>
        <v>9.4098842455335261E-3</v>
      </c>
      <c r="Z108" s="342">
        <f>Z106/Z111</f>
        <v>1.0680319392408492E-2</v>
      </c>
      <c r="AA108" s="342">
        <f>AA106/AA111</f>
        <v>2.7594707344823197E-2</v>
      </c>
      <c r="AB108" s="342">
        <f>AB106/AB111</f>
        <v>1.2309580684889571E-2</v>
      </c>
      <c r="AC108" s="342">
        <f>AC106/AC111</f>
        <v>5.9951826305195438E-2</v>
      </c>
      <c r="AD108" s="342"/>
      <c r="AE108" s="342">
        <f>AE106/AE111</f>
        <v>-4.7760870290652517E-4</v>
      </c>
      <c r="AF108" s="342">
        <f>AF106/AF111</f>
        <v>-3.0507048180097168E-4</v>
      </c>
      <c r="AG108" s="342">
        <f>AG106/AG111</f>
        <v>6.7902686404939746E-4</v>
      </c>
      <c r="AH108" s="342">
        <f>AH106/AH111</f>
        <v>1.0630506836878913E-3</v>
      </c>
      <c r="AI108" s="659">
        <f>AI106/AI111</f>
        <v>9.751734897106405E-4</v>
      </c>
      <c r="AJ108" s="342"/>
      <c r="AK108" s="342">
        <f>AK106/AK111</f>
        <v>1.5128279520868809E-3</v>
      </c>
      <c r="AL108" s="342">
        <f>AL106/AL111</f>
        <v>7.6957629004475751E-3</v>
      </c>
      <c r="AM108" s="342">
        <f>AM106/AM111</f>
        <v>1.3325802781393028E-2</v>
      </c>
      <c r="AN108" s="342">
        <f>AN106/AN111</f>
        <v>1.4915507761966335E-2</v>
      </c>
      <c r="AO108" s="659">
        <f>AO106/AO111</f>
        <v>3.7628864922706728E-2</v>
      </c>
      <c r="AP108" s="342"/>
      <c r="AQ108" s="342">
        <f>AQ106/AQ111</f>
        <v>1.9200009645216783E-2</v>
      </c>
      <c r="AR108" s="342">
        <f>AR106/AR111</f>
        <v>1.9860538423574773E-2</v>
      </c>
      <c r="AS108" s="342">
        <f>AS106/AS111</f>
        <v>2.1225416157208715E-2</v>
      </c>
      <c r="AT108" s="342">
        <f>AT106/AT111</f>
        <v>2.7609147776091483E-2</v>
      </c>
      <c r="AU108" s="659">
        <f>AU106/AU111</f>
        <v>8.7875670894486002E-2</v>
      </c>
      <c r="AV108" s="342"/>
      <c r="AW108" s="342">
        <f>AW106/AW111</f>
        <v>3.3777692682031742E-2</v>
      </c>
      <c r="AX108" s="342">
        <f>AX106/AX111</f>
        <v>4.1871434666498099E-2</v>
      </c>
      <c r="AY108" s="342">
        <f>AY106/AY111</f>
        <v>4.0224812591371409E-2</v>
      </c>
      <c r="AZ108" s="342">
        <f>AZ106/AZ111</f>
        <v>3.9028365483942576E-2</v>
      </c>
      <c r="BA108" s="659">
        <f>BA106/BA111</f>
        <v>0.15595866141732281</v>
      </c>
      <c r="BB108" s="342"/>
      <c r="BC108" s="342">
        <f>BC106/BC111</f>
        <v>3.3551731177836171E-2</v>
      </c>
      <c r="BD108" s="342">
        <f>BD106/BD111</f>
        <v>2.7471380872883394E-2</v>
      </c>
      <c r="BE108" s="342">
        <f>BE106/BE111</f>
        <v>3.8440208983975953E-2</v>
      </c>
      <c r="BF108" s="342">
        <f>BF106/BF111</f>
        <v>1.9459839228525171E-2</v>
      </c>
      <c r="BG108" s="659">
        <f>BG106/BG111</f>
        <v>0.11859767873894098</v>
      </c>
      <c r="BH108" s="342"/>
      <c r="BI108" s="342">
        <f>BI106/BI111</f>
        <v>9.3930328508037375E-4</v>
      </c>
      <c r="BJ108" s="342">
        <f>BJ106/BJ111</f>
        <v>-7.4378206558107871E-3</v>
      </c>
      <c r="BK108" s="342">
        <f>BK106/BK111</f>
        <v>-6.6047224820815053E-3</v>
      </c>
      <c r="BL108" s="342">
        <f>BL106/BL111</f>
        <v>-7.188335084292727E-3</v>
      </c>
      <c r="BM108" s="659">
        <f>BM106/BM111</f>
        <v>-2.023076923076908E-2</v>
      </c>
      <c r="BN108" s="342"/>
      <c r="BO108" s="342">
        <f>BO106/BO112</f>
        <v>-3.522439377488229E-2</v>
      </c>
      <c r="BP108" s="342">
        <f>BP106/BP112</f>
        <v>-1.7624170701093868E-2</v>
      </c>
      <c r="BQ108" s="342">
        <f>BQ106/BQ112</f>
        <v>-0.3872931654043868</v>
      </c>
      <c r="BR108" s="342">
        <f>BR106/BR112</f>
        <v>-3.5945368007173753E-2</v>
      </c>
      <c r="BS108" s="659">
        <f>BS106/BS112</f>
        <v>-0.47885959755501567</v>
      </c>
      <c r="BT108" s="342"/>
      <c r="BU108" s="342">
        <f>BU106/BU111</f>
        <v>-0.10875783110665729</v>
      </c>
      <c r="BV108" s="342">
        <f>BV106/BV111</f>
        <v>0.12263229681616798</v>
      </c>
      <c r="BW108" s="342">
        <f>BW106/BW111</f>
        <v>-0.19440777293627098</v>
      </c>
      <c r="BX108" s="342">
        <f>BX106/BX111</f>
        <v>-0.17931930531317031</v>
      </c>
      <c r="BY108" s="659">
        <f>BY106/BY111</f>
        <v>-0.36595193014325589</v>
      </c>
      <c r="BZ108" s="342"/>
      <c r="CA108" s="342">
        <f>CA106/CA111</f>
        <v>-0.14955401234567881</v>
      </c>
      <c r="CB108" s="342">
        <f>CB106/CB111</f>
        <v>-9.4302165825344342E-2</v>
      </c>
      <c r="CC108" s="342">
        <f>CC106/CC111</f>
        <v>-5.9106687844892744E-2</v>
      </c>
      <c r="CD108" s="342">
        <f>CD106/CD111</f>
        <v>-0.10160114694277354</v>
      </c>
      <c r="CE108" s="659">
        <f>CE106/CE111</f>
        <v>-0.40388466544229812</v>
      </c>
      <c r="CF108" s="342"/>
      <c r="CG108" s="342">
        <f>CG106/CG111</f>
        <v>4.8251569297466886E-2</v>
      </c>
      <c r="CH108" s="342">
        <f>CH106/CH111</f>
        <v>-1.2666752895739734E-3</v>
      </c>
      <c r="CI108" s="342">
        <f>CI106/CI111</f>
        <v>-3.7119501866525149E-2</v>
      </c>
      <c r="CJ108" s="342">
        <f>CJ106/CJ111</f>
        <v>-6.5567049555974683E-3</v>
      </c>
      <c r="CK108" s="659">
        <f>CK106/CK111</f>
        <v>2.3235192939589011E-3</v>
      </c>
      <c r="CL108" s="342"/>
      <c r="CM108" s="342">
        <f>CM106/CM111</f>
        <v>3.2874247050446857E-2</v>
      </c>
      <c r="CN108" s="342">
        <f>CN106/CN111</f>
        <v>0.32995769920456086</v>
      </c>
      <c r="CO108" s="342">
        <f>CO106/CO112</f>
        <v>-5.4034365097296533E-2</v>
      </c>
      <c r="CP108" s="342">
        <f>CP106/CP111</f>
        <v>-7.2328153846370688E-2</v>
      </c>
      <c r="CQ108" s="659">
        <f>CQ106/CQ111</f>
        <v>0.23363778703771743</v>
      </c>
      <c r="CR108" s="342"/>
      <c r="CS108" s="342">
        <f>CS106/CS111</f>
        <v>-1.3037863189525659E-2</v>
      </c>
      <c r="CT108" s="342">
        <f>CT106/CT111</f>
        <v>2.4316342786946603E-2</v>
      </c>
      <c r="CU108" s="342">
        <f>CU106/CU112</f>
        <v>7.1634759458913219E-2</v>
      </c>
      <c r="CV108" s="342">
        <f>CV106/CV111</f>
        <v>9.0137751779938657E-2</v>
      </c>
      <c r="CW108" s="659">
        <f>CW106/CW111</f>
        <v>0.17444041147673855</v>
      </c>
      <c r="CX108" s="342"/>
      <c r="CY108" s="342">
        <f>CY106/CY111</f>
        <v>0.12923415589457454</v>
      </c>
      <c r="CZ108" s="342">
        <f>CZ106/CZ111</f>
        <v>0.22683611020253561</v>
      </c>
      <c r="DA108" s="342">
        <f>DA106/DA111</f>
        <v>0.30503575778593101</v>
      </c>
      <c r="DB108" s="342">
        <f>DB106/DB111</f>
        <v>0.26607733991634602</v>
      </c>
      <c r="DC108" s="659">
        <f>DC106/DC111</f>
        <v>0.92843601930781283</v>
      </c>
      <c r="DD108" s="342"/>
      <c r="DE108" s="342">
        <f>DE106/DE111</f>
        <v>0.29439345773137249</v>
      </c>
      <c r="DF108" s="342">
        <f>DF106/DF111</f>
        <v>0.40949490156108498</v>
      </c>
      <c r="DG108" s="342">
        <f>DG106/DG111</f>
        <v>0.48153974832032592</v>
      </c>
      <c r="DH108" s="342">
        <f>DH106/DH111</f>
        <v>0.47975414937438771</v>
      </c>
      <c r="DI108" s="659">
        <f>DI106/DI111</f>
        <v>1.6681911540581209</v>
      </c>
      <c r="DJ108" s="342"/>
      <c r="DK108" s="342">
        <f>DK106/DK111</f>
        <v>0.49377023426318967</v>
      </c>
      <c r="DL108" s="342">
        <f>DL106/DL111</f>
        <v>0.63015705437002356</v>
      </c>
      <c r="DM108" s="342">
        <f>DM106/DM111</f>
        <v>0.7079453973863129</v>
      </c>
      <c r="DN108" s="342">
        <f>DN106/DN111</f>
        <v>0.72896043034269675</v>
      </c>
      <c r="DO108" s="659">
        <f>DO106/DO111</f>
        <v>2.5644471201442918</v>
      </c>
      <c r="DP108" s="316"/>
    </row>
    <row r="109" spans="1:120">
      <c r="A109" s="367" t="s">
        <v>871</v>
      </c>
      <c r="B109" s="374"/>
      <c r="C109" s="369" t="s">
        <v>88</v>
      </c>
      <c r="D109" s="369" t="s">
        <v>88</v>
      </c>
      <c r="E109" s="370" t="s">
        <v>236</v>
      </c>
      <c r="F109" s="371"/>
      <c r="G109" s="370"/>
      <c r="H109" s="369" t="s">
        <v>88</v>
      </c>
      <c r="I109" s="369" t="s">
        <v>88</v>
      </c>
      <c r="J109" s="369" t="s">
        <v>88</v>
      </c>
      <c r="K109" s="369" t="s">
        <v>88</v>
      </c>
      <c r="L109" s="371"/>
      <c r="M109" s="369" t="s">
        <v>88</v>
      </c>
      <c r="N109" s="369" t="s">
        <v>88</v>
      </c>
      <c r="O109" s="369" t="s">
        <v>88</v>
      </c>
      <c r="P109" s="369" t="s">
        <v>88</v>
      </c>
      <c r="Q109" s="369" t="s">
        <v>88</v>
      </c>
      <c r="R109" s="371"/>
      <c r="S109" s="369" t="s">
        <v>88</v>
      </c>
      <c r="T109" s="369" t="s">
        <v>88</v>
      </c>
      <c r="U109" s="369" t="s">
        <v>88</v>
      </c>
      <c r="V109" s="369" t="s">
        <v>88</v>
      </c>
      <c r="W109" s="369" t="s">
        <v>88</v>
      </c>
      <c r="X109" s="371"/>
      <c r="Y109" s="369" t="s">
        <v>88</v>
      </c>
      <c r="Z109" s="369" t="s">
        <v>88</v>
      </c>
      <c r="AA109" s="369" t="s">
        <v>88</v>
      </c>
      <c r="AB109" s="369" t="s">
        <v>88</v>
      </c>
      <c r="AC109" s="369" t="s">
        <v>88</v>
      </c>
      <c r="AD109" s="372"/>
      <c r="AE109" s="369" t="s">
        <v>88</v>
      </c>
      <c r="AF109" s="369" t="s">
        <v>88</v>
      </c>
      <c r="AG109" s="369" t="s">
        <v>88</v>
      </c>
      <c r="AH109" s="369" t="s">
        <v>88</v>
      </c>
      <c r="AI109" s="375" t="s">
        <v>88</v>
      </c>
      <c r="AJ109" s="372"/>
      <c r="AK109" s="369" t="s">
        <v>88</v>
      </c>
      <c r="AL109" s="369" t="s">
        <v>88</v>
      </c>
      <c r="AM109" s="369" t="s">
        <v>88</v>
      </c>
      <c r="AN109" s="369" t="s">
        <v>88</v>
      </c>
      <c r="AO109" s="375" t="s">
        <v>88</v>
      </c>
      <c r="AP109" s="372"/>
      <c r="AQ109" s="376">
        <f>AQ108/AK108-1</f>
        <v>11.691469389318989</v>
      </c>
      <c r="AR109" s="376">
        <f>AR108/AL108-1</f>
        <v>1.5807107989800091</v>
      </c>
      <c r="AS109" s="376">
        <f>AS108/AM108-1</f>
        <v>0.59280581480959693</v>
      </c>
      <c r="AT109" s="376">
        <f>AT108/AN108-1</f>
        <v>0.85103639894132077</v>
      </c>
      <c r="AU109" s="377">
        <f>AU108/AO108-1</f>
        <v>1.3353261140082489</v>
      </c>
      <c r="AV109" s="372"/>
      <c r="AW109" s="376">
        <f>AW108/AQ108-1</f>
        <v>0.7592539434190666</v>
      </c>
      <c r="AX109" s="376">
        <f>AX108/AR108-1</f>
        <v>1.1082728863380686</v>
      </c>
      <c r="AY109" s="376">
        <f>AY108/AS108-1</f>
        <v>0.89512480195635624</v>
      </c>
      <c r="AZ109" s="376">
        <f>AZ108/AT108-1</f>
        <v>0.41360268706807823</v>
      </c>
      <c r="BA109" s="377"/>
      <c r="BB109" s="372"/>
      <c r="BC109" s="376"/>
      <c r="BD109" s="376"/>
      <c r="BE109" s="376"/>
      <c r="BF109" s="376"/>
      <c r="BG109" s="377"/>
      <c r="BH109" s="372"/>
      <c r="BI109" s="376"/>
      <c r="BJ109" s="376"/>
      <c r="BK109" s="376"/>
      <c r="BL109" s="376"/>
      <c r="BM109" s="377"/>
      <c r="BN109" s="372"/>
      <c r="BO109" s="376"/>
      <c r="BP109" s="376"/>
      <c r="BQ109" s="376"/>
      <c r="BR109" s="376"/>
      <c r="BS109" s="377"/>
      <c r="BT109" s="372"/>
      <c r="BU109" s="376"/>
      <c r="BV109" s="376"/>
      <c r="BW109" s="376"/>
      <c r="BX109" s="376"/>
      <c r="BY109" s="377"/>
      <c r="BZ109" s="372"/>
      <c r="CA109" s="376"/>
      <c r="CB109" s="376"/>
      <c r="CC109" s="376"/>
      <c r="CD109" s="376"/>
      <c r="CE109" s="377"/>
      <c r="CF109" s="372"/>
      <c r="CG109" s="376">
        <f>CG108/CA108-1</f>
        <v>-1.3226364076808472</v>
      </c>
      <c r="CH109" s="376">
        <f>CH108/CB108-1</f>
        <v>-0.98656790882279455</v>
      </c>
      <c r="CI109" s="376">
        <f>CI108/CC108-1</f>
        <v>-0.37199150857625751</v>
      </c>
      <c r="CJ109" s="376">
        <f>CJ108/CD108-1</f>
        <v>-0.93546623091478964</v>
      </c>
      <c r="CK109" s="377">
        <f>CK108/CE108-1</f>
        <v>-1.0057529277359774</v>
      </c>
      <c r="CL109" s="372"/>
      <c r="CM109" s="376">
        <f>CM108/CG108-1</f>
        <v>-0.31869061402376619</v>
      </c>
      <c r="CN109" s="376">
        <f>CN108/CH108-1</f>
        <v>-261.49114711595661</v>
      </c>
      <c r="CO109" s="376">
        <f>CO108/CI108-1</f>
        <v>0.45568669783323323</v>
      </c>
      <c r="CP109" s="376">
        <f>CP108/CJ108-1</f>
        <v>10.031174093722798</v>
      </c>
      <c r="CQ109" s="377">
        <f>CQ108/CK108-1</f>
        <v>99.553409496176997</v>
      </c>
      <c r="CR109" s="372"/>
      <c r="CS109" s="376">
        <f>CS108/CM108-1</f>
        <v>-1.3965980778059657</v>
      </c>
      <c r="CT109" s="376">
        <f>CT108/CN108-1</f>
        <v>-0.926304666187312</v>
      </c>
      <c r="CU109" s="376">
        <f>CU108/CO108-1</f>
        <v>-2.3257259399629233</v>
      </c>
      <c r="CV109" s="376">
        <f>CV108/CP108-1</f>
        <v>-2.2462332713675592</v>
      </c>
      <c r="CW109" s="377">
        <f>CW108/CQ108-1</f>
        <v>-0.25337243735929715</v>
      </c>
      <c r="CX109" s="372"/>
      <c r="CY109" s="376">
        <f>CY108/CS108-1</f>
        <v>-10.912219051232146</v>
      </c>
      <c r="CZ109" s="376">
        <f>CZ108/CT108-1</f>
        <v>8.3285455049722703</v>
      </c>
      <c r="DA109" s="376">
        <f>DA108/CU108-1</f>
        <v>3.2582087256241445</v>
      </c>
      <c r="DB109" s="376">
        <f>DB108/CV108-1</f>
        <v>1.9518967875518394</v>
      </c>
      <c r="DC109" s="377">
        <f>DC108/CW108-1</f>
        <v>4.3223677440798678</v>
      </c>
      <c r="DD109" s="372"/>
      <c r="DE109" s="376">
        <f>DE108/CY108-1</f>
        <v>1.2779849157797734</v>
      </c>
      <c r="DF109" s="376">
        <f>DF108/CZ108-1</f>
        <v>0.80524565156516958</v>
      </c>
      <c r="DG109" s="376">
        <f>DG108/DA108-1</f>
        <v>0.57863377007184336</v>
      </c>
      <c r="DH109" s="376">
        <f>DH108/DB108-1</f>
        <v>0.80306278439652568</v>
      </c>
      <c r="DI109" s="377">
        <f>DI108/DC108-1</f>
        <v>0.79677556596934473</v>
      </c>
      <c r="DJ109" s="372"/>
      <c r="DK109" s="376">
        <f>DK108/DE108-1</f>
        <v>0.67724594856229481</v>
      </c>
      <c r="DL109" s="376">
        <f>DL108/DF108-1</f>
        <v>0.53886422509224352</v>
      </c>
      <c r="DM109" s="376">
        <f>DM108/DG108-1</f>
        <v>0.47017021929284075</v>
      </c>
      <c r="DN109" s="376">
        <f>DN108/DH108-1</f>
        <v>0.5194458063432712</v>
      </c>
      <c r="DO109" s="377">
        <f>DO108/DI108-1</f>
        <v>0.53726215002752897</v>
      </c>
      <c r="DP109" s="260"/>
    </row>
    <row r="110" spans="1:120" ht="3.75" hidden="1" customHeight="1" outlineLevel="1">
      <c r="A110" s="713"/>
      <c r="B110" s="730"/>
      <c r="C110" s="268"/>
      <c r="D110" s="268"/>
      <c r="E110" s="714"/>
      <c r="F110" s="260"/>
      <c r="G110" s="714"/>
      <c r="H110" s="268"/>
      <c r="I110" s="268"/>
      <c r="J110" s="268"/>
      <c r="K110" s="268"/>
      <c r="L110" s="260"/>
      <c r="M110" s="268"/>
      <c r="N110" s="268"/>
      <c r="O110" s="268"/>
      <c r="P110" s="268"/>
      <c r="Q110" s="268"/>
      <c r="R110" s="260"/>
      <c r="S110" s="268"/>
      <c r="T110" s="268"/>
      <c r="U110" s="268"/>
      <c r="V110" s="268"/>
      <c r="W110" s="268"/>
      <c r="X110" s="260"/>
      <c r="Y110" s="268"/>
      <c r="Z110" s="268"/>
      <c r="AA110" s="268"/>
      <c r="AB110" s="268"/>
      <c r="AC110" s="268"/>
      <c r="AD110" s="279"/>
      <c r="AE110" s="268"/>
      <c r="AF110" s="268"/>
      <c r="AG110" s="268"/>
      <c r="AH110" s="268"/>
      <c r="AI110" s="664"/>
      <c r="AJ110" s="279"/>
      <c r="AK110" s="268"/>
      <c r="AL110" s="268"/>
      <c r="AM110" s="268"/>
      <c r="AN110" s="268"/>
      <c r="AO110" s="664"/>
      <c r="AP110" s="279"/>
      <c r="AQ110" s="268"/>
      <c r="AR110" s="268"/>
      <c r="AS110" s="268"/>
      <c r="AT110" s="268"/>
      <c r="AU110" s="664"/>
      <c r="AV110" s="279"/>
      <c r="AW110" s="268"/>
      <c r="AX110" s="268"/>
      <c r="AY110" s="268"/>
      <c r="AZ110" s="268"/>
      <c r="BA110" s="664"/>
      <c r="BB110" s="279"/>
      <c r="BC110" s="268"/>
      <c r="BD110" s="268"/>
      <c r="BE110" s="268"/>
      <c r="BF110" s="268"/>
      <c r="BG110" s="664"/>
      <c r="BH110" s="279"/>
      <c r="BI110" s="268"/>
      <c r="BJ110" s="268"/>
      <c r="BK110" s="268"/>
      <c r="BL110" s="268"/>
      <c r="BM110" s="664"/>
      <c r="BN110" s="279"/>
      <c r="BO110" s="268"/>
      <c r="BP110" s="268"/>
      <c r="BQ110" s="268"/>
      <c r="BR110" s="268"/>
      <c r="BS110" s="664"/>
      <c r="BT110" s="279"/>
      <c r="BU110" s="268"/>
      <c r="BV110" s="268"/>
      <c r="BW110" s="268"/>
      <c r="BX110" s="268"/>
      <c r="BY110" s="664"/>
      <c r="BZ110" s="279"/>
      <c r="CA110" s="268"/>
      <c r="CB110" s="268"/>
      <c r="CC110" s="268"/>
      <c r="CD110" s="268"/>
      <c r="CE110" s="664"/>
      <c r="CF110" s="279"/>
      <c r="CG110" s="268"/>
      <c r="CH110" s="268"/>
      <c r="CI110" s="268"/>
      <c r="CJ110" s="268"/>
      <c r="CK110" s="664"/>
      <c r="CL110" s="279"/>
      <c r="CM110" s="268"/>
      <c r="CN110" s="268"/>
      <c r="CO110" s="268"/>
      <c r="CP110" s="268"/>
      <c r="CQ110" s="664"/>
      <c r="CR110" s="279"/>
      <c r="CS110" s="268"/>
      <c r="CT110" s="268"/>
      <c r="CU110" s="268"/>
      <c r="CV110" s="268"/>
      <c r="CW110" s="664"/>
      <c r="CX110" s="279"/>
      <c r="CY110" s="268"/>
      <c r="CZ110" s="268"/>
      <c r="DA110" s="268"/>
      <c r="DB110" s="268"/>
      <c r="DC110" s="664"/>
      <c r="DD110" s="279"/>
      <c r="DE110" s="268"/>
      <c r="DF110" s="268"/>
      <c r="DG110" s="268"/>
      <c r="DH110" s="268"/>
      <c r="DI110" s="664"/>
      <c r="DJ110" s="279"/>
      <c r="DK110" s="268"/>
      <c r="DL110" s="268"/>
      <c r="DM110" s="268"/>
      <c r="DN110" s="268"/>
      <c r="DO110" s="664"/>
      <c r="DP110" s="260"/>
    </row>
    <row r="111" spans="1:120" collapsed="1">
      <c r="A111" s="266" t="s">
        <v>590</v>
      </c>
      <c r="B111" s="660" t="s">
        <v>790</v>
      </c>
      <c r="C111" s="283">
        <v>10</v>
      </c>
      <c r="D111" s="267">
        <v>13.314</v>
      </c>
      <c r="E111" s="263">
        <v>21.039000000000001</v>
      </c>
      <c r="F111" s="263"/>
      <c r="G111" s="267">
        <v>24.914000000000001</v>
      </c>
      <c r="H111" s="267">
        <v>25.875</v>
      </c>
      <c r="I111" s="267">
        <v>26.914000000000001</v>
      </c>
      <c r="J111" s="267">
        <v>27.795999999999999</v>
      </c>
      <c r="K111" s="263">
        <f>AVERAGE(G111:J111)</f>
        <v>26.374749999999999</v>
      </c>
      <c r="L111" s="263"/>
      <c r="M111" s="283">
        <v>91.617999999999995</v>
      </c>
      <c r="N111" s="283">
        <v>91.972999999999999</v>
      </c>
      <c r="O111" s="283">
        <v>95.521000000000001</v>
      </c>
      <c r="P111" s="283">
        <f>P112+O111-O112</f>
        <v>96.231999999999999</v>
      </c>
      <c r="Q111" s="263">
        <v>95.409000000000049</v>
      </c>
      <c r="R111" s="261"/>
      <c r="S111" s="267">
        <v>401.59199999999998</v>
      </c>
      <c r="T111" s="267">
        <v>430.99599999999998</v>
      </c>
      <c r="U111" s="267">
        <v>464.70400000000001</v>
      </c>
      <c r="V111" s="267">
        <v>467.23200000000003</v>
      </c>
      <c r="W111" s="267">
        <v>443.49599999999998</v>
      </c>
      <c r="X111" s="263"/>
      <c r="Y111" s="267">
        <v>465.46800000000002</v>
      </c>
      <c r="Z111" s="267">
        <v>471.89600000000002</v>
      </c>
      <c r="AA111" s="267">
        <v>474.62</v>
      </c>
      <c r="AB111" s="267">
        <v>483.93200000000002</v>
      </c>
      <c r="AC111" s="267">
        <v>474.94799999999998</v>
      </c>
      <c r="AD111" s="263"/>
      <c r="AE111" s="267">
        <v>479.47199999999998</v>
      </c>
      <c r="AF111" s="267">
        <v>475.3</v>
      </c>
      <c r="AG111" s="267">
        <v>481.11599999999999</v>
      </c>
      <c r="AH111" s="267">
        <v>485.036</v>
      </c>
      <c r="AI111" s="661">
        <f>AVERAGE(AE111:AH111)</f>
        <v>480.23099999999999</v>
      </c>
      <c r="AJ111" s="263"/>
      <c r="AK111" s="267">
        <v>482.54</v>
      </c>
      <c r="AL111" s="267">
        <v>485.33199999999999</v>
      </c>
      <c r="AM111" s="267">
        <v>488.67599999999999</v>
      </c>
      <c r="AN111" s="267">
        <v>494.72</v>
      </c>
      <c r="AO111" s="661">
        <f>AVERAGE(AK111:AN111)</f>
        <v>487.81700000000001</v>
      </c>
      <c r="AP111" s="263"/>
      <c r="AQ111" s="267">
        <v>497.65600000000001</v>
      </c>
      <c r="AR111" s="267">
        <v>502.50400000000002</v>
      </c>
      <c r="AS111" s="267">
        <v>500.53199999999998</v>
      </c>
      <c r="AT111" s="267">
        <v>498.13200000000001</v>
      </c>
      <c r="AU111" s="661">
        <f>AVERAGE(AQ111:AT111)</f>
        <v>499.70600000000002</v>
      </c>
      <c r="AV111" s="263"/>
      <c r="AW111" s="267">
        <v>501.39600000000002</v>
      </c>
      <c r="AX111" s="267">
        <v>506.26400000000001</v>
      </c>
      <c r="AY111" s="267">
        <v>514.38400000000001</v>
      </c>
      <c r="AZ111" s="267">
        <v>522.74800000000005</v>
      </c>
      <c r="BA111" s="661">
        <v>508</v>
      </c>
      <c r="BB111" s="263"/>
      <c r="BC111" s="267">
        <v>529.00400000000002</v>
      </c>
      <c r="BD111" s="267">
        <v>536.70399999999995</v>
      </c>
      <c r="BE111" s="267">
        <v>548.17600000000004</v>
      </c>
      <c r="BF111" s="267">
        <v>560.79600000000005</v>
      </c>
      <c r="BG111" s="661">
        <f>AVERAGE(BC111:BF111)</f>
        <v>543.67000000000007</v>
      </c>
      <c r="BH111" s="263"/>
      <c r="BI111" s="267">
        <v>564.24800000000005</v>
      </c>
      <c r="BJ111" s="267">
        <v>573.82399999999996</v>
      </c>
      <c r="BK111" s="267">
        <v>568.68399999999997</v>
      </c>
      <c r="BL111" s="267">
        <v>567.30799999999999</v>
      </c>
      <c r="BM111" s="661">
        <v>572</v>
      </c>
      <c r="BN111" s="263"/>
      <c r="BO111" s="267">
        <v>584.20399999999995</v>
      </c>
      <c r="BP111" s="267">
        <v>584.77599999999995</v>
      </c>
      <c r="BQ111" s="267">
        <v>600.10400000000004</v>
      </c>
      <c r="BR111" s="267">
        <v>612.82399999999996</v>
      </c>
      <c r="BS111" s="661">
        <f>149*4</f>
        <v>596</v>
      </c>
      <c r="BT111" s="263"/>
      <c r="BU111" s="267">
        <v>622.67700000000002</v>
      </c>
      <c r="BV111" s="267">
        <v>624.65599999999995</v>
      </c>
      <c r="BW111" s="267">
        <v>640.06700000000001</v>
      </c>
      <c r="BX111" s="267">
        <v>650.36500000000001</v>
      </c>
      <c r="BY111" s="661">
        <f>AVERAGE(BU111:BX111)</f>
        <v>634.44125000000008</v>
      </c>
      <c r="BZ111" s="263"/>
      <c r="CA111" s="267">
        <v>648</v>
      </c>
      <c r="CB111" s="267">
        <v>647.79</v>
      </c>
      <c r="CC111" s="267">
        <v>658.53800000000001</v>
      </c>
      <c r="CD111" s="267">
        <v>647.28599999999994</v>
      </c>
      <c r="CE111" s="661">
        <f>AVERAGE(CA111:CD111)</f>
        <v>650.40350000000001</v>
      </c>
      <c r="CF111" s="263"/>
      <c r="CG111" s="267">
        <v>664.31</v>
      </c>
      <c r="CH111" s="267">
        <v>672.62699999999995</v>
      </c>
      <c r="CI111" s="267">
        <v>677.73</v>
      </c>
      <c r="CJ111" s="267">
        <v>682.96500000000003</v>
      </c>
      <c r="CK111" s="661">
        <f>AVERAGE(CG111:CJ111)</f>
        <v>674.40800000000002</v>
      </c>
      <c r="CL111" s="263"/>
      <c r="CM111" s="267">
        <v>686.79899999999998</v>
      </c>
      <c r="CN111" s="267">
        <v>695.96799999999996</v>
      </c>
      <c r="CO111" s="267">
        <v>704.70399999999995</v>
      </c>
      <c r="CP111" s="267">
        <v>711.20299999999997</v>
      </c>
      <c r="CQ111" s="661">
        <f>AVERAGE(CM111:CP111)</f>
        <v>699.66849999999988</v>
      </c>
      <c r="CR111" s="263"/>
      <c r="CS111" s="267">
        <v>706.17399999999998</v>
      </c>
      <c r="CT111" s="267">
        <v>729.38599999999997</v>
      </c>
      <c r="CU111" s="267">
        <v>738.10599999999999</v>
      </c>
      <c r="CV111" s="267">
        <v>749.46400000000006</v>
      </c>
      <c r="CW111" s="661">
        <f>AVERAGE(CS111:CV111)</f>
        <v>730.78250000000003</v>
      </c>
      <c r="CX111" s="263"/>
      <c r="CY111" s="267">
        <f>CY112+(CV111-CV112)</f>
        <v>756.8370000000001</v>
      </c>
      <c r="CZ111" s="267">
        <f>CZ112+(CY111-CY112)</f>
        <v>764.0870000000001</v>
      </c>
      <c r="DA111" s="267">
        <f>DA112+(CZ111-CZ112)</f>
        <v>765.5870000000001</v>
      </c>
      <c r="DB111" s="267">
        <f>DB112+(DA111-DA112)</f>
        <v>767.0870000000001</v>
      </c>
      <c r="DC111" s="661">
        <f>AVERAGE(CY111:DB111)</f>
        <v>763.3995000000001</v>
      </c>
      <c r="DD111" s="263"/>
      <c r="DE111" s="267">
        <f>DE112+(DB111-DB112)</f>
        <v>771.5870000000001</v>
      </c>
      <c r="DF111" s="267">
        <f>DF112+(DE111-DE112)</f>
        <v>779.0870000000001</v>
      </c>
      <c r="DG111" s="267">
        <f>DG112+(DF111-DF112)</f>
        <v>786.5870000000001</v>
      </c>
      <c r="DH111" s="267">
        <f>DH112+(DG111-DG112)</f>
        <v>794.0870000000001</v>
      </c>
      <c r="DI111" s="661">
        <f>AVERAGE(DE111:DH111)</f>
        <v>782.8370000000001</v>
      </c>
      <c r="DJ111" s="263"/>
      <c r="DK111" s="267">
        <f>DK112+(DH111-DH112)</f>
        <v>801.5870000000001</v>
      </c>
      <c r="DL111" s="267">
        <f>DL112+(DK111-DK112)</f>
        <v>809.0870000000001</v>
      </c>
      <c r="DM111" s="267">
        <f>DM112+(DL111-DL112)</f>
        <v>816.5870000000001</v>
      </c>
      <c r="DN111" s="267">
        <f>DN112+(DM111-DM112)</f>
        <v>824.0870000000001</v>
      </c>
      <c r="DO111" s="661">
        <f>AVERAGE(DK111:DN111)</f>
        <v>812.8370000000001</v>
      </c>
      <c r="DP111" s="261"/>
    </row>
    <row r="112" spans="1:120" ht="12" hidden="1" customHeight="1" outlineLevel="1">
      <c r="A112" s="266" t="s">
        <v>785</v>
      </c>
      <c r="B112" s="660"/>
      <c r="C112" s="267">
        <v>10</v>
      </c>
      <c r="D112" s="267">
        <v>13.314</v>
      </c>
      <c r="E112" s="263">
        <v>21.039000000000001</v>
      </c>
      <c r="F112" s="263"/>
      <c r="G112" s="267">
        <v>24.914000000000001</v>
      </c>
      <c r="H112" s="267">
        <f>H111</f>
        <v>25.875</v>
      </c>
      <c r="I112" s="267">
        <f>I111</f>
        <v>26.914000000000001</v>
      </c>
      <c r="J112" s="267">
        <f>J111</f>
        <v>27.795999999999999</v>
      </c>
      <c r="K112" s="263">
        <f>AVERAGE(G112:J112)</f>
        <v>26.374749999999999</v>
      </c>
      <c r="L112" s="263"/>
      <c r="M112" s="283">
        <v>28.66</v>
      </c>
      <c r="N112" s="283">
        <v>29.244</v>
      </c>
      <c r="O112" s="283">
        <v>29.905999999999999</v>
      </c>
      <c r="P112" s="283">
        <v>30.617000000000001</v>
      </c>
      <c r="Q112" s="263">
        <f>AVERAGE(M112:P112)</f>
        <v>29.606750000000002</v>
      </c>
      <c r="R112" s="261"/>
      <c r="S112" s="267">
        <v>126.752</v>
      </c>
      <c r="T112" s="267">
        <v>258.096</v>
      </c>
      <c r="U112" s="267">
        <v>409.34800000000001</v>
      </c>
      <c r="V112" s="267">
        <v>413.83199999999999</v>
      </c>
      <c r="W112" s="267">
        <v>302.012</v>
      </c>
      <c r="X112" s="263"/>
      <c r="Y112" s="267">
        <v>420.88400000000001</v>
      </c>
      <c r="Z112" s="267">
        <v>426.45600000000002</v>
      </c>
      <c r="AA112" s="267">
        <v>431.12400000000002</v>
      </c>
      <c r="AB112" s="267">
        <v>437.82</v>
      </c>
      <c r="AC112" s="267">
        <v>429.096</v>
      </c>
      <c r="AD112" s="263"/>
      <c r="AE112" s="267">
        <v>443.82799999999997</v>
      </c>
      <c r="AF112" s="267">
        <v>447.35199999999998</v>
      </c>
      <c r="AG112" s="267">
        <v>451.54</v>
      </c>
      <c r="AH112" s="267">
        <v>455.62</v>
      </c>
      <c r="AI112" s="661">
        <f>AVERAGE(AE112:AH112)</f>
        <v>449.58500000000004</v>
      </c>
      <c r="AJ112" s="263"/>
      <c r="AK112" s="267">
        <v>459.94799999999998</v>
      </c>
      <c r="AL112" s="267">
        <v>465.17599999999999</v>
      </c>
      <c r="AM112" s="267">
        <f>(AVERAGE(AM114,AL114))</f>
        <v>469.79999999999995</v>
      </c>
      <c r="AN112" s="267">
        <f>(AVERAGE(AN114,AM114))</f>
        <v>474.79999999999995</v>
      </c>
      <c r="AO112" s="661">
        <f>AVERAGE(AK112:AN112)</f>
        <v>467.43099999999998</v>
      </c>
      <c r="AP112" s="263"/>
      <c r="AQ112" s="267">
        <f>AVERAGE(AQ114,AN114)</f>
        <v>478.79999999999995</v>
      </c>
      <c r="AR112" s="267">
        <f>AVERAGE(AR114,AQ114)</f>
        <v>482.2</v>
      </c>
      <c r="AS112" s="267">
        <v>486.4</v>
      </c>
      <c r="AT112" s="267">
        <v>489.71199999999999</v>
      </c>
      <c r="AU112" s="661">
        <f>AVERAGE(AQ112:AT112)</f>
        <v>484.27800000000002</v>
      </c>
      <c r="AV112" s="263"/>
      <c r="AW112" s="267">
        <v>492.82400000000001</v>
      </c>
      <c r="AX112" s="267">
        <v>495.38400000000001</v>
      </c>
      <c r="AY112" s="267">
        <v>498.24400000000003</v>
      </c>
      <c r="AZ112" s="267">
        <v>504.94</v>
      </c>
      <c r="BA112" s="661">
        <f>AVERAGE(AW112:AZ112)</f>
        <v>497.84800000000007</v>
      </c>
      <c r="BB112" s="263"/>
      <c r="BC112" s="267">
        <v>512.12800000000004</v>
      </c>
      <c r="BD112" s="267">
        <v>517.84799999999996</v>
      </c>
      <c r="BE112" s="267">
        <v>523.55200000000002</v>
      </c>
      <c r="BF112" s="267">
        <v>529.37599999999998</v>
      </c>
      <c r="BG112" s="661">
        <f>AVERAGE(BC112:BF112)</f>
        <v>520.72600000000011</v>
      </c>
      <c r="BH112" s="263"/>
      <c r="BI112" s="267">
        <v>533.81600000000003</v>
      </c>
      <c r="BJ112" s="267">
        <v>540.37199999999996</v>
      </c>
      <c r="BK112" s="267">
        <v>543.38800000000003</v>
      </c>
      <c r="BL112" s="267">
        <v>546.88</v>
      </c>
      <c r="BM112" s="661">
        <f>AVERAGE(BI112:BL112)</f>
        <v>541.11400000000003</v>
      </c>
      <c r="BN112" s="263"/>
      <c r="BO112" s="267">
        <v>552.6</v>
      </c>
      <c r="BP112" s="267">
        <v>557.70000000000005</v>
      </c>
      <c r="BQ112" s="267">
        <v>568.81200000000001</v>
      </c>
      <c r="BR112" s="267">
        <v>579.88</v>
      </c>
      <c r="BS112" s="661">
        <f>AVERAGE(BO112:BR112)</f>
        <v>564.74800000000005</v>
      </c>
      <c r="BT112" s="263"/>
      <c r="BU112" s="267">
        <v>588.38499999999999</v>
      </c>
      <c r="BV112" s="267">
        <v>593.95500000000004</v>
      </c>
      <c r="BW112" s="267">
        <v>600.46699999999998</v>
      </c>
      <c r="BX112" s="267">
        <v>607.37400000000002</v>
      </c>
      <c r="BY112" s="661">
        <f>AVERAGE(BU112:BX112)</f>
        <v>597.54525000000012</v>
      </c>
      <c r="BZ112" s="263"/>
      <c r="CA112" s="267">
        <v>612.51199999999994</v>
      </c>
      <c r="CB112" s="267">
        <v>617.01599999999996</v>
      </c>
      <c r="CC112" s="267">
        <v>629.548</v>
      </c>
      <c r="CD112" s="267">
        <v>637.21900000000005</v>
      </c>
      <c r="CE112" s="661">
        <f>AVERAGE(CA112:CD112)</f>
        <v>624.07375000000002</v>
      </c>
      <c r="CF112" s="263"/>
      <c r="CG112" s="267">
        <v>653.80899999999997</v>
      </c>
      <c r="CH112" s="267">
        <v>659.36599999999999</v>
      </c>
      <c r="CI112" s="267">
        <v>664.13099999999997</v>
      </c>
      <c r="CJ112" s="267">
        <v>669.02499999999998</v>
      </c>
      <c r="CK112" s="661">
        <f>AVERAGE(CG112:CJ112)</f>
        <v>661.58275000000003</v>
      </c>
      <c r="CL112" s="263"/>
      <c r="CM112" s="267">
        <v>677.51400000000001</v>
      </c>
      <c r="CN112" s="267">
        <v>681.12599999999998</v>
      </c>
      <c r="CO112" s="267">
        <v>690.46799999999996</v>
      </c>
      <c r="CP112" s="267">
        <v>700.99400000000003</v>
      </c>
      <c r="CQ112" s="661">
        <f>AVERAGE(CM112:CP112)</f>
        <v>687.52549999999997</v>
      </c>
      <c r="CR112" s="263"/>
      <c r="CS112" s="267">
        <v>706.17399999999998</v>
      </c>
      <c r="CT112" s="267">
        <v>712.03899999999999</v>
      </c>
      <c r="CU112" s="267">
        <v>717.44500000000005</v>
      </c>
      <c r="CV112" s="267">
        <v>724.12699999999995</v>
      </c>
      <c r="CW112" s="661">
        <f>AVERAGE(CS112:CV112)</f>
        <v>714.94624999999996</v>
      </c>
      <c r="CX112" s="263"/>
      <c r="CY112" s="267">
        <f>AVERAGE(CY114,CV114)</f>
        <v>731.5</v>
      </c>
      <c r="CZ112" s="267">
        <f>AVERAGE(CZ114,CY114)</f>
        <v>738.75</v>
      </c>
      <c r="DA112" s="267">
        <f>AVERAGE(DA114,CZ114)</f>
        <v>740.25</v>
      </c>
      <c r="DB112" s="267">
        <f>AVERAGE(DB114,DA114)</f>
        <v>741.75</v>
      </c>
      <c r="DC112" s="661">
        <f>AVERAGE(CY112:DB112)</f>
        <v>738.0625</v>
      </c>
      <c r="DD112" s="263"/>
      <c r="DE112" s="267">
        <f>AVERAGE(DE114,DB114)</f>
        <v>746.25</v>
      </c>
      <c r="DF112" s="267">
        <f>AVERAGE(DF114,DE114)</f>
        <v>753.75</v>
      </c>
      <c r="DG112" s="267">
        <f>AVERAGE(DG114,DF114)</f>
        <v>761.25</v>
      </c>
      <c r="DH112" s="267">
        <f>AVERAGE(DH114,DG114)</f>
        <v>768.75</v>
      </c>
      <c r="DI112" s="661">
        <f>AVERAGE(DE112:DH112)</f>
        <v>757.5</v>
      </c>
      <c r="DJ112" s="263"/>
      <c r="DK112" s="267">
        <f>AVERAGE(DK114,DH114)</f>
        <v>776.25</v>
      </c>
      <c r="DL112" s="267">
        <f>AVERAGE(DL114,DK114)</f>
        <v>783.75</v>
      </c>
      <c r="DM112" s="267">
        <f>AVERAGE(DM114,DL114)</f>
        <v>791.25</v>
      </c>
      <c r="DN112" s="267">
        <f>AVERAGE(DN114,DM114)</f>
        <v>798.75</v>
      </c>
      <c r="DO112" s="661">
        <f>AVERAGE(DK112:DN112)</f>
        <v>787.5</v>
      </c>
      <c r="DP112" s="261"/>
    </row>
    <row r="113" spans="1:127" ht="12" hidden="1" customHeight="1" outlineLevel="1">
      <c r="A113" s="270" t="s">
        <v>589</v>
      </c>
      <c r="B113" s="662"/>
      <c r="C113" s="268" t="s">
        <v>88</v>
      </c>
      <c r="D113" s="268" t="s">
        <v>88</v>
      </c>
      <c r="E113" s="268" t="s">
        <v>88</v>
      </c>
      <c r="F113" s="273"/>
      <c r="G113" s="268" t="s">
        <v>88</v>
      </c>
      <c r="H113" s="268" t="s">
        <v>88</v>
      </c>
      <c r="I113" s="268" t="s">
        <v>88</v>
      </c>
      <c r="J113" s="268" t="s">
        <v>88</v>
      </c>
      <c r="K113" s="268" t="s">
        <v>88</v>
      </c>
      <c r="L113" s="274"/>
      <c r="M113" s="268" t="s">
        <v>88</v>
      </c>
      <c r="N113" s="268" t="s">
        <v>88</v>
      </c>
      <c r="O113" s="268" t="s">
        <v>88</v>
      </c>
      <c r="P113" s="268" t="s">
        <v>88</v>
      </c>
      <c r="Q113" s="663" t="s">
        <v>88</v>
      </c>
      <c r="R113" s="273"/>
      <c r="S113" s="268" t="s">
        <v>88</v>
      </c>
      <c r="T113" s="268" t="s">
        <v>88</v>
      </c>
      <c r="U113" s="268" t="s">
        <v>88</v>
      </c>
      <c r="V113" s="268" t="s">
        <v>88</v>
      </c>
      <c r="W113" s="268" t="s">
        <v>88</v>
      </c>
      <c r="X113" s="273"/>
      <c r="Y113" s="268" t="s">
        <v>88</v>
      </c>
      <c r="Z113" s="268" t="s">
        <v>88</v>
      </c>
      <c r="AA113" s="268" t="s">
        <v>88</v>
      </c>
      <c r="AB113" s="268" t="s">
        <v>88</v>
      </c>
      <c r="AC113" s="268" t="s">
        <v>88</v>
      </c>
      <c r="AD113" s="274"/>
      <c r="AE113" s="268" t="s">
        <v>88</v>
      </c>
      <c r="AF113" s="268" t="s">
        <v>88</v>
      </c>
      <c r="AG113" s="268" t="s">
        <v>88</v>
      </c>
      <c r="AH113" s="268" t="s">
        <v>88</v>
      </c>
      <c r="AI113" s="664" t="s">
        <v>88</v>
      </c>
      <c r="AJ113" s="274"/>
      <c r="AK113" s="268" t="s">
        <v>88</v>
      </c>
      <c r="AL113" s="268" t="s">
        <v>88</v>
      </c>
      <c r="AM113" s="268" t="s">
        <v>88</v>
      </c>
      <c r="AN113" s="268" t="s">
        <v>88</v>
      </c>
      <c r="AO113" s="664" t="s">
        <v>88</v>
      </c>
      <c r="AP113" s="274"/>
      <c r="AQ113" s="268" t="s">
        <v>88</v>
      </c>
      <c r="AR113" s="268" t="s">
        <v>88</v>
      </c>
      <c r="AS113" s="268" t="s">
        <v>88</v>
      </c>
      <c r="AT113" s="268" t="s">
        <v>88</v>
      </c>
      <c r="AU113" s="664" t="s">
        <v>88</v>
      </c>
      <c r="AV113" s="274"/>
      <c r="AW113" s="268" t="s">
        <v>88</v>
      </c>
      <c r="AX113" s="268" t="s">
        <v>88</v>
      </c>
      <c r="AY113" s="268" t="s">
        <v>88</v>
      </c>
      <c r="AZ113" s="268" t="s">
        <v>88</v>
      </c>
      <c r="BA113" s="664" t="s">
        <v>88</v>
      </c>
      <c r="BB113" s="274"/>
      <c r="BC113" s="268" t="s">
        <v>88</v>
      </c>
      <c r="BD113" s="268" t="s">
        <v>88</v>
      </c>
      <c r="BE113" s="268" t="s">
        <v>88</v>
      </c>
      <c r="BF113" s="268" t="s">
        <v>88</v>
      </c>
      <c r="BG113" s="664" t="s">
        <v>88</v>
      </c>
      <c r="BH113" s="274"/>
      <c r="BI113" s="268" t="s">
        <v>88</v>
      </c>
      <c r="BJ113" s="268" t="s">
        <v>88</v>
      </c>
      <c r="BK113" s="268" t="s">
        <v>88</v>
      </c>
      <c r="BL113" s="268" t="s">
        <v>88</v>
      </c>
      <c r="BM113" s="664" t="s">
        <v>88</v>
      </c>
      <c r="BN113" s="274"/>
      <c r="BO113" s="268" t="s">
        <v>88</v>
      </c>
      <c r="BP113" s="268" t="s">
        <v>88</v>
      </c>
      <c r="BQ113" s="268" t="s">
        <v>88</v>
      </c>
      <c r="BR113" s="268" t="s">
        <v>88</v>
      </c>
      <c r="BS113" s="664" t="s">
        <v>88</v>
      </c>
      <c r="BT113" s="274"/>
      <c r="BU113" s="268" t="s">
        <v>88</v>
      </c>
      <c r="BV113" s="268" t="s">
        <v>88</v>
      </c>
      <c r="BW113" s="268" t="s">
        <v>88</v>
      </c>
      <c r="BX113" s="268" t="s">
        <v>88</v>
      </c>
      <c r="BY113" s="664" t="s">
        <v>88</v>
      </c>
      <c r="BZ113" s="274"/>
      <c r="CA113" s="268" t="s">
        <v>88</v>
      </c>
      <c r="CB113" s="268" t="s">
        <v>88</v>
      </c>
      <c r="CC113" s="268" t="s">
        <v>88</v>
      </c>
      <c r="CD113" s="268" t="s">
        <v>88</v>
      </c>
      <c r="CE113" s="664" t="s">
        <v>88</v>
      </c>
      <c r="CF113" s="274"/>
      <c r="CG113" s="268" t="s">
        <v>88</v>
      </c>
      <c r="CH113" s="268" t="s">
        <v>88</v>
      </c>
      <c r="CI113" s="268" t="s">
        <v>88</v>
      </c>
      <c r="CJ113" s="268" t="s">
        <v>88</v>
      </c>
      <c r="CK113" s="664" t="s">
        <v>88</v>
      </c>
      <c r="CL113" s="274"/>
      <c r="CM113" s="268" t="s">
        <v>88</v>
      </c>
      <c r="CN113" s="268" t="s">
        <v>88</v>
      </c>
      <c r="CO113" s="268" t="s">
        <v>88</v>
      </c>
      <c r="CP113" s="268" t="s">
        <v>88</v>
      </c>
      <c r="CQ113" s="664" t="s">
        <v>88</v>
      </c>
      <c r="CR113" s="274"/>
      <c r="CS113" s="268" t="s">
        <v>88</v>
      </c>
      <c r="CT113" s="268" t="s">
        <v>88</v>
      </c>
      <c r="CU113" s="268" t="s">
        <v>88</v>
      </c>
      <c r="CV113" s="268" t="s">
        <v>88</v>
      </c>
      <c r="CW113" s="664" t="s">
        <v>88</v>
      </c>
      <c r="CX113" s="274"/>
      <c r="CY113" s="268" t="s">
        <v>88</v>
      </c>
      <c r="CZ113" s="268" t="s">
        <v>88</v>
      </c>
      <c r="DA113" s="268" t="s">
        <v>88</v>
      </c>
      <c r="DB113" s="268" t="s">
        <v>88</v>
      </c>
      <c r="DC113" s="664" t="s">
        <v>88</v>
      </c>
      <c r="DD113" s="274"/>
      <c r="DE113" s="268" t="s">
        <v>88</v>
      </c>
      <c r="DF113" s="268" t="s">
        <v>88</v>
      </c>
      <c r="DG113" s="268" t="s">
        <v>88</v>
      </c>
      <c r="DH113" s="268" t="s">
        <v>88</v>
      </c>
      <c r="DI113" s="664" t="s">
        <v>88</v>
      </c>
      <c r="DJ113" s="274"/>
      <c r="DK113" s="268" t="s">
        <v>88</v>
      </c>
      <c r="DL113" s="268" t="s">
        <v>88</v>
      </c>
      <c r="DM113" s="268" t="s">
        <v>88</v>
      </c>
      <c r="DN113" s="268" t="s">
        <v>88</v>
      </c>
      <c r="DO113" s="664" t="s">
        <v>88</v>
      </c>
      <c r="DP113" s="273"/>
    </row>
    <row r="114" spans="1:127" ht="12" hidden="1" customHeight="1" outlineLevel="1">
      <c r="A114" s="266" t="s">
        <v>779</v>
      </c>
      <c r="B114" s="662"/>
      <c r="C114" s="268"/>
      <c r="D114" s="268">
        <v>28.732095999999999</v>
      </c>
      <c r="E114" s="268">
        <v>29.254822000000001</v>
      </c>
      <c r="F114" s="273"/>
      <c r="G114" s="268"/>
      <c r="H114" s="268"/>
      <c r="I114" s="268"/>
      <c r="J114" s="267">
        <v>30.480962000000002</v>
      </c>
      <c r="K114" s="267">
        <f>J114</f>
        <v>30.480962000000002</v>
      </c>
      <c r="L114" s="665"/>
      <c r="M114" s="267">
        <v>30.526595</v>
      </c>
      <c r="N114" s="267">
        <v>30.610227999999999</v>
      </c>
      <c r="O114" s="267">
        <v>31.069361000000001</v>
      </c>
      <c r="P114" s="267">
        <v>31.530626000000002</v>
      </c>
      <c r="Q114" s="267">
        <f>P114</f>
        <v>31.530626000000002</v>
      </c>
      <c r="R114" s="282"/>
      <c r="S114" s="267">
        <v>132.93013999999999</v>
      </c>
      <c r="T114" s="267">
        <f>(S114+BS!T171)</f>
        <v>202.489485</v>
      </c>
      <c r="U114" s="267">
        <f>T114+BS!U171</f>
        <v>202.80062900000001</v>
      </c>
      <c r="V114" s="267">
        <v>419.96326399999998</v>
      </c>
      <c r="W114" s="267">
        <f>V114</f>
        <v>419.96326399999998</v>
      </c>
      <c r="X114" s="282"/>
      <c r="Y114" s="267">
        <f>(V114+BS!Y171)*4</f>
        <v>1683.6310599999999</v>
      </c>
      <c r="Z114" s="267">
        <v>430.4</v>
      </c>
      <c r="AA114" s="267">
        <v>433.2</v>
      </c>
      <c r="AB114" s="267">
        <v>440</v>
      </c>
      <c r="AC114" s="267">
        <f>AB114</f>
        <v>440</v>
      </c>
      <c r="AD114" s="666"/>
      <c r="AE114" s="267">
        <f>(AB114+BS!AE171)*4</f>
        <v>1763.778004</v>
      </c>
      <c r="AF114" s="267">
        <v>448</v>
      </c>
      <c r="AG114" s="267">
        <v>454</v>
      </c>
      <c r="AH114" s="267">
        <v>460</v>
      </c>
      <c r="AI114" s="661">
        <f>AH114</f>
        <v>460</v>
      </c>
      <c r="AJ114" s="666"/>
      <c r="AK114" s="267">
        <v>462</v>
      </c>
      <c r="AL114" s="267">
        <v>467.2</v>
      </c>
      <c r="AM114" s="267">
        <v>472.4</v>
      </c>
      <c r="AN114" s="267">
        <v>477.2</v>
      </c>
      <c r="AO114" s="661">
        <f>AN114</f>
        <v>477.2</v>
      </c>
      <c r="AP114" s="666"/>
      <c r="AQ114" s="267">
        <v>480.4</v>
      </c>
      <c r="AR114" s="267">
        <v>484</v>
      </c>
      <c r="AS114" s="267">
        <v>488</v>
      </c>
      <c r="AT114" s="267">
        <v>491.6</v>
      </c>
      <c r="AU114" s="661">
        <f>AT114</f>
        <v>491.6</v>
      </c>
      <c r="AV114" s="666"/>
      <c r="AW114" s="267">
        <v>494</v>
      </c>
      <c r="AX114" s="667">
        <v>497.6</v>
      </c>
      <c r="AY114" s="667">
        <v>502.8</v>
      </c>
      <c r="AZ114" s="667">
        <v>510.8</v>
      </c>
      <c r="BA114" s="661">
        <f>AZ114</f>
        <v>510.8</v>
      </c>
      <c r="BB114" s="666"/>
      <c r="BC114" s="267">
        <f>(BC112)</f>
        <v>512.12800000000004</v>
      </c>
      <c r="BD114" s="267">
        <v>518</v>
      </c>
      <c r="BE114" s="267">
        <v>523.55200000000002</v>
      </c>
      <c r="BF114" s="267">
        <v>529.37599999999998</v>
      </c>
      <c r="BG114" s="661">
        <f>BF114</f>
        <v>529.37599999999998</v>
      </c>
      <c r="BH114" s="666"/>
      <c r="BI114" s="267">
        <f>(BI112)</f>
        <v>533.81600000000003</v>
      </c>
      <c r="BJ114" s="267">
        <f>(BJ112)</f>
        <v>540.37199999999996</v>
      </c>
      <c r="BK114" s="267">
        <f>(BK112)</f>
        <v>543.38800000000003</v>
      </c>
      <c r="BL114" s="267">
        <v>548</v>
      </c>
      <c r="BM114" s="661">
        <f>BL114</f>
        <v>548</v>
      </c>
      <c r="BN114" s="666"/>
      <c r="BO114" s="267">
        <v>552</v>
      </c>
      <c r="BP114" s="267">
        <v>556</v>
      </c>
      <c r="BQ114" s="267">
        <v>568</v>
      </c>
      <c r="BR114" s="267">
        <f>146.406*4</f>
        <v>585.62400000000002</v>
      </c>
      <c r="BS114" s="661">
        <f>BR114</f>
        <v>585.62400000000002</v>
      </c>
      <c r="BT114" s="666"/>
      <c r="BU114" s="267">
        <v>593</v>
      </c>
      <c r="BV114" s="267">
        <v>596</v>
      </c>
      <c r="BW114" s="267">
        <v>605</v>
      </c>
      <c r="BX114" s="267">
        <v>610.14300000000003</v>
      </c>
      <c r="BY114" s="661">
        <f>BX114</f>
        <v>610.14300000000003</v>
      </c>
      <c r="BZ114" s="666"/>
      <c r="CA114" s="267">
        <v>618</v>
      </c>
      <c r="CB114" s="267">
        <v>628</v>
      </c>
      <c r="CC114" s="267">
        <v>631</v>
      </c>
      <c r="CD114" s="267">
        <v>650.596</v>
      </c>
      <c r="CE114" s="661">
        <f>CD114</f>
        <v>650.596</v>
      </c>
      <c r="CF114" s="666"/>
      <c r="CG114" s="267">
        <v>653.80899999999997</v>
      </c>
      <c r="CH114" s="267">
        <v>659.36599999999999</v>
      </c>
      <c r="CI114" s="267">
        <v>664.13099999999997</v>
      </c>
      <c r="CJ114" s="267">
        <v>669.02499999999998</v>
      </c>
      <c r="CK114" s="661">
        <f>CJ114</f>
        <v>669.02499999999998</v>
      </c>
      <c r="CL114" s="666"/>
      <c r="CM114" s="267">
        <v>683.02499999999998</v>
      </c>
      <c r="CN114" s="267">
        <v>690.52499999999998</v>
      </c>
      <c r="CO114" s="267">
        <v>702</v>
      </c>
      <c r="CP114" s="267">
        <v>702</v>
      </c>
      <c r="CQ114" s="661">
        <f>CP114</f>
        <v>702</v>
      </c>
      <c r="CR114" s="666"/>
      <c r="CS114" s="267">
        <v>713.3</v>
      </c>
      <c r="CT114" s="267">
        <v>715</v>
      </c>
      <c r="CU114" s="267">
        <v>720</v>
      </c>
      <c r="CV114" s="267">
        <v>725</v>
      </c>
      <c r="CW114" s="661">
        <f>CV114</f>
        <v>725</v>
      </c>
      <c r="CX114" s="666"/>
      <c r="CY114" s="267">
        <f>CV114+BS!CY171</f>
        <v>738</v>
      </c>
      <c r="CZ114" s="267">
        <f>CY114+BS!CZ171</f>
        <v>739.5</v>
      </c>
      <c r="DA114" s="267">
        <f>CZ114+BS!DA171</f>
        <v>741</v>
      </c>
      <c r="DB114" s="267">
        <f>DA114+BS!DB171</f>
        <v>742.5</v>
      </c>
      <c r="DC114" s="661">
        <f>DB114</f>
        <v>742.5</v>
      </c>
      <c r="DD114" s="666"/>
      <c r="DE114" s="267">
        <f>DB114+BS!DE171</f>
        <v>750</v>
      </c>
      <c r="DF114" s="267">
        <f>DE114+BS!DF171</f>
        <v>757.5</v>
      </c>
      <c r="DG114" s="267">
        <f>DF114+BS!DG171</f>
        <v>765</v>
      </c>
      <c r="DH114" s="267">
        <f>DG114+BS!DH171</f>
        <v>772.5</v>
      </c>
      <c r="DI114" s="661">
        <f>DH114</f>
        <v>772.5</v>
      </c>
      <c r="DJ114" s="666"/>
      <c r="DK114" s="267">
        <f>DH114+BS!DK171</f>
        <v>780</v>
      </c>
      <c r="DL114" s="267">
        <f>DK114+BS!DL171</f>
        <v>787.5</v>
      </c>
      <c r="DM114" s="267">
        <f>DL114+BS!DM171</f>
        <v>795</v>
      </c>
      <c r="DN114" s="267">
        <f>DM114+BS!DN171</f>
        <v>802.5</v>
      </c>
      <c r="DO114" s="661">
        <f>DN114</f>
        <v>802.5</v>
      </c>
      <c r="DP114" s="273"/>
    </row>
    <row r="115" spans="1:127" ht="12" hidden="1" customHeight="1" outlineLevel="1">
      <c r="A115" s="270" t="s">
        <v>870</v>
      </c>
      <c r="B115" s="662"/>
      <c r="C115" s="268"/>
      <c r="D115" s="268"/>
      <c r="E115" s="268"/>
      <c r="F115" s="273"/>
      <c r="G115" s="268"/>
      <c r="H115" s="268"/>
      <c r="I115" s="268"/>
      <c r="J115" s="267"/>
      <c r="K115" s="267"/>
      <c r="L115" s="665"/>
      <c r="M115" s="267"/>
      <c r="N115" s="267"/>
      <c r="O115" s="267"/>
      <c r="P115" s="267"/>
      <c r="Q115" s="267"/>
      <c r="R115" s="282"/>
      <c r="S115" s="267"/>
      <c r="T115" s="267"/>
      <c r="U115" s="267"/>
      <c r="V115" s="267"/>
      <c r="W115" s="267"/>
      <c r="X115" s="282"/>
      <c r="Y115" s="267"/>
      <c r="Z115" s="267"/>
      <c r="AA115" s="267"/>
      <c r="AB115" s="267"/>
      <c r="AC115" s="267"/>
      <c r="AD115" s="666"/>
      <c r="AE115" s="278">
        <f>AE114/Y114-1</f>
        <v>4.7603626414447486E-2</v>
      </c>
      <c r="AF115" s="278">
        <f>AF114/Z114-1</f>
        <v>4.0892193308550207E-2</v>
      </c>
      <c r="AG115" s="278">
        <f>AG114/AA114-1</f>
        <v>4.8014773776546615E-2</v>
      </c>
      <c r="AH115" s="278">
        <f>AH114/AB114-1</f>
        <v>4.5454545454545414E-2</v>
      </c>
      <c r="AI115" s="302">
        <f>AI114/AC114-1</f>
        <v>4.5454545454545414E-2</v>
      </c>
      <c r="AJ115" s="666"/>
      <c r="AK115" s="278">
        <f>AK114/AE114-1</f>
        <v>-0.73806227373725664</v>
      </c>
      <c r="AL115" s="278">
        <f>AL114/AF114-1</f>
        <v>4.2857142857142927E-2</v>
      </c>
      <c r="AM115" s="278">
        <f>AM114/AG114-1</f>
        <v>4.052863436123344E-2</v>
      </c>
      <c r="AN115" s="278">
        <f>AN114/AH114-1</f>
        <v>3.7391304347826004E-2</v>
      </c>
      <c r="AO115" s="302">
        <f>AO114/AI114-1</f>
        <v>3.7391304347826004E-2</v>
      </c>
      <c r="AP115" s="666"/>
      <c r="AQ115" s="278">
        <f>AQ114/AK114-1</f>
        <v>3.9826839826839766E-2</v>
      </c>
      <c r="AR115" s="278">
        <f>AR114/AL114-1</f>
        <v>3.5958904109589129E-2</v>
      </c>
      <c r="AS115" s="278">
        <f>AS114/AM114-1</f>
        <v>3.3022861981371721E-2</v>
      </c>
      <c r="AT115" s="278">
        <f>AT114/AN114-1</f>
        <v>3.0176026823135027E-2</v>
      </c>
      <c r="AU115" s="302">
        <f>AU114/AO114-1</f>
        <v>3.0176026823135027E-2</v>
      </c>
      <c r="AV115" s="666"/>
      <c r="AW115" s="278">
        <f>AW114/AQ114-1</f>
        <v>2.8309741881765271E-2</v>
      </c>
      <c r="AX115" s="278">
        <f>AX114/AR114-1</f>
        <v>2.8099173553719048E-2</v>
      </c>
      <c r="AY115" s="278">
        <f>AY114/AS114-1</f>
        <v>3.0327868852459083E-2</v>
      </c>
      <c r="AZ115" s="278">
        <f>AZ114/AT114-1</f>
        <v>3.9056143205858485E-2</v>
      </c>
      <c r="BA115" s="302">
        <f>BA114/AU114-1</f>
        <v>3.9056143205858485E-2</v>
      </c>
      <c r="BB115" s="666"/>
      <c r="BC115" s="278">
        <f>BC114/AW114-1</f>
        <v>3.6696356275303765E-2</v>
      </c>
      <c r="BD115" s="278">
        <f>BD114/AX114-1</f>
        <v>4.0996784565916267E-2</v>
      </c>
      <c r="BE115" s="278">
        <f>BE114/AY114-1</f>
        <v>4.1272871917263254E-2</v>
      </c>
      <c r="BF115" s="278">
        <f>BF114/AZ114-1</f>
        <v>3.6366483946750128E-2</v>
      </c>
      <c r="BG115" s="302">
        <f>BG114/BA114-1</f>
        <v>3.6366483946750128E-2</v>
      </c>
      <c r="BH115" s="666"/>
      <c r="BI115" s="278">
        <f>BI114/BC114-1</f>
        <v>4.2348787803049293E-2</v>
      </c>
      <c r="BJ115" s="278">
        <f>BJ114/BD114-1</f>
        <v>4.3189189189189126E-2</v>
      </c>
      <c r="BK115" s="278">
        <f>BK114/BE114-1</f>
        <v>3.788735407371191E-2</v>
      </c>
      <c r="BL115" s="278">
        <f>BL114/BF114-1</f>
        <v>3.5181043341594664E-2</v>
      </c>
      <c r="BM115" s="302">
        <f>BM114/BG114-1</f>
        <v>3.5181043341594664E-2</v>
      </c>
      <c r="BN115" s="666"/>
      <c r="BO115" s="278">
        <f>BO114/BI114-1</f>
        <v>3.406417192440836E-2</v>
      </c>
      <c r="BP115" s="278">
        <f>BP114/BJ114-1</f>
        <v>2.8920817510899921E-2</v>
      </c>
      <c r="BQ115" s="278">
        <f>BQ114/BK114-1</f>
        <v>4.5293602361480056E-2</v>
      </c>
      <c r="BR115" s="278">
        <f>BR114/BL114-1</f>
        <v>6.8656934306569495E-2</v>
      </c>
      <c r="BS115" s="302">
        <f>BS114/BM114-1</f>
        <v>6.8656934306569495E-2</v>
      </c>
      <c r="BT115" s="666"/>
      <c r="BU115" s="278">
        <f>BU114/BO114-1</f>
        <v>7.4275362318840576E-2</v>
      </c>
      <c r="BV115" s="278">
        <f>BV114/BP114-1</f>
        <v>7.1942446043165464E-2</v>
      </c>
      <c r="BW115" s="278">
        <f>BW114/BQ114-1</f>
        <v>6.5140845070422504E-2</v>
      </c>
      <c r="BX115" s="278">
        <f>BX114/BR114-1</f>
        <v>4.1868161140936833E-2</v>
      </c>
      <c r="BY115" s="302">
        <f>BY114/BS114-1</f>
        <v>4.1868161140936833E-2</v>
      </c>
      <c r="BZ115" s="666"/>
      <c r="CA115" s="278">
        <f>CA114/BU114-1</f>
        <v>4.2158516020236014E-2</v>
      </c>
      <c r="CB115" s="278">
        <f>CB114/BV114-1</f>
        <v>5.3691275167785157E-2</v>
      </c>
      <c r="CC115" s="278">
        <f>CC114/BW114-1</f>
        <v>4.2975206611570282E-2</v>
      </c>
      <c r="CD115" s="278">
        <f>CD114/BX114-1</f>
        <v>6.6300850784160481E-2</v>
      </c>
      <c r="CE115" s="302">
        <f>CE114/BY114-1</f>
        <v>6.6300850784160481E-2</v>
      </c>
      <c r="CF115" s="666"/>
      <c r="CG115" s="278">
        <f>CG114/CA114-1</f>
        <v>5.7943365695792837E-2</v>
      </c>
      <c r="CH115" s="278">
        <f>CH114/CB114-1</f>
        <v>4.9945859872611464E-2</v>
      </c>
      <c r="CI115" s="278">
        <f>CI114/CC114-1</f>
        <v>5.250554675118857E-2</v>
      </c>
      <c r="CJ115" s="278">
        <f>CJ114/CD114-1</f>
        <v>2.8326334622407634E-2</v>
      </c>
      <c r="CK115" s="302">
        <f>CK114/CE114-1</f>
        <v>2.8326334622407634E-2</v>
      </c>
      <c r="CL115" s="666"/>
      <c r="CM115" s="278">
        <f>CM114/CG114-1</f>
        <v>4.4685833324411339E-2</v>
      </c>
      <c r="CN115" s="278">
        <f>CN114/CH114-1</f>
        <v>4.7256000461048941E-2</v>
      </c>
      <c r="CO115" s="278">
        <f>CO114/CI114-1</f>
        <v>5.7020377003934586E-2</v>
      </c>
      <c r="CP115" s="278">
        <f>CP114/CJ114-1</f>
        <v>4.9288143193453093E-2</v>
      </c>
      <c r="CQ115" s="302">
        <f>CQ114/CK114-1</f>
        <v>4.9288143193453093E-2</v>
      </c>
      <c r="CR115" s="666"/>
      <c r="CS115" s="278">
        <f>CS114/CM114-1</f>
        <v>4.432487829874443E-2</v>
      </c>
      <c r="CT115" s="278">
        <f>CT114/CN114-1</f>
        <v>3.5444046196734469E-2</v>
      </c>
      <c r="CU115" s="278">
        <f>CU114/CO114-1</f>
        <v>2.564102564102555E-2</v>
      </c>
      <c r="CV115" s="278">
        <f>CV114/CP114-1</f>
        <v>3.2763532763532721E-2</v>
      </c>
      <c r="CW115" s="302">
        <f>CW114/CQ114-1</f>
        <v>3.2763532763532721E-2</v>
      </c>
      <c r="CX115" s="666"/>
      <c r="CY115" s="278">
        <f>CY114/CS114-1</f>
        <v>3.4627786345156286E-2</v>
      </c>
      <c r="CZ115" s="278">
        <f>CZ114/CT114-1</f>
        <v>3.4265734265734205E-2</v>
      </c>
      <c r="DA115" s="278">
        <f>DA114/CU114-1</f>
        <v>2.9166666666666563E-2</v>
      </c>
      <c r="DB115" s="278">
        <f>DB114/CV114-1</f>
        <v>2.4137931034482696E-2</v>
      </c>
      <c r="DC115" s="302">
        <f>DC114/CW114-1</f>
        <v>2.4137931034482696E-2</v>
      </c>
      <c r="DD115" s="666"/>
      <c r="DE115" s="278">
        <f>DE114/CY114-1</f>
        <v>1.6260162601626105E-2</v>
      </c>
      <c r="DF115" s="278">
        <f>DF114/CZ114-1</f>
        <v>2.4340770791074995E-2</v>
      </c>
      <c r="DG115" s="278">
        <f>DG114/DA114-1</f>
        <v>3.238866396761142E-2</v>
      </c>
      <c r="DH115" s="278">
        <f>DH114/DB114-1</f>
        <v>4.0404040404040442E-2</v>
      </c>
      <c r="DI115" s="302">
        <f>DI114/DC114-1</f>
        <v>4.0404040404040442E-2</v>
      </c>
      <c r="DJ115" s="666"/>
      <c r="DK115" s="278">
        <f>DK114/DE114-1</f>
        <v>4.0000000000000036E-2</v>
      </c>
      <c r="DL115" s="278">
        <f>DL114/DF114-1</f>
        <v>3.9603960396039639E-2</v>
      </c>
      <c r="DM115" s="278">
        <f>DM114/DG114-1</f>
        <v>3.9215686274509887E-2</v>
      </c>
      <c r="DN115" s="278">
        <f>DN114/DH114-1</f>
        <v>3.8834951456310662E-2</v>
      </c>
      <c r="DO115" s="302">
        <f>DO114/DI114-1</f>
        <v>3.8834951456310662E-2</v>
      </c>
      <c r="DP115" s="273"/>
    </row>
    <row r="116" spans="1:127" ht="5.25" hidden="1" customHeight="1" outlineLevel="1">
      <c r="A116" s="255"/>
      <c r="B116" s="668"/>
      <c r="C116" s="669"/>
      <c r="D116" s="669"/>
      <c r="E116" s="669"/>
      <c r="F116" s="669"/>
      <c r="G116" s="669"/>
      <c r="H116" s="669"/>
      <c r="I116" s="669"/>
      <c r="J116" s="669"/>
      <c r="K116" s="669"/>
      <c r="L116" s="669"/>
      <c r="M116" s="669"/>
      <c r="N116" s="669"/>
      <c r="O116" s="669"/>
      <c r="P116" s="669"/>
      <c r="Q116" s="669"/>
      <c r="R116" s="669"/>
      <c r="S116" s="669"/>
      <c r="T116" s="669"/>
      <c r="U116" s="669"/>
      <c r="V116" s="669"/>
      <c r="W116" s="669"/>
      <c r="X116" s="669"/>
      <c r="Y116" s="669"/>
      <c r="Z116" s="669"/>
      <c r="AA116" s="669"/>
      <c r="AB116" s="669"/>
      <c r="AC116" s="669"/>
      <c r="AD116" s="669"/>
      <c r="AE116" s="669"/>
      <c r="AF116" s="669"/>
      <c r="AG116" s="669"/>
      <c r="AH116" s="669"/>
      <c r="AI116" s="670"/>
      <c r="AJ116" s="669"/>
      <c r="AK116" s="669"/>
      <c r="AL116" s="669"/>
      <c r="AM116" s="669"/>
      <c r="AN116" s="669"/>
      <c r="AO116" s="670"/>
      <c r="AP116" s="669"/>
      <c r="AQ116" s="669"/>
      <c r="AR116" s="669"/>
      <c r="AS116" s="669"/>
      <c r="AT116" s="669"/>
      <c r="AU116" s="670"/>
      <c r="AV116" s="669"/>
      <c r="AW116" s="669"/>
      <c r="AX116" s="669"/>
      <c r="AY116" s="669"/>
      <c r="AZ116" s="669"/>
      <c r="BA116" s="670"/>
      <c r="BB116" s="669"/>
      <c r="BC116" s="669"/>
      <c r="BD116" s="669"/>
      <c r="BE116" s="669"/>
      <c r="BF116" s="669"/>
      <c r="BG116" s="670"/>
      <c r="BH116" s="669"/>
      <c r="BI116" s="669"/>
      <c r="BJ116" s="669"/>
      <c r="BK116" s="669"/>
      <c r="BL116" s="669"/>
      <c r="BM116" s="670"/>
      <c r="BN116" s="669"/>
      <c r="BO116" s="669"/>
      <c r="BP116" s="669"/>
      <c r="BQ116" s="669"/>
      <c r="BR116" s="669"/>
      <c r="BS116" s="670"/>
      <c r="BT116" s="669"/>
      <c r="BU116" s="669"/>
      <c r="BV116" s="669"/>
      <c r="BW116" s="669"/>
      <c r="BX116" s="669"/>
      <c r="BY116" s="670"/>
      <c r="BZ116" s="669"/>
      <c r="CA116" s="669"/>
      <c r="CB116" s="669"/>
      <c r="CC116" s="669"/>
      <c r="CD116" s="669"/>
      <c r="CE116" s="670"/>
      <c r="CF116" s="669"/>
      <c r="CG116" s="669"/>
      <c r="CH116" s="669"/>
      <c r="CI116" s="669"/>
      <c r="CJ116" s="669"/>
      <c r="CK116" s="670"/>
      <c r="CL116" s="669"/>
      <c r="CM116" s="669"/>
      <c r="CN116" s="669"/>
      <c r="CO116" s="669"/>
      <c r="CP116" s="669"/>
      <c r="CQ116" s="670"/>
      <c r="CR116" s="669"/>
      <c r="CS116" s="669"/>
      <c r="CT116" s="669"/>
      <c r="CU116" s="669"/>
      <c r="CV116" s="669"/>
      <c r="CW116" s="670"/>
      <c r="CX116" s="669"/>
      <c r="CY116" s="669"/>
      <c r="CZ116" s="669"/>
      <c r="DA116" s="669"/>
      <c r="DB116" s="669"/>
      <c r="DC116" s="670"/>
      <c r="DD116" s="669"/>
      <c r="DE116" s="669"/>
      <c r="DF116" s="669"/>
      <c r="DG116" s="669"/>
      <c r="DH116" s="669"/>
      <c r="DI116" s="670"/>
      <c r="DJ116" s="669"/>
      <c r="DK116" s="669"/>
      <c r="DL116" s="669"/>
      <c r="DM116" s="669"/>
      <c r="DN116" s="669"/>
      <c r="DO116" s="670"/>
      <c r="DP116" s="669"/>
    </row>
    <row r="117" spans="1:127" ht="12" hidden="1" customHeight="1" outlineLevel="1">
      <c r="A117" s="266" t="s">
        <v>971</v>
      </c>
      <c r="B117" s="662"/>
      <c r="C117" s="268"/>
      <c r="D117" s="268"/>
      <c r="E117" s="671">
        <f>ROUND((-10.162+1.597)/E102,3)</f>
        <v>0.29499999999999998</v>
      </c>
      <c r="F117" s="273"/>
      <c r="G117" s="671">
        <f>K117</f>
        <v>0.14899999999999999</v>
      </c>
      <c r="H117" s="671">
        <f>K117</f>
        <v>0.14899999999999999</v>
      </c>
      <c r="I117" s="671">
        <f>K117</f>
        <v>0.14899999999999999</v>
      </c>
      <c r="J117" s="671">
        <f>K117</f>
        <v>0.14899999999999999</v>
      </c>
      <c r="K117" s="671">
        <f>ROUND((-3.503+2.016)/K102,3)</f>
        <v>0.14899999999999999</v>
      </c>
      <c r="L117" s="665"/>
      <c r="M117" s="671">
        <f>Q117</f>
        <v>0.85099999999999998</v>
      </c>
      <c r="N117" s="671">
        <f>Q117</f>
        <v>0.85099999999999998</v>
      </c>
      <c r="O117" s="671">
        <f>Q117</f>
        <v>0.85099999999999998</v>
      </c>
      <c r="P117" s="671">
        <f>Q117</f>
        <v>0.85099999999999998</v>
      </c>
      <c r="Q117" s="671">
        <f>ROUND((1.484+0.263+1.859)/Q102,3)</f>
        <v>0.85099999999999998</v>
      </c>
      <c r="R117" s="672"/>
      <c r="S117" s="671">
        <f>W117</f>
        <v>0.4</v>
      </c>
      <c r="T117" s="671">
        <f>W117</f>
        <v>0.4</v>
      </c>
      <c r="U117" s="671">
        <f>W117</f>
        <v>0.4</v>
      </c>
      <c r="V117" s="671">
        <f>W117</f>
        <v>0.4</v>
      </c>
      <c r="W117" s="280">
        <v>0.4</v>
      </c>
      <c r="X117" s="273"/>
      <c r="Y117" s="671">
        <f>AC117</f>
        <v>0.28977312636089103</v>
      </c>
      <c r="Z117" s="671">
        <f>AC117</f>
        <v>0.28977312636089103</v>
      </c>
      <c r="AA117" s="671">
        <f>AC117</f>
        <v>0.28977312636089103</v>
      </c>
      <c r="AB117" s="671">
        <f>AC117</f>
        <v>0.28977312636089103</v>
      </c>
      <c r="AC117" s="280">
        <f>(9.869+0.36-1.978)/AC106</f>
        <v>0.28977312636089103</v>
      </c>
      <c r="AD117" s="274"/>
      <c r="AE117" s="671">
        <f>AI117</f>
        <v>0.35</v>
      </c>
      <c r="AF117" s="671">
        <f>AI117</f>
        <v>0.35</v>
      </c>
      <c r="AG117" s="671">
        <f>AI117</f>
        <v>0.35</v>
      </c>
      <c r="AH117" s="671">
        <f>AI117</f>
        <v>0.35</v>
      </c>
      <c r="AI117" s="673">
        <v>0.35</v>
      </c>
      <c r="AJ117" s="274"/>
      <c r="AK117" s="671">
        <f>AO117</f>
        <v>0.35</v>
      </c>
      <c r="AL117" s="671">
        <f>AO117</f>
        <v>0.35</v>
      </c>
      <c r="AM117" s="671">
        <f>AO117</f>
        <v>0.35</v>
      </c>
      <c r="AN117" s="671">
        <f>AO117</f>
        <v>0.35</v>
      </c>
      <c r="AO117" s="673">
        <v>0.35</v>
      </c>
      <c r="AP117" s="274"/>
      <c r="AQ117" s="671">
        <f>AU117</f>
        <v>0.35</v>
      </c>
      <c r="AR117" s="671">
        <f>AU117</f>
        <v>0.35</v>
      </c>
      <c r="AS117" s="671">
        <f>AU117</f>
        <v>0.35</v>
      </c>
      <c r="AT117" s="671">
        <f>AU117</f>
        <v>0.35</v>
      </c>
      <c r="AU117" s="673">
        <v>0.35</v>
      </c>
      <c r="AV117" s="274"/>
      <c r="AW117" s="671">
        <f>BA117</f>
        <v>0.35</v>
      </c>
      <c r="AX117" s="671">
        <f>BA117</f>
        <v>0.35</v>
      </c>
      <c r="AY117" s="671">
        <f>BA117</f>
        <v>0.35</v>
      </c>
      <c r="AZ117" s="671">
        <f>BA117</f>
        <v>0.35</v>
      </c>
      <c r="BA117" s="673">
        <v>0.35</v>
      </c>
      <c r="BB117" s="274"/>
      <c r="BC117" s="671">
        <f>BG117</f>
        <v>0.35</v>
      </c>
      <c r="BD117" s="671">
        <f>$BG$117</f>
        <v>0.35</v>
      </c>
      <c r="BE117" s="671">
        <f>$BG$117</f>
        <v>0.35</v>
      </c>
      <c r="BF117" s="671">
        <f>BG117</f>
        <v>0.35</v>
      </c>
      <c r="BG117" s="673">
        <v>0.35</v>
      </c>
      <c r="BH117" s="274"/>
      <c r="BI117" s="671">
        <f>BM117</f>
        <v>0.35</v>
      </c>
      <c r="BJ117" s="671">
        <f>BM117</f>
        <v>0.35</v>
      </c>
      <c r="BK117" s="671">
        <f>BM117</f>
        <v>0.35</v>
      </c>
      <c r="BL117" s="671">
        <f>BM117</f>
        <v>0.35</v>
      </c>
      <c r="BM117" s="673">
        <v>0.35</v>
      </c>
      <c r="BN117" s="274"/>
      <c r="BO117" s="671">
        <f>BS117</f>
        <v>0.35</v>
      </c>
      <c r="BP117" s="671">
        <f>BS117</f>
        <v>0.35</v>
      </c>
      <c r="BQ117" s="671">
        <f>BS117</f>
        <v>0.35</v>
      </c>
      <c r="BR117" s="671">
        <f>BS117</f>
        <v>0.35</v>
      </c>
      <c r="BS117" s="673">
        <v>0.35</v>
      </c>
      <c r="BT117" s="274"/>
      <c r="BU117" s="671">
        <f>BY117</f>
        <v>0.35</v>
      </c>
      <c r="BV117" s="671">
        <f>BY117</f>
        <v>0.35</v>
      </c>
      <c r="BW117" s="671">
        <f>BY117</f>
        <v>0.35</v>
      </c>
      <c r="BX117" s="671">
        <f>BY117</f>
        <v>0.35</v>
      </c>
      <c r="BY117" s="673">
        <v>0.35</v>
      </c>
      <c r="BZ117" s="274"/>
      <c r="CA117" s="671">
        <f>CE117</f>
        <v>0.35</v>
      </c>
      <c r="CB117" s="671">
        <f>CE117</f>
        <v>0.35</v>
      </c>
      <c r="CC117" s="671">
        <f>CE117</f>
        <v>0.35</v>
      </c>
      <c r="CD117" s="671">
        <f>CE117</f>
        <v>0.35</v>
      </c>
      <c r="CE117" s="673">
        <v>0.35</v>
      </c>
      <c r="CF117" s="274"/>
      <c r="CG117" s="671">
        <f>CK117</f>
        <v>0.35</v>
      </c>
      <c r="CH117" s="671">
        <f>CK117</f>
        <v>0.35</v>
      </c>
      <c r="CI117" s="671">
        <f>CK117</f>
        <v>0.35</v>
      </c>
      <c r="CJ117" s="671">
        <f>CK117</f>
        <v>0.35</v>
      </c>
      <c r="CK117" s="673">
        <v>0.35</v>
      </c>
      <c r="CL117" s="274"/>
      <c r="CM117" s="671">
        <f>CQ117</f>
        <v>0.35</v>
      </c>
      <c r="CN117" s="671">
        <f>CQ117</f>
        <v>0.35</v>
      </c>
      <c r="CO117" s="671">
        <f>CQ117</f>
        <v>0.35</v>
      </c>
      <c r="CP117" s="671">
        <f>CQ117</f>
        <v>0.35</v>
      </c>
      <c r="CQ117" s="673">
        <v>0.35</v>
      </c>
      <c r="CR117" s="274"/>
      <c r="CS117" s="671">
        <f>CW117</f>
        <v>0.35</v>
      </c>
      <c r="CT117" s="671">
        <f>CW117</f>
        <v>0.35</v>
      </c>
      <c r="CU117" s="671">
        <f>CW117</f>
        <v>0.35</v>
      </c>
      <c r="CV117" s="671">
        <f>CW117</f>
        <v>0.35</v>
      </c>
      <c r="CW117" s="673">
        <v>0.35</v>
      </c>
      <c r="CX117" s="274"/>
      <c r="CY117" s="671">
        <f>DC117</f>
        <v>0.215</v>
      </c>
      <c r="CZ117" s="671">
        <f>DC117</f>
        <v>0.215</v>
      </c>
      <c r="DA117" s="671">
        <f>DC117</f>
        <v>0.215</v>
      </c>
      <c r="DB117" s="671">
        <f>DC117</f>
        <v>0.215</v>
      </c>
      <c r="DC117" s="673">
        <v>0.215</v>
      </c>
      <c r="DD117" s="274"/>
      <c r="DE117" s="671">
        <f>DI117</f>
        <v>0.215</v>
      </c>
      <c r="DF117" s="671">
        <f>DI117</f>
        <v>0.215</v>
      </c>
      <c r="DG117" s="671">
        <f>DI117</f>
        <v>0.215</v>
      </c>
      <c r="DH117" s="671">
        <f>DI117</f>
        <v>0.215</v>
      </c>
      <c r="DI117" s="673">
        <v>0.215</v>
      </c>
      <c r="DJ117" s="274"/>
      <c r="DK117" s="671">
        <f>DO117</f>
        <v>0.215</v>
      </c>
      <c r="DL117" s="671">
        <f>DO117</f>
        <v>0.215</v>
      </c>
      <c r="DM117" s="671">
        <f>DO117</f>
        <v>0.215</v>
      </c>
      <c r="DN117" s="671">
        <f>DO117</f>
        <v>0.215</v>
      </c>
      <c r="DO117" s="673">
        <v>0.215</v>
      </c>
      <c r="DP117" s="273"/>
    </row>
    <row r="118" spans="1:127" ht="12" hidden="1" customHeight="1" outlineLevel="1">
      <c r="A118" s="266" t="s">
        <v>690</v>
      </c>
      <c r="B118" s="662"/>
      <c r="C118" s="267">
        <f>C119/C112</f>
        <v>0</v>
      </c>
      <c r="D118" s="267">
        <f>D119/D112</f>
        <v>0</v>
      </c>
      <c r="E118" s="267">
        <f>E119/E112</f>
        <v>0</v>
      </c>
      <c r="F118" s="273"/>
      <c r="G118" s="267">
        <f>G119/G112</f>
        <v>0</v>
      </c>
      <c r="H118" s="267">
        <f>H119/H112</f>
        <v>0</v>
      </c>
      <c r="I118" s="267">
        <f>I119/I112</f>
        <v>0</v>
      </c>
      <c r="J118" s="267">
        <f>J119/J112</f>
        <v>0</v>
      </c>
      <c r="K118" s="267">
        <f>SUM(G118:J118)</f>
        <v>0</v>
      </c>
      <c r="L118" s="665"/>
      <c r="M118" s="267">
        <f>M119/M112</f>
        <v>0</v>
      </c>
      <c r="N118" s="267">
        <f>N119/N112</f>
        <v>0</v>
      </c>
      <c r="O118" s="267">
        <f>O119/O112</f>
        <v>0</v>
      </c>
      <c r="P118" s="267">
        <f>P119/P112</f>
        <v>0</v>
      </c>
      <c r="Q118" s="267">
        <f>SUM(M118:P118)</f>
        <v>0</v>
      </c>
      <c r="R118" s="672"/>
      <c r="S118" s="267">
        <f>S119/S112</f>
        <v>0</v>
      </c>
      <c r="T118" s="267">
        <f>T119/T112</f>
        <v>0</v>
      </c>
      <c r="U118" s="267">
        <f>U119/U112</f>
        <v>0</v>
      </c>
      <c r="V118" s="267">
        <f>V119/V112</f>
        <v>0</v>
      </c>
      <c r="W118" s="267">
        <f>SUM(S118:V118)</f>
        <v>0</v>
      </c>
      <c r="X118" s="273"/>
      <c r="Y118" s="267">
        <f>Y119/Y112</f>
        <v>0</v>
      </c>
      <c r="Z118" s="267">
        <f>Z119/Z112</f>
        <v>0</v>
      </c>
      <c r="AA118" s="267">
        <f>AA119/AA112</f>
        <v>0</v>
      </c>
      <c r="AB118" s="267">
        <f>AB119/AB112</f>
        <v>0</v>
      </c>
      <c r="AC118" s="267">
        <f>SUM(Y118:AB118)</f>
        <v>0</v>
      </c>
      <c r="AD118" s="274"/>
      <c r="AE118" s="267">
        <f>AE119/AE112</f>
        <v>0</v>
      </c>
      <c r="AF118" s="267">
        <f>AF119/AF112</f>
        <v>0</v>
      </c>
      <c r="AG118" s="267">
        <f>AG119/AG112</f>
        <v>0</v>
      </c>
      <c r="AH118" s="267">
        <f>AH119/AH112</f>
        <v>0</v>
      </c>
      <c r="AI118" s="661">
        <f>SUM(AE118:AH118)</f>
        <v>0</v>
      </c>
      <c r="AJ118" s="274"/>
      <c r="AK118" s="267">
        <f>AK119/AK112</f>
        <v>0</v>
      </c>
      <c r="AL118" s="267">
        <f>AL119/AL112</f>
        <v>0</v>
      </c>
      <c r="AM118" s="267">
        <f>AM119/AM112</f>
        <v>0</v>
      </c>
      <c r="AN118" s="267">
        <f>AN119/AN112</f>
        <v>0</v>
      </c>
      <c r="AO118" s="661">
        <f>SUM(AK118:AN118)</f>
        <v>0</v>
      </c>
      <c r="AP118" s="274"/>
      <c r="AQ118" s="267">
        <f>AQ119/AQ112</f>
        <v>0</v>
      </c>
      <c r="AR118" s="267">
        <f>AR119/AR112</f>
        <v>0</v>
      </c>
      <c r="AS118" s="267">
        <f>AS119/AS112</f>
        <v>0</v>
      </c>
      <c r="AT118" s="267">
        <f>AT119/AT112</f>
        <v>0</v>
      </c>
      <c r="AU118" s="661">
        <f>SUM(AQ118:AT118)</f>
        <v>0</v>
      </c>
      <c r="AV118" s="274"/>
      <c r="AW118" s="267">
        <f>AW119/AW112</f>
        <v>0</v>
      </c>
      <c r="AX118" s="267">
        <f>AX119/AX112</f>
        <v>0</v>
      </c>
      <c r="AY118" s="267">
        <f>AY119/AY112</f>
        <v>0</v>
      </c>
      <c r="AZ118" s="267">
        <f>AZ119/AZ112</f>
        <v>0</v>
      </c>
      <c r="BA118" s="661">
        <f>SUM(AW118:AZ118)</f>
        <v>0</v>
      </c>
      <c r="BB118" s="274"/>
      <c r="BC118" s="267">
        <f>BC119/BC112</f>
        <v>0</v>
      </c>
      <c r="BD118" s="267">
        <f>BD119/BD112</f>
        <v>0</v>
      </c>
      <c r="BE118" s="267">
        <f>BE119/BE112</f>
        <v>0</v>
      </c>
      <c r="BF118" s="267">
        <f>BF119/BF112</f>
        <v>0</v>
      </c>
      <c r="BG118" s="661">
        <f>SUM(BC118:BF118)</f>
        <v>0</v>
      </c>
      <c r="BH118" s="274"/>
      <c r="BI118" s="267">
        <f>BI119/BI112</f>
        <v>0</v>
      </c>
      <c r="BJ118" s="267">
        <f>BJ119/BJ112</f>
        <v>0</v>
      </c>
      <c r="BK118" s="267">
        <f>BK119/BK112</f>
        <v>0</v>
      </c>
      <c r="BL118" s="267">
        <f>BL119/BL112</f>
        <v>0</v>
      </c>
      <c r="BM118" s="661">
        <f>SUM(BI118:BL118)</f>
        <v>0</v>
      </c>
      <c r="BN118" s="274"/>
      <c r="BO118" s="267">
        <f>BO119/BO112</f>
        <v>0</v>
      </c>
      <c r="BP118" s="267">
        <f>BP119/BP112</f>
        <v>0</v>
      </c>
      <c r="BQ118" s="267">
        <f>BQ119/BQ112</f>
        <v>0</v>
      </c>
      <c r="BR118" s="267">
        <f>BR119/BR112</f>
        <v>0</v>
      </c>
      <c r="BS118" s="661">
        <f>SUM(BO118:BR118)</f>
        <v>0</v>
      </c>
      <c r="BT118" s="274"/>
      <c r="BU118" s="267">
        <f>BU119/BU112</f>
        <v>0</v>
      </c>
      <c r="BV118" s="267">
        <f>BV119/BV112</f>
        <v>0</v>
      </c>
      <c r="BW118" s="267">
        <f>BW119/BW112</f>
        <v>0</v>
      </c>
      <c r="BX118" s="267">
        <f>BX119/BX112</f>
        <v>0</v>
      </c>
      <c r="BY118" s="661">
        <f>SUM(BU118:BX118)</f>
        <v>0</v>
      </c>
      <c r="BZ118" s="274"/>
      <c r="CA118" s="267">
        <f>CA119/CA112</f>
        <v>0</v>
      </c>
      <c r="CB118" s="267">
        <f>CB119/CB112</f>
        <v>0</v>
      </c>
      <c r="CC118" s="267">
        <f>CC119/CC112</f>
        <v>0</v>
      </c>
      <c r="CD118" s="267">
        <f>CD119/CD112</f>
        <v>0</v>
      </c>
      <c r="CE118" s="661">
        <f>SUM(CA118:CD118)</f>
        <v>0</v>
      </c>
      <c r="CF118" s="274"/>
      <c r="CG118" s="267">
        <f>CG119/CG112</f>
        <v>0</v>
      </c>
      <c r="CH118" s="267">
        <f>CH119/CH112</f>
        <v>0</v>
      </c>
      <c r="CI118" s="267">
        <f>CI119/CI112</f>
        <v>0</v>
      </c>
      <c r="CJ118" s="267">
        <f>CJ119/CJ112</f>
        <v>0</v>
      </c>
      <c r="CK118" s="661">
        <f>SUM(CG118:CJ118)</f>
        <v>0</v>
      </c>
      <c r="CL118" s="274"/>
      <c r="CM118" s="267">
        <f>CM119/CM112</f>
        <v>0</v>
      </c>
      <c r="CN118" s="267">
        <f>CN119/CN112</f>
        <v>0</v>
      </c>
      <c r="CO118" s="267">
        <f>CO119/CO112</f>
        <v>0</v>
      </c>
      <c r="CP118" s="267">
        <f>CP119/CP112</f>
        <v>0</v>
      </c>
      <c r="CQ118" s="661">
        <f>SUM(CM118:CP118)</f>
        <v>0</v>
      </c>
      <c r="CR118" s="274"/>
      <c r="CS118" s="267">
        <f>CS119/CS112</f>
        <v>0</v>
      </c>
      <c r="CT118" s="267">
        <f>CT119/CT112</f>
        <v>0</v>
      </c>
      <c r="CU118" s="267">
        <f>CU119/CU112</f>
        <v>0</v>
      </c>
      <c r="CV118" s="267">
        <f>CV119/CV112</f>
        <v>0</v>
      </c>
      <c r="CW118" s="661">
        <f>SUM(CS118:CV118)</f>
        <v>0</v>
      </c>
      <c r="CX118" s="274"/>
      <c r="CY118" s="267">
        <f>CY119/CY112</f>
        <v>0</v>
      </c>
      <c r="CZ118" s="267">
        <f>CZ119/CZ112</f>
        <v>0</v>
      </c>
      <c r="DA118" s="267">
        <f>DA119/DA112</f>
        <v>0</v>
      </c>
      <c r="DB118" s="267">
        <f>DB119/DB112</f>
        <v>0</v>
      </c>
      <c r="DC118" s="661">
        <f>SUM(CY118:DB118)</f>
        <v>0</v>
      </c>
      <c r="DD118" s="274"/>
      <c r="DE118" s="267">
        <f>DE119/DE112</f>
        <v>0</v>
      </c>
      <c r="DF118" s="267">
        <f>DF119/DF112</f>
        <v>0</v>
      </c>
      <c r="DG118" s="267">
        <f>DG119/DG112</f>
        <v>0</v>
      </c>
      <c r="DH118" s="267">
        <f>DH119/DH112</f>
        <v>0</v>
      </c>
      <c r="DI118" s="661">
        <f>SUM(DE118:DH118)</f>
        <v>0</v>
      </c>
      <c r="DJ118" s="274"/>
      <c r="DK118" s="267">
        <f>DK119/DK112</f>
        <v>0</v>
      </c>
      <c r="DL118" s="267">
        <f>DL119/DL112</f>
        <v>0</v>
      </c>
      <c r="DM118" s="267">
        <f>DM119/DM112</f>
        <v>0</v>
      </c>
      <c r="DN118" s="267">
        <f>DN119/DN112</f>
        <v>0</v>
      </c>
      <c r="DO118" s="661">
        <f>SUM(DK118:DN118)</f>
        <v>0</v>
      </c>
      <c r="DP118" s="273"/>
    </row>
    <row r="119" spans="1:127" ht="12" hidden="1" customHeight="1" outlineLevel="1">
      <c r="A119" s="266" t="s">
        <v>685</v>
      </c>
      <c r="B119" s="662"/>
      <c r="C119" s="267">
        <v>0</v>
      </c>
      <c r="D119" s="267">
        <v>0</v>
      </c>
      <c r="E119" s="267">
        <v>0</v>
      </c>
      <c r="F119" s="273"/>
      <c r="G119" s="267">
        <v>0</v>
      </c>
      <c r="H119" s="267">
        <v>0</v>
      </c>
      <c r="I119" s="267">
        <v>0</v>
      </c>
      <c r="J119" s="267">
        <v>0</v>
      </c>
      <c r="K119" s="267">
        <f>SUM(G119:J119)</f>
        <v>0</v>
      </c>
      <c r="L119" s="665"/>
      <c r="M119" s="267">
        <v>0</v>
      </c>
      <c r="N119" s="267">
        <v>0</v>
      </c>
      <c r="O119" s="267">
        <v>0</v>
      </c>
      <c r="P119" s="267">
        <v>0</v>
      </c>
      <c r="Q119" s="267">
        <f>SUM(M119:P119)</f>
        <v>0</v>
      </c>
      <c r="R119" s="672"/>
      <c r="S119" s="267">
        <v>0</v>
      </c>
      <c r="T119" s="267">
        <v>0</v>
      </c>
      <c r="U119" s="267">
        <v>0</v>
      </c>
      <c r="V119" s="267">
        <v>0</v>
      </c>
      <c r="W119" s="267">
        <f>SUM(S119:V119)</f>
        <v>0</v>
      </c>
      <c r="X119" s="273"/>
      <c r="Y119" s="267">
        <v>0</v>
      </c>
      <c r="Z119" s="267">
        <v>0</v>
      </c>
      <c r="AA119" s="267">
        <v>0</v>
      </c>
      <c r="AB119" s="267">
        <v>0</v>
      </c>
      <c r="AC119" s="267">
        <f>SUM(Y119:AB119)</f>
        <v>0</v>
      </c>
      <c r="AD119" s="274"/>
      <c r="AE119" s="267">
        <v>0</v>
      </c>
      <c r="AF119" s="267">
        <v>0</v>
      </c>
      <c r="AG119" s="267">
        <v>0</v>
      </c>
      <c r="AH119" s="674">
        <v>0</v>
      </c>
      <c r="AI119" s="661">
        <f>SUM(AE119:AH119)</f>
        <v>0</v>
      </c>
      <c r="AJ119" s="274"/>
      <c r="AK119" s="267">
        <v>0</v>
      </c>
      <c r="AL119" s="267">
        <v>0</v>
      </c>
      <c r="AM119" s="267">
        <v>0</v>
      </c>
      <c r="AN119" s="674">
        <v>0</v>
      </c>
      <c r="AO119" s="661">
        <f>SUM(AK119:AN119)</f>
        <v>0</v>
      </c>
      <c r="AP119" s="274"/>
      <c r="AQ119" s="267">
        <v>0</v>
      </c>
      <c r="AR119" s="267">
        <v>0</v>
      </c>
      <c r="AS119" s="267">
        <v>0</v>
      </c>
      <c r="AT119" s="674">
        <v>0</v>
      </c>
      <c r="AU119" s="661">
        <f>SUM(AQ119:AT119)</f>
        <v>0</v>
      </c>
      <c r="AV119" s="274"/>
      <c r="AW119" s="267">
        <v>0</v>
      </c>
      <c r="AX119" s="267">
        <v>0</v>
      </c>
      <c r="AY119" s="267">
        <v>0</v>
      </c>
      <c r="AZ119" s="267">
        <v>0</v>
      </c>
      <c r="BA119" s="661">
        <f>SUM(AW119:AZ119)</f>
        <v>0</v>
      </c>
      <c r="BB119" s="274"/>
      <c r="BC119" s="267">
        <v>0</v>
      </c>
      <c r="BD119" s="267">
        <v>0</v>
      </c>
      <c r="BE119" s="267">
        <v>0</v>
      </c>
      <c r="BF119" s="674">
        <v>0</v>
      </c>
      <c r="BG119" s="661">
        <f>SUM(BC119:BF119)</f>
        <v>0</v>
      </c>
      <c r="BH119" s="274"/>
      <c r="BI119" s="267">
        <v>0</v>
      </c>
      <c r="BJ119" s="267">
        <v>0</v>
      </c>
      <c r="BK119" s="267">
        <v>0</v>
      </c>
      <c r="BL119" s="674">
        <v>0</v>
      </c>
      <c r="BM119" s="661">
        <f>SUM(BI119:BL119)</f>
        <v>0</v>
      </c>
      <c r="BN119" s="274"/>
      <c r="BO119" s="267">
        <v>0</v>
      </c>
      <c r="BP119" s="267">
        <v>0</v>
      </c>
      <c r="BQ119" s="267">
        <v>0</v>
      </c>
      <c r="BR119" s="674">
        <v>0</v>
      </c>
      <c r="BS119" s="661">
        <f>SUM(BO119:BR119)</f>
        <v>0</v>
      </c>
      <c r="BT119" s="274"/>
      <c r="BU119" s="267">
        <v>0</v>
      </c>
      <c r="BV119" s="267">
        <v>0</v>
      </c>
      <c r="BW119" s="267">
        <v>0</v>
      </c>
      <c r="BX119" s="674">
        <v>0</v>
      </c>
      <c r="BY119" s="661">
        <f>SUM(BU119:BX119)</f>
        <v>0</v>
      </c>
      <c r="BZ119" s="274"/>
      <c r="CA119" s="267">
        <v>0</v>
      </c>
      <c r="CB119" s="267">
        <v>0</v>
      </c>
      <c r="CC119" s="267">
        <v>0</v>
      </c>
      <c r="CD119" s="674">
        <v>0</v>
      </c>
      <c r="CE119" s="661">
        <f>SUM(CA119:CD119)</f>
        <v>0</v>
      </c>
      <c r="CF119" s="274"/>
      <c r="CG119" s="267">
        <v>0</v>
      </c>
      <c r="CH119" s="267">
        <v>0</v>
      </c>
      <c r="CI119" s="267">
        <v>0</v>
      </c>
      <c r="CJ119" s="674">
        <v>0</v>
      </c>
      <c r="CK119" s="661">
        <f>SUM(CG119:CJ119)</f>
        <v>0</v>
      </c>
      <c r="CL119" s="274"/>
      <c r="CM119" s="267">
        <v>0</v>
      </c>
      <c r="CN119" s="267">
        <v>0</v>
      </c>
      <c r="CO119" s="267">
        <v>0</v>
      </c>
      <c r="CP119" s="674">
        <v>0</v>
      </c>
      <c r="CQ119" s="661">
        <f>SUM(CM119:CP119)</f>
        <v>0</v>
      </c>
      <c r="CR119" s="274"/>
      <c r="CS119" s="267">
        <v>0</v>
      </c>
      <c r="CT119" s="267">
        <v>0</v>
      </c>
      <c r="CU119" s="267">
        <v>0</v>
      </c>
      <c r="CV119" s="674">
        <v>0</v>
      </c>
      <c r="CW119" s="661">
        <f>SUM(CS119:CV119)</f>
        <v>0</v>
      </c>
      <c r="CX119" s="274"/>
      <c r="CY119" s="267">
        <v>0</v>
      </c>
      <c r="CZ119" s="267">
        <v>0</v>
      </c>
      <c r="DA119" s="267">
        <v>0</v>
      </c>
      <c r="DB119" s="674">
        <v>0</v>
      </c>
      <c r="DC119" s="661">
        <f>SUM(CY119:DB119)</f>
        <v>0</v>
      </c>
      <c r="DD119" s="274"/>
      <c r="DE119" s="267">
        <v>0</v>
      </c>
      <c r="DF119" s="267">
        <v>0</v>
      </c>
      <c r="DG119" s="267">
        <v>0</v>
      </c>
      <c r="DH119" s="674">
        <v>0</v>
      </c>
      <c r="DI119" s="661">
        <f>SUM(DE119:DH119)</f>
        <v>0</v>
      </c>
      <c r="DJ119" s="274"/>
      <c r="DK119" s="267">
        <v>0</v>
      </c>
      <c r="DL119" s="267">
        <v>0</v>
      </c>
      <c r="DM119" s="267">
        <v>0</v>
      </c>
      <c r="DN119" s="674">
        <v>0</v>
      </c>
      <c r="DO119" s="661">
        <f>SUM(DK119:DN119)</f>
        <v>0</v>
      </c>
      <c r="DP119" s="273"/>
    </row>
    <row r="120" spans="1:127" collapsed="1">
      <c r="A120" s="266" t="s">
        <v>1176</v>
      </c>
      <c r="B120" s="662"/>
      <c r="C120" s="267"/>
      <c r="D120" s="267"/>
      <c r="E120" s="267"/>
      <c r="F120" s="273"/>
      <c r="G120" s="267"/>
      <c r="H120" s="267"/>
      <c r="I120" s="267"/>
      <c r="J120" s="267"/>
      <c r="K120" s="267"/>
      <c r="L120" s="665"/>
      <c r="M120" s="267"/>
      <c r="N120" s="267"/>
      <c r="O120" s="267"/>
      <c r="P120" s="267"/>
      <c r="Q120" s="267"/>
      <c r="R120" s="672"/>
      <c r="S120" s="267"/>
      <c r="T120" s="267"/>
      <c r="U120" s="267"/>
      <c r="V120" s="267"/>
      <c r="W120" s="267"/>
      <c r="X120" s="273"/>
      <c r="Y120" s="267"/>
      <c r="Z120" s="267"/>
      <c r="AA120" s="267"/>
      <c r="AB120" s="267"/>
      <c r="AC120" s="267"/>
      <c r="AD120" s="274"/>
      <c r="AE120" s="267"/>
      <c r="AF120" s="267"/>
      <c r="AG120" s="267"/>
      <c r="AH120" s="674"/>
      <c r="AI120" s="675"/>
      <c r="AJ120" s="274"/>
      <c r="AK120" s="267"/>
      <c r="AL120" s="267"/>
      <c r="AM120" s="267"/>
      <c r="AN120" s="674"/>
      <c r="AO120" s="675"/>
      <c r="AP120" s="274"/>
      <c r="AQ120" s="267"/>
      <c r="AR120" s="267"/>
      <c r="AS120" s="267"/>
      <c r="AT120" s="674"/>
      <c r="AU120" s="661"/>
      <c r="AV120" s="274"/>
      <c r="AW120" s="267"/>
      <c r="AX120" s="267"/>
      <c r="AY120" s="267"/>
      <c r="AZ120" s="267"/>
      <c r="BA120" s="676"/>
      <c r="BB120" s="274"/>
      <c r="BC120" s="267"/>
      <c r="BD120" s="267"/>
      <c r="BE120" s="267"/>
      <c r="BF120" s="674"/>
      <c r="BG120" s="676"/>
      <c r="BH120" s="274"/>
      <c r="BI120" s="267"/>
      <c r="BJ120" s="267"/>
      <c r="BK120" s="267"/>
      <c r="BL120" s="674"/>
      <c r="BM120" s="676"/>
      <c r="BN120" s="274"/>
      <c r="BO120" s="267"/>
      <c r="BP120" s="267"/>
      <c r="BQ120" s="267"/>
      <c r="BR120" s="674"/>
      <c r="BS120" s="676"/>
      <c r="BT120" s="274"/>
      <c r="BU120" s="267"/>
      <c r="BV120" s="267"/>
      <c r="BW120" s="267"/>
      <c r="BX120" s="674"/>
      <c r="BY120" s="676"/>
      <c r="BZ120" s="274"/>
      <c r="CA120" s="267"/>
      <c r="CB120" s="267"/>
      <c r="CC120" s="267"/>
      <c r="CD120" s="674"/>
      <c r="CE120" s="661"/>
      <c r="CF120" s="274"/>
      <c r="CG120" s="267"/>
      <c r="CH120" s="267"/>
      <c r="CI120" s="267"/>
      <c r="CJ120" s="674"/>
      <c r="CK120" s="661"/>
      <c r="CL120" s="274"/>
      <c r="CM120" s="267"/>
      <c r="CN120" s="267"/>
      <c r="CO120" s="267"/>
      <c r="CP120" s="268">
        <v>701</v>
      </c>
      <c r="CQ120" s="661"/>
      <c r="CR120" s="274"/>
      <c r="CS120" s="267"/>
      <c r="CT120" s="267"/>
      <c r="CU120" s="267"/>
      <c r="CV120" s="674"/>
      <c r="CW120" s="661"/>
      <c r="CX120" s="274"/>
      <c r="CY120" s="267"/>
      <c r="CZ120" s="267"/>
      <c r="DA120" s="267"/>
      <c r="DB120" s="674"/>
      <c r="DC120" s="661"/>
      <c r="DD120" s="274"/>
      <c r="DE120" s="267"/>
      <c r="DF120" s="267"/>
      <c r="DG120" s="267"/>
      <c r="DH120" s="674"/>
      <c r="DI120" s="661"/>
      <c r="DJ120" s="274"/>
      <c r="DK120" s="267"/>
      <c r="DL120" s="267"/>
      <c r="DM120" s="267"/>
      <c r="DN120" s="674"/>
      <c r="DO120" s="661"/>
      <c r="DP120" s="273"/>
      <c r="DW120" s="1824"/>
    </row>
    <row r="121" spans="1:127" ht="13.5" hidden="1" customHeight="1" outlineLevel="1">
      <c r="A121" s="861" t="s">
        <v>1045</v>
      </c>
      <c r="B121" s="862"/>
      <c r="C121" s="863"/>
      <c r="D121" s="863"/>
      <c r="E121" s="863"/>
      <c r="F121" s="863"/>
      <c r="G121" s="863"/>
      <c r="H121" s="863"/>
      <c r="I121" s="863"/>
      <c r="J121" s="863"/>
      <c r="K121" s="863"/>
      <c r="L121" s="863"/>
      <c r="M121" s="863"/>
      <c r="N121" s="863"/>
      <c r="O121" s="863"/>
      <c r="P121" s="863"/>
      <c r="Q121" s="863"/>
      <c r="R121" s="863"/>
      <c r="S121" s="864"/>
      <c r="T121" s="864"/>
      <c r="U121" s="865"/>
      <c r="V121" s="863"/>
      <c r="W121" s="866"/>
      <c r="X121" s="863"/>
      <c r="Y121" s="863"/>
      <c r="Z121" s="863"/>
      <c r="AA121" s="863"/>
      <c r="AB121" s="863"/>
      <c r="AC121" s="867"/>
      <c r="AD121" s="863"/>
      <c r="AE121" s="863"/>
      <c r="AF121" s="863"/>
      <c r="AG121" s="863"/>
      <c r="AH121" s="863"/>
      <c r="AI121" s="868"/>
      <c r="AJ121" s="863"/>
      <c r="AK121" s="863"/>
      <c r="AL121" s="863"/>
      <c r="AM121" s="863"/>
      <c r="AN121" s="863"/>
      <c r="AO121" s="868"/>
      <c r="AP121" s="863"/>
      <c r="AQ121" s="863"/>
      <c r="AR121" s="863"/>
      <c r="AS121" s="863"/>
      <c r="AT121" s="863"/>
      <c r="AU121" s="868"/>
      <c r="AV121" s="863"/>
      <c r="AW121" s="863"/>
      <c r="AX121" s="863"/>
      <c r="AY121" s="863"/>
      <c r="AZ121" s="863"/>
      <c r="BA121" s="868"/>
      <c r="BB121" s="863"/>
      <c r="BC121" s="863"/>
      <c r="BD121" s="863"/>
      <c r="BE121" s="863"/>
      <c r="BF121" s="863"/>
      <c r="BG121" s="868"/>
      <c r="BH121" s="863"/>
      <c r="BI121" s="863"/>
      <c r="BJ121" s="863"/>
      <c r="BK121" s="863"/>
      <c r="BL121" s="863"/>
      <c r="BM121" s="868"/>
      <c r="BN121" s="863"/>
      <c r="BO121" s="863"/>
      <c r="BP121" s="863"/>
      <c r="BQ121" s="863"/>
      <c r="BR121" s="863"/>
      <c r="BS121" s="868"/>
      <c r="BT121" s="863"/>
      <c r="BU121" s="863"/>
      <c r="BV121" s="863"/>
      <c r="BW121" s="863"/>
      <c r="BX121" s="863"/>
      <c r="BY121" s="868"/>
      <c r="BZ121" s="863"/>
      <c r="CA121" s="863"/>
      <c r="CB121" s="863"/>
      <c r="CC121" s="863"/>
      <c r="CD121" s="863"/>
      <c r="CE121" s="868"/>
      <c r="CF121" s="863"/>
      <c r="CG121" s="863"/>
      <c r="CH121" s="863"/>
      <c r="CI121" s="863"/>
      <c r="CJ121" s="863"/>
      <c r="CK121" s="868"/>
      <c r="CL121" s="863"/>
      <c r="CM121" s="863"/>
      <c r="CN121" s="863"/>
      <c r="CO121" s="863"/>
      <c r="CP121" s="863"/>
      <c r="CQ121" s="868"/>
      <c r="CR121" s="863"/>
      <c r="CS121" s="863"/>
      <c r="CT121" s="863"/>
      <c r="CU121" s="863"/>
      <c r="CV121" s="863"/>
      <c r="CW121" s="868"/>
      <c r="CX121" s="863"/>
      <c r="CY121" s="863"/>
      <c r="CZ121" s="863"/>
      <c r="DA121" s="863"/>
      <c r="DB121" s="863"/>
      <c r="DC121" s="868"/>
      <c r="DD121" s="863"/>
      <c r="DE121" s="863"/>
      <c r="DF121" s="863"/>
      <c r="DG121" s="863"/>
      <c r="DH121" s="863"/>
      <c r="DI121" s="868"/>
      <c r="DJ121" s="863"/>
      <c r="DK121" s="863"/>
      <c r="DL121" s="863"/>
      <c r="DM121" s="863"/>
      <c r="DN121" s="863"/>
      <c r="DO121" s="868"/>
      <c r="DP121" s="746"/>
      <c r="DW121" s="1824"/>
    </row>
    <row r="122" spans="1:127" ht="13.5" hidden="1" customHeight="1" outlineLevel="1">
      <c r="A122" s="742" t="s">
        <v>633</v>
      </c>
      <c r="B122" s="743"/>
      <c r="C122" s="669"/>
      <c r="D122" s="669"/>
      <c r="E122" s="669"/>
      <c r="F122" s="669"/>
      <c r="G122" s="669"/>
      <c r="H122" s="669"/>
      <c r="I122" s="669"/>
      <c r="J122" s="669"/>
      <c r="K122" s="669"/>
      <c r="L122" s="669"/>
      <c r="M122" s="669"/>
      <c r="N122" s="669"/>
      <c r="O122" s="669"/>
      <c r="P122" s="669"/>
      <c r="Q122" s="669"/>
      <c r="R122" s="669"/>
      <c r="S122" s="288"/>
      <c r="T122" s="288"/>
      <c r="U122" s="256"/>
      <c r="V122" s="669"/>
      <c r="W122" s="744"/>
      <c r="X122" s="669"/>
      <c r="Y122" s="669"/>
      <c r="Z122" s="669"/>
      <c r="AA122" s="669"/>
      <c r="AB122" s="669"/>
      <c r="AC122" s="745"/>
      <c r="AD122" s="669"/>
      <c r="AE122" s="669"/>
      <c r="AF122" s="669"/>
      <c r="AG122" s="669"/>
      <c r="AH122" s="669"/>
      <c r="AI122" s="670"/>
      <c r="AJ122" s="669"/>
      <c r="AK122" s="669"/>
      <c r="AL122" s="669"/>
      <c r="AM122" s="669"/>
      <c r="AN122" s="669"/>
      <c r="AO122" s="670"/>
      <c r="AP122" s="669"/>
      <c r="AQ122" s="669"/>
      <c r="AR122" s="669"/>
      <c r="AS122" s="669"/>
      <c r="AT122" s="669"/>
      <c r="AU122" s="670"/>
      <c r="AV122" s="669"/>
      <c r="AW122" s="307"/>
      <c r="AX122" s="256">
        <v>316.06</v>
      </c>
      <c r="AY122" s="256">
        <v>330.55</v>
      </c>
      <c r="AZ122" s="256">
        <v>354.05</v>
      </c>
      <c r="BA122" s="258">
        <v>723.16</v>
      </c>
      <c r="BB122" s="256"/>
      <c r="BC122" s="256">
        <v>376.81</v>
      </c>
      <c r="BD122" s="256">
        <v>394.37200000000001</v>
      </c>
      <c r="BE122" s="256">
        <v>429.08699999999999</v>
      </c>
      <c r="BF122" s="256">
        <v>453.26</v>
      </c>
      <c r="BG122" s="258">
        <v>1652.96</v>
      </c>
      <c r="BH122" s="256"/>
      <c r="BI122" s="256">
        <v>482.44</v>
      </c>
      <c r="BJ122" s="256">
        <v>528.63</v>
      </c>
      <c r="BK122" s="256">
        <v>572</v>
      </c>
      <c r="BL122" s="256">
        <v>622.48</v>
      </c>
      <c r="BM122" s="258">
        <v>2256.7199999999998</v>
      </c>
      <c r="BN122" s="256"/>
      <c r="BO122" s="256">
        <v>661.64</v>
      </c>
      <c r="BP122" s="256">
        <v>703.39</v>
      </c>
      <c r="BQ122" s="256">
        <v>748.28</v>
      </c>
      <c r="BR122" s="256">
        <v>791.88</v>
      </c>
      <c r="BS122" s="258">
        <v>2905.33</v>
      </c>
      <c r="BT122" s="256"/>
      <c r="BU122" s="256">
        <v>887.12</v>
      </c>
      <c r="BV122" s="256">
        <v>938.27</v>
      </c>
      <c r="BW122" s="256">
        <v>1054.42</v>
      </c>
      <c r="BX122" s="256">
        <v>1129.97</v>
      </c>
      <c r="BY122" s="258">
        <v>4055.57</v>
      </c>
      <c r="BZ122" s="256"/>
      <c r="CA122" s="256">
        <v>1187.33</v>
      </c>
      <c r="CB122" s="256">
        <v>938.27</v>
      </c>
      <c r="CC122" s="256">
        <v>1366.68</v>
      </c>
      <c r="CD122" s="256">
        <v>1453.31</v>
      </c>
      <c r="CE122" s="258">
        <v>5335.87</v>
      </c>
      <c r="CF122" s="256"/>
      <c r="CG122" s="256"/>
      <c r="CH122" s="256"/>
      <c r="CI122" s="256" t="str">
        <f>_xll.ThomsonONEAddinShim.SpreadsheetFormulas.TF("CRM","TF.ES.SALES.Mean(period=3FQ2016,scale=6)","")</f>
        <v>Manual Calculation</v>
      </c>
      <c r="CJ122" s="256" t="str">
        <f>_xll.ThomsonONEAddinShim.SpreadsheetFormulas.TF("CRM","TF.ES.SALES.Mean(period=4FQ2016,scale=6)","")</f>
        <v>Manual Calculation</v>
      </c>
      <c r="CK122" s="258">
        <f>_xll.ThomsonONEAddinShim.SpreadsheetFormulas.TF("CRM","TF.ES.SALES.Mean(period=FY2016,scale=6)","")</f>
        <v>6648.8</v>
      </c>
      <c r="CL122" s="256"/>
      <c r="CM122" s="256" t="str">
        <f>_xll.ThomsonONEAddinShim.SpreadsheetFormulas.TF("CRM","TF.ES.SALES.Mean(period=1FQ2017,scale=6)","")</f>
        <v>Manual Calculation</v>
      </c>
      <c r="CN122" s="256" t="str">
        <f>_xll.ThomsonONEAddinShim.SpreadsheetFormulas.TF("CRM","TF.ES.SALES.Mean(period=2FQ2017,scale=6)","")</f>
        <v>Manual Calculation</v>
      </c>
      <c r="CO122" s="256" t="str">
        <f>_xll.ThomsonONEAddinShim.SpreadsheetFormulas.TF("CRM","TF.ES.SALES.Mean(period=3FQ2017,scale=6)","")</f>
        <v>Manual Calculation</v>
      </c>
      <c r="CP122" s="256" t="str">
        <f>_xll.ThomsonONEAddinShim.SpreadsheetFormulas.TF("CRM","TF.ES.SALES.Mean(period=4FQ2017,scale=6)","")</f>
        <v>Manual Calculation</v>
      </c>
      <c r="CQ122" s="258">
        <f>_xll.ThomsonONEAddinShim.SpreadsheetFormulas.TF("CRM","TF.ES.SALES.Mean(period=FY2017,scale=6)","")</f>
        <v>8372.6</v>
      </c>
      <c r="CR122" s="256"/>
      <c r="CS122" s="256"/>
      <c r="CT122" s="256"/>
      <c r="CU122" s="256"/>
      <c r="CV122" s="256"/>
      <c r="CW122" s="258"/>
      <c r="CX122" s="256"/>
      <c r="CY122" s="256"/>
      <c r="CZ122" s="256"/>
      <c r="DA122" s="256"/>
      <c r="DB122" s="256"/>
      <c r="DC122" s="258"/>
      <c r="DD122" s="256"/>
      <c r="DE122" s="256"/>
      <c r="DF122" s="256"/>
      <c r="DG122" s="256"/>
      <c r="DH122" s="256"/>
      <c r="DI122" s="258"/>
      <c r="DJ122" s="256"/>
      <c r="DK122" s="256"/>
      <c r="DL122" s="256"/>
      <c r="DM122" s="256"/>
      <c r="DN122" s="256"/>
      <c r="DO122" s="258"/>
      <c r="DP122" s="746"/>
      <c r="DW122" s="1824"/>
    </row>
    <row r="123" spans="1:127" ht="13.5" hidden="1" customHeight="1" outlineLevel="1">
      <c r="A123" s="742" t="s">
        <v>975</v>
      </c>
      <c r="B123" s="743"/>
      <c r="C123" s="669"/>
      <c r="D123" s="669"/>
      <c r="E123" s="669"/>
      <c r="F123" s="669"/>
      <c r="G123" s="669"/>
      <c r="H123" s="669"/>
      <c r="I123" s="669"/>
      <c r="J123" s="669"/>
      <c r="K123" s="669"/>
      <c r="L123" s="669"/>
      <c r="M123" s="669"/>
      <c r="N123" s="669"/>
      <c r="O123" s="669"/>
      <c r="P123" s="669"/>
      <c r="Q123" s="669"/>
      <c r="R123" s="669"/>
      <c r="S123" s="288"/>
      <c r="T123" s="288"/>
      <c r="U123" s="256"/>
      <c r="V123" s="669"/>
      <c r="W123" s="744"/>
      <c r="X123" s="669"/>
      <c r="Y123" s="669"/>
      <c r="Z123" s="669"/>
      <c r="AA123" s="669"/>
      <c r="AB123" s="669"/>
      <c r="AC123" s="745"/>
      <c r="AD123" s="669"/>
      <c r="AE123" s="669"/>
      <c r="AF123" s="669"/>
      <c r="AG123" s="669"/>
      <c r="AH123" s="669"/>
      <c r="AI123" s="670"/>
      <c r="AJ123" s="669"/>
      <c r="AK123" s="669"/>
      <c r="AL123" s="669"/>
      <c r="AM123" s="669"/>
      <c r="AN123" s="669"/>
      <c r="AO123" s="670"/>
      <c r="AP123" s="669"/>
      <c r="AQ123" s="307"/>
      <c r="AR123" s="307"/>
      <c r="AS123" s="307"/>
      <c r="AT123" s="747"/>
      <c r="AU123" s="315"/>
      <c r="AV123" s="669"/>
      <c r="AW123" s="307"/>
      <c r="AX123" s="256">
        <v>52.566000000000003</v>
      </c>
      <c r="AY123" s="256">
        <v>52.74799999999999</v>
      </c>
      <c r="AZ123" s="256">
        <v>54.372000000000014</v>
      </c>
      <c r="BA123" s="258">
        <v>118.17</v>
      </c>
      <c r="BB123" s="256"/>
      <c r="BC123" s="256">
        <v>62.02</v>
      </c>
      <c r="BD123" s="256">
        <v>61.413000000000011</v>
      </c>
      <c r="BE123" s="256">
        <v>65.968999999999994</v>
      </c>
      <c r="BF123" s="256">
        <v>54.21</v>
      </c>
      <c r="BG123" s="258">
        <v>243.02</v>
      </c>
      <c r="BH123" s="256"/>
      <c r="BI123" s="256">
        <v>55.63</v>
      </c>
      <c r="BJ123" s="256">
        <v>56.7</v>
      </c>
      <c r="BK123" s="256">
        <v>63.06</v>
      </c>
      <c r="BL123" s="256">
        <v>81.36</v>
      </c>
      <c r="BM123" s="258">
        <v>259.39999999999998</v>
      </c>
      <c r="BN123" s="256"/>
      <c r="BO123" s="256">
        <v>83.2</v>
      </c>
      <c r="BP123" s="256">
        <v>90.1</v>
      </c>
      <c r="BQ123" s="256">
        <v>95.18</v>
      </c>
      <c r="BR123" s="256">
        <v>109.88</v>
      </c>
      <c r="BS123" s="258">
        <v>378.29</v>
      </c>
      <c r="BT123" s="256"/>
      <c r="BU123" s="256">
        <v>99.52</v>
      </c>
      <c r="BV123" s="256">
        <v>66.849999999999994</v>
      </c>
      <c r="BW123" s="256">
        <v>94.24</v>
      </c>
      <c r="BX123" s="256">
        <v>72.77</v>
      </c>
      <c r="BY123" s="258">
        <v>356.02</v>
      </c>
      <c r="BZ123" s="256"/>
      <c r="CA123" s="256">
        <v>107.2</v>
      </c>
      <c r="CB123" s="256">
        <v>66.849999999999994</v>
      </c>
      <c r="CC123" s="256">
        <v>140.31</v>
      </c>
      <c r="CD123" s="256">
        <v>164.8</v>
      </c>
      <c r="CE123" s="258">
        <v>555.49</v>
      </c>
      <c r="CF123" s="256"/>
      <c r="CG123" s="256"/>
      <c r="CH123" s="256"/>
      <c r="CI123" s="256" t="str">
        <f>_xll.ThomsonONEAddinShim.SpreadsheetFormulas.TF("CRM","TF.ES.EBIT.Mean(period=3FQ2016,scale=6)","")</f>
        <v>Manual Calculation</v>
      </c>
      <c r="CJ123" s="256" t="str">
        <f>_xll.ThomsonONEAddinShim.SpreadsheetFormulas.TF("CRM","TF.ES.EBIT.Mean(period=4FQ2016,scale=6)","")</f>
        <v>Manual Calculation</v>
      </c>
      <c r="CK123" s="258">
        <f>_xll.ThomsonONEAddinShim.SpreadsheetFormulas.TF("CRM","TF.ES.EBIT.Mean(period=FY2016,scale=6)","")</f>
        <v>819</v>
      </c>
      <c r="CL123" s="256"/>
      <c r="CM123" s="256" t="str">
        <f>_xll.ThomsonONEAddinShim.SpreadsheetFormulas.TF("CRM","TF.ES.EBIT.Mean(period=1FQ2017,scale=6)","")</f>
        <v>Manual Calculation</v>
      </c>
      <c r="CN123" s="256" t="str">
        <f>_xll.ThomsonONEAddinShim.SpreadsheetFormulas.TF("CRM","TF.ES.EBIT.Mean(period=2FQ2017,scale=6)","")</f>
        <v>Manual Calculation</v>
      </c>
      <c r="CO123" s="256" t="str">
        <f>_xll.ThomsonONEAddinShim.SpreadsheetFormulas.TF("CRM","TF.ES.EBIT.Mean(period=3FQ2017,scale=6)","")</f>
        <v>Manual Calculation</v>
      </c>
      <c r="CP123" s="256" t="str">
        <f>_xll.ThomsonONEAddinShim.SpreadsheetFormulas.TF("CRM","TF.ES.EBIT.Mean(period=4FQ2017,scale=6)","")</f>
        <v>Manual Calculation</v>
      </c>
      <c r="CQ123" s="258">
        <f>_xll.ThomsonONEAddinShim.SpreadsheetFormulas.TF("CRM","TF.ES.EBIT.Mean(period=FY2017,scale=6)","")</f>
        <v>1099.5999999999999</v>
      </c>
      <c r="CR123" s="256"/>
      <c r="CS123" s="256"/>
      <c r="CT123" s="256"/>
      <c r="CU123" s="256"/>
      <c r="CV123" s="256"/>
      <c r="CW123" s="258"/>
      <c r="CX123" s="256"/>
      <c r="CY123" s="256"/>
      <c r="CZ123" s="256"/>
      <c r="DA123" s="256"/>
      <c r="DB123" s="256"/>
      <c r="DC123" s="258"/>
      <c r="DD123" s="256"/>
      <c r="DE123" s="256"/>
      <c r="DF123" s="256"/>
      <c r="DG123" s="256"/>
      <c r="DH123" s="256"/>
      <c r="DI123" s="258"/>
      <c r="DJ123" s="256"/>
      <c r="DK123" s="256"/>
      <c r="DL123" s="256"/>
      <c r="DM123" s="256"/>
      <c r="DN123" s="256"/>
      <c r="DO123" s="258"/>
      <c r="DP123" s="746"/>
      <c r="DW123" s="1824"/>
    </row>
    <row r="124" spans="1:127" ht="13.5" hidden="1" customHeight="1" outlineLevel="1">
      <c r="A124" s="742" t="s">
        <v>362</v>
      </c>
      <c r="B124" s="743"/>
      <c r="C124" s="669"/>
      <c r="D124" s="669"/>
      <c r="E124" s="669"/>
      <c r="F124" s="669"/>
      <c r="G124" s="669"/>
      <c r="H124" s="669"/>
      <c r="I124" s="669"/>
      <c r="J124" s="669"/>
      <c r="K124" s="669"/>
      <c r="L124" s="669"/>
      <c r="M124" s="669"/>
      <c r="N124" s="669"/>
      <c r="O124" s="669"/>
      <c r="P124" s="669"/>
      <c r="Q124" s="669"/>
      <c r="R124" s="669"/>
      <c r="S124" s="288"/>
      <c r="T124" s="288"/>
      <c r="U124" s="256"/>
      <c r="V124" s="669"/>
      <c r="W124" s="744"/>
      <c r="X124" s="669"/>
      <c r="Y124" s="669"/>
      <c r="Z124" s="669"/>
      <c r="AA124" s="669"/>
      <c r="AB124" s="669"/>
      <c r="AC124" s="745"/>
      <c r="AD124" s="669"/>
      <c r="AE124" s="669"/>
      <c r="AF124" s="669"/>
      <c r="AG124" s="669"/>
      <c r="AH124" s="669"/>
      <c r="AI124" s="670"/>
      <c r="AJ124" s="669"/>
      <c r="AK124" s="669"/>
      <c r="AL124" s="669"/>
      <c r="AM124" s="669"/>
      <c r="AN124" s="669"/>
      <c r="AO124" s="670"/>
      <c r="AP124" s="669"/>
      <c r="AQ124" s="307"/>
      <c r="AR124" s="307"/>
      <c r="AS124" s="307"/>
      <c r="AT124" s="747"/>
      <c r="AU124" s="315"/>
      <c r="AV124" s="669"/>
      <c r="AW124" s="307"/>
      <c r="AX124" s="748">
        <f>AX123/AX122</f>
        <v>0.16631652217933304</v>
      </c>
      <c r="AY124" s="748">
        <f>AY123/AY122</f>
        <v>0.15957646346997426</v>
      </c>
      <c r="AZ124" s="748">
        <f>AZ123/AZ122</f>
        <v>0.15357152944499369</v>
      </c>
      <c r="BA124" s="258"/>
      <c r="BB124" s="256"/>
      <c r="BC124" s="748">
        <f>BC123/BC122</f>
        <v>0.16459223481330115</v>
      </c>
      <c r="BD124" s="748">
        <f>BD123/BD122</f>
        <v>0.15572353006805759</v>
      </c>
      <c r="BE124" s="748">
        <f>BE123/BE122</f>
        <v>0.15374271418150631</v>
      </c>
      <c r="BF124" s="748">
        <f>BF123/BF122</f>
        <v>0.11960022944888143</v>
      </c>
      <c r="BG124" s="749">
        <f>BG123/BG122</f>
        <v>0.1470211015390572</v>
      </c>
      <c r="BH124" s="256"/>
      <c r="BI124" s="748">
        <f>BI123/BI122</f>
        <v>0.11530967581460908</v>
      </c>
      <c r="BJ124" s="748">
        <f>BJ123/BJ122</f>
        <v>0.10725838488167529</v>
      </c>
      <c r="BK124" s="748">
        <f>BK123/BK122</f>
        <v>0.11024475524475524</v>
      </c>
      <c r="BL124" s="748">
        <f>BL123/BL122</f>
        <v>0.13070299447371803</v>
      </c>
      <c r="BM124" s="749">
        <f>BM123/BM122</f>
        <v>0.11494558474245808</v>
      </c>
      <c r="BN124" s="256"/>
      <c r="BO124" s="748">
        <f>BO123/BO122</f>
        <v>0.12574814098301193</v>
      </c>
      <c r="BP124" s="748">
        <f>BP123/BP122</f>
        <v>0.1280939450376036</v>
      </c>
      <c r="BQ124" s="748">
        <f>BQ123/BQ122</f>
        <v>0.12719837493986211</v>
      </c>
      <c r="BR124" s="748">
        <f>BR123/BR122</f>
        <v>0.13875839773703086</v>
      </c>
      <c r="BS124" s="749">
        <f>BS123/BS122</f>
        <v>0.13020551882230247</v>
      </c>
      <c r="BT124" s="256"/>
      <c r="BU124" s="748">
        <f>BU123/BU122</f>
        <v>0.11218324465686716</v>
      </c>
      <c r="BV124" s="748">
        <f>BV123/BV122</f>
        <v>7.1248148187621901E-2</v>
      </c>
      <c r="BW124" s="748">
        <f>BW123/BW122</f>
        <v>8.9376149921283732E-2</v>
      </c>
      <c r="BX124" s="748">
        <f>BX123/BX122</f>
        <v>6.4399939821411178E-2</v>
      </c>
      <c r="BY124" s="749">
        <f>BY123/BY122</f>
        <v>8.778544076418357E-2</v>
      </c>
      <c r="BZ124" s="256"/>
      <c r="CA124" s="748">
        <f>CA123/CA122</f>
        <v>9.0286609451458319E-2</v>
      </c>
      <c r="CB124" s="748">
        <f>CB123/CB122</f>
        <v>7.1248148187621901E-2</v>
      </c>
      <c r="CC124" s="748">
        <f>CC123/CC122</f>
        <v>0.1026648520502239</v>
      </c>
      <c r="CD124" s="748">
        <f>CD123/CD122</f>
        <v>0.11339631599589903</v>
      </c>
      <c r="CE124" s="749">
        <f>CE123/CE122</f>
        <v>0.10410486012590262</v>
      </c>
      <c r="CF124" s="256"/>
      <c r="CG124" s="748"/>
      <c r="CH124" s="748"/>
      <c r="CI124" s="748"/>
      <c r="CJ124" s="748"/>
      <c r="CK124" s="749"/>
      <c r="CL124" s="256"/>
      <c r="CM124" s="748"/>
      <c r="CN124" s="748"/>
      <c r="CO124" s="748"/>
      <c r="CP124" s="748"/>
      <c r="CQ124" s="749"/>
      <c r="CR124" s="256"/>
      <c r="CS124" s="748"/>
      <c r="CT124" s="748"/>
      <c r="CU124" s="748"/>
      <c r="CV124" s="748"/>
      <c r="CW124" s="749"/>
      <c r="CX124" s="256"/>
      <c r="CY124" s="748"/>
      <c r="CZ124" s="748"/>
      <c r="DA124" s="748"/>
      <c r="DB124" s="748"/>
      <c r="DC124" s="749"/>
      <c r="DD124" s="256"/>
      <c r="DE124" s="748"/>
      <c r="DF124" s="748"/>
      <c r="DG124" s="748"/>
      <c r="DH124" s="748"/>
      <c r="DI124" s="749"/>
      <c r="DJ124" s="256"/>
      <c r="DK124" s="748"/>
      <c r="DL124" s="748"/>
      <c r="DM124" s="748"/>
      <c r="DN124" s="748"/>
      <c r="DO124" s="749"/>
      <c r="DP124" s="746"/>
      <c r="DW124" s="1824"/>
    </row>
    <row r="125" spans="1:127" ht="13.5" hidden="1" customHeight="1" outlineLevel="1">
      <c r="A125" s="750" t="s">
        <v>605</v>
      </c>
      <c r="B125" s="751"/>
      <c r="C125" s="752"/>
      <c r="D125" s="752"/>
      <c r="E125" s="752"/>
      <c r="F125" s="752"/>
      <c r="G125" s="752"/>
      <c r="H125" s="752"/>
      <c r="I125" s="752"/>
      <c r="J125" s="752"/>
      <c r="K125" s="752"/>
      <c r="L125" s="752"/>
      <c r="M125" s="752"/>
      <c r="N125" s="752"/>
      <c r="O125" s="752"/>
      <c r="P125" s="752"/>
      <c r="Q125" s="752"/>
      <c r="R125" s="752"/>
      <c r="S125" s="753"/>
      <c r="T125" s="753"/>
      <c r="U125" s="754"/>
      <c r="V125" s="752"/>
      <c r="W125" s="755"/>
      <c r="X125" s="752"/>
      <c r="Y125" s="752"/>
      <c r="Z125" s="752"/>
      <c r="AA125" s="752"/>
      <c r="AB125" s="752"/>
      <c r="AC125" s="756"/>
      <c r="AD125" s="752"/>
      <c r="AE125" s="752"/>
      <c r="AF125" s="752"/>
      <c r="AG125" s="752"/>
      <c r="AH125" s="752"/>
      <c r="AI125" s="757"/>
      <c r="AJ125" s="752"/>
      <c r="AK125" s="752"/>
      <c r="AL125" s="752"/>
      <c r="AM125" s="752"/>
      <c r="AN125" s="752"/>
      <c r="AO125" s="757"/>
      <c r="AP125" s="752"/>
      <c r="AQ125" s="758"/>
      <c r="AR125" s="758"/>
      <c r="AS125" s="758"/>
      <c r="AT125" s="759"/>
      <c r="AU125" s="760"/>
      <c r="AV125" s="752"/>
      <c r="AW125" s="758"/>
      <c r="AX125" s="758">
        <v>0.27902659482009384</v>
      </c>
      <c r="AY125" s="758">
        <v>0.26306681389778835</v>
      </c>
      <c r="AZ125" s="758">
        <v>0.28593678024593117</v>
      </c>
      <c r="BA125" s="761">
        <v>0.53</v>
      </c>
      <c r="BB125" s="758"/>
      <c r="BC125" s="762">
        <v>0.3</v>
      </c>
      <c r="BD125" s="762">
        <v>0.28868053899356078</v>
      </c>
      <c r="BE125" s="762">
        <v>0.32364058258661449</v>
      </c>
      <c r="BF125" s="758">
        <v>0.30720618549347711</v>
      </c>
      <c r="BG125" s="761">
        <v>1.17</v>
      </c>
      <c r="BH125" s="758"/>
      <c r="BI125" s="758">
        <v>0.27</v>
      </c>
      <c r="BJ125" s="758">
        <v>0.3</v>
      </c>
      <c r="BK125" s="758">
        <v>0.31</v>
      </c>
      <c r="BL125" s="762">
        <v>0.4</v>
      </c>
      <c r="BM125" s="760">
        <v>1.33</v>
      </c>
      <c r="BN125" s="758"/>
      <c r="BO125" s="758">
        <v>0.36</v>
      </c>
      <c r="BP125" s="758">
        <v>0.39</v>
      </c>
      <c r="BQ125" s="758">
        <v>0.41</v>
      </c>
      <c r="BR125" s="758">
        <v>0.47</v>
      </c>
      <c r="BS125" s="760">
        <v>1.63</v>
      </c>
      <c r="BT125" s="758"/>
      <c r="BU125" s="758">
        <v>0.1</v>
      </c>
      <c r="BV125" s="758">
        <v>7.0000000000000007E-2</v>
      </c>
      <c r="BW125" s="758">
        <v>0.09</v>
      </c>
      <c r="BX125" s="758">
        <v>0.06</v>
      </c>
      <c r="BY125" s="760">
        <v>0.34</v>
      </c>
      <c r="BZ125" s="758"/>
      <c r="CA125" s="758">
        <v>0.1</v>
      </c>
      <c r="CB125" s="758">
        <v>7.0000000000000007E-2</v>
      </c>
      <c r="CC125" s="758">
        <v>0.13</v>
      </c>
      <c r="CD125" s="758">
        <v>0.15</v>
      </c>
      <c r="CE125" s="761">
        <v>0.51</v>
      </c>
      <c r="CF125" s="758"/>
      <c r="CG125" s="758"/>
      <c r="CH125" s="758"/>
      <c r="CI125" s="1677" t="str">
        <f>_xll.ThomsonONEAddinShim.SpreadsheetFormulas.TF("CRM","TF.ES.EPS.Mean(period=3FQ2016)","")</f>
        <v xml:space="preserve">                                                       $ 0.19                                                       </v>
      </c>
      <c r="CJ125" s="758" t="str">
        <f>_xll.ThomsonONEAddinShim.SpreadsheetFormulas.TF("CRM","TF.ES.EPS.Mean(period=4FQ2016)","")</f>
        <v>Manual Calculation</v>
      </c>
      <c r="CK125" s="760">
        <f>_xll.ThomsonONEAddinShim.SpreadsheetFormulas.TF("CRM","TF.ES.EPS.Mean(period=FY2016)","")</f>
        <v>0.75270000000000004</v>
      </c>
      <c r="CL125" s="758"/>
      <c r="CM125" s="1677" t="str">
        <f>_xll.ThomsonONEAddinShim.SpreadsheetFormulas.TF("CRM","TF.ES.EPS.Mean(period=1FQ2017)","")</f>
        <v xml:space="preserve">                                                       $ 0.23                                                       </v>
      </c>
      <c r="CN125" s="1677" t="str">
        <f>_xll.ThomsonONEAddinShim.SpreadsheetFormulas.TF("CRM","TF.ES.EPS.Mean(period=2FQ2017)","")</f>
        <v xml:space="preserve">                                                       $  0.22                                                       </v>
      </c>
      <c r="CO125" s="1677" t="str">
        <f>_xll.ThomsonONEAddinShim.SpreadsheetFormulas.TF("CRM","TF.ES.EPS.Mean(period=3FQ2017)","")</f>
        <v xml:space="preserve">                                                       $ 0.21                                                       </v>
      </c>
      <c r="CP125" s="1677" t="str">
        <f>_xll.ThomsonONEAddinShim.SpreadsheetFormulas.TF("CRM","TF.ES.EPS.Mean(period=4FQ2017)","")</f>
        <v xml:space="preserve">                                                       $ 0.25                                                       </v>
      </c>
      <c r="CQ125" s="760">
        <f>_xll.ThomsonONEAddinShim.SpreadsheetFormulas.TF("CRM","TF.ES.EPS.Mean(period=FY2017)","")</f>
        <v>0.97929999999999995</v>
      </c>
      <c r="CR125" s="758"/>
      <c r="CS125" s="758"/>
      <c r="CT125" s="758"/>
      <c r="CU125" s="758"/>
      <c r="CV125" s="758"/>
      <c r="CW125" s="760"/>
      <c r="CX125" s="758"/>
      <c r="CY125" s="758"/>
      <c r="CZ125" s="758"/>
      <c r="DA125" s="758"/>
      <c r="DB125" s="758"/>
      <c r="DC125" s="760"/>
      <c r="DD125" s="758"/>
      <c r="DE125" s="758"/>
      <c r="DF125" s="758"/>
      <c r="DG125" s="758"/>
      <c r="DH125" s="758"/>
      <c r="DI125" s="760"/>
      <c r="DJ125" s="758"/>
      <c r="DK125" s="758"/>
      <c r="DL125" s="758"/>
      <c r="DM125" s="758"/>
      <c r="DN125" s="758"/>
      <c r="DO125" s="760"/>
      <c r="DP125" s="746"/>
      <c r="DW125" s="1824"/>
    </row>
    <row r="126" spans="1:127" ht="13.5" hidden="1" customHeight="1" outlineLevel="1">
      <c r="A126" s="726"/>
      <c r="B126" s="732"/>
      <c r="C126" s="746"/>
      <c r="D126" s="746"/>
      <c r="E126" s="746"/>
      <c r="F126" s="746"/>
      <c r="G126" s="746"/>
      <c r="H126" s="746"/>
      <c r="I126" s="746"/>
      <c r="J126" s="746"/>
      <c r="K126" s="746"/>
      <c r="L126" s="746"/>
      <c r="M126" s="746"/>
      <c r="N126" s="746"/>
      <c r="O126" s="746"/>
      <c r="P126" s="746"/>
      <c r="Q126" s="746"/>
      <c r="R126" s="746"/>
      <c r="S126" s="299"/>
      <c r="T126" s="299"/>
      <c r="U126" s="763"/>
      <c r="V126" s="746"/>
      <c r="W126" s="764"/>
      <c r="X126" s="746"/>
      <c r="Y126" s="746"/>
      <c r="Z126" s="746"/>
      <c r="AA126" s="746"/>
      <c r="AB126" s="746"/>
      <c r="AC126" s="301"/>
      <c r="AD126" s="746"/>
      <c r="AE126" s="746"/>
      <c r="AF126" s="746"/>
      <c r="AG126" s="746"/>
      <c r="AH126" s="746"/>
      <c r="AI126" s="765"/>
      <c r="AJ126" s="746"/>
      <c r="AK126" s="746"/>
      <c r="AL126" s="746"/>
      <c r="AM126" s="746"/>
      <c r="AN126" s="746"/>
      <c r="AO126" s="765"/>
      <c r="AP126" s="746"/>
      <c r="AQ126" s="746"/>
      <c r="AR126" s="746"/>
      <c r="AS126" s="746"/>
      <c r="AT126" s="746"/>
      <c r="AU126" s="765"/>
      <c r="AV126" s="746"/>
      <c r="AW126" s="746"/>
      <c r="AX126" s="746"/>
      <c r="AY126" s="746"/>
      <c r="AZ126" s="746"/>
      <c r="BA126" s="765"/>
      <c r="BB126" s="746"/>
      <c r="BC126" s="746"/>
      <c r="BD126" s="746"/>
      <c r="BE126" s="746"/>
      <c r="BF126" s="746"/>
      <c r="BG126" s="765"/>
      <c r="BH126" s="746"/>
      <c r="BI126" s="746"/>
      <c r="BJ126" s="746"/>
      <c r="BK126" s="746"/>
      <c r="BL126" s="746"/>
      <c r="BM126" s="765"/>
      <c r="BN126" s="746"/>
      <c r="BO126" s="746"/>
      <c r="BP126" s="746"/>
      <c r="BQ126" s="746"/>
      <c r="BR126" s="746"/>
      <c r="BS126" s="765"/>
      <c r="BT126" s="746"/>
      <c r="BU126" s="746"/>
      <c r="BV126" s="746"/>
      <c r="BW126" s="746"/>
      <c r="BX126" s="746"/>
      <c r="BY126" s="765"/>
      <c r="BZ126" s="746"/>
      <c r="CA126" s="746"/>
      <c r="CB126" s="746"/>
      <c r="CC126" s="746"/>
      <c r="CD126" s="746"/>
      <c r="CE126" s="765"/>
      <c r="CF126" s="746"/>
      <c r="CG126" s="746"/>
      <c r="CH126" s="746"/>
      <c r="CI126" s="746"/>
      <c r="CJ126" s="746"/>
      <c r="CK126" s="765"/>
      <c r="CL126" s="746"/>
      <c r="CM126" s="746"/>
      <c r="CN126" s="746"/>
      <c r="CO126" s="746"/>
      <c r="CP126" s="746"/>
      <c r="CQ126" s="765"/>
      <c r="CR126" s="746"/>
      <c r="CS126" s="746"/>
      <c r="CT126" s="746"/>
      <c r="CU126" s="746"/>
      <c r="CV126" s="746"/>
      <c r="CW126" s="765"/>
      <c r="CX126" s="746"/>
      <c r="CY126" s="746"/>
      <c r="CZ126" s="746"/>
      <c r="DA126" s="746"/>
      <c r="DB126" s="746"/>
      <c r="DC126" s="765"/>
      <c r="DD126" s="746"/>
      <c r="DE126" s="746"/>
      <c r="DF126" s="746"/>
      <c r="DG126" s="746"/>
      <c r="DH126" s="746"/>
      <c r="DI126" s="765"/>
      <c r="DJ126" s="746"/>
      <c r="DK126" s="746"/>
      <c r="DL126" s="746"/>
      <c r="DM126" s="746"/>
      <c r="DN126" s="746"/>
      <c r="DO126" s="765"/>
      <c r="DP126" s="746"/>
      <c r="DW126" s="1824"/>
    </row>
    <row r="127" spans="1:127" ht="13.5" customHeight="1" collapsed="1">
      <c r="A127" s="766" t="s">
        <v>428</v>
      </c>
      <c r="B127" s="767"/>
      <c r="C127" s="768"/>
      <c r="D127" s="768"/>
      <c r="E127" s="768"/>
      <c r="F127" s="768"/>
      <c r="G127" s="768"/>
      <c r="H127" s="768"/>
      <c r="I127" s="768"/>
      <c r="J127" s="768"/>
      <c r="K127" s="768"/>
      <c r="L127" s="768"/>
      <c r="M127" s="768"/>
      <c r="N127" s="768"/>
      <c r="O127" s="768"/>
      <c r="P127" s="768"/>
      <c r="Q127" s="768"/>
      <c r="R127" s="768"/>
      <c r="S127" s="769"/>
      <c r="T127" s="769"/>
      <c r="U127" s="770"/>
      <c r="V127" s="768"/>
      <c r="W127" s="771"/>
      <c r="X127" s="768"/>
      <c r="Y127" s="768"/>
      <c r="Z127" s="768"/>
      <c r="AA127" s="768"/>
      <c r="AB127" s="768"/>
      <c r="AC127" s="772"/>
      <c r="AD127" s="768"/>
      <c r="AE127" s="768"/>
      <c r="AF127" s="768"/>
      <c r="AG127" s="768"/>
      <c r="AH127" s="768"/>
      <c r="AI127" s="773"/>
      <c r="AJ127" s="768"/>
      <c r="AK127" s="768"/>
      <c r="AL127" s="768"/>
      <c r="AM127" s="768"/>
      <c r="AN127" s="768"/>
      <c r="AO127" s="773"/>
      <c r="AP127" s="768"/>
      <c r="AQ127" s="768"/>
      <c r="AR127" s="768"/>
      <c r="AS127" s="768"/>
      <c r="AT127" s="768"/>
      <c r="AU127" s="773"/>
      <c r="AV127" s="768"/>
      <c r="AW127" s="768"/>
      <c r="AX127" s="768"/>
      <c r="AY127" s="768"/>
      <c r="AZ127" s="768"/>
      <c r="BA127" s="773"/>
      <c r="BB127" s="768"/>
      <c r="BC127" s="768"/>
      <c r="BD127" s="768"/>
      <c r="BE127" s="768"/>
      <c r="BF127" s="768"/>
      <c r="BG127" s="773"/>
      <c r="BH127" s="768"/>
      <c r="BI127" s="768"/>
      <c r="BJ127" s="768"/>
      <c r="BK127" s="768"/>
      <c r="BL127" s="768"/>
      <c r="BM127" s="773"/>
      <c r="BN127" s="768"/>
      <c r="BO127" s="768"/>
      <c r="BP127" s="768"/>
      <c r="BQ127" s="768"/>
      <c r="BR127" s="768"/>
      <c r="BS127" s="773"/>
      <c r="BT127" s="768"/>
      <c r="BU127" s="768"/>
      <c r="BV127" s="768"/>
      <c r="BW127" s="768"/>
      <c r="BX127" s="768"/>
      <c r="BY127" s="773"/>
      <c r="BZ127" s="768"/>
      <c r="CA127" s="768"/>
      <c r="CB127" s="768"/>
      <c r="CC127" s="768"/>
      <c r="CD127" s="768"/>
      <c r="CE127" s="773"/>
      <c r="CF127" s="768"/>
      <c r="CG127" s="768"/>
      <c r="CH127" s="768"/>
      <c r="CI127" s="768"/>
      <c r="CJ127" s="768"/>
      <c r="CK127" s="773"/>
      <c r="CL127" s="768"/>
      <c r="CM127" s="768"/>
      <c r="CN127" s="768"/>
      <c r="CO127" s="768"/>
      <c r="CP127" s="768"/>
      <c r="CQ127" s="773"/>
      <c r="CR127" s="768"/>
      <c r="CS127" s="768"/>
      <c r="CT127" s="768"/>
      <c r="CU127" s="768"/>
      <c r="CV127" s="768"/>
      <c r="CW127" s="773"/>
      <c r="CX127" s="768"/>
      <c r="CY127" s="768"/>
      <c r="CZ127" s="768"/>
      <c r="DA127" s="768"/>
      <c r="DB127" s="768"/>
      <c r="DC127" s="773"/>
      <c r="DD127" s="768"/>
      <c r="DE127" s="768"/>
      <c r="DF127" s="768"/>
      <c r="DG127" s="768"/>
      <c r="DH127" s="768"/>
      <c r="DI127" s="773"/>
      <c r="DJ127" s="768"/>
      <c r="DK127" s="768"/>
      <c r="DL127" s="768"/>
      <c r="DM127" s="768"/>
      <c r="DN127" s="768"/>
      <c r="DO127" s="773"/>
      <c r="DP127" s="746"/>
      <c r="DW127" s="1824"/>
    </row>
    <row r="128" spans="1:127" ht="13.5" customHeight="1">
      <c r="A128" s="297" t="s">
        <v>633</v>
      </c>
      <c r="B128" s="774"/>
      <c r="C128" s="746"/>
      <c r="D128" s="746"/>
      <c r="E128" s="746"/>
      <c r="F128" s="746"/>
      <c r="G128" s="746"/>
      <c r="H128" s="746"/>
      <c r="I128" s="746"/>
      <c r="J128" s="746"/>
      <c r="K128" s="746"/>
      <c r="L128" s="746"/>
      <c r="M128" s="746"/>
      <c r="N128" s="746"/>
      <c r="O128" s="746"/>
      <c r="P128" s="746"/>
      <c r="Q128" s="746"/>
      <c r="R128" s="746"/>
      <c r="S128" s="299"/>
      <c r="T128" s="299"/>
      <c r="U128" s="763"/>
      <c r="V128" s="746"/>
      <c r="W128" s="764"/>
      <c r="X128" s="746"/>
      <c r="Y128" s="746"/>
      <c r="Z128" s="746"/>
      <c r="AA128" s="746"/>
      <c r="AB128" s="746"/>
      <c r="AC128" s="301"/>
      <c r="AD128" s="746"/>
      <c r="AE128" s="746"/>
      <c r="AF128" s="746"/>
      <c r="AG128" s="746"/>
      <c r="AH128" s="746"/>
      <c r="AI128" s="765"/>
      <c r="AJ128" s="746"/>
      <c r="AK128" s="746"/>
      <c r="AL128" s="746"/>
      <c r="AM128" s="746"/>
      <c r="AN128" s="746"/>
      <c r="AO128" s="765"/>
      <c r="AP128" s="746"/>
      <c r="AQ128" s="339"/>
      <c r="AR128" s="339"/>
      <c r="AS128" s="339"/>
      <c r="AT128" s="775" t="s">
        <v>43</v>
      </c>
      <c r="AU128" s="776" t="s">
        <v>44</v>
      </c>
      <c r="AV128" s="746"/>
      <c r="AW128" s="339" t="s">
        <v>477</v>
      </c>
      <c r="AX128" s="339" t="s">
        <v>307</v>
      </c>
      <c r="AY128" s="339" t="s">
        <v>373</v>
      </c>
      <c r="AZ128" s="339" t="s">
        <v>376</v>
      </c>
      <c r="BA128" s="776" t="s">
        <v>450</v>
      </c>
      <c r="BB128" s="746"/>
      <c r="BC128" s="339" t="s">
        <v>497</v>
      </c>
      <c r="BD128" s="339" t="s">
        <v>678</v>
      </c>
      <c r="BE128" s="339" t="s">
        <v>850</v>
      </c>
      <c r="BF128" s="339" t="s">
        <v>310</v>
      </c>
      <c r="BG128" s="776" t="s">
        <v>313</v>
      </c>
      <c r="BH128" s="339"/>
      <c r="BI128" s="339" t="s">
        <v>423</v>
      </c>
      <c r="BJ128" s="339" t="s">
        <v>898</v>
      </c>
      <c r="BK128" s="339" t="s">
        <v>914</v>
      </c>
      <c r="BL128" s="339" t="s">
        <v>929</v>
      </c>
      <c r="BM128" s="777" t="s">
        <v>931</v>
      </c>
      <c r="BN128" s="339"/>
      <c r="BO128" s="778" t="s">
        <v>181</v>
      </c>
      <c r="BP128" s="339" t="s">
        <v>225</v>
      </c>
      <c r="BQ128" s="339" t="s">
        <v>709</v>
      </c>
      <c r="BR128" s="339" t="s">
        <v>484</v>
      </c>
      <c r="BS128" s="779" t="s">
        <v>485</v>
      </c>
      <c r="BT128" s="339"/>
      <c r="BU128" s="778" t="s">
        <v>19</v>
      </c>
      <c r="BV128" s="339" t="s">
        <v>727</v>
      </c>
      <c r="BW128" s="339" t="s">
        <v>958</v>
      </c>
      <c r="BX128" s="339" t="s">
        <v>806</v>
      </c>
      <c r="BY128" s="777" t="s">
        <v>808</v>
      </c>
      <c r="BZ128" s="339"/>
      <c r="CA128" s="339" t="s">
        <v>1019</v>
      </c>
      <c r="CB128" s="339" t="s">
        <v>1037</v>
      </c>
      <c r="CC128" s="339" t="s">
        <v>1047</v>
      </c>
      <c r="CD128" s="339" t="s">
        <v>1050</v>
      </c>
      <c r="CE128" s="777" t="s">
        <v>1053</v>
      </c>
      <c r="CF128" s="339"/>
      <c r="CG128" s="339" t="s">
        <v>1070</v>
      </c>
      <c r="CH128" s="339" t="s">
        <v>1081</v>
      </c>
      <c r="CI128" s="339" t="s">
        <v>1087</v>
      </c>
      <c r="CJ128" s="339" t="s">
        <v>1096</v>
      </c>
      <c r="CK128" s="777" t="s">
        <v>1095</v>
      </c>
      <c r="CL128" s="339"/>
      <c r="CM128" s="339" t="s">
        <v>1121</v>
      </c>
      <c r="CN128" s="339" t="s">
        <v>1130</v>
      </c>
      <c r="CO128" s="339" t="s">
        <v>1153</v>
      </c>
      <c r="CP128" s="339" t="s">
        <v>1177</v>
      </c>
      <c r="CQ128" s="777" t="s">
        <v>1180</v>
      </c>
      <c r="CR128" s="339"/>
      <c r="CS128" s="339" t="s">
        <v>1198</v>
      </c>
      <c r="CT128" s="339" t="s">
        <v>1202</v>
      </c>
      <c r="CU128" s="339" t="s">
        <v>1221</v>
      </c>
      <c r="CV128" s="339" t="s">
        <v>1229</v>
      </c>
      <c r="CW128" s="1914" t="s">
        <v>1231</v>
      </c>
      <c r="CX128" s="339"/>
      <c r="CY128" s="339" t="s">
        <v>1251</v>
      </c>
      <c r="CZ128" s="339"/>
      <c r="DA128" s="339"/>
      <c r="DB128" s="339"/>
      <c r="DC128" s="777" t="s">
        <v>1252</v>
      </c>
      <c r="DD128" s="339"/>
      <c r="DE128" s="339"/>
      <c r="DF128" s="339"/>
      <c r="DG128" s="339"/>
      <c r="DH128" s="339"/>
      <c r="DI128" s="777"/>
      <c r="DJ128" s="339"/>
      <c r="DK128" s="339"/>
      <c r="DL128" s="339"/>
      <c r="DM128" s="339"/>
      <c r="DN128" s="339"/>
      <c r="DO128" s="777"/>
      <c r="DP128" s="746"/>
      <c r="DW128" s="2019"/>
    </row>
    <row r="129" spans="1:127" ht="13.5" customHeight="1">
      <c r="A129" s="297" t="s">
        <v>1088</v>
      </c>
      <c r="B129" s="774"/>
      <c r="C129" s="746"/>
      <c r="D129" s="746"/>
      <c r="E129" s="746"/>
      <c r="F129" s="746"/>
      <c r="G129" s="746"/>
      <c r="H129" s="746"/>
      <c r="I129" s="746"/>
      <c r="J129" s="746"/>
      <c r="K129" s="746"/>
      <c r="L129" s="746"/>
      <c r="M129" s="746"/>
      <c r="N129" s="746"/>
      <c r="O129" s="746"/>
      <c r="P129" s="746"/>
      <c r="Q129" s="746"/>
      <c r="R129" s="746"/>
      <c r="S129" s="299"/>
      <c r="T129" s="299"/>
      <c r="U129" s="763"/>
      <c r="V129" s="746"/>
      <c r="W129" s="764"/>
      <c r="X129" s="746"/>
      <c r="Y129" s="746"/>
      <c r="Z129" s="746"/>
      <c r="AA129" s="746"/>
      <c r="AB129" s="746"/>
      <c r="AC129" s="301"/>
      <c r="AD129" s="746"/>
      <c r="AE129" s="746"/>
      <c r="AF129" s="746"/>
      <c r="AG129" s="746"/>
      <c r="AH129" s="746"/>
      <c r="AI129" s="765"/>
      <c r="AJ129" s="746"/>
      <c r="AK129" s="746"/>
      <c r="AL129" s="746"/>
      <c r="AM129" s="746"/>
      <c r="AN129" s="746"/>
      <c r="AO129" s="765"/>
      <c r="AP129" s="746"/>
      <c r="AQ129" s="339"/>
      <c r="AR129" s="339"/>
      <c r="AS129" s="339"/>
      <c r="AT129" s="775"/>
      <c r="AU129" s="776"/>
      <c r="AV129" s="746"/>
      <c r="AW129" s="339"/>
      <c r="AX129" s="339"/>
      <c r="AY129" s="339"/>
      <c r="AZ129" s="339"/>
      <c r="BA129" s="776"/>
      <c r="BB129" s="746"/>
      <c r="BC129" s="339"/>
      <c r="BD129" s="339"/>
      <c r="BE129" s="339"/>
      <c r="BF129" s="339"/>
      <c r="BG129" s="776"/>
      <c r="BH129" s="339"/>
      <c r="BI129" s="339"/>
      <c r="BJ129" s="339"/>
      <c r="BK129" s="339"/>
      <c r="BL129" s="339"/>
      <c r="BM129" s="777"/>
      <c r="BN129" s="339"/>
      <c r="BO129" s="778"/>
      <c r="BP129" s="339"/>
      <c r="BQ129" s="339"/>
      <c r="BR129" s="339"/>
      <c r="BS129" s="779"/>
      <c r="BT129" s="339"/>
      <c r="BU129" s="778"/>
      <c r="BV129" s="339"/>
      <c r="BW129" s="339"/>
      <c r="BX129" s="339"/>
      <c r="BY129" s="777"/>
      <c r="BZ129" s="339"/>
      <c r="CA129" s="339"/>
      <c r="CB129" s="339"/>
      <c r="CC129" s="339"/>
      <c r="CD129" s="339"/>
      <c r="CE129" s="777"/>
      <c r="CF129" s="339"/>
      <c r="CG129" s="339"/>
      <c r="CH129" s="339" t="s">
        <v>1090</v>
      </c>
      <c r="CI129" s="339" t="s">
        <v>1089</v>
      </c>
      <c r="CJ129" s="339" t="s">
        <v>1097</v>
      </c>
      <c r="CK129" s="777"/>
      <c r="CL129" s="339"/>
      <c r="CM129" s="339" t="s">
        <v>1091</v>
      </c>
      <c r="CN129" s="339" t="s">
        <v>1127</v>
      </c>
      <c r="CO129" s="1865" t="s">
        <v>1154</v>
      </c>
      <c r="CP129" s="339" t="s">
        <v>1178</v>
      </c>
      <c r="CQ129" s="777"/>
      <c r="CR129" s="339"/>
      <c r="CS129" s="339" t="s">
        <v>1199</v>
      </c>
      <c r="CT129" s="1934">
        <v>0.22</v>
      </c>
      <c r="CU129" s="339" t="s">
        <v>1222</v>
      </c>
      <c r="CV129" s="339" t="s">
        <v>1228</v>
      </c>
      <c r="CW129" s="777"/>
      <c r="CX129" s="339"/>
      <c r="CY129" s="339" t="s">
        <v>1250</v>
      </c>
      <c r="CZ129" s="339"/>
      <c r="DA129" s="339"/>
      <c r="DB129" s="339"/>
      <c r="DC129" s="777"/>
      <c r="DD129" s="339"/>
      <c r="DE129" s="339"/>
      <c r="DF129" s="339"/>
      <c r="DG129" s="339"/>
      <c r="DH129" s="339"/>
      <c r="DI129" s="777"/>
      <c r="DJ129" s="339"/>
      <c r="DK129" s="339"/>
      <c r="DL129" s="339"/>
      <c r="DM129" s="339"/>
      <c r="DN129" s="339"/>
      <c r="DO129" s="777"/>
      <c r="DP129" s="746"/>
    </row>
    <row r="130" spans="1:127" ht="13.5" customHeight="1">
      <c r="A130" s="297" t="s">
        <v>1092</v>
      </c>
      <c r="B130" s="774"/>
      <c r="C130" s="746"/>
      <c r="D130" s="746"/>
      <c r="E130" s="746"/>
      <c r="F130" s="746"/>
      <c r="G130" s="746"/>
      <c r="H130" s="746"/>
      <c r="I130" s="746"/>
      <c r="J130" s="746"/>
      <c r="K130" s="746"/>
      <c r="L130" s="746"/>
      <c r="M130" s="746"/>
      <c r="N130" s="746"/>
      <c r="O130" s="746"/>
      <c r="P130" s="746"/>
      <c r="Q130" s="746"/>
      <c r="R130" s="746"/>
      <c r="S130" s="299"/>
      <c r="T130" s="299"/>
      <c r="U130" s="763"/>
      <c r="V130" s="746"/>
      <c r="W130" s="764"/>
      <c r="X130" s="746"/>
      <c r="Y130" s="746"/>
      <c r="Z130" s="746"/>
      <c r="AA130" s="746"/>
      <c r="AB130" s="746"/>
      <c r="AC130" s="301"/>
      <c r="AD130" s="746"/>
      <c r="AE130" s="746"/>
      <c r="AF130" s="746"/>
      <c r="AG130" s="746"/>
      <c r="AH130" s="746"/>
      <c r="AI130" s="765"/>
      <c r="AJ130" s="746"/>
      <c r="AK130" s="746"/>
      <c r="AL130" s="746"/>
      <c r="AM130" s="746"/>
      <c r="AN130" s="746"/>
      <c r="AO130" s="765"/>
      <c r="AP130" s="746"/>
      <c r="AQ130" s="339"/>
      <c r="AR130" s="339"/>
      <c r="AS130" s="339"/>
      <c r="AT130" s="775"/>
      <c r="AU130" s="776"/>
      <c r="AV130" s="746"/>
      <c r="AW130" s="339"/>
      <c r="AX130" s="339"/>
      <c r="AY130" s="339"/>
      <c r="AZ130" s="339"/>
      <c r="BA130" s="776"/>
      <c r="BB130" s="746"/>
      <c r="BC130" s="339"/>
      <c r="BD130" s="339"/>
      <c r="BE130" s="339"/>
      <c r="BF130" s="339"/>
      <c r="BG130" s="776"/>
      <c r="BH130" s="339"/>
      <c r="BI130" s="339"/>
      <c r="BJ130" s="339"/>
      <c r="BK130" s="339"/>
      <c r="BL130" s="339"/>
      <c r="BM130" s="777"/>
      <c r="BN130" s="339"/>
      <c r="BO130" s="778"/>
      <c r="BP130" s="339"/>
      <c r="BQ130" s="339"/>
      <c r="BR130" s="339"/>
      <c r="BS130" s="779"/>
      <c r="BT130" s="339"/>
      <c r="BU130" s="778"/>
      <c r="BV130" s="339"/>
      <c r="BW130" s="339"/>
      <c r="BX130" s="339"/>
      <c r="BY130" s="777"/>
      <c r="BZ130" s="339"/>
      <c r="CA130" s="339"/>
      <c r="CB130" s="339"/>
      <c r="CC130" s="339"/>
      <c r="CD130" s="339"/>
      <c r="CE130" s="777"/>
      <c r="CF130" s="339"/>
      <c r="CG130" s="339"/>
      <c r="CH130" s="339"/>
      <c r="CI130" s="339"/>
      <c r="CJ130" s="339"/>
      <c r="CK130" s="777" t="s">
        <v>1091</v>
      </c>
      <c r="CL130" s="339"/>
      <c r="CN130" s="339"/>
      <c r="CO130" s="339"/>
      <c r="CP130" s="339"/>
      <c r="CQ130" s="776" t="s">
        <v>1152</v>
      </c>
      <c r="CR130" s="339"/>
      <c r="CS130" s="339"/>
      <c r="CT130" s="339"/>
      <c r="CU130" s="339"/>
      <c r="CV130" s="339"/>
      <c r="CW130" s="777" t="s">
        <v>1152</v>
      </c>
      <c r="CX130" s="339"/>
      <c r="CY130" s="339"/>
      <c r="CZ130" s="339"/>
      <c r="DA130" s="339"/>
      <c r="DB130" s="339"/>
      <c r="DC130" s="777" t="s">
        <v>1152</v>
      </c>
      <c r="DD130" s="339"/>
      <c r="DE130" s="339"/>
      <c r="DF130" s="339"/>
      <c r="DG130" s="339"/>
      <c r="DH130" s="339"/>
      <c r="DI130" s="777"/>
      <c r="DJ130" s="339"/>
      <c r="DK130" s="339"/>
      <c r="DL130" s="339"/>
      <c r="DM130" s="339"/>
      <c r="DN130" s="339"/>
      <c r="DO130" s="777"/>
      <c r="DP130" s="746"/>
      <c r="DW130" s="1938"/>
    </row>
    <row r="131" spans="1:127" ht="13.5" customHeight="1">
      <c r="A131" s="297" t="s">
        <v>1093</v>
      </c>
      <c r="B131" s="774"/>
      <c r="C131" s="746"/>
      <c r="D131" s="746"/>
      <c r="E131" s="746"/>
      <c r="F131" s="746"/>
      <c r="G131" s="746"/>
      <c r="H131" s="746"/>
      <c r="I131" s="746"/>
      <c r="J131" s="746"/>
      <c r="K131" s="746"/>
      <c r="L131" s="746"/>
      <c r="M131" s="746"/>
      <c r="N131" s="746"/>
      <c r="O131" s="746"/>
      <c r="P131" s="746"/>
      <c r="Q131" s="746"/>
      <c r="R131" s="746"/>
      <c r="S131" s="299"/>
      <c r="T131" s="299"/>
      <c r="U131" s="763"/>
      <c r="V131" s="746"/>
      <c r="W131" s="764"/>
      <c r="X131" s="746"/>
      <c r="Y131" s="746"/>
      <c r="Z131" s="746"/>
      <c r="AA131" s="746"/>
      <c r="AB131" s="746"/>
      <c r="AC131" s="301"/>
      <c r="AD131" s="746"/>
      <c r="AE131" s="746"/>
      <c r="AF131" s="746"/>
      <c r="AG131" s="746"/>
      <c r="AH131" s="746"/>
      <c r="AI131" s="765"/>
      <c r="AJ131" s="746"/>
      <c r="AK131" s="746"/>
      <c r="AL131" s="746"/>
      <c r="AM131" s="746"/>
      <c r="AN131" s="746"/>
      <c r="AO131" s="765"/>
      <c r="AP131" s="746"/>
      <c r="AQ131" s="339"/>
      <c r="AR131" s="339"/>
      <c r="AS131" s="339"/>
      <c r="AT131" s="775"/>
      <c r="AU131" s="776"/>
      <c r="AV131" s="746"/>
      <c r="AW131" s="339"/>
      <c r="AX131" s="339"/>
      <c r="AY131" s="339"/>
      <c r="AZ131" s="339"/>
      <c r="BA131" s="776"/>
      <c r="BB131" s="746"/>
      <c r="BC131" s="339"/>
      <c r="BD131" s="339"/>
      <c r="BE131" s="339"/>
      <c r="BF131" s="339"/>
      <c r="BG131" s="776"/>
      <c r="BH131" s="339"/>
      <c r="BI131" s="339"/>
      <c r="BJ131" s="339"/>
      <c r="BK131" s="339"/>
      <c r="BL131" s="339"/>
      <c r="BM131" s="777"/>
      <c r="BN131" s="339"/>
      <c r="BO131" s="778"/>
      <c r="BP131" s="339"/>
      <c r="BQ131" s="339"/>
      <c r="BR131" s="339"/>
      <c r="BS131" s="779"/>
      <c r="BT131" s="339"/>
      <c r="BU131" s="778"/>
      <c r="BV131" s="339"/>
      <c r="BW131" s="339"/>
      <c r="BX131" s="339"/>
      <c r="BY131" s="777"/>
      <c r="BZ131" s="339"/>
      <c r="CA131" s="339"/>
      <c r="CB131" s="339"/>
      <c r="CC131" s="339"/>
      <c r="CD131" s="339"/>
      <c r="CE131" s="777"/>
      <c r="CF131" s="339"/>
      <c r="CG131" s="339"/>
      <c r="CH131" s="339"/>
      <c r="CI131" s="339"/>
      <c r="CJ131" s="339"/>
      <c r="CK131" s="777" t="s">
        <v>1094</v>
      </c>
      <c r="CL131" s="339"/>
      <c r="CM131" s="339"/>
      <c r="CN131" s="339"/>
      <c r="CO131" s="339"/>
      <c r="CP131" s="339"/>
      <c r="CQ131" s="777"/>
      <c r="CR131" s="339"/>
      <c r="CS131" s="339"/>
      <c r="CT131" s="339"/>
      <c r="CU131" s="339"/>
      <c r="CV131" s="339"/>
      <c r="CW131" s="777" t="s">
        <v>1094</v>
      </c>
      <c r="CX131" s="339"/>
      <c r="CY131" s="339"/>
      <c r="CZ131" s="339"/>
      <c r="DA131" s="339"/>
      <c r="DB131" s="339"/>
      <c r="DC131" s="777" t="s">
        <v>1094</v>
      </c>
      <c r="DD131" s="339"/>
      <c r="DE131" s="339"/>
      <c r="DF131" s="2025"/>
      <c r="DG131" s="339"/>
      <c r="DH131" s="339"/>
      <c r="DI131" s="777"/>
      <c r="DJ131" s="339"/>
      <c r="DK131" s="339"/>
      <c r="DL131" s="339"/>
      <c r="DM131" s="339"/>
      <c r="DN131" s="339"/>
      <c r="DO131" s="777"/>
      <c r="DP131" s="746"/>
    </row>
    <row r="132" spans="1:127" ht="13.5" customHeight="1">
      <c r="A132" s="297" t="s">
        <v>605</v>
      </c>
      <c r="B132" s="774"/>
      <c r="C132" s="746"/>
      <c r="D132" s="746"/>
      <c r="E132" s="746"/>
      <c r="F132" s="746"/>
      <c r="G132" s="746"/>
      <c r="H132" s="746"/>
      <c r="I132" s="746"/>
      <c r="J132" s="746"/>
      <c r="K132" s="746"/>
      <c r="L132" s="746"/>
      <c r="M132" s="746"/>
      <c r="N132" s="746"/>
      <c r="O132" s="746"/>
      <c r="P132" s="746"/>
      <c r="Q132" s="746"/>
      <c r="R132" s="746"/>
      <c r="S132" s="299"/>
      <c r="T132" s="299"/>
      <c r="U132" s="763"/>
      <c r="V132" s="746"/>
      <c r="W132" s="764"/>
      <c r="X132" s="746"/>
      <c r="Y132" s="746"/>
      <c r="Z132" s="746"/>
      <c r="AA132" s="746"/>
      <c r="AB132" s="746"/>
      <c r="AC132" s="301"/>
      <c r="AD132" s="746"/>
      <c r="AE132" s="746"/>
      <c r="AF132" s="746"/>
      <c r="AG132" s="746"/>
      <c r="AH132" s="746"/>
      <c r="AI132" s="765"/>
      <c r="AJ132" s="746"/>
      <c r="AK132" s="746"/>
      <c r="AL132" s="746"/>
      <c r="AM132" s="746"/>
      <c r="AN132" s="746"/>
      <c r="AO132" s="765"/>
      <c r="AP132" s="746"/>
      <c r="AQ132" s="339"/>
      <c r="AR132" s="339"/>
      <c r="AS132" s="339"/>
      <c r="AT132" s="775"/>
      <c r="AU132" s="776"/>
      <c r="AV132" s="746"/>
      <c r="AW132" s="339"/>
      <c r="AX132" s="339"/>
      <c r="AY132" s="339"/>
      <c r="AZ132" s="339"/>
      <c r="BA132" s="776"/>
      <c r="BB132" s="746"/>
      <c r="BC132" s="339" t="s">
        <v>498</v>
      </c>
      <c r="BD132" s="339" t="s">
        <v>679</v>
      </c>
      <c r="BE132" s="339" t="s">
        <v>851</v>
      </c>
      <c r="BF132" s="339" t="s">
        <v>312</v>
      </c>
      <c r="BG132" s="776" t="s">
        <v>314</v>
      </c>
      <c r="BH132" s="339"/>
      <c r="BI132" s="339" t="s">
        <v>679</v>
      </c>
      <c r="BJ132" s="339" t="s">
        <v>498</v>
      </c>
      <c r="BK132" s="339" t="s">
        <v>851</v>
      </c>
      <c r="BL132" s="339" t="s">
        <v>930</v>
      </c>
      <c r="BM132" s="777" t="s">
        <v>932</v>
      </c>
      <c r="BN132" s="339"/>
      <c r="BO132" s="778" t="s">
        <v>182</v>
      </c>
      <c r="BP132" s="339" t="s">
        <v>226</v>
      </c>
      <c r="BQ132" s="339" t="s">
        <v>710</v>
      </c>
      <c r="BR132" s="339" t="s">
        <v>505</v>
      </c>
      <c r="BS132" s="777" t="s">
        <v>486</v>
      </c>
      <c r="BT132" s="339"/>
      <c r="BU132" s="778" t="s">
        <v>726</v>
      </c>
      <c r="BV132" s="339" t="s">
        <v>311</v>
      </c>
      <c r="BW132" s="339" t="s">
        <v>959</v>
      </c>
      <c r="BX132" s="339" t="s">
        <v>807</v>
      </c>
      <c r="BY132" s="777" t="s">
        <v>182</v>
      </c>
      <c r="BZ132" s="339"/>
      <c r="CA132" s="339" t="s">
        <v>1020</v>
      </c>
      <c r="CB132" s="339" t="s">
        <v>1039</v>
      </c>
      <c r="CC132" s="339" t="s">
        <v>499</v>
      </c>
      <c r="CD132" s="339" t="s">
        <v>1052</v>
      </c>
      <c r="CE132" s="777" t="s">
        <v>1054</v>
      </c>
      <c r="CF132" s="339"/>
      <c r="CG132" s="339" t="s">
        <v>1052</v>
      </c>
      <c r="CH132" s="339" t="s">
        <v>1082</v>
      </c>
      <c r="CI132" s="339" t="s">
        <v>1086</v>
      </c>
      <c r="CJ132" s="339" t="s">
        <v>1086</v>
      </c>
      <c r="CK132" s="777" t="s">
        <v>1098</v>
      </c>
      <c r="CL132" s="339"/>
      <c r="CM132" s="339" t="s">
        <v>1122</v>
      </c>
      <c r="CN132" s="339" t="s">
        <v>1131</v>
      </c>
      <c r="CO132" s="339" t="s">
        <v>1155</v>
      </c>
      <c r="CP132" s="339" t="s">
        <v>1179</v>
      </c>
      <c r="CQ132" s="777" t="s">
        <v>1181</v>
      </c>
      <c r="CR132" s="339"/>
      <c r="CS132" s="339" t="s">
        <v>1200</v>
      </c>
      <c r="CT132" s="339" t="s">
        <v>710</v>
      </c>
      <c r="CU132" s="339" t="s">
        <v>1223</v>
      </c>
      <c r="CV132" s="1781" t="s">
        <v>1230</v>
      </c>
      <c r="CW132" s="777" t="s">
        <v>1232</v>
      </c>
      <c r="CX132" s="339"/>
      <c r="CY132" s="339" t="s">
        <v>315</v>
      </c>
      <c r="CZ132" s="339"/>
      <c r="DA132" s="339"/>
      <c r="DB132" s="339"/>
      <c r="DC132" s="777" t="s">
        <v>1253</v>
      </c>
      <c r="DD132" s="339"/>
      <c r="DE132" s="339"/>
      <c r="DF132" s="339"/>
      <c r="DG132" s="339"/>
      <c r="DH132" s="339"/>
      <c r="DI132" s="777"/>
      <c r="DJ132" s="339"/>
      <c r="DK132" s="339"/>
      <c r="DL132" s="339"/>
      <c r="DM132" s="339"/>
      <c r="DN132" s="339"/>
      <c r="DO132" s="777"/>
      <c r="DP132" s="746"/>
    </row>
    <row r="133" spans="1:127" ht="13.5" customHeight="1">
      <c r="A133" s="780" t="s">
        <v>427</v>
      </c>
      <c r="B133" s="781"/>
      <c r="C133" s="782"/>
      <c r="D133" s="782"/>
      <c r="E133" s="782"/>
      <c r="F133" s="782"/>
      <c r="G133" s="782"/>
      <c r="H133" s="782"/>
      <c r="I133" s="782"/>
      <c r="J133" s="782"/>
      <c r="K133" s="782"/>
      <c r="L133" s="782"/>
      <c r="M133" s="782"/>
      <c r="N133" s="782"/>
      <c r="O133" s="782"/>
      <c r="P133" s="782"/>
      <c r="Q133" s="782"/>
      <c r="R133" s="782"/>
      <c r="S133" s="783"/>
      <c r="T133" s="783"/>
      <c r="U133" s="784"/>
      <c r="V133" s="782"/>
      <c r="W133" s="785"/>
      <c r="X133" s="782"/>
      <c r="Y133" s="782"/>
      <c r="Z133" s="782"/>
      <c r="AA133" s="782"/>
      <c r="AB133" s="782"/>
      <c r="AC133" s="786"/>
      <c r="AD133" s="782"/>
      <c r="AE133" s="782"/>
      <c r="AF133" s="782"/>
      <c r="AG133" s="782"/>
      <c r="AH133" s="782"/>
      <c r="AI133" s="787"/>
      <c r="AJ133" s="782"/>
      <c r="AK133" s="782"/>
      <c r="AL133" s="782"/>
      <c r="AM133" s="782"/>
      <c r="AN133" s="782"/>
      <c r="AO133" s="787"/>
      <c r="AP133" s="782"/>
      <c r="AQ133" s="788"/>
      <c r="AR133" s="788"/>
      <c r="AS133" s="788"/>
      <c r="AT133" s="789" t="s">
        <v>429</v>
      </c>
      <c r="AU133" s="790" t="s">
        <v>45</v>
      </c>
      <c r="AV133" s="782"/>
      <c r="AW133" s="788" t="s">
        <v>478</v>
      </c>
      <c r="AX133" s="788" t="s">
        <v>308</v>
      </c>
      <c r="AY133" s="788" t="s">
        <v>374</v>
      </c>
      <c r="AZ133" s="788" t="s">
        <v>782</v>
      </c>
      <c r="BA133" s="790" t="s">
        <v>451</v>
      </c>
      <c r="BB133" s="782"/>
      <c r="BC133" s="788" t="s">
        <v>499</v>
      </c>
      <c r="BD133" s="788" t="s">
        <v>680</v>
      </c>
      <c r="BE133" s="788"/>
      <c r="BF133" s="788" t="s">
        <v>311</v>
      </c>
      <c r="BG133" s="790" t="s">
        <v>315</v>
      </c>
      <c r="BH133" s="788"/>
      <c r="BI133" s="788"/>
      <c r="BJ133" s="788"/>
      <c r="BK133" s="791" t="s">
        <v>915</v>
      </c>
      <c r="BL133" s="788">
        <f>-0.06-0.05</f>
        <v>-0.11</v>
      </c>
      <c r="BM133" s="792">
        <f>-0.12-0.11</f>
        <v>-0.22999999999999998</v>
      </c>
      <c r="BN133" s="788"/>
      <c r="BO133" s="791" t="s">
        <v>183</v>
      </c>
      <c r="BP133" s="788">
        <f>-0.1-0.09</f>
        <v>-0.19</v>
      </c>
      <c r="BQ133" s="788"/>
      <c r="BR133" s="788"/>
      <c r="BS133" s="792" t="s">
        <v>711</v>
      </c>
      <c r="BT133" s="788"/>
      <c r="BU133" s="791"/>
      <c r="BV133" s="788">
        <f>-0.07-0.06</f>
        <v>-0.13</v>
      </c>
      <c r="BW133" s="791" t="s">
        <v>183</v>
      </c>
      <c r="BX133" s="788"/>
      <c r="BY133" s="792" t="s">
        <v>809</v>
      </c>
      <c r="BZ133" s="788"/>
      <c r="CA133" s="791" t="s">
        <v>1038</v>
      </c>
      <c r="CB133" s="791" t="s">
        <v>1048</v>
      </c>
      <c r="CC133" s="791" t="s">
        <v>1048</v>
      </c>
      <c r="CD133" s="788" t="s">
        <v>1051</v>
      </c>
      <c r="CE133" s="792" t="s">
        <v>1055</v>
      </c>
      <c r="CF133" s="788"/>
      <c r="CG133" s="791" t="s">
        <v>1071</v>
      </c>
      <c r="CH133" s="791" t="s">
        <v>1083</v>
      </c>
      <c r="CI133" s="788" t="s">
        <v>1085</v>
      </c>
      <c r="CJ133" s="788" t="s">
        <v>1100</v>
      </c>
      <c r="CK133" s="790" t="s">
        <v>1099</v>
      </c>
      <c r="CL133" s="788"/>
      <c r="CM133" s="788" t="s">
        <v>1123</v>
      </c>
      <c r="CN133" s="788" t="s">
        <v>1128</v>
      </c>
      <c r="CO133" s="788" t="s">
        <v>1156</v>
      </c>
      <c r="CP133" s="788" t="s">
        <v>1051</v>
      </c>
      <c r="CQ133" s="790" t="s">
        <v>1179</v>
      </c>
      <c r="CR133" s="788"/>
      <c r="CS133" s="788" t="s">
        <v>1201</v>
      </c>
      <c r="CT133" s="788" t="s">
        <v>1123</v>
      </c>
      <c r="CU133" s="788" t="s">
        <v>1224</v>
      </c>
      <c r="CV133" s="788" t="s">
        <v>1128</v>
      </c>
      <c r="CW133" s="790" t="s">
        <v>499</v>
      </c>
      <c r="CX133" s="788"/>
      <c r="CY133" s="788" t="s">
        <v>499</v>
      </c>
      <c r="CZ133" s="788"/>
      <c r="DA133" s="788"/>
      <c r="DB133" s="788"/>
      <c r="DC133" s="790" t="s">
        <v>1254</v>
      </c>
      <c r="DD133" s="788"/>
      <c r="DE133" s="788"/>
      <c r="DF133" s="788"/>
      <c r="DG133" s="788"/>
      <c r="DH133" s="788"/>
      <c r="DI133" s="790"/>
      <c r="DJ133" s="788"/>
      <c r="DK133" s="788"/>
      <c r="DL133" s="788"/>
      <c r="DM133" s="788"/>
      <c r="DN133" s="788"/>
      <c r="DO133" s="790"/>
      <c r="DP133" s="746"/>
    </row>
    <row r="134" spans="1:127" ht="13.5" customHeight="1">
      <c r="A134" s="726"/>
      <c r="B134" s="732"/>
      <c r="C134" s="746"/>
      <c r="D134" s="746"/>
      <c r="E134" s="746"/>
      <c r="F134" s="746"/>
      <c r="G134" s="746"/>
      <c r="H134" s="746"/>
      <c r="I134" s="746"/>
      <c r="J134" s="746"/>
      <c r="K134" s="746"/>
      <c r="L134" s="746"/>
      <c r="M134" s="746"/>
      <c r="N134" s="746"/>
      <c r="O134" s="746"/>
      <c r="P134" s="746"/>
      <c r="Q134" s="746"/>
      <c r="R134" s="746"/>
      <c r="S134" s="299"/>
      <c r="T134" s="299"/>
      <c r="U134" s="763"/>
      <c r="V134" s="746"/>
      <c r="W134" s="764"/>
      <c r="X134" s="746"/>
      <c r="Y134" s="746"/>
      <c r="Z134" s="746"/>
      <c r="AA134" s="746"/>
      <c r="AB134" s="746"/>
      <c r="AC134" s="301"/>
      <c r="AD134" s="746"/>
      <c r="AE134" s="746"/>
      <c r="AF134" s="746"/>
      <c r="AG134" s="746"/>
      <c r="AH134" s="746"/>
      <c r="AI134" s="793"/>
      <c r="AJ134" s="746"/>
      <c r="AK134" s="746"/>
      <c r="AL134" s="746"/>
      <c r="AM134" s="746"/>
      <c r="AN134" s="746"/>
      <c r="AO134" s="793"/>
      <c r="AP134" s="746"/>
      <c r="AQ134" s="746"/>
      <c r="AR134" s="746"/>
      <c r="AS134" s="746"/>
      <c r="AT134" s="746"/>
      <c r="AU134" s="793"/>
      <c r="AV134" s="746"/>
      <c r="AW134" s="746"/>
      <c r="AX134" s="746"/>
      <c r="AY134" s="746"/>
      <c r="AZ134" s="746"/>
      <c r="BA134" s="793"/>
      <c r="BB134" s="746"/>
      <c r="BC134" s="339"/>
      <c r="BD134" s="339"/>
      <c r="BE134" s="339"/>
      <c r="BF134" s="339"/>
      <c r="BG134" s="794"/>
      <c r="BH134" s="339"/>
      <c r="BI134" s="339"/>
      <c r="BJ134" s="339"/>
      <c r="BK134" s="339"/>
      <c r="BL134" s="339"/>
      <c r="BM134" s="794"/>
      <c r="BN134" s="339"/>
      <c r="BO134" s="339"/>
      <c r="BP134" s="339"/>
      <c r="BQ134" s="339"/>
      <c r="BR134" s="339"/>
      <c r="BS134" s="794"/>
      <c r="BT134" s="339"/>
      <c r="BU134" s="339"/>
      <c r="BV134" s="339"/>
      <c r="BW134" s="339"/>
      <c r="BX134" s="339"/>
      <c r="BY134" s="794"/>
      <c r="BZ134" s="339"/>
      <c r="CA134" s="339"/>
      <c r="CB134" s="339"/>
      <c r="CC134" s="339"/>
      <c r="CD134" s="339"/>
      <c r="CE134" s="794"/>
      <c r="CF134" s="339"/>
      <c r="CG134" s="339"/>
      <c r="CH134" s="339"/>
      <c r="CI134" s="339"/>
      <c r="CJ134" s="339"/>
      <c r="CK134" s="794"/>
      <c r="CL134" s="339"/>
      <c r="CM134" s="339"/>
      <c r="CN134" s="339"/>
      <c r="CO134" s="339"/>
      <c r="CP134" s="339"/>
      <c r="CQ134" s="794"/>
      <c r="CR134" s="339"/>
      <c r="CS134" s="339"/>
      <c r="CT134" s="339"/>
      <c r="CU134" s="339"/>
      <c r="CV134" s="339"/>
      <c r="CW134" s="794"/>
      <c r="CX134" s="339"/>
      <c r="CY134" s="339"/>
      <c r="CZ134" s="339"/>
      <c r="DA134" s="339"/>
      <c r="DB134" s="339"/>
      <c r="DC134" s="794"/>
      <c r="DD134" s="339"/>
      <c r="DE134" s="339"/>
      <c r="DF134" s="339"/>
      <c r="DG134" s="339"/>
      <c r="DH134" s="339"/>
      <c r="DI134" s="794"/>
      <c r="DJ134" s="339"/>
      <c r="DK134" s="339"/>
      <c r="DL134" s="339"/>
      <c r="DM134" s="339"/>
      <c r="DN134" s="339"/>
      <c r="DO134" s="794"/>
      <c r="DP134" s="746"/>
    </row>
    <row r="135" spans="1:127" ht="12" hidden="1" customHeight="1" outlineLevel="1">
      <c r="A135" s="259" t="s">
        <v>271</v>
      </c>
      <c r="B135" s="732"/>
      <c r="C135" s="795"/>
      <c r="D135" s="795"/>
      <c r="E135" s="796"/>
      <c r="F135" s="340"/>
      <c r="G135" s="796"/>
      <c r="H135" s="795"/>
      <c r="I135" s="795"/>
      <c r="J135" s="795"/>
      <c r="K135" s="795"/>
      <c r="L135" s="340"/>
      <c r="M135" s="795"/>
      <c r="N135" s="795"/>
      <c r="O135" s="795"/>
      <c r="P135" s="795"/>
      <c r="Q135" s="795"/>
      <c r="R135" s="340"/>
      <c r="S135" s="795"/>
      <c r="T135" s="795"/>
      <c r="U135" s="795"/>
      <c r="V135" s="795"/>
      <c r="W135" s="795"/>
      <c r="X135" s="340"/>
      <c r="Y135" s="795"/>
      <c r="Z135" s="795"/>
      <c r="AA135" s="795"/>
      <c r="AB135" s="795"/>
      <c r="AC135" s="795"/>
      <c r="AD135" s="797"/>
      <c r="AE135" s="795">
        <f>0.53*AE111</f>
        <v>254.12016</v>
      </c>
      <c r="AF135" s="795"/>
      <c r="AG135" s="795"/>
      <c r="AH135" s="795"/>
      <c r="AI135" s="795"/>
      <c r="AJ135" s="797"/>
      <c r="AK135" s="795"/>
      <c r="AL135" s="795"/>
      <c r="AM135" s="795"/>
      <c r="AN135" s="795"/>
      <c r="AO135" s="795"/>
      <c r="AP135" s="797"/>
      <c r="AQ135" s="795"/>
      <c r="AR135" s="795"/>
      <c r="AS135" s="795"/>
      <c r="AT135" s="795"/>
      <c r="AU135" s="795"/>
      <c r="AV135" s="797"/>
      <c r="AW135" s="795"/>
      <c r="AX135" s="795"/>
      <c r="AY135" s="795"/>
      <c r="AZ135" s="795"/>
      <c r="BA135" s="795"/>
      <c r="BB135" s="797"/>
      <c r="BC135" s="795"/>
      <c r="BD135" s="795"/>
      <c r="BE135" s="795"/>
      <c r="BF135" s="795"/>
      <c r="BG135" s="795"/>
      <c r="BH135" s="797"/>
      <c r="BI135" s="795"/>
      <c r="BJ135" s="795"/>
      <c r="BK135" s="795"/>
      <c r="BL135" s="795"/>
      <c r="BM135" s="795"/>
      <c r="BN135" s="797"/>
      <c r="BO135" s="795"/>
      <c r="BP135" s="795"/>
      <c r="BQ135" s="795"/>
      <c r="BR135" s="795"/>
      <c r="BS135" s="795"/>
      <c r="BT135" s="797"/>
      <c r="BU135" s="795"/>
      <c r="BV135" s="795"/>
      <c r="BW135" s="795"/>
      <c r="BX135" s="795"/>
      <c r="BY135" s="795"/>
      <c r="BZ135" s="797"/>
      <c r="CA135" s="795"/>
      <c r="CB135" s="795"/>
      <c r="CC135" s="795"/>
      <c r="CD135" s="795"/>
      <c r="CE135" s="795"/>
      <c r="CF135" s="797"/>
      <c r="CG135" s="795"/>
      <c r="CH135" s="795"/>
      <c r="CI135" s="795"/>
      <c r="CJ135" s="795"/>
      <c r="CK135" s="795"/>
      <c r="CL135" s="797"/>
      <c r="CM135" s="795"/>
      <c r="CN135" s="795"/>
      <c r="CO135" s="795"/>
      <c r="CP135" s="795"/>
      <c r="CQ135" s="795"/>
      <c r="CR135" s="797"/>
      <c r="CS135" s="795"/>
      <c r="CT135" s="795"/>
      <c r="CU135" s="795"/>
      <c r="CV135" s="795"/>
      <c r="CW135" s="795"/>
      <c r="CX135" s="797"/>
      <c r="CY135" s="795"/>
      <c r="CZ135" s="795"/>
      <c r="DA135" s="795"/>
      <c r="DB135" s="795"/>
      <c r="DC135" s="795"/>
      <c r="DD135" s="797"/>
      <c r="DE135" s="795"/>
      <c r="DF135" s="795"/>
      <c r="DG135" s="795"/>
      <c r="DH135" s="795"/>
      <c r="DI135" s="795"/>
      <c r="DJ135" s="797"/>
      <c r="DK135" s="795"/>
      <c r="DL135" s="795"/>
      <c r="DM135" s="795"/>
      <c r="DN135" s="795"/>
      <c r="DO135" s="795"/>
      <c r="DP135" s="340"/>
    </row>
    <row r="136" spans="1:127" ht="12" hidden="1" customHeight="1" outlineLevel="1">
      <c r="A136" s="713" t="s">
        <v>270</v>
      </c>
      <c r="B136" s="730"/>
      <c r="C136" s="267">
        <v>0.86699999999999999</v>
      </c>
      <c r="D136" s="267">
        <v>3.452</v>
      </c>
      <c r="E136" s="267">
        <v>4.4509999999999996</v>
      </c>
      <c r="F136" s="263"/>
      <c r="G136" s="267">
        <v>0.85799999999999998</v>
      </c>
      <c r="H136" s="267">
        <v>0.91200000000000003</v>
      </c>
      <c r="I136" s="267">
        <v>1.7150000000000001</v>
      </c>
      <c r="J136" s="267">
        <v>1.282</v>
      </c>
      <c r="K136" s="267">
        <v>4.7670000000000003</v>
      </c>
      <c r="L136" s="263"/>
      <c r="M136" s="267">
        <v>1.0840000000000001</v>
      </c>
      <c r="N136" s="267">
        <v>1.044</v>
      </c>
      <c r="O136" s="267">
        <v>1.0089999999999999</v>
      </c>
      <c r="P136" s="267">
        <v>1.222</v>
      </c>
      <c r="Q136" s="267">
        <v>4.359</v>
      </c>
      <c r="R136" s="263"/>
      <c r="S136" s="267">
        <v>0.877</v>
      </c>
      <c r="T136" s="267">
        <v>1.1000000000000001</v>
      </c>
      <c r="U136" s="267">
        <v>1.1910000000000001</v>
      </c>
      <c r="V136" s="267">
        <v>0.44600000000000001</v>
      </c>
      <c r="W136" s="267">
        <v>4.359</v>
      </c>
      <c r="X136" s="263"/>
      <c r="Y136" s="267">
        <v>0.85599999999999998</v>
      </c>
      <c r="Z136" s="267">
        <v>0.93799999999999994</v>
      </c>
      <c r="AA136" s="267">
        <v>0.82499999999999996</v>
      </c>
      <c r="AB136" s="267">
        <v>0.82899999999999996</v>
      </c>
      <c r="AC136" s="267">
        <f>SUM(Y136:AB136)</f>
        <v>3.4479999999999995</v>
      </c>
      <c r="AD136" s="798"/>
      <c r="AE136" s="267"/>
      <c r="AF136" s="267"/>
      <c r="AG136" s="267"/>
      <c r="AH136" s="267"/>
      <c r="AI136" s="674"/>
      <c r="AJ136" s="798"/>
      <c r="AK136" s="267"/>
      <c r="AL136" s="267"/>
      <c r="AM136" s="267"/>
      <c r="AN136" s="267"/>
      <c r="AO136" s="674"/>
      <c r="AP136" s="798"/>
      <c r="AQ136" s="267"/>
      <c r="AR136" s="267"/>
      <c r="AS136" s="267"/>
      <c r="AT136" s="267"/>
      <c r="AU136" s="674"/>
      <c r="AV136" s="798"/>
      <c r="AW136" s="267"/>
      <c r="AX136" s="267"/>
      <c r="AY136" s="267"/>
      <c r="AZ136" s="267"/>
      <c r="BA136" s="799"/>
      <c r="BB136" s="798"/>
      <c r="BC136" s="267"/>
      <c r="BD136" s="267"/>
      <c r="BE136" s="267"/>
      <c r="BF136" s="267"/>
      <c r="BG136" s="674"/>
      <c r="BH136" s="798"/>
      <c r="BI136" s="267"/>
      <c r="BJ136" s="267"/>
      <c r="BK136" s="267"/>
      <c r="BL136" s="267"/>
      <c r="BM136" s="674"/>
      <c r="BN136" s="798"/>
      <c r="BO136" s="267"/>
      <c r="BP136" s="267"/>
      <c r="BQ136" s="267"/>
      <c r="BR136" s="267"/>
      <c r="BS136" s="674"/>
      <c r="BT136" s="798"/>
      <c r="BU136" s="267"/>
      <c r="BV136" s="267"/>
      <c r="BW136" s="267"/>
      <c r="BX136" s="267"/>
      <c r="BY136" s="674"/>
      <c r="BZ136" s="798"/>
      <c r="CA136" s="267"/>
      <c r="CB136" s="267"/>
      <c r="CC136" s="267"/>
      <c r="CD136" s="267"/>
      <c r="CE136" s="674"/>
      <c r="CF136" s="798"/>
      <c r="CG136" s="267"/>
      <c r="CH136" s="267"/>
      <c r="CI136" s="267"/>
      <c r="CJ136" s="267"/>
      <c r="CK136" s="674"/>
      <c r="CL136" s="798"/>
      <c r="CM136" s="267"/>
      <c r="CN136" s="267"/>
      <c r="CO136" s="267"/>
      <c r="CP136" s="267"/>
      <c r="CQ136" s="674"/>
      <c r="CR136" s="798"/>
      <c r="CS136" s="267"/>
      <c r="CT136" s="267"/>
      <c r="CU136" s="267"/>
      <c r="CV136" s="267"/>
      <c r="CW136" s="674"/>
      <c r="CX136" s="798"/>
      <c r="CY136" s="267"/>
      <c r="CZ136" s="267"/>
      <c r="DA136" s="267"/>
      <c r="DB136" s="267"/>
      <c r="DC136" s="674"/>
      <c r="DD136" s="798"/>
      <c r="DE136" s="267"/>
      <c r="DF136" s="267"/>
      <c r="DG136" s="267"/>
      <c r="DH136" s="267"/>
      <c r="DI136" s="674"/>
      <c r="DJ136" s="798"/>
      <c r="DK136" s="267"/>
      <c r="DL136" s="267"/>
      <c r="DM136" s="267"/>
      <c r="DN136" s="267"/>
      <c r="DO136" s="674"/>
      <c r="DP136" s="260"/>
    </row>
    <row r="137" spans="1:127" ht="12" hidden="1" customHeight="1" outlineLevel="1">
      <c r="A137" s="713" t="s">
        <v>21</v>
      </c>
      <c r="B137" s="730"/>
      <c r="C137" s="263">
        <f>C64+C136</f>
        <v>-4.6970000000000001</v>
      </c>
      <c r="D137" s="263">
        <f>D64+D136</f>
        <v>-50.421432890107312</v>
      </c>
      <c r="E137" s="263">
        <f>E64+E136</f>
        <v>-17.417000000000002</v>
      </c>
      <c r="F137" s="261"/>
      <c r="G137" s="263">
        <f>G64+G136</f>
        <v>-0.77600000000000124</v>
      </c>
      <c r="H137" s="263">
        <f>H64+H136</f>
        <v>-0.4739999999999992</v>
      </c>
      <c r="I137" s="263">
        <f>I64+I136</f>
        <v>-3.1580000000000013</v>
      </c>
      <c r="J137" s="263">
        <f>J64+J136</f>
        <v>-1.3249999999999993</v>
      </c>
      <c r="K137" s="263">
        <f>K64+K136</f>
        <v>-5.7329999999999997</v>
      </c>
      <c r="L137" s="263"/>
      <c r="M137" s="263">
        <f>M64+M136</f>
        <v>1.1010000000000013</v>
      </c>
      <c r="N137" s="263">
        <f>N64+N136</f>
        <v>1.1780000000000004</v>
      </c>
      <c r="O137" s="263">
        <f>O64+O136</f>
        <v>0.97799999999999754</v>
      </c>
      <c r="P137" s="263">
        <f>P64+P136</f>
        <v>1.3749999999999987</v>
      </c>
      <c r="Q137" s="263">
        <f>Q64+Q136</f>
        <v>4.6319999999999979</v>
      </c>
      <c r="R137" s="263"/>
      <c r="S137" s="263">
        <f>S64+S136</f>
        <v>1.2380000000000007</v>
      </c>
      <c r="T137" s="263">
        <f>T64+T136</f>
        <v>2.2650000000000134</v>
      </c>
      <c r="U137" s="263">
        <f>U64+U136</f>
        <v>2.9640000000000031</v>
      </c>
      <c r="V137" s="263">
        <f>V64+V136</f>
        <v>3.6669999999999967</v>
      </c>
      <c r="W137" s="263">
        <f>W64+W136</f>
        <v>10.879000000000014</v>
      </c>
      <c r="X137" s="263"/>
      <c r="Y137" s="263">
        <f>Y64+Y136</f>
        <v>4.8409999999999993</v>
      </c>
      <c r="Z137" s="263">
        <f>Z64+Z136</f>
        <v>5.1309999999999976</v>
      </c>
      <c r="AA137" s="263">
        <f>AA64+AA136</f>
        <v>7.2119999999999864</v>
      </c>
      <c r="AB137" s="263">
        <f>AB64+AB136</f>
        <v>6.0809999999999809</v>
      </c>
      <c r="AC137" s="263">
        <f>AC64+AC136</f>
        <v>23.264999999999965</v>
      </c>
      <c r="AD137" s="263"/>
      <c r="AE137" s="263"/>
      <c r="AF137" s="263"/>
      <c r="AG137" s="263"/>
      <c r="AH137" s="263"/>
      <c r="AI137" s="263"/>
      <c r="AJ137" s="263"/>
      <c r="AK137" s="263"/>
      <c r="AL137" s="263"/>
      <c r="AM137" s="263"/>
      <c r="AN137" s="263"/>
      <c r="AO137" s="263"/>
      <c r="AP137" s="263"/>
      <c r="AQ137" s="263"/>
      <c r="AR137" s="279"/>
      <c r="AS137" s="263"/>
      <c r="AT137" s="263"/>
      <c r="AU137" s="263"/>
      <c r="AV137" s="263"/>
      <c r="AW137" s="263"/>
      <c r="AX137" s="263"/>
      <c r="AY137" s="263"/>
      <c r="AZ137" s="263"/>
      <c r="BA137" s="263"/>
      <c r="BB137" s="263"/>
      <c r="BC137" s="263"/>
      <c r="BD137" s="263"/>
      <c r="BE137" s="263"/>
      <c r="BF137" s="263"/>
      <c r="BG137" s="263"/>
      <c r="BH137" s="263"/>
      <c r="BI137" s="263"/>
      <c r="BJ137" s="263"/>
      <c r="BK137" s="263"/>
      <c r="BL137" s="263"/>
      <c r="BM137" s="263"/>
      <c r="BN137" s="263"/>
      <c r="BO137" s="263"/>
      <c r="BP137" s="263"/>
      <c r="BQ137" s="263"/>
      <c r="BR137" s="263"/>
      <c r="BS137" s="263"/>
      <c r="BT137" s="263"/>
      <c r="BU137" s="263"/>
      <c r="BV137" s="263"/>
      <c r="BW137" s="263"/>
      <c r="BX137" s="263"/>
      <c r="BY137" s="263"/>
      <c r="BZ137" s="263"/>
      <c r="CA137" s="263"/>
      <c r="CB137" s="263"/>
      <c r="CC137" s="263"/>
      <c r="CD137" s="280"/>
      <c r="CE137" s="263"/>
      <c r="CF137" s="263"/>
      <c r="CG137" s="263"/>
      <c r="CH137" s="263"/>
      <c r="CI137" s="263"/>
      <c r="CJ137" s="263"/>
      <c r="CK137" s="263"/>
      <c r="CL137" s="263"/>
      <c r="CM137" s="263"/>
      <c r="CN137" s="263"/>
      <c r="CO137" s="263"/>
      <c r="CP137" s="263"/>
      <c r="CQ137" s="263"/>
      <c r="CR137" s="263"/>
      <c r="CS137" s="263"/>
      <c r="CT137" s="263"/>
      <c r="CU137" s="263"/>
      <c r="CV137" s="263"/>
      <c r="CW137" s="263"/>
      <c r="CX137" s="263"/>
      <c r="CY137" s="263"/>
      <c r="CZ137" s="263"/>
      <c r="DA137" s="263"/>
      <c r="DB137" s="263"/>
      <c r="DC137" s="263"/>
      <c r="DD137" s="263"/>
      <c r="DE137" s="263"/>
      <c r="DF137" s="263"/>
      <c r="DG137" s="263"/>
      <c r="DH137" s="263"/>
      <c r="DI137" s="263"/>
      <c r="DJ137" s="263"/>
      <c r="DK137" s="263"/>
      <c r="DL137" s="263"/>
      <c r="DM137" s="263"/>
      <c r="DN137" s="263"/>
      <c r="DO137" s="263"/>
      <c r="DP137" s="260"/>
    </row>
    <row r="138" spans="1:127" ht="12" hidden="1" customHeight="1" outlineLevel="1">
      <c r="A138" s="713" t="s">
        <v>22</v>
      </c>
      <c r="B138" s="730"/>
      <c r="C138" s="263">
        <f>C137+C71-C79+C82</f>
        <v>-4.585</v>
      </c>
      <c r="D138" s="263">
        <f>D137+D71-D79+D82</f>
        <v>-48.492432890107317</v>
      </c>
      <c r="E138" s="263">
        <f>E137+E71-E79+E82</f>
        <v>-16.501000000000001</v>
      </c>
      <c r="F138" s="260"/>
      <c r="G138" s="263">
        <f>G137+G71-G79+G82</f>
        <v>-0.70400000000000118</v>
      </c>
      <c r="H138" s="263">
        <f>H137+H71-H79+H82</f>
        <v>-0.21399999999999919</v>
      </c>
      <c r="I138" s="263">
        <f>I137+I71-I79+I82</f>
        <v>-3.1260000000000012</v>
      </c>
      <c r="J138" s="263">
        <f>J137+J71-J79+J82</f>
        <v>-0.90499999999999936</v>
      </c>
      <c r="K138" s="263">
        <f>K137+K71-K79+K82</f>
        <v>-4.4580000000000002</v>
      </c>
      <c r="L138" s="260"/>
      <c r="M138" s="263">
        <f>M137+M71-M79+M82</f>
        <v>1.4520000000000013</v>
      </c>
      <c r="N138" s="263">
        <f>N137+N71-N79+N82</f>
        <v>1.1660000000000004</v>
      </c>
      <c r="O138" s="263">
        <f>O137+O71-O79+O82</f>
        <v>0.90943355519852886</v>
      </c>
      <c r="P138" s="263">
        <f>P137+P71-P79+P82</f>
        <v>1.3539999999999988</v>
      </c>
      <c r="Q138" s="263">
        <f>Q137+Q71-Q79+Q82</f>
        <v>4.8814335551985293</v>
      </c>
      <c r="R138" s="260"/>
      <c r="S138" s="263">
        <f>S137+S71-S79+S82</f>
        <v>1.3140000000000007</v>
      </c>
      <c r="T138" s="263">
        <f>T137+T71-T79+T82</f>
        <v>2.2700000000000138</v>
      </c>
      <c r="U138" s="263">
        <f>U137+U71-U79+U82</f>
        <v>3.344000000000003</v>
      </c>
      <c r="V138" s="263">
        <f>V137+V71-V79+V82</f>
        <v>4.0319999999999974</v>
      </c>
      <c r="W138" s="263">
        <f>W137+W71-W79+W82</f>
        <v>11.705000000000014</v>
      </c>
      <c r="X138" s="260"/>
      <c r="Y138" s="263">
        <f>Y137+Y71-Y79+Y82</f>
        <v>5.0079999999999991</v>
      </c>
      <c r="Z138" s="263">
        <f>Z137+Z71-Z79+Z82</f>
        <v>5.977999999999998</v>
      </c>
      <c r="AA138" s="263">
        <f>AA137+AA71-AA79+AA82</f>
        <v>7.1529999999999863</v>
      </c>
      <c r="AB138" s="263">
        <f>AB137+AB71-AB79+AB82</f>
        <v>6.7859999999999809</v>
      </c>
      <c r="AC138" s="263">
        <f>AC137+AC71-AC79+AC82</f>
        <v>24.924999999999965</v>
      </c>
      <c r="AD138" s="279"/>
      <c r="AE138" s="263"/>
      <c r="AF138" s="263"/>
      <c r="AG138" s="263"/>
      <c r="AH138" s="263"/>
      <c r="AI138" s="263"/>
      <c r="AJ138" s="279"/>
      <c r="AK138" s="263"/>
      <c r="AL138" s="263"/>
      <c r="AM138" s="263"/>
      <c r="AN138" s="263"/>
      <c r="AO138" s="263"/>
      <c r="AP138" s="279"/>
      <c r="AQ138" s="263"/>
      <c r="AR138" s="263"/>
      <c r="AS138" s="263"/>
      <c r="AT138" s="263"/>
      <c r="AU138" s="263"/>
      <c r="AV138" s="279"/>
      <c r="AW138" s="263"/>
      <c r="AX138" s="263"/>
      <c r="AY138" s="263"/>
      <c r="AZ138" s="263"/>
      <c r="BA138" s="263"/>
      <c r="BB138" s="279"/>
      <c r="BC138" s="263"/>
      <c r="BD138" s="263"/>
      <c r="BE138" s="263"/>
      <c r="BF138" s="263"/>
      <c r="BG138" s="263"/>
      <c r="BH138" s="279"/>
      <c r="BI138" s="263"/>
      <c r="BJ138" s="263"/>
      <c r="BK138" s="263"/>
      <c r="BL138" s="263"/>
      <c r="BM138" s="263"/>
      <c r="BN138" s="279"/>
      <c r="BO138" s="263"/>
      <c r="BP138" s="263"/>
      <c r="BQ138" s="263"/>
      <c r="BR138" s="263"/>
      <c r="BS138" s="263"/>
      <c r="BT138" s="279"/>
      <c r="BU138" s="263"/>
      <c r="BV138" s="263"/>
      <c r="BW138" s="263"/>
      <c r="BX138" s="263"/>
      <c r="BY138" s="263"/>
      <c r="BZ138" s="279"/>
      <c r="CA138" s="263"/>
      <c r="CB138" s="263"/>
      <c r="CC138" s="263"/>
      <c r="CD138" s="263"/>
      <c r="CE138" s="263"/>
      <c r="CF138" s="279"/>
      <c r="CG138" s="263"/>
      <c r="CH138" s="263"/>
      <c r="CI138" s="263"/>
      <c r="CJ138" s="263"/>
      <c r="CK138" s="263"/>
      <c r="CL138" s="279"/>
      <c r="CM138" s="263"/>
      <c r="CN138" s="263"/>
      <c r="CO138" s="263"/>
      <c r="CP138" s="263"/>
      <c r="CQ138" s="263"/>
      <c r="CR138" s="279"/>
      <c r="CS138" s="263"/>
      <c r="CT138" s="263"/>
      <c r="CU138" s="263"/>
      <c r="CV138" s="263"/>
      <c r="CW138" s="263"/>
      <c r="CX138" s="279"/>
      <c r="CY138" s="263"/>
      <c r="CZ138" s="263"/>
      <c r="DA138" s="263"/>
      <c r="DB138" s="263"/>
      <c r="DC138" s="263"/>
      <c r="DD138" s="279"/>
      <c r="DE138" s="263"/>
      <c r="DF138" s="263"/>
      <c r="DG138" s="263"/>
      <c r="DH138" s="263"/>
      <c r="DI138" s="263"/>
      <c r="DJ138" s="279"/>
      <c r="DK138" s="263"/>
      <c r="DL138" s="263"/>
      <c r="DM138" s="263"/>
      <c r="DN138" s="263"/>
      <c r="DO138" s="263"/>
      <c r="DP138" s="260"/>
    </row>
    <row r="139" spans="1:127" ht="12" hidden="1" customHeight="1" outlineLevel="1">
      <c r="A139" s="713" t="s">
        <v>681</v>
      </c>
      <c r="B139" s="730"/>
      <c r="C139" s="721">
        <f>C138/C111</f>
        <v>-0.45850000000000002</v>
      </c>
      <c r="D139" s="721">
        <f>D138/D111</f>
        <v>-3.6422136765891029</v>
      </c>
      <c r="E139" s="721">
        <f>E138/E111</f>
        <v>-0.78430533770616473</v>
      </c>
      <c r="F139" s="260"/>
      <c r="G139" s="721">
        <f>G138/G111</f>
        <v>-2.8257204784458582E-2</v>
      </c>
      <c r="H139" s="721">
        <f>H138/H111</f>
        <v>-8.270531400966152E-3</v>
      </c>
      <c r="I139" s="721">
        <f>I138/I111</f>
        <v>-0.11614772980604894</v>
      </c>
      <c r="J139" s="721">
        <f>J138/J111</f>
        <v>-3.2558641531155542E-2</v>
      </c>
      <c r="K139" s="721">
        <f>K138/K111</f>
        <v>-0.1690252988179983</v>
      </c>
      <c r="L139" s="260"/>
      <c r="M139" s="721">
        <f>M138/M111</f>
        <v>1.5848414067104733E-2</v>
      </c>
      <c r="N139" s="721">
        <f>N138/N111</f>
        <v>1.2677633653354793E-2</v>
      </c>
      <c r="O139" s="721">
        <f>O138/O111</f>
        <v>9.5207708796864448E-3</v>
      </c>
      <c r="P139" s="721">
        <f>P138/P111</f>
        <v>1.4070163770887011E-2</v>
      </c>
      <c r="Q139" s="721">
        <f>Q138/Q111</f>
        <v>5.1163239895591892E-2</v>
      </c>
      <c r="R139" s="260"/>
      <c r="S139" s="721">
        <f>S138/S111</f>
        <v>3.2719775294328592E-3</v>
      </c>
      <c r="T139" s="721">
        <f>T138/T111</f>
        <v>5.2668702261738252E-3</v>
      </c>
      <c r="U139" s="721">
        <f>U138/U111</f>
        <v>7.1959785153560179E-3</v>
      </c>
      <c r="V139" s="721">
        <f>V138/V111</f>
        <v>8.6295459215122196E-3</v>
      </c>
      <c r="W139" s="721">
        <f>W138/W111</f>
        <v>2.6392571748110501E-2</v>
      </c>
      <c r="X139" s="260"/>
      <c r="Y139" s="721">
        <f>Y138/Y111</f>
        <v>1.0759063995806369E-2</v>
      </c>
      <c r="Z139" s="721">
        <f>Z138/Z111</f>
        <v>1.2668045501551185E-2</v>
      </c>
      <c r="AA139" s="721">
        <f>AA138/AA111</f>
        <v>1.5071004171758431E-2</v>
      </c>
      <c r="AB139" s="721">
        <f>AB138/AB111</f>
        <v>1.4022631278774664E-2</v>
      </c>
      <c r="AC139" s="721">
        <f>AC138/AC111</f>
        <v>5.2479429326999935E-2</v>
      </c>
      <c r="AD139" s="279"/>
      <c r="AE139" s="721"/>
      <c r="AF139" s="721"/>
      <c r="AG139" s="721"/>
      <c r="AH139" s="721"/>
      <c r="AI139" s="721"/>
      <c r="AJ139" s="279"/>
      <c r="AK139" s="721"/>
      <c r="AL139" s="721"/>
      <c r="AM139" s="721"/>
      <c r="AN139" s="721"/>
      <c r="AO139" s="721"/>
      <c r="AP139" s="279"/>
      <c r="AQ139" s="721"/>
      <c r="AR139" s="721"/>
      <c r="AS139" s="721"/>
      <c r="AT139" s="721"/>
      <c r="AU139" s="721"/>
      <c r="AV139" s="279"/>
      <c r="AW139" s="721"/>
      <c r="AX139" s="721"/>
      <c r="AY139" s="721"/>
      <c r="AZ139" s="721"/>
      <c r="BA139" s="721"/>
      <c r="BB139" s="279"/>
      <c r="BC139" s="721"/>
      <c r="BD139" s="721"/>
      <c r="BE139" s="721"/>
      <c r="BF139" s="721"/>
      <c r="BG139" s="721"/>
      <c r="BH139" s="279"/>
      <c r="BI139" s="721"/>
      <c r="BJ139" s="721"/>
      <c r="BK139" s="721"/>
      <c r="BL139" s="721"/>
      <c r="BM139" s="721"/>
      <c r="BN139" s="279"/>
      <c r="BO139" s="721"/>
      <c r="BP139" s="721"/>
      <c r="BQ139" s="721"/>
      <c r="BR139" s="721"/>
      <c r="BS139" s="721"/>
      <c r="BT139" s="279"/>
      <c r="BU139" s="721"/>
      <c r="BV139" s="721"/>
      <c r="BW139" s="721"/>
      <c r="BX139" s="721"/>
      <c r="BY139" s="721"/>
      <c r="BZ139" s="279"/>
      <c r="CA139" s="721"/>
      <c r="CC139" s="721"/>
      <c r="CD139" s="721"/>
      <c r="CE139" s="721"/>
      <c r="CF139" s="279"/>
      <c r="CG139" s="721"/>
      <c r="CH139" s="721"/>
      <c r="CI139" s="721"/>
      <c r="CJ139" s="721"/>
      <c r="CK139" s="721"/>
      <c r="CL139" s="279"/>
      <c r="CM139" s="721"/>
      <c r="CN139" s="721"/>
      <c r="CO139" s="721"/>
      <c r="CP139" s="721"/>
      <c r="CQ139" s="721"/>
      <c r="CR139" s="279"/>
      <c r="CS139" s="721"/>
      <c r="CT139" s="721"/>
      <c r="CU139" s="721"/>
      <c r="CV139" s="721"/>
      <c r="CW139" s="721"/>
      <c r="CX139" s="279"/>
      <c r="CY139" s="721"/>
      <c r="CZ139" s="721"/>
      <c r="DA139" s="721"/>
      <c r="DB139" s="721"/>
      <c r="DC139" s="721"/>
      <c r="DD139" s="279"/>
      <c r="DE139" s="721"/>
      <c r="DF139" s="721"/>
      <c r="DG139" s="721"/>
      <c r="DH139" s="721"/>
      <c r="DI139" s="721"/>
      <c r="DJ139" s="279"/>
      <c r="DK139" s="721"/>
      <c r="DL139" s="721"/>
      <c r="DM139" s="721"/>
      <c r="DN139" s="721"/>
      <c r="DO139" s="721"/>
      <c r="DP139" s="260"/>
    </row>
    <row r="140" spans="1:127" ht="12" hidden="1" customHeight="1" outlineLevel="1">
      <c r="A140" s="713" t="s">
        <v>682</v>
      </c>
      <c r="B140" s="730"/>
      <c r="C140" s="721">
        <f>C138/C112</f>
        <v>-0.45850000000000002</v>
      </c>
      <c r="D140" s="721">
        <f>D138/D112</f>
        <v>-3.6422136765891029</v>
      </c>
      <c r="E140" s="721">
        <f>E138/E112</f>
        <v>-0.78430533770616473</v>
      </c>
      <c r="F140" s="260"/>
      <c r="G140" s="721">
        <f>G138/G112</f>
        <v>-2.8257204784458582E-2</v>
      </c>
      <c r="H140" s="721">
        <f>H138/H112</f>
        <v>-8.270531400966152E-3</v>
      </c>
      <c r="I140" s="721">
        <f>I138/I112</f>
        <v>-0.11614772980604894</v>
      </c>
      <c r="J140" s="721">
        <f>J138/J112</f>
        <v>-3.2558641531155542E-2</v>
      </c>
      <c r="K140" s="721">
        <f>K138/K112</f>
        <v>-0.1690252988179983</v>
      </c>
      <c r="L140" s="260"/>
      <c r="M140" s="721">
        <f>M138/M112</f>
        <v>5.0662944870900256E-2</v>
      </c>
      <c r="N140" s="721">
        <f>N138/N112</f>
        <v>3.9871426617425806E-2</v>
      </c>
      <c r="O140" s="721">
        <f>O138/O112</f>
        <v>3.0409735678409981E-2</v>
      </c>
      <c r="P140" s="721">
        <f>P138/P112</f>
        <v>4.422379723682917E-2</v>
      </c>
      <c r="Q140" s="721">
        <f>Q138/Q112</f>
        <v>0.16487569744056774</v>
      </c>
      <c r="R140" s="260"/>
      <c r="S140" s="721">
        <f>S138/S112</f>
        <v>1.0366700328199956E-2</v>
      </c>
      <c r="T140" s="721">
        <f>T138/T112</f>
        <v>8.795176988407467E-3</v>
      </c>
      <c r="U140" s="721">
        <f>U138/U112</f>
        <v>8.16908840399856E-3</v>
      </c>
      <c r="V140" s="721">
        <f>V138/V112</f>
        <v>9.7430841500898858E-3</v>
      </c>
      <c r="W140" s="721">
        <f>W138/W112</f>
        <v>3.8756738142855296E-2</v>
      </c>
      <c r="X140" s="260"/>
      <c r="Y140" s="721">
        <f>Y138/Y112</f>
        <v>1.1898765455564951E-2</v>
      </c>
      <c r="Z140" s="721">
        <f>Z138/Z112</f>
        <v>1.4017858817791279E-2</v>
      </c>
      <c r="AA140" s="721">
        <f>AA138/AA112</f>
        <v>1.6591514274315478E-2</v>
      </c>
      <c r="AB140" s="721">
        <f>AB138/AB112</f>
        <v>1.5499520350829065E-2</v>
      </c>
      <c r="AC140" s="721">
        <f>AC138/AC112</f>
        <v>5.8087234558233974E-2</v>
      </c>
      <c r="AD140" s="279"/>
      <c r="AE140" s="721"/>
      <c r="AF140" s="721"/>
      <c r="AG140" s="721"/>
      <c r="AH140" s="721"/>
      <c r="AI140" s="721"/>
      <c r="AJ140" s="279"/>
      <c r="AK140" s="721"/>
      <c r="AL140" s="721"/>
      <c r="AM140" s="721"/>
      <c r="AN140" s="721"/>
      <c r="AO140" s="721"/>
      <c r="AP140" s="279"/>
      <c r="AQ140" s="721"/>
      <c r="AR140" s="721"/>
      <c r="AS140" s="721"/>
      <c r="AT140" s="721"/>
      <c r="AU140" s="721"/>
      <c r="AV140" s="279"/>
      <c r="AW140" s="721"/>
      <c r="AX140" s="721"/>
      <c r="AY140" s="721"/>
      <c r="AZ140" s="721"/>
      <c r="BA140" s="721"/>
      <c r="BB140" s="279"/>
      <c r="BC140" s="721"/>
      <c r="BD140" s="721"/>
      <c r="BE140" s="721"/>
      <c r="BF140" s="721"/>
      <c r="BG140" s="721"/>
      <c r="BH140" s="279"/>
      <c r="BI140" s="721"/>
      <c r="BJ140" s="721"/>
      <c r="BK140" s="721"/>
      <c r="BL140" s="721"/>
      <c r="BM140" s="721"/>
      <c r="BN140" s="279"/>
      <c r="BO140" s="721"/>
      <c r="BP140" s="721"/>
      <c r="BQ140" s="721"/>
      <c r="BR140" s="721"/>
      <c r="BS140" s="721"/>
      <c r="BT140" s="279"/>
      <c r="BU140" s="721"/>
      <c r="BV140" s="721"/>
      <c r="BW140" s="721"/>
      <c r="BX140" s="721"/>
      <c r="BY140" s="721"/>
      <c r="BZ140" s="279"/>
      <c r="CA140" s="721"/>
      <c r="CB140" s="721"/>
      <c r="CC140" s="721"/>
      <c r="CD140" s="721"/>
      <c r="CE140" s="721"/>
      <c r="CF140" s="279"/>
      <c r="CG140" s="721"/>
      <c r="CH140" s="721"/>
      <c r="CI140" s="721"/>
      <c r="CJ140" s="721"/>
      <c r="CK140" s="721"/>
      <c r="CL140" s="279"/>
      <c r="CM140" s="721"/>
      <c r="CN140" s="721"/>
      <c r="CO140" s="721"/>
      <c r="CP140" s="721"/>
      <c r="CQ140" s="721"/>
      <c r="CR140" s="279"/>
      <c r="CS140" s="721"/>
      <c r="CT140" s="721"/>
      <c r="CU140" s="721"/>
      <c r="CV140" s="721"/>
      <c r="CW140" s="721"/>
      <c r="CX140" s="279"/>
      <c r="CY140" s="721"/>
      <c r="CZ140" s="721"/>
      <c r="DA140" s="721"/>
      <c r="DB140" s="721"/>
      <c r="DC140" s="721"/>
      <c r="DD140" s="279"/>
      <c r="DE140" s="721"/>
      <c r="DF140" s="721"/>
      <c r="DG140" s="721"/>
      <c r="DH140" s="721"/>
      <c r="DI140" s="721"/>
      <c r="DJ140" s="279"/>
      <c r="DK140" s="721"/>
      <c r="DL140" s="721"/>
      <c r="DM140" s="721"/>
      <c r="DN140" s="721"/>
      <c r="DO140" s="721"/>
      <c r="DP140" s="260"/>
    </row>
    <row r="141" spans="1:127" ht="12" hidden="1" customHeight="1" outlineLevel="1">
      <c r="A141" s="713"/>
      <c r="B141" s="730"/>
      <c r="C141" s="721"/>
      <c r="D141" s="721"/>
      <c r="E141" s="721"/>
      <c r="F141" s="260"/>
      <c r="G141" s="721"/>
      <c r="H141" s="721"/>
      <c r="I141" s="721"/>
      <c r="J141" s="721"/>
      <c r="K141" s="721"/>
      <c r="L141" s="260"/>
      <c r="M141" s="721"/>
      <c r="N141" s="721"/>
      <c r="O141" s="721"/>
      <c r="P141" s="721"/>
      <c r="Q141" s="721"/>
      <c r="R141" s="260"/>
      <c r="S141" s="721"/>
      <c r="T141" s="721"/>
      <c r="U141" s="721"/>
      <c r="V141" s="721"/>
      <c r="W141" s="721"/>
      <c r="X141" s="260"/>
      <c r="Y141" s="721"/>
      <c r="Z141" s="721"/>
      <c r="AA141" s="721"/>
      <c r="AB141" s="721"/>
      <c r="AC141" s="721"/>
      <c r="AD141" s="279"/>
      <c r="AE141" s="721"/>
      <c r="AF141" s="721"/>
      <c r="AG141" s="721"/>
      <c r="AH141" s="721"/>
      <c r="AI141" s="721"/>
      <c r="AJ141" s="279"/>
      <c r="AK141" s="721"/>
      <c r="AL141" s="721"/>
      <c r="AM141" s="721"/>
      <c r="AN141" s="721"/>
      <c r="AO141" s="721"/>
      <c r="AP141" s="279"/>
      <c r="AQ141" s="721"/>
      <c r="AR141" s="721"/>
      <c r="AS141" s="721"/>
      <c r="AT141" s="721"/>
      <c r="AU141" s="721"/>
      <c r="AV141" s="279"/>
      <c r="AW141" s="721"/>
      <c r="AX141" s="721"/>
      <c r="AY141" s="721"/>
      <c r="AZ141" s="721"/>
      <c r="BA141" s="721"/>
      <c r="BB141" s="279"/>
      <c r="BC141" s="721"/>
      <c r="BD141" s="721"/>
      <c r="BE141" s="721"/>
      <c r="BF141" s="721"/>
      <c r="BG141" s="721"/>
      <c r="BH141" s="279"/>
      <c r="BI141" s="721"/>
      <c r="BJ141" s="721"/>
      <c r="BK141" s="721"/>
      <c r="BL141" s="721"/>
      <c r="BM141" s="721"/>
      <c r="BN141" s="279"/>
      <c r="BO141" s="721"/>
      <c r="BP141" s="721"/>
      <c r="BQ141" s="721"/>
      <c r="BR141" s="721"/>
      <c r="BS141" s="721"/>
      <c r="BT141" s="279"/>
      <c r="BU141" s="721"/>
      <c r="BV141" s="721"/>
      <c r="BW141" s="721"/>
      <c r="BX141" s="721"/>
      <c r="BY141" s="721"/>
      <c r="BZ141" s="279"/>
      <c r="CA141" s="721"/>
      <c r="CB141" s="721"/>
      <c r="CC141" s="721"/>
      <c r="CD141" s="721"/>
      <c r="CE141" s="721"/>
      <c r="CF141" s="279"/>
      <c r="CG141" s="721"/>
      <c r="CH141" s="721"/>
      <c r="CI141" s="721"/>
      <c r="CJ141" s="721"/>
      <c r="CK141" s="721"/>
      <c r="CL141" s="279"/>
      <c r="CM141" s="721"/>
      <c r="CN141" s="721"/>
      <c r="CO141" s="721"/>
      <c r="CP141" s="721"/>
      <c r="CQ141" s="721"/>
      <c r="CR141" s="279"/>
      <c r="CS141" s="721"/>
      <c r="CT141" s="721"/>
      <c r="CU141" s="721"/>
      <c r="CV141" s="721"/>
      <c r="CW141" s="721"/>
      <c r="CX141" s="279"/>
      <c r="CY141" s="721"/>
      <c r="CZ141" s="721"/>
      <c r="DA141" s="721"/>
      <c r="DB141" s="721"/>
      <c r="DC141" s="721"/>
      <c r="DD141" s="279"/>
      <c r="DE141" s="721"/>
      <c r="DF141" s="721"/>
      <c r="DG141" s="721"/>
      <c r="DH141" s="721"/>
      <c r="DI141" s="721"/>
      <c r="DJ141" s="279"/>
      <c r="DK141" s="721"/>
      <c r="DL141" s="721"/>
      <c r="DM141" s="721"/>
      <c r="DN141" s="721"/>
      <c r="DO141" s="721"/>
      <c r="DP141" s="260"/>
    </row>
    <row r="142" spans="1:127" ht="12" hidden="1" customHeight="1" outlineLevel="1">
      <c r="A142" s="800" t="s">
        <v>280</v>
      </c>
      <c r="B142" s="730"/>
      <c r="C142" s="721"/>
      <c r="D142" s="721"/>
      <c r="E142" s="721"/>
      <c r="F142" s="260"/>
      <c r="G142" s="721"/>
      <c r="H142" s="721"/>
      <c r="I142" s="721"/>
      <c r="J142" s="721"/>
      <c r="K142" s="721"/>
      <c r="L142" s="260"/>
      <c r="M142" s="721"/>
      <c r="N142" s="721"/>
      <c r="O142" s="721"/>
      <c r="P142" s="721"/>
      <c r="Q142" s="721"/>
      <c r="R142" s="260"/>
      <c r="S142" s="721"/>
      <c r="T142" s="721"/>
      <c r="U142" s="721"/>
      <c r="V142" s="721"/>
      <c r="W142" s="721"/>
      <c r="X142" s="260"/>
      <c r="Y142" s="721"/>
      <c r="Z142" s="279"/>
      <c r="AA142" s="721"/>
      <c r="AB142" s="721"/>
      <c r="AC142" s="721"/>
      <c r="AD142" s="279"/>
      <c r="AE142" s="721"/>
      <c r="AF142" s="721"/>
      <c r="AG142" s="721"/>
      <c r="AH142" s="721"/>
      <c r="AI142" s="721"/>
      <c r="AJ142" s="279"/>
      <c r="AK142" s="721"/>
      <c r="AL142" s="721"/>
      <c r="AM142" s="721"/>
      <c r="AN142" s="721"/>
      <c r="AO142" s="721"/>
      <c r="AP142" s="279"/>
      <c r="AQ142" s="721"/>
      <c r="AR142" s="721"/>
      <c r="AS142" s="721"/>
      <c r="AT142" s="721"/>
      <c r="AU142" s="721"/>
      <c r="AV142" s="279"/>
      <c r="AW142" s="721"/>
      <c r="AX142" s="721"/>
      <c r="AY142" s="721"/>
      <c r="AZ142" s="721"/>
      <c r="BA142" s="721"/>
      <c r="BB142" s="279"/>
      <c r="BC142" s="721"/>
      <c r="BD142" s="721"/>
      <c r="BE142" s="721"/>
      <c r="BF142" s="721"/>
      <c r="BG142" s="721"/>
      <c r="BH142" s="279"/>
      <c r="BI142" s="721"/>
      <c r="BJ142" s="721"/>
      <c r="BK142" s="721"/>
      <c r="BL142" s="721"/>
      <c r="BM142" s="721"/>
      <c r="BN142" s="279"/>
      <c r="BO142" s="721"/>
      <c r="BP142" s="721"/>
      <c r="BQ142" s="721"/>
      <c r="BR142" s="721"/>
      <c r="BS142" s="721"/>
      <c r="BT142" s="279"/>
      <c r="BU142" s="721"/>
      <c r="BV142" s="721"/>
      <c r="BW142" s="721"/>
      <c r="BX142" s="721"/>
      <c r="BY142" s="721"/>
      <c r="BZ142" s="279"/>
      <c r="CA142" s="721"/>
      <c r="CB142" s="721"/>
      <c r="CC142" s="721"/>
      <c r="CD142" s="721"/>
      <c r="CE142" s="721"/>
      <c r="CF142" s="279"/>
      <c r="CG142" s="721"/>
      <c r="CH142" s="721"/>
      <c r="CI142" s="721"/>
      <c r="CJ142" s="721"/>
      <c r="CK142" s="721"/>
      <c r="CL142" s="279"/>
      <c r="CM142" s="721"/>
      <c r="CN142" s="721"/>
      <c r="CO142" s="721"/>
      <c r="CP142" s="721"/>
      <c r="CQ142" s="721"/>
      <c r="CR142" s="279"/>
      <c r="CS142" s="721"/>
      <c r="CT142" s="721"/>
      <c r="CU142" s="721"/>
      <c r="CV142" s="721"/>
      <c r="CW142" s="721"/>
      <c r="CX142" s="279"/>
      <c r="CY142" s="721"/>
      <c r="CZ142" s="721"/>
      <c r="DA142" s="721"/>
      <c r="DB142" s="721"/>
      <c r="DC142" s="721"/>
      <c r="DD142" s="279"/>
      <c r="DE142" s="721"/>
      <c r="DF142" s="721"/>
      <c r="DG142" s="721"/>
      <c r="DH142" s="721"/>
      <c r="DI142" s="721"/>
      <c r="DJ142" s="279"/>
      <c r="DK142" s="721"/>
      <c r="DL142" s="721"/>
      <c r="DM142" s="721"/>
      <c r="DN142" s="721"/>
      <c r="DO142" s="721"/>
      <c r="DP142" s="260"/>
    </row>
    <row r="143" spans="1:127" ht="12" hidden="1" customHeight="1" outlineLevel="1">
      <c r="A143" s="801" t="s">
        <v>281</v>
      </c>
      <c r="B143" s="730"/>
      <c r="C143" s="721"/>
      <c r="D143" s="721"/>
      <c r="E143" s="263">
        <v>2.6080000000000001</v>
      </c>
      <c r="F143" s="263"/>
      <c r="G143" s="263"/>
      <c r="H143" s="263"/>
      <c r="I143" s="263"/>
      <c r="J143" s="263"/>
      <c r="K143" s="263">
        <v>3.1349999999999998</v>
      </c>
      <c r="L143" s="264"/>
      <c r="M143" s="263">
        <v>0.99399999999999999</v>
      </c>
      <c r="N143" s="263">
        <v>0.93600000000000005</v>
      </c>
      <c r="O143" s="263">
        <v>0.93500000000000005</v>
      </c>
      <c r="P143" s="263">
        <f>Q143-O143-N143-M143</f>
        <v>0.90000000000000013</v>
      </c>
      <c r="Q143" s="263">
        <v>3.7650000000000001</v>
      </c>
      <c r="R143" s="263"/>
      <c r="S143" s="263">
        <v>0.82199999999999995</v>
      </c>
      <c r="T143" s="263">
        <v>0.85699999999999998</v>
      </c>
      <c r="U143" s="263">
        <v>0.81499999999999995</v>
      </c>
      <c r="V143" s="263">
        <f>W143-U143-T143-S143</f>
        <v>0.80400000000000016</v>
      </c>
      <c r="W143" s="263">
        <v>3.298</v>
      </c>
      <c r="X143" s="260"/>
      <c r="Y143" s="263">
        <v>0.76</v>
      </c>
      <c r="Z143" s="263">
        <v>0.754</v>
      </c>
      <c r="AA143" s="263">
        <v>0.63400000000000001</v>
      </c>
      <c r="AB143" s="263">
        <f>AC143-AA143-Z143-Y143</f>
        <v>0.61700000000000021</v>
      </c>
      <c r="AC143" s="721">
        <v>2.7650000000000001</v>
      </c>
      <c r="AD143" s="279"/>
      <c r="AE143" s="721"/>
      <c r="AF143" s="721"/>
      <c r="AG143" s="721"/>
      <c r="AH143" s="721"/>
      <c r="AI143" s="721"/>
      <c r="AJ143" s="279"/>
      <c r="AK143" s="721"/>
      <c r="AL143" s="721"/>
      <c r="AM143" s="721"/>
      <c r="AN143" s="721"/>
      <c r="AO143" s="721"/>
      <c r="AP143" s="279"/>
      <c r="AQ143" s="721"/>
      <c r="AR143" s="721"/>
      <c r="AS143" s="721"/>
      <c r="AT143" s="721"/>
      <c r="AU143" s="721"/>
      <c r="AV143" s="279"/>
      <c r="AW143" s="721"/>
      <c r="AX143" s="721"/>
      <c r="AY143" s="721"/>
      <c r="AZ143" s="721"/>
      <c r="BA143" s="721"/>
      <c r="BB143" s="279"/>
      <c r="BC143" s="721"/>
      <c r="BD143" s="721"/>
      <c r="BE143" s="721"/>
      <c r="BF143" s="721"/>
      <c r="BG143" s="721"/>
      <c r="BH143" s="279"/>
      <c r="BI143" s="721"/>
      <c r="BJ143" s="721"/>
      <c r="BK143" s="721"/>
      <c r="BL143" s="721"/>
      <c r="BM143" s="280"/>
      <c r="BN143" s="279"/>
      <c r="BO143" s="721"/>
      <c r="BP143" s="721"/>
      <c r="BQ143" s="721"/>
      <c r="BR143" s="721"/>
      <c r="BS143" s="721"/>
      <c r="BT143" s="279"/>
      <c r="BU143" s="721"/>
      <c r="BV143" s="721"/>
      <c r="BW143" s="721"/>
      <c r="BX143" s="721"/>
      <c r="BY143" s="721"/>
      <c r="BZ143" s="279"/>
      <c r="CA143" s="721"/>
      <c r="CB143" s="721"/>
      <c r="CC143" s="721"/>
      <c r="CD143" s="721"/>
      <c r="CE143" s="721"/>
      <c r="CF143" s="279"/>
      <c r="CG143" s="721"/>
      <c r="CH143" s="721"/>
      <c r="CI143" s="721"/>
      <c r="CJ143" s="721"/>
      <c r="CK143" s="721"/>
      <c r="CL143" s="279"/>
      <c r="CM143" s="721"/>
      <c r="CN143" s="721"/>
      <c r="CO143" s="721"/>
      <c r="CP143" s="721"/>
      <c r="CQ143" s="721"/>
      <c r="CR143" s="279"/>
      <c r="CS143" s="721"/>
      <c r="CT143" s="721"/>
      <c r="CU143" s="721"/>
      <c r="CV143" s="721"/>
      <c r="CW143" s="721"/>
      <c r="CX143" s="279"/>
      <c r="CY143" s="721"/>
      <c r="CZ143" s="721"/>
      <c r="DA143" s="721"/>
      <c r="DB143" s="721"/>
      <c r="DC143" s="721"/>
      <c r="DD143" s="279"/>
      <c r="DE143" s="721"/>
      <c r="DF143" s="721"/>
      <c r="DG143" s="721"/>
      <c r="DH143" s="721"/>
      <c r="DI143" s="721"/>
      <c r="DJ143" s="279"/>
      <c r="DK143" s="721"/>
      <c r="DL143" s="721"/>
      <c r="DM143" s="721"/>
      <c r="DN143" s="721"/>
      <c r="DO143" s="721"/>
      <c r="DP143" s="260"/>
    </row>
    <row r="144" spans="1:127" ht="12" hidden="1" customHeight="1" outlineLevel="1">
      <c r="A144" s="801" t="s">
        <v>783</v>
      </c>
      <c r="B144" s="730"/>
      <c r="C144" s="721"/>
      <c r="D144" s="721"/>
      <c r="E144" s="263">
        <v>-4.0250000000000004</v>
      </c>
      <c r="F144" s="263"/>
      <c r="G144" s="263"/>
      <c r="H144" s="263"/>
      <c r="I144" s="263"/>
      <c r="J144" s="263"/>
      <c r="K144" s="263">
        <v>-4.8049999999999997</v>
      </c>
      <c r="L144" s="264"/>
      <c r="M144" s="263">
        <v>-1.52</v>
      </c>
      <c r="N144" s="263">
        <v>-1.7849999999999999</v>
      </c>
      <c r="O144" s="263">
        <v>-2.1819999999999999</v>
      </c>
      <c r="P144" s="263">
        <f>Q144-O144-N144-M144</f>
        <v>-2.3969999999999998</v>
      </c>
      <c r="Q144" s="263">
        <v>-7.8840000000000003</v>
      </c>
      <c r="R144" s="263"/>
      <c r="S144" s="263">
        <v>-2.847</v>
      </c>
      <c r="T144" s="263">
        <v>-3.4590000000000001</v>
      </c>
      <c r="U144" s="263">
        <v>-3.2349999999999999</v>
      </c>
      <c r="V144" s="263">
        <f>W144-U144-T144-S144</f>
        <v>-4.3600000000000012</v>
      </c>
      <c r="W144" s="263">
        <v>-13.901</v>
      </c>
      <c r="X144" s="260"/>
      <c r="Y144" s="263">
        <v>-4.758</v>
      </c>
      <c r="Z144" s="263">
        <v>-5.2480000000000002</v>
      </c>
      <c r="AA144" s="263">
        <v>-6.024</v>
      </c>
      <c r="AB144" s="263">
        <f>AC144-AA144-Z144-Y144</f>
        <v>-6.6189999999999989</v>
      </c>
      <c r="AC144" s="721">
        <v>-22.649000000000001</v>
      </c>
      <c r="AD144" s="279"/>
      <c r="AE144" s="721">
        <f>-AE49</f>
        <v>-7.6059999999999999</v>
      </c>
      <c r="AF144" s="721">
        <f>-AF49</f>
        <v>-10.193</v>
      </c>
      <c r="AG144" s="721">
        <f>-AG49</f>
        <v>-10.24</v>
      </c>
      <c r="AH144" s="721">
        <f>-AH49</f>
        <v>-11.166</v>
      </c>
      <c r="AI144" s="721"/>
      <c r="AJ144" s="279"/>
      <c r="AK144" s="721"/>
      <c r="AL144" s="721"/>
      <c r="AM144" s="721"/>
      <c r="AN144" s="721"/>
      <c r="AO144" s="721"/>
      <c r="AP144" s="279"/>
      <c r="AQ144" s="721"/>
      <c r="AR144" s="721"/>
      <c r="AS144" s="721"/>
      <c r="AT144" s="721"/>
      <c r="AU144" s="721"/>
      <c r="AV144" s="279"/>
      <c r="AW144" s="721"/>
      <c r="AX144" s="721"/>
      <c r="AY144" s="721"/>
      <c r="AZ144" s="721"/>
      <c r="BA144" s="721"/>
      <c r="BB144" s="279"/>
      <c r="BC144" s="721"/>
      <c r="BD144" s="721"/>
      <c r="BE144" s="721"/>
      <c r="BF144" s="721"/>
      <c r="BG144" s="721"/>
      <c r="BH144" s="279"/>
      <c r="BI144" s="721"/>
      <c r="BJ144" s="721"/>
      <c r="BK144" s="721"/>
      <c r="BL144" s="721"/>
      <c r="BM144" s="721"/>
      <c r="BN144" s="279"/>
      <c r="BO144" s="721"/>
      <c r="BP144" s="721"/>
      <c r="BQ144" s="721"/>
      <c r="BR144" s="721"/>
      <c r="BS144" s="721"/>
      <c r="BT144" s="279"/>
      <c r="BU144" s="721"/>
      <c r="BV144" s="721"/>
      <c r="BW144" s="721"/>
      <c r="BX144" s="721"/>
      <c r="BY144" s="721"/>
      <c r="BZ144" s="279"/>
      <c r="CA144" s="721"/>
      <c r="CB144" s="721"/>
      <c r="CC144" s="721"/>
      <c r="CD144" s="721"/>
      <c r="CE144" s="721"/>
      <c r="CF144" s="279"/>
      <c r="CG144" s="721"/>
      <c r="CH144" s="721"/>
      <c r="CI144" s="721"/>
      <c r="CJ144" s="721"/>
      <c r="CK144" s="721"/>
      <c r="CL144" s="279"/>
      <c r="CM144" s="721"/>
      <c r="CN144" s="721"/>
      <c r="CO144" s="721"/>
      <c r="CP144" s="721"/>
      <c r="CQ144" s="721"/>
      <c r="CR144" s="279"/>
      <c r="CS144" s="721"/>
      <c r="CT144" s="721"/>
      <c r="CU144" s="721"/>
      <c r="CV144" s="721"/>
      <c r="CW144" s="721"/>
      <c r="CX144" s="279"/>
      <c r="CY144" s="721"/>
      <c r="CZ144" s="721"/>
      <c r="DA144" s="721"/>
      <c r="DB144" s="721"/>
      <c r="DC144" s="721"/>
      <c r="DD144" s="279"/>
      <c r="DE144" s="721"/>
      <c r="DF144" s="721"/>
      <c r="DG144" s="721"/>
      <c r="DH144" s="721"/>
      <c r="DI144" s="721"/>
      <c r="DJ144" s="279"/>
      <c r="DK144" s="721"/>
      <c r="DL144" s="721"/>
      <c r="DM144" s="721"/>
      <c r="DN144" s="721"/>
      <c r="DO144" s="721"/>
      <c r="DP144" s="260"/>
    </row>
    <row r="145" spans="1:120" ht="12" hidden="1" customHeight="1" outlineLevel="1">
      <c r="A145" s="801" t="s">
        <v>628</v>
      </c>
      <c r="B145" s="730"/>
      <c r="C145" s="721"/>
      <c r="D145" s="721"/>
      <c r="E145" s="263">
        <f>E106+E143+E144</f>
        <v>-30.026000000000003</v>
      </c>
      <c r="F145" s="263"/>
      <c r="G145" s="263"/>
      <c r="H145" s="263"/>
      <c r="I145" s="263"/>
      <c r="J145" s="263"/>
      <c r="K145" s="263">
        <f>K106+K143+K144</f>
        <v>-11.386000000000001</v>
      </c>
      <c r="L145" s="264"/>
      <c r="M145" s="263">
        <f>M106+M143+M144</f>
        <v>-0.15799999999999881</v>
      </c>
      <c r="N145" s="263">
        <f>N106+N143+N144</f>
        <v>-0.72699999999999942</v>
      </c>
      <c r="O145" s="263">
        <f>O106+O143+O144</f>
        <v>2.5419999999999976</v>
      </c>
      <c r="P145" s="263">
        <f>P106+P143+P144</f>
        <v>-2.2620000000000009</v>
      </c>
      <c r="Q145" s="263">
        <f>Q106+Q143+Q144</f>
        <v>-0.6050000000000022</v>
      </c>
      <c r="R145" s="263"/>
      <c r="S145" s="263">
        <f>S106+S143+S144</f>
        <v>-1.5879999999999994</v>
      </c>
      <c r="T145" s="263">
        <f>T106+T143+T144</f>
        <v>-1.4319999999999866</v>
      </c>
      <c r="U145" s="263">
        <f>U106+U143+U144</f>
        <v>-0.2669999999999968</v>
      </c>
      <c r="V145" s="263">
        <f>V106+V143+V144</f>
        <v>2.999999999999492E-2</v>
      </c>
      <c r="W145" s="263">
        <f>W106+W143+W144</f>
        <v>-3.2569999999999855</v>
      </c>
      <c r="X145" s="260"/>
      <c r="Y145" s="263">
        <f>Y106+Y143+Y144</f>
        <v>0.38199999999999967</v>
      </c>
      <c r="Z145" s="263">
        <f>Z106+Z143+Z144</f>
        <v>0.54599999999999671</v>
      </c>
      <c r="AA145" s="263">
        <f>AA106+AA143+AA144</f>
        <v>7.7069999999999856</v>
      </c>
      <c r="AB145" s="263">
        <f>AB106+AB143+AB144</f>
        <v>-4.5000000000018581E-2</v>
      </c>
      <c r="AC145" s="263">
        <f>AC106+AC143+AC144</f>
        <v>8.5899999999999608</v>
      </c>
      <c r="AD145" s="279"/>
      <c r="AE145" s="721"/>
      <c r="AF145" s="721"/>
      <c r="AG145" s="721"/>
      <c r="AH145" s="721"/>
      <c r="AI145" s="721"/>
      <c r="AJ145" s="279"/>
      <c r="AK145" s="721"/>
      <c r="AL145" s="721"/>
      <c r="AM145" s="721"/>
      <c r="AN145" s="721"/>
      <c r="AO145" s="721"/>
      <c r="AP145" s="279"/>
      <c r="AQ145" s="721"/>
      <c r="AR145" s="721"/>
      <c r="AS145" s="721"/>
      <c r="AT145" s="721"/>
      <c r="AU145" s="721"/>
      <c r="AV145" s="279"/>
      <c r="AW145" s="721"/>
      <c r="AX145" s="721"/>
      <c r="AY145" s="721"/>
      <c r="AZ145" s="721"/>
      <c r="BA145" s="721"/>
      <c r="BB145" s="279"/>
      <c r="BC145" s="721"/>
      <c r="BD145" s="721"/>
      <c r="BE145" s="721"/>
      <c r="BF145" s="721"/>
      <c r="BG145" s="721"/>
      <c r="BH145" s="279"/>
      <c r="BI145" s="721"/>
      <c r="BJ145" s="721"/>
      <c r="BK145" s="721"/>
      <c r="BL145" s="721"/>
      <c r="BM145" s="721"/>
      <c r="BN145" s="279"/>
      <c r="BO145" s="721"/>
      <c r="BP145" s="721"/>
      <c r="BQ145" s="721"/>
      <c r="BR145" s="721"/>
      <c r="BS145" s="721"/>
      <c r="BT145" s="279"/>
      <c r="BU145" s="721"/>
      <c r="BV145" s="721"/>
      <c r="BW145" s="721"/>
      <c r="BX145" s="721"/>
      <c r="BY145" s="721"/>
      <c r="BZ145" s="279"/>
      <c r="CA145" s="721"/>
      <c r="CB145" s="721"/>
      <c r="CC145" s="721"/>
      <c r="CD145" s="721"/>
      <c r="CE145" s="721"/>
      <c r="CF145" s="279"/>
      <c r="CG145" s="721"/>
      <c r="CH145" s="721"/>
      <c r="CI145" s="721"/>
      <c r="CJ145" s="721"/>
      <c r="CK145" s="721"/>
      <c r="CL145" s="279"/>
      <c r="CM145" s="721"/>
      <c r="CN145" s="721"/>
      <c r="CO145" s="721"/>
      <c r="CP145" s="721"/>
      <c r="CQ145" s="721"/>
      <c r="CR145" s="279"/>
      <c r="CS145" s="721"/>
      <c r="CT145" s="721"/>
      <c r="CU145" s="721"/>
      <c r="CV145" s="721"/>
      <c r="CW145" s="721"/>
      <c r="CX145" s="279"/>
      <c r="CY145" s="721"/>
      <c r="CZ145" s="721"/>
      <c r="DA145" s="721"/>
      <c r="DB145" s="721"/>
      <c r="DC145" s="721"/>
      <c r="DD145" s="279"/>
      <c r="DE145" s="721"/>
      <c r="DF145" s="721"/>
      <c r="DG145" s="721"/>
      <c r="DH145" s="721"/>
      <c r="DI145" s="721"/>
      <c r="DJ145" s="279"/>
      <c r="DK145" s="721"/>
      <c r="DL145" s="721"/>
      <c r="DM145" s="721"/>
      <c r="DN145" s="721"/>
      <c r="DO145" s="721"/>
      <c r="DP145" s="260"/>
    </row>
    <row r="146" spans="1:120" ht="12" hidden="1" customHeight="1" outlineLevel="1">
      <c r="A146" s="801" t="s">
        <v>770</v>
      </c>
      <c r="B146" s="730"/>
      <c r="C146" s="721"/>
      <c r="D146" s="721"/>
      <c r="E146" s="721">
        <f>E145/E112</f>
        <v>-1.4271590855078664</v>
      </c>
      <c r="F146" s="260"/>
      <c r="G146" s="721"/>
      <c r="H146" s="721"/>
      <c r="I146" s="721"/>
      <c r="J146" s="721"/>
      <c r="K146" s="721">
        <f>K145/K112</f>
        <v>-0.43170077441492344</v>
      </c>
      <c r="L146" s="260"/>
      <c r="M146" s="721">
        <f>M145/M112</f>
        <v>-5.5129099790648568E-3</v>
      </c>
      <c r="N146" s="721">
        <f>N145/N112</f>
        <v>-2.4859800300916408E-2</v>
      </c>
      <c r="O146" s="721">
        <f>O145/O112</f>
        <v>8.4999665618939263E-2</v>
      </c>
      <c r="P146" s="721">
        <f>P145/P112</f>
        <v>-7.3880523891955471E-2</v>
      </c>
      <c r="Q146" s="721">
        <f>Q145/Q112</f>
        <v>-2.0434529288084716E-2</v>
      </c>
      <c r="R146" s="260"/>
      <c r="S146" s="721">
        <f>S145/S112</f>
        <v>-1.2528401918707393E-2</v>
      </c>
      <c r="T146" s="721">
        <f>T145/T112</f>
        <v>-5.5483231045811892E-3</v>
      </c>
      <c r="U146" s="721">
        <f>U145/U112</f>
        <v>-6.5225675952978101E-4</v>
      </c>
      <c r="V146" s="721">
        <f>V145/V112</f>
        <v>7.2493185640537514E-5</v>
      </c>
      <c r="W146" s="721">
        <f>W145/W112</f>
        <v>-1.0784339695111405E-2</v>
      </c>
      <c r="X146" s="260"/>
      <c r="Y146" s="721">
        <f>Y145/Y112</f>
        <v>9.0761349920643133E-4</v>
      </c>
      <c r="Z146" s="721">
        <f>Z145/Z112</f>
        <v>1.2803196578310464E-3</v>
      </c>
      <c r="AA146" s="721">
        <f>AA145/AA112</f>
        <v>1.7876527402788955E-2</v>
      </c>
      <c r="AB146" s="721">
        <f>AB145/AB112</f>
        <v>-1.027819651912169E-4</v>
      </c>
      <c r="AC146" s="721">
        <f>AC145/AC112</f>
        <v>2.0018830285064324E-2</v>
      </c>
      <c r="AD146" s="279"/>
      <c r="AE146" s="721"/>
      <c r="AF146" s="721"/>
      <c r="AG146" s="721"/>
      <c r="AH146" s="721"/>
      <c r="AI146" s="721"/>
      <c r="AJ146" s="279"/>
      <c r="AK146" s="721"/>
      <c r="AL146" s="721"/>
      <c r="AM146" s="721"/>
      <c r="AN146" s="721"/>
      <c r="AO146" s="721"/>
      <c r="AP146" s="279"/>
      <c r="AQ146" s="721"/>
      <c r="AR146" s="721"/>
      <c r="AS146" s="721"/>
      <c r="AT146" s="721"/>
      <c r="AU146" s="721"/>
      <c r="AV146" s="279"/>
      <c r="AW146" s="721"/>
      <c r="AX146" s="721"/>
      <c r="AY146" s="721"/>
      <c r="AZ146" s="721"/>
      <c r="BA146" s="721"/>
      <c r="BB146" s="279"/>
      <c r="BC146" s="721"/>
      <c r="BD146" s="721"/>
      <c r="BE146" s="721"/>
      <c r="BF146" s="721"/>
      <c r="BG146" s="721"/>
      <c r="BH146" s="279"/>
      <c r="BI146" s="721"/>
      <c r="BJ146" s="721"/>
      <c r="BK146" s="721"/>
      <c r="BL146" s="721"/>
      <c r="BM146" s="721"/>
      <c r="BN146" s="279"/>
      <c r="BO146" s="721"/>
      <c r="BP146" s="721"/>
      <c r="BQ146" s="721"/>
      <c r="BR146" s="721"/>
      <c r="BS146" s="721"/>
      <c r="BT146" s="279"/>
      <c r="BU146" s="721"/>
      <c r="BV146" s="721"/>
      <c r="BW146" s="721"/>
      <c r="BX146" s="721"/>
      <c r="BY146" s="721"/>
      <c r="BZ146" s="279"/>
      <c r="CA146" s="721"/>
      <c r="CB146" s="721"/>
      <c r="CC146" s="721"/>
      <c r="CD146" s="721"/>
      <c r="CE146" s="721"/>
      <c r="CF146" s="279"/>
      <c r="CG146" s="721"/>
      <c r="CH146" s="721"/>
      <c r="CI146" s="721"/>
      <c r="CJ146" s="721"/>
      <c r="CK146" s="721"/>
      <c r="CL146" s="279"/>
      <c r="CM146" s="721"/>
      <c r="CN146" s="721"/>
      <c r="CO146" s="721"/>
      <c r="CP146" s="721"/>
      <c r="CQ146" s="721"/>
      <c r="CR146" s="279"/>
      <c r="CS146" s="721"/>
      <c r="CT146" s="721"/>
      <c r="CU146" s="721"/>
      <c r="CV146" s="721"/>
      <c r="CW146" s="721"/>
      <c r="CX146" s="279"/>
      <c r="CY146" s="721"/>
      <c r="CZ146" s="721"/>
      <c r="DA146" s="721"/>
      <c r="DB146" s="721"/>
      <c r="DC146" s="721"/>
      <c r="DD146" s="279"/>
      <c r="DE146" s="721"/>
      <c r="DF146" s="721"/>
      <c r="DG146" s="721"/>
      <c r="DH146" s="721"/>
      <c r="DI146" s="721"/>
      <c r="DJ146" s="279"/>
      <c r="DK146" s="721"/>
      <c r="DL146" s="721"/>
      <c r="DM146" s="721"/>
      <c r="DN146" s="721"/>
      <c r="DO146" s="721"/>
      <c r="DP146" s="260"/>
    </row>
    <row r="147" spans="1:120" ht="12" hidden="1" customHeight="1" outlineLevel="1">
      <c r="A147" s="801" t="s">
        <v>771</v>
      </c>
      <c r="B147" s="730"/>
      <c r="C147" s="721"/>
      <c r="D147" s="721"/>
      <c r="E147" s="721">
        <f>IF(E145&gt;0,E145/E111,E145/E112)</f>
        <v>-1.4271590855078664</v>
      </c>
      <c r="F147" s="260"/>
      <c r="G147" s="721"/>
      <c r="H147" s="721"/>
      <c r="I147" s="721"/>
      <c r="J147" s="721"/>
      <c r="K147" s="721">
        <f>IF(K145&gt;0,K145/K111,K145/K112)</f>
        <v>-0.43170077441492344</v>
      </c>
      <c r="L147" s="260"/>
      <c r="M147" s="721">
        <f>IF(M145&gt;0,M145/M111,M145/M112)</f>
        <v>-5.5129099790648568E-3</v>
      </c>
      <c r="N147" s="721">
        <f>IF(N145&gt;0,N145/N111,N145/N112)</f>
        <v>-2.4859800300916408E-2</v>
      </c>
      <c r="O147" s="721">
        <f>IF(O145&gt;0,O145/O111,O145/O112)</f>
        <v>2.6611949204886857E-2</v>
      </c>
      <c r="P147" s="721">
        <f>IF(P145&gt;0,P145/P111,P145/P112)</f>
        <v>-7.3880523891955471E-2</v>
      </c>
      <c r="Q147" s="721">
        <f>IF(Q145&gt;0,Q145/Q111,Q145/Q112)</f>
        <v>-2.0434529288084716E-2</v>
      </c>
      <c r="R147" s="260"/>
      <c r="S147" s="721">
        <f>IF(S145&gt;0,S145/S111,S145/S112)</f>
        <v>-1.2528401918707393E-2</v>
      </c>
      <c r="T147" s="721">
        <f>IF(T145&gt;0,T145/T111,T145/T112)</f>
        <v>-5.5483231045811892E-3</v>
      </c>
      <c r="U147" s="721">
        <f>IF(U145&gt;0,U145/U111,U145/U112)</f>
        <v>-6.5225675952978101E-4</v>
      </c>
      <c r="V147" s="721">
        <f>IF(V145&gt;0,V145/V111,V145/V112)</f>
        <v>6.4207930963621748E-5</v>
      </c>
      <c r="W147" s="721">
        <f>IF(W145&gt;0,W145/W111,W145/W112)</f>
        <v>-1.0784339695111405E-2</v>
      </c>
      <c r="X147" s="260"/>
      <c r="Y147" s="721">
        <f>IF(Y145&gt;0,Y145/Y111,Y145/Y112)</f>
        <v>8.2067940223602839E-4</v>
      </c>
      <c r="Z147" s="721">
        <f>IF(Z145&gt;0,Z145/Z111,Z145/Z112)</f>
        <v>1.1570346008442469E-3</v>
      </c>
      <c r="AA147" s="721">
        <f>IF(AA145&gt;0,AA145/AA111,AA145/AA112)</f>
        <v>1.6238253760903428E-2</v>
      </c>
      <c r="AB147" s="721">
        <f>IF(AB145&gt;0,AB145/AB111,AB145/AB112)</f>
        <v>-1.027819651912169E-4</v>
      </c>
      <c r="AC147" s="721">
        <f>IF(AC145&gt;0,AC145/AC111,AC145/AC112)</f>
        <v>1.8086190488221788E-2</v>
      </c>
      <c r="AD147" s="279"/>
      <c r="AE147" s="721"/>
      <c r="AF147" s="721"/>
      <c r="AG147" s="721"/>
      <c r="AH147" s="721"/>
      <c r="AI147" s="721"/>
      <c r="AJ147" s="279"/>
      <c r="AK147" s="721"/>
      <c r="AL147" s="721"/>
      <c r="AM147" s="721"/>
      <c r="AN147" s="721"/>
      <c r="AO147" s="721"/>
      <c r="AP147" s="279"/>
      <c r="AQ147" s="721"/>
      <c r="AR147" s="721"/>
      <c r="AS147" s="721"/>
      <c r="AT147" s="721"/>
      <c r="AU147" s="721"/>
      <c r="AV147" s="279"/>
      <c r="AW147" s="721"/>
      <c r="AX147" s="721"/>
      <c r="AY147" s="721"/>
      <c r="AZ147" s="721"/>
      <c r="BA147" s="721"/>
      <c r="BB147" s="279"/>
      <c r="BC147" s="721"/>
      <c r="BD147" s="721"/>
      <c r="BE147" s="721"/>
      <c r="BF147" s="721"/>
      <c r="BG147" s="721"/>
      <c r="BH147" s="279"/>
      <c r="BI147" s="721"/>
      <c r="BJ147" s="721"/>
      <c r="BK147" s="721"/>
      <c r="BL147" s="721"/>
      <c r="BM147" s="721"/>
      <c r="BN147" s="279"/>
      <c r="BO147" s="721"/>
      <c r="BP147" s="721"/>
      <c r="BQ147" s="721"/>
      <c r="BR147" s="721"/>
      <c r="BS147" s="721"/>
      <c r="BT147" s="279"/>
      <c r="BU147" s="721"/>
      <c r="BV147" s="721"/>
      <c r="BW147" s="721"/>
      <c r="BX147" s="721"/>
      <c r="BY147" s="721"/>
      <c r="BZ147" s="279"/>
      <c r="CA147" s="721"/>
      <c r="CB147" s="721"/>
      <c r="CC147" s="721"/>
      <c r="CD147" s="721"/>
      <c r="CE147" s="721"/>
      <c r="CF147" s="279"/>
      <c r="CG147" s="721"/>
      <c r="CH147" s="721"/>
      <c r="CI147" s="721"/>
      <c r="CJ147" s="721"/>
      <c r="CK147" s="721"/>
      <c r="CL147" s="279"/>
      <c r="CM147" s="721"/>
      <c r="CN147" s="721"/>
      <c r="CO147" s="721"/>
      <c r="CP147" s="721"/>
      <c r="CQ147" s="721"/>
      <c r="CR147" s="279"/>
      <c r="CS147" s="721"/>
      <c r="CT147" s="721"/>
      <c r="CU147" s="721"/>
      <c r="CV147" s="721"/>
      <c r="CW147" s="721"/>
      <c r="CX147" s="279"/>
      <c r="CY147" s="721"/>
      <c r="CZ147" s="721"/>
      <c r="DA147" s="721"/>
      <c r="DB147" s="721"/>
      <c r="DC147" s="721"/>
      <c r="DD147" s="279"/>
      <c r="DE147" s="721"/>
      <c r="DF147" s="721"/>
      <c r="DG147" s="721"/>
      <c r="DH147" s="721"/>
      <c r="DI147" s="721"/>
      <c r="DJ147" s="279"/>
      <c r="DK147" s="721"/>
      <c r="DL147" s="721"/>
      <c r="DM147" s="721"/>
      <c r="DN147" s="721"/>
      <c r="DO147" s="721"/>
      <c r="DP147" s="260"/>
    </row>
    <row r="148" spans="1:120" ht="12" hidden="1" customHeight="1" outlineLevel="1">
      <c r="A148" s="801"/>
      <c r="B148" s="730"/>
      <c r="C148" s="721"/>
      <c r="D148" s="721"/>
      <c r="E148" s="721"/>
      <c r="F148" s="260"/>
      <c r="G148" s="721"/>
      <c r="H148" s="721"/>
      <c r="I148" s="721"/>
      <c r="J148" s="721"/>
      <c r="K148" s="721"/>
      <c r="L148" s="260"/>
      <c r="M148" s="721"/>
      <c r="N148" s="721"/>
      <c r="O148" s="721"/>
      <c r="P148" s="721"/>
      <c r="Q148" s="721"/>
      <c r="R148" s="260"/>
      <c r="S148" s="721"/>
      <c r="T148" s="721"/>
      <c r="U148" s="721"/>
      <c r="V148" s="721"/>
      <c r="W148" s="721"/>
      <c r="X148" s="260"/>
      <c r="Y148" s="721"/>
      <c r="Z148" s="721"/>
      <c r="AA148" s="721"/>
      <c r="AB148" s="721"/>
      <c r="AC148" s="721"/>
      <c r="AD148" s="279"/>
      <c r="AE148" s="721"/>
      <c r="AF148" s="721"/>
      <c r="AG148" s="721"/>
      <c r="AH148" s="721"/>
      <c r="AI148" s="721"/>
      <c r="AJ148" s="279"/>
      <c r="AK148" s="721"/>
      <c r="AL148" s="721"/>
      <c r="AM148" s="721"/>
      <c r="AN148" s="721"/>
      <c r="AO148" s="721"/>
      <c r="AP148" s="279"/>
      <c r="AQ148" s="721"/>
      <c r="AR148" s="721"/>
      <c r="AS148" s="721"/>
      <c r="AT148" s="721"/>
      <c r="AU148" s="721"/>
      <c r="AV148" s="279"/>
      <c r="AW148" s="721"/>
      <c r="AX148" s="721"/>
      <c r="AY148" s="721"/>
      <c r="AZ148" s="721"/>
      <c r="BA148" s="721"/>
      <c r="BB148" s="279"/>
      <c r="BC148" s="721"/>
      <c r="BD148" s="721"/>
      <c r="BE148" s="721"/>
      <c r="BF148" s="721"/>
      <c r="BG148" s="721"/>
      <c r="BH148" s="279"/>
      <c r="BI148" s="721"/>
      <c r="BJ148" s="721"/>
      <c r="BK148" s="721"/>
      <c r="BL148" s="721"/>
      <c r="BM148" s="721"/>
      <c r="BN148" s="279"/>
      <c r="BO148" s="721"/>
      <c r="BP148" s="721"/>
      <c r="BQ148" s="721"/>
      <c r="BR148" s="721"/>
      <c r="BS148" s="721"/>
      <c r="BT148" s="279"/>
      <c r="BU148" s="721"/>
      <c r="BV148" s="721"/>
      <c r="BW148" s="721"/>
      <c r="BX148" s="721"/>
      <c r="BY148" s="721"/>
      <c r="BZ148" s="279"/>
      <c r="CA148" s="721"/>
      <c r="CB148" s="721"/>
      <c r="CC148" s="721"/>
      <c r="CD148" s="721"/>
      <c r="CE148" s="721"/>
      <c r="CF148" s="279"/>
      <c r="CG148" s="721"/>
      <c r="CH148" s="721"/>
      <c r="CI148" s="721"/>
      <c r="CJ148" s="721"/>
      <c r="CK148" s="721"/>
      <c r="CL148" s="279"/>
      <c r="CM148" s="721"/>
      <c r="CN148" s="721"/>
      <c r="CO148" s="721"/>
      <c r="CP148" s="721"/>
      <c r="CQ148" s="721"/>
      <c r="CR148" s="279"/>
      <c r="CS148" s="721"/>
      <c r="CT148" s="721"/>
      <c r="CU148" s="721"/>
      <c r="CV148" s="721"/>
      <c r="CW148" s="721"/>
      <c r="CX148" s="279"/>
      <c r="CY148" s="721"/>
      <c r="CZ148" s="721"/>
      <c r="DA148" s="721"/>
      <c r="DB148" s="721"/>
      <c r="DC148" s="721"/>
      <c r="DD148" s="279"/>
      <c r="DE148" s="721"/>
      <c r="DF148" s="721"/>
      <c r="DG148" s="721"/>
      <c r="DH148" s="721"/>
      <c r="DI148" s="721"/>
      <c r="DJ148" s="279"/>
      <c r="DK148" s="721"/>
      <c r="DL148" s="721"/>
      <c r="DM148" s="721"/>
      <c r="DN148" s="721"/>
      <c r="DO148" s="721"/>
      <c r="DP148" s="260"/>
    </row>
    <row r="149" spans="1:120" ht="12.75" hidden="1" customHeight="1" outlineLevel="1" thickBot="1">
      <c r="A149" s="802" t="s">
        <v>7</v>
      </c>
      <c r="B149" s="730"/>
      <c r="C149" s="721"/>
      <c r="D149" s="721"/>
      <c r="E149" s="721"/>
      <c r="F149" s="260"/>
      <c r="G149" s="721"/>
      <c r="H149" s="721"/>
      <c r="I149" s="721"/>
      <c r="J149" s="721"/>
      <c r="K149" s="721"/>
      <c r="L149" s="260"/>
      <c r="M149" s="721"/>
      <c r="N149" s="721"/>
      <c r="O149" s="721"/>
      <c r="P149" s="721"/>
      <c r="Q149" s="721"/>
      <c r="R149" s="260"/>
      <c r="S149" s="721"/>
      <c r="T149" s="721"/>
      <c r="U149" s="721"/>
      <c r="V149" s="721"/>
      <c r="W149" s="721"/>
      <c r="X149" s="260"/>
      <c r="Y149" s="721"/>
      <c r="Z149" s="721"/>
      <c r="AA149" s="721"/>
      <c r="AB149" s="721"/>
      <c r="AC149" s="721"/>
      <c r="AD149" s="279"/>
      <c r="AE149" s="721"/>
      <c r="AF149" s="721"/>
      <c r="AG149" s="721"/>
      <c r="AH149" s="721"/>
      <c r="AI149" s="721"/>
      <c r="AJ149" s="279"/>
      <c r="AK149" s="721"/>
      <c r="AL149" s="721"/>
      <c r="AM149" s="721"/>
      <c r="AN149" s="721"/>
      <c r="AO149" s="721"/>
      <c r="AP149" s="279"/>
      <c r="AQ149" s="721"/>
      <c r="AR149" s="721"/>
      <c r="AS149" s="721"/>
      <c r="AT149" s="721"/>
      <c r="AU149" s="721"/>
      <c r="AV149" s="279"/>
      <c r="AW149" s="721"/>
      <c r="AX149" s="721"/>
      <c r="AY149" s="721"/>
      <c r="AZ149" s="721"/>
      <c r="BA149" s="721"/>
      <c r="BB149" s="279"/>
      <c r="BC149" s="721"/>
      <c r="BD149" s="721"/>
      <c r="BE149" s="721"/>
      <c r="BF149" s="721"/>
      <c r="BG149" s="721"/>
      <c r="BH149" s="279"/>
      <c r="BI149" s="721"/>
      <c r="BJ149" s="721"/>
      <c r="BK149" s="721"/>
      <c r="BL149" s="721"/>
      <c r="BM149" s="721"/>
      <c r="BN149" s="279"/>
      <c r="BO149" s="721"/>
      <c r="BP149" s="721"/>
      <c r="BQ149" s="721"/>
      <c r="BR149" s="721"/>
      <c r="BS149" s="721"/>
      <c r="BT149" s="279"/>
      <c r="BU149" s="721"/>
      <c r="BV149" s="721"/>
      <c r="BW149" s="721"/>
      <c r="BX149" s="721"/>
      <c r="BY149" s="721"/>
      <c r="BZ149" s="279"/>
      <c r="CA149" s="721"/>
      <c r="CB149" s="721"/>
      <c r="CC149" s="721"/>
      <c r="CD149" s="721"/>
      <c r="CE149" s="721"/>
      <c r="CF149" s="279"/>
      <c r="CG149" s="721"/>
      <c r="CH149" s="721"/>
      <c r="CI149" s="721"/>
      <c r="CJ149" s="721"/>
      <c r="CK149" s="721"/>
      <c r="CL149" s="279"/>
      <c r="CM149" s="721"/>
      <c r="CN149" s="721"/>
      <c r="CO149" s="721"/>
      <c r="CP149" s="721"/>
      <c r="CQ149" s="721"/>
      <c r="CR149" s="279"/>
      <c r="CS149" s="721"/>
      <c r="CT149" s="721"/>
      <c r="CU149" s="721"/>
      <c r="CV149" s="721"/>
      <c r="CW149" s="721"/>
      <c r="CX149" s="279"/>
      <c r="CY149" s="721"/>
      <c r="CZ149" s="721"/>
      <c r="DA149" s="721"/>
      <c r="DB149" s="721"/>
      <c r="DC149" s="721"/>
      <c r="DD149" s="279"/>
      <c r="DE149" s="721"/>
      <c r="DF149" s="721"/>
      <c r="DG149" s="721"/>
      <c r="DH149" s="721"/>
      <c r="DI149" s="721"/>
      <c r="DJ149" s="279"/>
      <c r="DK149" s="721"/>
      <c r="DL149" s="721"/>
      <c r="DM149" s="721"/>
      <c r="DN149" s="721"/>
      <c r="DO149" s="721"/>
      <c r="DP149" s="260"/>
    </row>
    <row r="150" spans="1:120" ht="12" hidden="1" customHeight="1" outlineLevel="1">
      <c r="A150" s="803" t="s">
        <v>208</v>
      </c>
      <c r="B150" s="804"/>
      <c r="C150" s="805"/>
      <c r="D150" s="805"/>
      <c r="E150" s="806"/>
      <c r="F150" s="806"/>
      <c r="G150" s="806"/>
      <c r="H150" s="806"/>
      <c r="I150" s="806"/>
      <c r="J150" s="806"/>
      <c r="K150" s="806">
        <f>-K144/(1-K80)</f>
        <v>4.8049999999999997</v>
      </c>
      <c r="L150" s="474"/>
      <c r="M150" s="806">
        <f>-M144/(1-M80)</f>
        <v>1.7315909090909083</v>
      </c>
      <c r="N150" s="806">
        <f>-N144/(1-N80)</f>
        <v>2.0942125984251958</v>
      </c>
      <c r="O150" s="806">
        <f>-O144/(1-O80)</f>
        <v>2.4364361865709894</v>
      </c>
      <c r="P150" s="806">
        <f>-P144/(1-P80)</f>
        <v>2.5650140186915897</v>
      </c>
      <c r="Q150" s="807">
        <f>SUM(M150:P150)</f>
        <v>8.827253712778683</v>
      </c>
      <c r="R150" s="474"/>
      <c r="S150" s="806">
        <f>-S144/(1-S80)</f>
        <v>3.2859647577092503</v>
      </c>
      <c r="T150" s="806">
        <f>-T144/(1-T80)</f>
        <v>3.9899407294832772</v>
      </c>
      <c r="U150" s="806">
        <f>-U144/(1-U80)</f>
        <v>3.7311300448430487</v>
      </c>
      <c r="V150" s="806">
        <f>-V144/(1-V80)</f>
        <v>5.0279573170731728</v>
      </c>
      <c r="W150" s="807">
        <f>SUM(S150:V150)</f>
        <v>16.03499284910875</v>
      </c>
      <c r="X150" s="474"/>
      <c r="Y150" s="806">
        <f>-Y144/(1-Y80)</f>
        <v>5.9474999999999998</v>
      </c>
      <c r="Z150" s="806">
        <f>-Z144/(1-Z80)</f>
        <v>6.5594994276993521</v>
      </c>
      <c r="AA150" s="806">
        <f>-AA144/(1-AA80)</f>
        <v>7.5306774628879918</v>
      </c>
      <c r="AB150" s="806">
        <f>-AB144/(1-AB80)</f>
        <v>8.0334071336760964</v>
      </c>
      <c r="AC150" s="807">
        <f>SUM(Y150:AB150)</f>
        <v>28.071084024263438</v>
      </c>
      <c r="AD150" s="808"/>
      <c r="AE150" s="806">
        <f>AE49</f>
        <v>7.6059999999999999</v>
      </c>
      <c r="AF150" s="806">
        <f>AF49</f>
        <v>10.193</v>
      </c>
      <c r="AG150" s="806">
        <f>AG49</f>
        <v>10.24</v>
      </c>
      <c r="AH150" s="806">
        <f>AH49</f>
        <v>11.166</v>
      </c>
      <c r="AI150" s="807">
        <f>SUM(AE150:AH150)</f>
        <v>39.204999999999998</v>
      </c>
      <c r="AJ150" s="808"/>
      <c r="AK150" s="806">
        <f>AK49</f>
        <v>12.012</v>
      </c>
      <c r="AL150" s="806">
        <f>AL49</f>
        <v>13.430999999999999</v>
      </c>
      <c r="AM150" s="806">
        <f>AM49</f>
        <v>14.178000000000001</v>
      </c>
      <c r="AN150" s="806">
        <f>AN49</f>
        <v>15.586</v>
      </c>
      <c r="AO150" s="809">
        <f>AI150+((AI152-K152)/4)</f>
        <v>50.29495675804047</v>
      </c>
      <c r="AP150" s="808"/>
      <c r="AQ150" s="806">
        <f>AQ49</f>
        <v>18.065000000000001</v>
      </c>
      <c r="AR150" s="806">
        <f>AR49</f>
        <v>18.899999999999999</v>
      </c>
      <c r="AS150" s="806">
        <f>AS49</f>
        <v>19.276</v>
      </c>
      <c r="AT150" s="806">
        <f>AT49</f>
        <v>21.140999999999998</v>
      </c>
      <c r="AU150" s="810">
        <f>AO150+((AO152-Q152)/4)-5</f>
        <v>49.531627592705931</v>
      </c>
      <c r="AV150" s="808"/>
      <c r="AW150" s="806">
        <f>AW49</f>
        <v>21.663</v>
      </c>
      <c r="AX150" s="806">
        <f>AX49</f>
        <v>20.877000000000002</v>
      </c>
      <c r="AY150" s="806">
        <f>AY49</f>
        <v>20.407</v>
      </c>
      <c r="AZ150" s="806">
        <f>AZ49</f>
        <v>25.945</v>
      </c>
      <c r="BA150" s="809">
        <f>SUM(AW150:AZ150)</f>
        <v>88.891999999999996</v>
      </c>
      <c r="BB150" s="808"/>
      <c r="BC150" s="806">
        <f>BC49</f>
        <v>26.468000000000004</v>
      </c>
      <c r="BD150" s="806">
        <f>BD49</f>
        <v>26.615000000000002</v>
      </c>
      <c r="BE150" s="806">
        <f>BE49</f>
        <v>25.631999999999998</v>
      </c>
      <c r="BF150" s="811">
        <v>32.5</v>
      </c>
      <c r="BG150" s="809">
        <f>SUM(BC150:BF150)</f>
        <v>111.215</v>
      </c>
      <c r="BH150" s="808"/>
      <c r="BI150" s="811">
        <v>47.558</v>
      </c>
      <c r="BJ150" s="811">
        <v>54.594000000000001</v>
      </c>
      <c r="BK150" s="811">
        <v>57.006</v>
      </c>
      <c r="BL150" s="811">
        <v>70.099999999999994</v>
      </c>
      <c r="BM150" s="809">
        <f>SUM(BI150:BL150)</f>
        <v>229.25800000000001</v>
      </c>
      <c r="BN150" s="808"/>
      <c r="BO150" s="811">
        <v>81.266000000000005</v>
      </c>
      <c r="BP150" s="811">
        <v>85.417000000000002</v>
      </c>
      <c r="BQ150" s="811">
        <v>105.11199999999999</v>
      </c>
      <c r="BR150" s="811">
        <v>107.55500000000001</v>
      </c>
      <c r="BS150" s="809">
        <f>SUM(BO150:BR150)</f>
        <v>379.34999999999997</v>
      </c>
      <c r="BT150" s="808"/>
      <c r="BU150" s="811">
        <v>114.729</v>
      </c>
      <c r="BV150" s="811">
        <v>110.476</v>
      </c>
      <c r="BW150" s="811">
        <v>141.536</v>
      </c>
      <c r="BX150" s="811">
        <v>136.53899999999999</v>
      </c>
      <c r="BY150" s="809">
        <f>SUM(BU150:BX150)</f>
        <v>503.28</v>
      </c>
      <c r="BZ150" s="808"/>
      <c r="CA150" s="811">
        <v>131.09200000000001</v>
      </c>
      <c r="CB150" s="811">
        <v>142.411</v>
      </c>
      <c r="CC150" s="811">
        <v>139.46</v>
      </c>
      <c r="CD150" s="811">
        <v>151.80199999999999</v>
      </c>
      <c r="CE150" s="809">
        <f>SUM(CA150:CD150)</f>
        <v>564.7650000000001</v>
      </c>
      <c r="CF150" s="808"/>
      <c r="CG150" s="811">
        <v>142.56</v>
      </c>
      <c r="CH150" s="811">
        <v>147.779</v>
      </c>
      <c r="CI150" s="811">
        <v>144.31700000000001</v>
      </c>
      <c r="CJ150" s="811">
        <v>158.97200000000001</v>
      </c>
      <c r="CK150" s="809">
        <f>SUM(CG150:CJ150)</f>
        <v>593.62800000000004</v>
      </c>
      <c r="CL150" s="808"/>
      <c r="CM150" s="811">
        <v>188.91900000000001</v>
      </c>
      <c r="CN150" s="811">
        <v>182.31</v>
      </c>
      <c r="CO150" s="811">
        <v>204.751</v>
      </c>
      <c r="CP150" s="811">
        <v>244.387</v>
      </c>
      <c r="CQ150" s="809">
        <f>SUM(CM150:CP150)</f>
        <v>820.36699999999996</v>
      </c>
      <c r="CR150" s="808"/>
      <c r="CS150" s="811">
        <v>251.56899999999999</v>
      </c>
      <c r="CT150" s="811">
        <v>256.48500000000001</v>
      </c>
      <c r="CU150" s="811">
        <v>251.27699999999999</v>
      </c>
      <c r="CV150" s="811">
        <v>237.68199999999999</v>
      </c>
      <c r="CW150" s="809">
        <f>SUM(CS150:CV150)</f>
        <v>997.01299999999992</v>
      </c>
      <c r="CX150" s="808"/>
      <c r="CY150" s="811">
        <f>CS150*1.05</f>
        <v>264.14744999999999</v>
      </c>
      <c r="CZ150" s="811">
        <f>CT150*1.1</f>
        <v>282.13350000000003</v>
      </c>
      <c r="DA150" s="811">
        <f>CU150*1.1</f>
        <v>276.40469999999999</v>
      </c>
      <c r="DB150" s="811">
        <f>CV150*1.1</f>
        <v>261.4502</v>
      </c>
      <c r="DC150" s="809">
        <f>SUM(CY150:DB150)</f>
        <v>1084.1358500000001</v>
      </c>
      <c r="DD150" s="808"/>
      <c r="DE150" s="811">
        <f>CY150*1.05</f>
        <v>277.35482250000001</v>
      </c>
      <c r="DF150" s="811">
        <f>CZ150*1.05</f>
        <v>296.24017500000002</v>
      </c>
      <c r="DG150" s="811">
        <f>DA150*1.05</f>
        <v>290.22493500000002</v>
      </c>
      <c r="DH150" s="811">
        <f>DB150*1.05</f>
        <v>274.52271000000002</v>
      </c>
      <c r="DI150" s="809">
        <f>SUM(DE150:DH150)</f>
        <v>1138.3426425</v>
      </c>
      <c r="DJ150" s="808"/>
      <c r="DK150" s="811">
        <f>DE150*1.05</f>
        <v>291.22256362500002</v>
      </c>
      <c r="DL150" s="811">
        <f>DF150*1.05</f>
        <v>311.05218375000004</v>
      </c>
      <c r="DM150" s="811">
        <f>DG150*1.05</f>
        <v>304.73618175000001</v>
      </c>
      <c r="DN150" s="811">
        <f>DH150*1.05</f>
        <v>288.24884550000002</v>
      </c>
      <c r="DO150" s="809">
        <f>SUM(DK150:DN150)</f>
        <v>1195.2597746250001</v>
      </c>
      <c r="DP150" s="260"/>
    </row>
    <row r="151" spans="1:120" ht="12" hidden="1" customHeight="1" outlineLevel="1">
      <c r="A151" s="812" t="s">
        <v>210</v>
      </c>
      <c r="B151" s="743"/>
      <c r="C151" s="813"/>
      <c r="D151" s="813"/>
      <c r="E151" s="510"/>
      <c r="F151" s="510"/>
      <c r="G151" s="510"/>
      <c r="H151" s="510"/>
      <c r="I151" s="510"/>
      <c r="J151" s="510"/>
      <c r="K151" s="510"/>
      <c r="L151" s="500"/>
      <c r="M151" s="510"/>
      <c r="N151" s="510"/>
      <c r="O151" s="510"/>
      <c r="P151" s="510"/>
      <c r="Q151" s="814"/>
      <c r="R151" s="500"/>
      <c r="S151" s="510"/>
      <c r="T151" s="510"/>
      <c r="U151" s="510"/>
      <c r="V151" s="510"/>
      <c r="W151" s="814"/>
      <c r="X151" s="500"/>
      <c r="Y151" s="510"/>
      <c r="Z151" s="510"/>
      <c r="AA151" s="510"/>
      <c r="AB151" s="510"/>
      <c r="AC151" s="814"/>
      <c r="AD151" s="514"/>
      <c r="AE151" s="510"/>
      <c r="AF151" s="510"/>
      <c r="AG151" s="510"/>
      <c r="AH151" s="510"/>
      <c r="AI151" s="814"/>
      <c r="AJ151" s="514"/>
      <c r="AK151" s="510"/>
      <c r="AL151" s="510"/>
      <c r="AM151" s="510"/>
      <c r="AN151" s="510"/>
      <c r="AO151" s="815"/>
      <c r="AP151" s="514"/>
      <c r="AQ151" s="510"/>
      <c r="AR151" s="510"/>
      <c r="AS151" s="503"/>
      <c r="AT151" s="503"/>
      <c r="AU151" s="816"/>
      <c r="AV151" s="514"/>
      <c r="AW151" s="503"/>
      <c r="AX151" s="503"/>
      <c r="AY151" s="503"/>
      <c r="AZ151" s="503"/>
      <c r="BA151" s="815"/>
      <c r="BB151" s="514"/>
      <c r="BC151" s="503"/>
      <c r="BD151" s="503"/>
      <c r="BE151" s="503"/>
      <c r="BF151" s="503"/>
      <c r="BG151" s="815"/>
      <c r="BH151" s="514"/>
      <c r="BI151" s="503"/>
      <c r="BJ151" s="503"/>
      <c r="BK151" s="503"/>
      <c r="BL151" s="503"/>
      <c r="BM151" s="815"/>
      <c r="BN151" s="514"/>
      <c r="BO151" s="503"/>
      <c r="BP151" s="503"/>
      <c r="BQ151" s="503"/>
      <c r="BR151" s="503"/>
      <c r="BS151" s="815"/>
      <c r="BT151" s="514"/>
      <c r="BU151" s="503"/>
      <c r="BV151" s="503"/>
      <c r="BW151" s="503"/>
      <c r="BX151" s="503"/>
      <c r="BY151" s="815"/>
      <c r="BZ151" s="514"/>
      <c r="CA151" s="503"/>
      <c r="CB151" s="503"/>
      <c r="CC151" s="503"/>
      <c r="CD151" s="503"/>
      <c r="CE151" s="815"/>
      <c r="CF151" s="514"/>
      <c r="CG151" s="503"/>
      <c r="CH151" s="503"/>
      <c r="CI151" s="503"/>
      <c r="CJ151" s="503"/>
      <c r="CK151" s="815"/>
      <c r="CL151" s="514"/>
      <c r="CM151" s="503"/>
      <c r="CN151" s="503"/>
      <c r="CO151" s="503"/>
      <c r="CP151" s="503"/>
      <c r="CQ151" s="815"/>
      <c r="CR151" s="514"/>
      <c r="CS151" s="503"/>
      <c r="CT151" s="503"/>
      <c r="CU151" s="503"/>
      <c r="CV151" s="503"/>
      <c r="CW151" s="815"/>
      <c r="CX151" s="514"/>
      <c r="CY151" s="503"/>
      <c r="CZ151" s="503"/>
      <c r="DA151" s="503"/>
      <c r="DB151" s="503"/>
      <c r="DC151" s="815"/>
      <c r="DD151" s="514"/>
      <c r="DE151" s="503"/>
      <c r="DF151" s="503"/>
      <c r="DG151" s="503"/>
      <c r="DH151" s="503"/>
      <c r="DI151" s="815"/>
      <c r="DJ151" s="514"/>
      <c r="DK151" s="503"/>
      <c r="DL151" s="503"/>
      <c r="DM151" s="503"/>
      <c r="DN151" s="503"/>
      <c r="DO151" s="815"/>
      <c r="DP151" s="260"/>
    </row>
    <row r="152" spans="1:120" ht="12" hidden="1" customHeight="1" outlineLevel="1">
      <c r="A152" s="817" t="s">
        <v>209</v>
      </c>
      <c r="B152" s="743"/>
      <c r="C152" s="813"/>
      <c r="D152" s="813"/>
      <c r="E152" s="813"/>
      <c r="F152" s="500"/>
      <c r="G152" s="813"/>
      <c r="H152" s="813"/>
      <c r="I152" s="813"/>
      <c r="J152" s="813"/>
      <c r="K152" s="814">
        <f>BS!K224*BS!K207</f>
        <v>13.41687765</v>
      </c>
      <c r="L152" s="500"/>
      <c r="M152" s="813"/>
      <c r="N152" s="813"/>
      <c r="O152" s="813"/>
      <c r="P152" s="813"/>
      <c r="Q152" s="814">
        <f>BS!Q224*BS!Q207</f>
        <v>23.519311550000001</v>
      </c>
      <c r="R152" s="500"/>
      <c r="S152" s="813"/>
      <c r="T152" s="813"/>
      <c r="U152" s="813"/>
      <c r="V152" s="813"/>
      <c r="W152" s="814">
        <f>BS!W224*BS!W207</f>
        <v>40.083351659999991</v>
      </c>
      <c r="X152" s="500"/>
      <c r="Y152" s="813"/>
      <c r="Z152" s="813"/>
      <c r="AA152" s="813"/>
      <c r="AB152" s="813"/>
      <c r="AC152" s="814">
        <f>BS!AC224*BS!AC207</f>
        <v>38.578508429999999</v>
      </c>
      <c r="AD152" s="514"/>
      <c r="AE152" s="813"/>
      <c r="AF152" s="813"/>
      <c r="AG152" s="813"/>
      <c r="AH152" s="813"/>
      <c r="AI152" s="818">
        <f>(AI155-AI160)*AI173</f>
        <v>57.776704682161885</v>
      </c>
      <c r="AJ152" s="514"/>
      <c r="AK152" s="813"/>
      <c r="AL152" s="813"/>
      <c r="AM152" s="813"/>
      <c r="AN152" s="813"/>
      <c r="AO152" s="818">
        <f>(AO155-AO160)*AO173</f>
        <v>40.465994888661854</v>
      </c>
      <c r="AP152" s="514"/>
      <c r="AQ152" s="813"/>
      <c r="AR152" s="813"/>
      <c r="AS152" s="813"/>
      <c r="AT152" s="813"/>
      <c r="AU152" s="818">
        <f>(AU155-AU160)*AU173</f>
        <v>68.817038787306657</v>
      </c>
      <c r="AV152" s="514"/>
      <c r="AW152" s="813"/>
      <c r="AX152" s="813"/>
      <c r="AY152" s="813"/>
      <c r="AZ152" s="813"/>
      <c r="BA152" s="818">
        <f>(BA155-BA160)*BA173</f>
        <v>62.539034499647293</v>
      </c>
      <c r="BB152" s="514"/>
      <c r="BC152" s="813"/>
      <c r="BD152" s="813"/>
      <c r="BE152" s="813"/>
      <c r="BF152" s="813"/>
      <c r="BG152" s="818">
        <f>(BG155-BG160)*BG173</f>
        <v>117.14673514553202</v>
      </c>
      <c r="BH152" s="514"/>
      <c r="BI152" s="813"/>
      <c r="BJ152" s="813"/>
      <c r="BK152" s="813"/>
      <c r="BL152" s="813"/>
      <c r="BM152" s="818">
        <f>(BM155-BM160)*BM173</f>
        <v>92.713746430826177</v>
      </c>
      <c r="BN152" s="514"/>
      <c r="BO152" s="813"/>
      <c r="BP152" s="813"/>
      <c r="BQ152" s="813"/>
      <c r="BR152" s="813"/>
      <c r="BS152" s="818">
        <f>(BS155-BS160)*BS173</f>
        <v>61.844960333243002</v>
      </c>
      <c r="BT152" s="514"/>
      <c r="BU152" s="813"/>
      <c r="BV152" s="813"/>
      <c r="BW152" s="813"/>
      <c r="BX152" s="813"/>
      <c r="BY152" s="818">
        <f>(BY155-BY160)*BY173</f>
        <v>92.846144884914722</v>
      </c>
      <c r="BZ152" s="514"/>
      <c r="CA152" s="813"/>
      <c r="CB152" s="813"/>
      <c r="CC152" s="813"/>
      <c r="CD152" s="813"/>
      <c r="CE152" s="818">
        <f>(CE155-CE160)*CE173</f>
        <v>109.81971855797592</v>
      </c>
      <c r="CF152" s="514"/>
      <c r="CG152" s="813"/>
      <c r="CH152" s="813"/>
      <c r="CI152" s="813"/>
      <c r="CJ152" s="813"/>
      <c r="CK152" s="818">
        <f>(CK155-CK160)*CK173</f>
        <v>33.402928370074321</v>
      </c>
      <c r="CL152" s="514"/>
      <c r="CM152" s="813"/>
      <c r="CN152" s="813"/>
      <c r="CO152" s="813"/>
      <c r="CP152" s="813"/>
      <c r="CQ152" s="818">
        <f>(CQ155-CQ160)*CQ173</f>
        <v>58.221742676616259</v>
      </c>
      <c r="CR152" s="514"/>
      <c r="CS152" s="813"/>
      <c r="CT152" s="813"/>
      <c r="CU152" s="813"/>
      <c r="CV152" s="813"/>
      <c r="CW152" s="818">
        <f>(CW155-CW160)*CW173</f>
        <v>80.998314380466553</v>
      </c>
      <c r="CX152" s="514"/>
      <c r="CY152" s="813"/>
      <c r="CZ152" s="813"/>
      <c r="DA152" s="813"/>
      <c r="DB152" s="813"/>
      <c r="DC152" s="818">
        <f>(DC155-DC160)*DC173</f>
        <v>100.67515536282572</v>
      </c>
      <c r="DD152" s="514"/>
      <c r="DE152" s="813"/>
      <c r="DF152" s="813"/>
      <c r="DG152" s="813"/>
      <c r="DH152" s="813"/>
      <c r="DI152" s="818">
        <f>(DI155-DI160)*DI173</f>
        <v>122.48071634376106</v>
      </c>
      <c r="DJ152" s="514"/>
      <c r="DK152" s="813"/>
      <c r="DL152" s="813"/>
      <c r="DM152" s="813"/>
      <c r="DN152" s="813"/>
      <c r="DO152" s="818">
        <f>(DO155-DO160)*DO173</f>
        <v>146.86395447513993</v>
      </c>
      <c r="DP152" s="260"/>
    </row>
    <row r="153" spans="1:120" ht="12" hidden="1" customHeight="1" outlineLevel="1">
      <c r="A153" s="812" t="s">
        <v>210</v>
      </c>
      <c r="B153" s="743"/>
      <c r="C153" s="813"/>
      <c r="D153" s="813"/>
      <c r="E153" s="813"/>
      <c r="F153" s="500"/>
      <c r="G153" s="813"/>
      <c r="H153" s="813"/>
      <c r="I153" s="813"/>
      <c r="J153" s="813"/>
      <c r="K153" s="651">
        <f>K152/(K13+K53)</f>
        <v>0.28153595874601312</v>
      </c>
      <c r="L153" s="500"/>
      <c r="M153" s="813"/>
      <c r="N153" s="813"/>
      <c r="O153" s="813"/>
      <c r="P153" s="813"/>
      <c r="Q153" s="651">
        <f>Q152/(Q13+Q53)</f>
        <v>0.2855983722116307</v>
      </c>
      <c r="R153" s="500"/>
      <c r="S153" s="813"/>
      <c r="T153" s="813"/>
      <c r="U153" s="813"/>
      <c r="V153" s="813"/>
      <c r="W153" s="651">
        <f>W152/(W13+W53)</f>
        <v>0.25372903435310196</v>
      </c>
      <c r="X153" s="500"/>
      <c r="Y153" s="813"/>
      <c r="Z153" s="813"/>
      <c r="AA153" s="813"/>
      <c r="AB153" s="813"/>
      <c r="AC153" s="651">
        <f>AC152/(AC13+AC53)</f>
        <v>0.13760641342730975</v>
      </c>
      <c r="AD153" s="514"/>
      <c r="AE153" s="813"/>
      <c r="AF153" s="813"/>
      <c r="AG153" s="813"/>
      <c r="AH153" s="813"/>
      <c r="AI153" s="651">
        <f>AI152/(AI13+AI53)</f>
        <v>0.12774260912724555</v>
      </c>
      <c r="AJ153" s="514"/>
      <c r="AK153" s="813"/>
      <c r="AL153" s="813"/>
      <c r="AM153" s="813"/>
      <c r="AN153" s="813"/>
      <c r="AO153" s="651">
        <f>AO152/(AO13+AO53)</f>
        <v>5.9041605893162874E-2</v>
      </c>
      <c r="AP153" s="514"/>
      <c r="AQ153" s="813"/>
      <c r="AR153" s="813"/>
      <c r="AS153" s="813"/>
      <c r="AT153" s="813"/>
      <c r="AU153" s="651">
        <f>AU152/(AU13+AU53)</f>
        <v>6.936684036403197E-2</v>
      </c>
      <c r="AV153" s="514"/>
      <c r="AW153" s="813"/>
      <c r="AX153" s="813"/>
      <c r="AY153" s="813"/>
      <c r="AZ153" s="813"/>
      <c r="BA153" s="651">
        <f>BA152/(BA13+BA53)</f>
        <v>5.1300525727477377E-2</v>
      </c>
      <c r="BB153" s="514"/>
      <c r="BC153" s="813"/>
      <c r="BD153" s="813"/>
      <c r="BE153" s="813"/>
      <c r="BF153" s="813"/>
      <c r="BG153" s="651">
        <f>BG152/(BG13+BG53)</f>
        <v>7.4577326171120756E-2</v>
      </c>
      <c r="BH153" s="514"/>
      <c r="BI153" s="813"/>
      <c r="BJ153" s="813"/>
      <c r="BK153" s="813"/>
      <c r="BL153" s="813"/>
      <c r="BM153" s="651">
        <f>BM152/(BM13+BM53)</f>
        <v>4.22664719889723E-2</v>
      </c>
      <c r="BN153" s="514"/>
      <c r="BO153" s="813"/>
      <c r="BP153" s="813"/>
      <c r="BQ153" s="813"/>
      <c r="BR153" s="813"/>
      <c r="BS153" s="651">
        <f>BS152/(BS13+BS53)</f>
        <v>2.0914913610560984E-2</v>
      </c>
      <c r="BT153" s="514"/>
      <c r="BU153" s="813"/>
      <c r="BV153" s="813"/>
      <c r="BW153" s="813"/>
      <c r="BX153" s="813"/>
      <c r="BY153" s="651">
        <f>BY152/(BY13+BY53)</f>
        <v>2.3380595461864558E-2</v>
      </c>
      <c r="BZ153" s="514"/>
      <c r="CA153" s="813"/>
      <c r="CB153" s="813"/>
      <c r="CC153" s="813"/>
      <c r="CD153" s="813"/>
      <c r="CE153" s="651">
        <f>CE152/(CE13+CE53)</f>
        <v>2.1246915553640264E-2</v>
      </c>
      <c r="CF153" s="514"/>
      <c r="CG153" s="813"/>
      <c r="CH153" s="813"/>
      <c r="CI153" s="813"/>
      <c r="CJ153" s="813"/>
      <c r="CK153" s="651">
        <f>CK152/(CK13+CK53)</f>
        <v>5.2793826208594966E-3</v>
      </c>
      <c r="CL153" s="514"/>
      <c r="CM153" s="813"/>
      <c r="CN153" s="813"/>
      <c r="CO153" s="813"/>
      <c r="CP153" s="813"/>
      <c r="CQ153" s="651">
        <f>CQ152/(CQ13+CQ53)</f>
        <v>7.2946030169104255E-3</v>
      </c>
      <c r="CR153" s="514"/>
      <c r="CS153" s="813"/>
      <c r="CT153" s="813"/>
      <c r="CU153" s="813"/>
      <c r="CV153" s="813"/>
      <c r="CW153" s="651">
        <f>CW152/(CW13+CW53)</f>
        <v>8.1019193026509485E-3</v>
      </c>
      <c r="CX153" s="514"/>
      <c r="CY153" s="813"/>
      <c r="CZ153" s="813"/>
      <c r="DA153" s="813"/>
      <c r="DB153" s="813"/>
      <c r="DC153" s="651">
        <f>DC152/(DC13+DC53)</f>
        <v>8.3511249735186144E-3</v>
      </c>
      <c r="DD153" s="514"/>
      <c r="DE153" s="813"/>
      <c r="DF153" s="813"/>
      <c r="DG153" s="813"/>
      <c r="DH153" s="813"/>
      <c r="DI153" s="651">
        <f>DI152/(DI13+DI53)</f>
        <v>8.4868506488941058E-3</v>
      </c>
      <c r="DJ153" s="514"/>
      <c r="DK153" s="813"/>
      <c r="DL153" s="813"/>
      <c r="DM153" s="813"/>
      <c r="DN153" s="813"/>
      <c r="DO153" s="651">
        <f>DO152/(DO13+DO53)</f>
        <v>8.5447278758551976E-3</v>
      </c>
      <c r="DP153" s="260"/>
    </row>
    <row r="154" spans="1:120" ht="12" hidden="1" customHeight="1" outlineLevel="1">
      <c r="A154" s="812"/>
      <c r="B154" s="743"/>
      <c r="C154" s="813"/>
      <c r="D154" s="813"/>
      <c r="E154" s="813"/>
      <c r="F154" s="500"/>
      <c r="G154" s="813"/>
      <c r="H154" s="813"/>
      <c r="I154" s="813"/>
      <c r="J154" s="813"/>
      <c r="K154" s="813"/>
      <c r="L154" s="500"/>
      <c r="M154" s="813"/>
      <c r="N154" s="813"/>
      <c r="O154" s="813"/>
      <c r="P154" s="813"/>
      <c r="Q154" s="813"/>
      <c r="R154" s="500"/>
      <c r="S154" s="813"/>
      <c r="T154" s="813"/>
      <c r="U154" s="813"/>
      <c r="V154" s="813"/>
      <c r="W154" s="818"/>
      <c r="X154" s="500"/>
      <c r="Y154" s="813"/>
      <c r="Z154" s="813"/>
      <c r="AA154" s="813"/>
      <c r="AB154" s="813"/>
      <c r="AC154" s="818"/>
      <c r="AD154" s="514"/>
      <c r="AE154" s="813"/>
      <c r="AF154" s="813"/>
      <c r="AG154" s="813"/>
      <c r="AH154" s="813"/>
      <c r="AI154" s="818"/>
      <c r="AJ154" s="514"/>
      <c r="AK154" s="813"/>
      <c r="AL154" s="813"/>
      <c r="AM154" s="813"/>
      <c r="AN154" s="813"/>
      <c r="AO154" s="818"/>
      <c r="AP154" s="514"/>
      <c r="AQ154" s="813"/>
      <c r="AR154" s="813"/>
      <c r="AS154" s="813"/>
      <c r="AT154" s="813"/>
      <c r="AU154" s="818"/>
      <c r="AV154" s="514"/>
      <c r="AW154" s="813"/>
      <c r="AX154" s="813"/>
      <c r="AY154" s="813"/>
      <c r="AZ154" s="813"/>
      <c r="BA154" s="818"/>
      <c r="BB154" s="514"/>
      <c r="BC154" s="813"/>
      <c r="BD154" s="813"/>
      <c r="BE154" s="813"/>
      <c r="BF154" s="813"/>
      <c r="BG154" s="818"/>
      <c r="BH154" s="514"/>
      <c r="BI154" s="813"/>
      <c r="BJ154" s="813"/>
      <c r="BK154" s="813"/>
      <c r="BL154" s="813"/>
      <c r="BM154" s="818"/>
      <c r="BN154" s="514"/>
      <c r="BO154" s="813"/>
      <c r="BP154" s="813"/>
      <c r="BQ154" s="813"/>
      <c r="BR154" s="813"/>
      <c r="BS154" s="819">
        <f>(SUM(AU155,BA155,BG155,BM155)*0.25)*0.95</f>
        <v>13.459723499999999</v>
      </c>
      <c r="BT154" s="514"/>
      <c r="BU154" s="813"/>
      <c r="BV154" s="813"/>
      <c r="BW154" s="813"/>
      <c r="BX154" s="813"/>
      <c r="BY154" s="819">
        <f>(SUM(BA155,BG155,BM155,BS155)*0.25)*0.95</f>
        <v>10.734052849999999</v>
      </c>
      <c r="BZ154" s="514"/>
      <c r="CA154" s="813"/>
      <c r="CB154" s="813"/>
      <c r="CC154" s="813"/>
      <c r="CD154" s="813"/>
      <c r="CE154" s="819">
        <f>(SUM(BG155,BM155,BS155,BY155)*0.25)*0.95</f>
        <v>9.3317815999999993</v>
      </c>
      <c r="CF154" s="514"/>
      <c r="CG154" s="813"/>
      <c r="CH154" s="813"/>
      <c r="CI154" s="813"/>
      <c r="CJ154" s="813"/>
      <c r="CK154" s="819">
        <f>(SUM(BM155,BS155,BY155,CE155)*0.25)*0.95</f>
        <v>8.2847248500000017</v>
      </c>
      <c r="CL154" s="514"/>
      <c r="CM154" s="813"/>
      <c r="CN154" s="813"/>
      <c r="CO154" s="813"/>
      <c r="CP154" s="813"/>
      <c r="CQ154" s="819">
        <f>(SUM(BS155,BY155,CE155,CK155)*0.25)*0.95</f>
        <v>6.5104573500000003</v>
      </c>
      <c r="CR154" s="514"/>
      <c r="CS154" s="813"/>
      <c r="CT154" s="813"/>
      <c r="CU154" s="813"/>
      <c r="CV154" s="813"/>
      <c r="CW154" s="819">
        <f>(SUM(BY155,CE155,CK155,CQ155)*0.25)*0.95</f>
        <v>5.4241912500000007</v>
      </c>
      <c r="CX154" s="514"/>
      <c r="CY154" s="813"/>
      <c r="CZ154" s="813"/>
      <c r="DA154" s="813"/>
      <c r="DB154" s="813"/>
      <c r="DC154" s="819">
        <f>(SUM(CE155,CK155,CQ155,CW155)*0.25)*0.95</f>
        <v>4.5746418749999993</v>
      </c>
      <c r="DD154" s="514"/>
      <c r="DE154" s="813"/>
      <c r="DF154" s="813"/>
      <c r="DG154" s="813"/>
      <c r="DH154" s="813"/>
      <c r="DI154" s="819">
        <f>(SUM(CK155,CQ155,CW155,DC155)*0.25)*0.95</f>
        <v>3.7948462499999995</v>
      </c>
      <c r="DJ154" s="514"/>
      <c r="DK154" s="813"/>
      <c r="DL154" s="813"/>
      <c r="DM154" s="813"/>
      <c r="DN154" s="813"/>
      <c r="DO154" s="819">
        <f>(SUM(CQ155,CW155,DC155,DI155)*0.25)*0.95</f>
        <v>4.3384481250000002</v>
      </c>
      <c r="DP154" s="260"/>
    </row>
    <row r="155" spans="1:120" ht="12" hidden="1" customHeight="1" outlineLevel="1">
      <c r="A155" s="812" t="s">
        <v>211</v>
      </c>
      <c r="B155" s="743"/>
      <c r="C155" s="813"/>
      <c r="D155" s="813"/>
      <c r="E155" s="813"/>
      <c r="F155" s="500"/>
      <c r="G155" s="813"/>
      <c r="H155" s="813"/>
      <c r="I155" s="813"/>
      <c r="J155" s="813"/>
      <c r="K155" s="813">
        <f>BS!K206</f>
        <v>8.8780000000000001</v>
      </c>
      <c r="L155" s="500"/>
      <c r="M155" s="813"/>
      <c r="N155" s="813"/>
      <c r="O155" s="813"/>
      <c r="P155" s="813"/>
      <c r="Q155" s="813">
        <f>BS!Q206</f>
        <v>7.6375000000000002</v>
      </c>
      <c r="R155" s="500"/>
      <c r="S155" s="813"/>
      <c r="T155" s="813"/>
      <c r="U155" s="813"/>
      <c r="V155" s="813"/>
      <c r="W155" s="813">
        <f>BS!W206</f>
        <v>6.4927669999999997</v>
      </c>
      <c r="X155" s="500"/>
      <c r="Y155" s="813"/>
      <c r="Z155" s="813"/>
      <c r="AA155" s="813"/>
      <c r="AB155" s="813"/>
      <c r="AC155" s="813">
        <f>BS!AC206</f>
        <v>5.269685</v>
      </c>
      <c r="AD155" s="514"/>
      <c r="AE155" s="813"/>
      <c r="AF155" s="813"/>
      <c r="AG155" s="813"/>
      <c r="AH155" s="813"/>
      <c r="AI155" s="819">
        <f>'MS Revenue Analysis'!AP198*AI156/1000000</f>
        <v>5.4337499999999999</v>
      </c>
      <c r="AJ155" s="514"/>
      <c r="AK155" s="813"/>
      <c r="AL155" s="813"/>
      <c r="AM155" s="813"/>
      <c r="AN155" s="813"/>
      <c r="AO155" s="819">
        <f>'MS Revenue Analysis'!AV198*AO156/1000000</f>
        <v>3.3617400000000002</v>
      </c>
      <c r="AP155" s="514"/>
      <c r="AQ155" s="813"/>
      <c r="AR155" s="813"/>
      <c r="AS155" s="813"/>
      <c r="AT155" s="813"/>
      <c r="AU155" s="819">
        <f>'MS Revenue Analysis'!BB198*AU156/1000000</f>
        <v>19.82696</v>
      </c>
      <c r="AV155" s="514"/>
      <c r="AW155" s="813"/>
      <c r="AX155" s="813"/>
      <c r="AY155" s="813"/>
      <c r="AZ155" s="813"/>
      <c r="BA155" s="814">
        <f>'MS Revenue Analysis'!BH198*BA156/1000000</f>
        <v>13.891500000000001</v>
      </c>
      <c r="BB155" s="814"/>
      <c r="BC155" s="820"/>
      <c r="BD155" s="820"/>
      <c r="BE155" s="820"/>
      <c r="BF155" s="820"/>
      <c r="BG155" s="814">
        <f>'MS Revenue Analysis'!BN198*BG156/1000000</f>
        <v>12.52216</v>
      </c>
      <c r="BH155" s="814"/>
      <c r="BI155" s="820"/>
      <c r="BJ155" s="820"/>
      <c r="BK155" s="820"/>
      <c r="BL155" s="820"/>
      <c r="BM155" s="814">
        <f>'MS Revenue Analysis'!BT198*BM156/1000000</f>
        <v>10.431900000000001</v>
      </c>
      <c r="BN155" s="814"/>
      <c r="BO155" s="820"/>
      <c r="BP155" s="820"/>
      <c r="BQ155" s="820"/>
      <c r="BR155" s="820"/>
      <c r="BS155" s="814">
        <f>'MS Revenue Analysis'!BZ198*BS156/1000000</f>
        <v>8.3504520000000007</v>
      </c>
      <c r="BT155" s="814"/>
      <c r="BU155" s="820"/>
      <c r="BV155" s="820"/>
      <c r="BW155" s="820"/>
      <c r="BX155" s="820"/>
      <c r="BY155" s="814">
        <f>'MS Revenue Analysis'!CF198*BY156/1000000</f>
        <v>7.9871999999999996</v>
      </c>
      <c r="BZ155" s="814"/>
      <c r="CA155" s="820"/>
      <c r="CB155" s="820"/>
      <c r="CC155" s="820"/>
      <c r="CD155" s="820"/>
      <c r="CE155" s="814">
        <f>'MS Revenue Analysis'!CL198*CE156/1000000</f>
        <v>8.1135000000000002</v>
      </c>
      <c r="CF155" s="514"/>
      <c r="CG155" s="813"/>
      <c r="CH155" s="813"/>
      <c r="CI155" s="813"/>
      <c r="CJ155" s="813"/>
      <c r="CK155" s="819">
        <f>'MS Revenue Analysis'!CR198*CK156/1000000</f>
        <v>2.9613</v>
      </c>
      <c r="CL155" s="514"/>
      <c r="CM155" s="813"/>
      <c r="CN155" s="813"/>
      <c r="CO155" s="813"/>
      <c r="CP155" s="813"/>
      <c r="CQ155" s="819">
        <f>'MS Revenue Analysis'!CX198*CQ156/1000000</f>
        <v>3.7766999999999999</v>
      </c>
      <c r="CR155" s="514"/>
      <c r="CS155" s="813"/>
      <c r="CT155" s="813"/>
      <c r="CU155" s="813"/>
      <c r="CV155" s="813"/>
      <c r="CW155" s="819">
        <f>'MS Revenue Analysis'!DD198*CW156/1000000</f>
        <v>4.4101499999999998</v>
      </c>
      <c r="CX155" s="514"/>
      <c r="CY155" s="813"/>
      <c r="CZ155" s="813"/>
      <c r="DA155" s="813"/>
      <c r="DB155" s="813"/>
      <c r="DC155" s="819">
        <f>'MS Revenue Analysis'!DJ198*DC156/1000000</f>
        <v>4.8301499999999997</v>
      </c>
      <c r="DD155" s="514"/>
      <c r="DE155" s="813"/>
      <c r="DF155" s="813"/>
      <c r="DG155" s="813"/>
      <c r="DH155" s="813"/>
      <c r="DI155" s="819">
        <f>'MS Revenue Analysis'!DP198*DI156/1000000</f>
        <v>5.2501499999999997</v>
      </c>
      <c r="DJ155" s="514"/>
      <c r="DK155" s="813"/>
      <c r="DL155" s="813"/>
      <c r="DM155" s="813"/>
      <c r="DN155" s="813"/>
      <c r="DO155" s="819">
        <f>'MS Revenue Analysis'!DV198*DO156/1000000</f>
        <v>5.6701499999999996</v>
      </c>
      <c r="DP155" s="260"/>
    </row>
    <row r="156" spans="1:120" ht="12" hidden="1" customHeight="1" outlineLevel="1">
      <c r="A156" s="812" t="s">
        <v>212</v>
      </c>
      <c r="B156" s="743"/>
      <c r="C156" s="813"/>
      <c r="D156" s="813"/>
      <c r="E156" s="813"/>
      <c r="F156" s="500"/>
      <c r="G156" s="813"/>
      <c r="H156" s="813"/>
      <c r="I156" s="813"/>
      <c r="J156" s="813"/>
      <c r="K156" s="818">
        <f>K155/('MS Revenue Analysis'!R198)*1000000</f>
        <v>28546.623794212221</v>
      </c>
      <c r="L156" s="500"/>
      <c r="M156" s="813"/>
      <c r="N156" s="813"/>
      <c r="O156" s="813"/>
      <c r="P156" s="813"/>
      <c r="Q156" s="818">
        <f>Q155/('MS Revenue Analysis'!X198)*1000000</f>
        <v>17201.576576576579</v>
      </c>
      <c r="R156" s="500"/>
      <c r="S156" s="813"/>
      <c r="T156" s="813"/>
      <c r="U156" s="813"/>
      <c r="V156" s="813"/>
      <c r="W156" s="818">
        <f>W155/('MS Revenue Analysis'!AD198)*1000000</f>
        <v>8465.146023468058</v>
      </c>
      <c r="X156" s="500"/>
      <c r="Y156" s="813"/>
      <c r="Z156" s="813"/>
      <c r="AA156" s="813"/>
      <c r="AB156" s="813"/>
      <c r="AC156" s="818">
        <f>AC155/('MS Revenue Analysis'!AJ198)*1000000</f>
        <v>4041.1694785276072</v>
      </c>
      <c r="AD156" s="514"/>
      <c r="AE156" s="813"/>
      <c r="AF156" s="813"/>
      <c r="AG156" s="813"/>
      <c r="AH156" s="813"/>
      <c r="AI156" s="815">
        <v>2625</v>
      </c>
      <c r="AJ156" s="514"/>
      <c r="AK156" s="813"/>
      <c r="AL156" s="813"/>
      <c r="AM156" s="813"/>
      <c r="AN156" s="813"/>
      <c r="AO156" s="815">
        <v>1290</v>
      </c>
      <c r="AP156" s="514"/>
      <c r="AQ156" s="813"/>
      <c r="AR156" s="813"/>
      <c r="AS156" s="813"/>
      <c r="AT156" s="813"/>
      <c r="AU156" s="815">
        <f>1390*4</f>
        <v>5560</v>
      </c>
      <c r="AV156" s="514"/>
      <c r="AW156" s="813"/>
      <c r="AX156" s="813"/>
      <c r="AY156" s="813"/>
      <c r="AZ156" s="813"/>
      <c r="BA156" s="815">
        <f>875*4</f>
        <v>3500</v>
      </c>
      <c r="BB156" s="514"/>
      <c r="BC156" s="813"/>
      <c r="BD156" s="813"/>
      <c r="BE156" s="813"/>
      <c r="BF156" s="813"/>
      <c r="BG156" s="815">
        <f>590*4</f>
        <v>2360</v>
      </c>
      <c r="BH156" s="514"/>
      <c r="BI156" s="813"/>
      <c r="BJ156" s="813"/>
      <c r="BK156" s="813"/>
      <c r="BL156" s="813"/>
      <c r="BM156" s="815">
        <f>335*4</f>
        <v>1340</v>
      </c>
      <c r="BN156" s="514"/>
      <c r="BO156" s="813"/>
      <c r="BP156" s="813"/>
      <c r="BQ156" s="813"/>
      <c r="BR156" s="813"/>
      <c r="BS156" s="815">
        <f>213*4</f>
        <v>852</v>
      </c>
      <c r="BT156" s="514"/>
      <c r="BU156" s="813"/>
      <c r="BV156" s="813"/>
      <c r="BW156" s="813"/>
      <c r="BX156" s="813"/>
      <c r="BY156" s="815">
        <v>600</v>
      </c>
      <c r="BZ156" s="514"/>
      <c r="CA156" s="813"/>
      <c r="CB156" s="813"/>
      <c r="CC156" s="813"/>
      <c r="CD156" s="813"/>
      <c r="CE156" s="815">
        <v>500</v>
      </c>
      <c r="CF156" s="514"/>
      <c r="CG156" s="813"/>
      <c r="CH156" s="813"/>
      <c r="CI156" s="813"/>
      <c r="CJ156" s="813"/>
      <c r="CK156" s="815">
        <v>150</v>
      </c>
      <c r="CL156" s="514"/>
      <c r="CM156" s="813"/>
      <c r="CN156" s="813"/>
      <c r="CO156" s="813"/>
      <c r="CP156" s="813"/>
      <c r="CQ156" s="815">
        <v>150</v>
      </c>
      <c r="CR156" s="514"/>
      <c r="CS156" s="813"/>
      <c r="CT156" s="813"/>
      <c r="CU156" s="813"/>
      <c r="CV156" s="813"/>
      <c r="CW156" s="815">
        <v>150</v>
      </c>
      <c r="CX156" s="514"/>
      <c r="CY156" s="813"/>
      <c r="CZ156" s="813"/>
      <c r="DA156" s="813"/>
      <c r="DB156" s="813"/>
      <c r="DC156" s="815">
        <v>150</v>
      </c>
      <c r="DD156" s="514"/>
      <c r="DE156" s="813"/>
      <c r="DF156" s="813"/>
      <c r="DG156" s="813"/>
      <c r="DH156" s="813"/>
      <c r="DI156" s="815">
        <v>150</v>
      </c>
      <c r="DJ156" s="514"/>
      <c r="DK156" s="813"/>
      <c r="DL156" s="813"/>
      <c r="DM156" s="813"/>
      <c r="DN156" s="813"/>
      <c r="DO156" s="815">
        <v>150</v>
      </c>
      <c r="DP156" s="260"/>
    </row>
    <row r="157" spans="1:120" ht="12" hidden="1" customHeight="1" outlineLevel="1">
      <c r="A157" s="812" t="s">
        <v>899</v>
      </c>
      <c r="B157" s="743"/>
      <c r="C157" s="813"/>
      <c r="D157" s="813"/>
      <c r="E157" s="813"/>
      <c r="F157" s="500"/>
      <c r="G157" s="813"/>
      <c r="H157" s="813"/>
      <c r="I157" s="813"/>
      <c r="J157" s="813"/>
      <c r="K157" s="651">
        <f>K155/K114</f>
        <v>0.29126377310532392</v>
      </c>
      <c r="L157" s="500"/>
      <c r="M157" s="813"/>
      <c r="N157" s="813"/>
      <c r="O157" s="813"/>
      <c r="P157" s="813"/>
      <c r="Q157" s="651">
        <f>Q155/Q114</f>
        <v>0.24222481342425614</v>
      </c>
      <c r="R157" s="500"/>
      <c r="S157" s="813"/>
      <c r="T157" s="813"/>
      <c r="U157" s="813"/>
      <c r="V157" s="813"/>
      <c r="W157" s="651">
        <f>W155/W114</f>
        <v>1.5460321310389663E-2</v>
      </c>
      <c r="X157" s="500"/>
      <c r="Y157" s="813"/>
      <c r="Z157" s="813"/>
      <c r="AA157" s="813"/>
      <c r="AB157" s="813"/>
      <c r="AC157" s="651">
        <f>AC155/AC114</f>
        <v>1.1976556818181818E-2</v>
      </c>
      <c r="AD157" s="514"/>
      <c r="AE157" s="813"/>
      <c r="AF157" s="813"/>
      <c r="AG157" s="813"/>
      <c r="AH157" s="813"/>
      <c r="AI157" s="651">
        <f>AI155/AI114</f>
        <v>1.18125E-2</v>
      </c>
      <c r="AJ157" s="514"/>
      <c r="AK157" s="813"/>
      <c r="AL157" s="813"/>
      <c r="AM157" s="813"/>
      <c r="AN157" s="813"/>
      <c r="AO157" s="651">
        <f>AO155/AO114</f>
        <v>7.0447191953059516E-3</v>
      </c>
      <c r="AP157" s="514"/>
      <c r="AQ157" s="813"/>
      <c r="AR157" s="813"/>
      <c r="AS157" s="813"/>
      <c r="AT157" s="813"/>
      <c r="AU157" s="651">
        <f>AU155/AU114</f>
        <v>4.0331489015459722E-2</v>
      </c>
      <c r="AV157" s="514"/>
      <c r="AW157" s="813"/>
      <c r="AX157" s="813"/>
      <c r="AY157" s="813"/>
      <c r="AZ157" s="813"/>
      <c r="BA157" s="651">
        <f>BA155/BA114</f>
        <v>2.7195575567736885E-2</v>
      </c>
      <c r="BB157" s="514"/>
      <c r="BC157" s="813"/>
      <c r="BD157" s="813"/>
      <c r="BE157" s="813"/>
      <c r="BF157" s="813"/>
      <c r="BG157" s="651">
        <f>BG155/BG114</f>
        <v>2.3654566886296319E-2</v>
      </c>
      <c r="BH157" s="514"/>
      <c r="BI157" s="813"/>
      <c r="BJ157" s="813"/>
      <c r="BK157" s="813"/>
      <c r="BL157" s="813"/>
      <c r="BM157" s="651">
        <f>BM155/BM114</f>
        <v>1.9036313868613139E-2</v>
      </c>
      <c r="BN157" s="514"/>
      <c r="BO157" s="813"/>
      <c r="BP157" s="813"/>
      <c r="BQ157" s="813"/>
      <c r="BR157" s="813"/>
      <c r="BS157" s="651">
        <f>BS155/BS114</f>
        <v>1.4259067251342159E-2</v>
      </c>
      <c r="BT157" s="514"/>
      <c r="BU157" s="813"/>
      <c r="BV157" s="813"/>
      <c r="BW157" s="813"/>
      <c r="BX157" s="813"/>
      <c r="BY157" s="651">
        <f>BY155/BY114</f>
        <v>1.3090701687964952E-2</v>
      </c>
      <c r="BZ157" s="514"/>
      <c r="CA157" s="813"/>
      <c r="CB157" s="813"/>
      <c r="CC157" s="813"/>
      <c r="CD157" s="813"/>
      <c r="CE157" s="651">
        <f>CE155/CE114</f>
        <v>1.2470872861191891E-2</v>
      </c>
      <c r="CF157" s="514"/>
      <c r="CG157" s="813"/>
      <c r="CH157" s="813"/>
      <c r="CI157" s="813"/>
      <c r="CJ157" s="813"/>
      <c r="CK157" s="651">
        <f>CK155/CK114</f>
        <v>4.4262919920780245E-3</v>
      </c>
      <c r="CL157" s="514"/>
      <c r="CM157" s="813"/>
      <c r="CN157" s="813"/>
      <c r="CO157" s="813"/>
      <c r="CP157" s="813"/>
      <c r="CQ157" s="651">
        <f>CQ155/CQ114</f>
        <v>5.3799145299145302E-3</v>
      </c>
      <c r="CR157" s="514"/>
      <c r="CS157" s="813"/>
      <c r="CT157" s="813"/>
      <c r="CU157" s="813"/>
      <c r="CV157" s="813"/>
      <c r="CW157" s="651">
        <f>CW155/CW114</f>
        <v>6.0829655172413791E-3</v>
      </c>
      <c r="CX157" s="514"/>
      <c r="CY157" s="813"/>
      <c r="CZ157" s="813"/>
      <c r="DA157" s="813"/>
      <c r="DB157" s="813"/>
      <c r="DC157" s="651">
        <f>DC155/DC114</f>
        <v>6.5052525252525251E-3</v>
      </c>
      <c r="DD157" s="514"/>
      <c r="DE157" s="813"/>
      <c r="DF157" s="813"/>
      <c r="DG157" s="813"/>
      <c r="DH157" s="813"/>
      <c r="DI157" s="651">
        <f>DI155/DI114</f>
        <v>6.7963106796116498E-3</v>
      </c>
      <c r="DJ157" s="514"/>
      <c r="DK157" s="813"/>
      <c r="DL157" s="813"/>
      <c r="DM157" s="813"/>
      <c r="DN157" s="813"/>
      <c r="DO157" s="651">
        <f>DO155/DO114</f>
        <v>7.0656074766355138E-3</v>
      </c>
      <c r="DP157" s="260"/>
    </row>
    <row r="158" spans="1:120" ht="12" hidden="1" customHeight="1" outlineLevel="1">
      <c r="A158" s="812"/>
      <c r="B158" s="743"/>
      <c r="C158" s="813"/>
      <c r="D158" s="813"/>
      <c r="E158" s="813"/>
      <c r="F158" s="500"/>
      <c r="G158" s="813"/>
      <c r="H158" s="813"/>
      <c r="I158" s="813"/>
      <c r="J158" s="813"/>
      <c r="K158" s="813"/>
      <c r="L158" s="500"/>
      <c r="M158" s="813"/>
      <c r="N158" s="813"/>
      <c r="O158" s="813"/>
      <c r="P158" s="813"/>
      <c r="Q158" s="813"/>
      <c r="R158" s="500"/>
      <c r="S158" s="813"/>
      <c r="T158" s="813"/>
      <c r="U158" s="813"/>
      <c r="V158" s="813"/>
      <c r="W158" s="818"/>
      <c r="X158" s="500"/>
      <c r="Y158" s="813"/>
      <c r="Z158" s="813"/>
      <c r="AA158" s="813"/>
      <c r="AB158" s="813"/>
      <c r="AC158" s="818"/>
      <c r="AD158" s="514"/>
      <c r="AE158" s="813"/>
      <c r="AF158" s="813"/>
      <c r="AG158" s="813"/>
      <c r="AH158" s="813"/>
      <c r="AI158" s="818"/>
      <c r="AJ158" s="514"/>
      <c r="AK158" s="813"/>
      <c r="AL158" s="813"/>
      <c r="AM158" s="813"/>
      <c r="AN158" s="813"/>
      <c r="AO158" s="818"/>
      <c r="AP158" s="514"/>
      <c r="AQ158" s="813"/>
      <c r="AR158" s="813"/>
      <c r="AS158" s="813"/>
      <c r="AT158" s="813"/>
      <c r="AU158" s="818"/>
      <c r="AV158" s="514"/>
      <c r="AW158" s="813"/>
      <c r="AX158" s="813"/>
      <c r="AY158" s="813"/>
      <c r="AZ158" s="813"/>
      <c r="BA158" s="818"/>
      <c r="BB158" s="514"/>
      <c r="BC158" s="813"/>
      <c r="BD158" s="813"/>
      <c r="BE158" s="813"/>
      <c r="BF158" s="813"/>
      <c r="BG158" s="818"/>
      <c r="BH158" s="514"/>
      <c r="BI158" s="813"/>
      <c r="BJ158" s="813"/>
      <c r="BK158" s="813"/>
      <c r="BL158" s="813"/>
      <c r="BM158" s="818"/>
      <c r="BN158" s="514"/>
      <c r="BO158" s="813"/>
      <c r="BP158" s="813"/>
      <c r="BQ158" s="813"/>
      <c r="BR158" s="813"/>
      <c r="BS158" s="818"/>
      <c r="BT158" s="514"/>
      <c r="BU158" s="813"/>
      <c r="BV158" s="813"/>
      <c r="BW158" s="813"/>
      <c r="BX158" s="813"/>
      <c r="BY158" s="818"/>
      <c r="BZ158" s="514"/>
      <c r="CA158" s="813"/>
      <c r="CB158" s="813"/>
      <c r="CC158" s="813"/>
      <c r="CD158" s="813"/>
      <c r="CE158" s="818"/>
      <c r="CF158" s="514"/>
      <c r="CG158" s="813"/>
      <c r="CH158" s="813"/>
      <c r="CI158" s="813"/>
      <c r="CJ158" s="813"/>
      <c r="CK158" s="818"/>
      <c r="CL158" s="514"/>
      <c r="CM158" s="813"/>
      <c r="CN158" s="813"/>
      <c r="CO158" s="813"/>
      <c r="CP158" s="813"/>
      <c r="CQ158" s="818"/>
      <c r="CR158" s="514"/>
      <c r="CS158" s="813"/>
      <c r="CT158" s="813"/>
      <c r="CU158" s="813"/>
      <c r="CV158" s="813"/>
      <c r="CW158" s="818"/>
      <c r="CX158" s="514"/>
      <c r="CY158" s="813"/>
      <c r="CZ158" s="813"/>
      <c r="DA158" s="813"/>
      <c r="DB158" s="813"/>
      <c r="DC158" s="818"/>
      <c r="DD158" s="514"/>
      <c r="DE158" s="813"/>
      <c r="DF158" s="813"/>
      <c r="DG158" s="813"/>
      <c r="DH158" s="813"/>
      <c r="DI158" s="818"/>
      <c r="DJ158" s="514"/>
      <c r="DK158" s="813"/>
      <c r="DL158" s="813"/>
      <c r="DM158" s="813"/>
      <c r="DN158" s="813"/>
      <c r="DO158" s="818"/>
      <c r="DP158" s="260"/>
    </row>
    <row r="159" spans="1:120" ht="12" hidden="1" customHeight="1" outlineLevel="1">
      <c r="A159" s="812" t="s">
        <v>900</v>
      </c>
      <c r="B159" s="743"/>
      <c r="C159" s="813"/>
      <c r="D159" s="813"/>
      <c r="E159" s="813"/>
      <c r="F159" s="500"/>
      <c r="G159" s="813"/>
      <c r="H159" s="813"/>
      <c r="I159" s="813"/>
      <c r="J159" s="813"/>
      <c r="K159" s="814">
        <f>BS!E209</f>
        <v>4.0745599999999991</v>
      </c>
      <c r="L159" s="500"/>
      <c r="M159" s="813"/>
      <c r="N159" s="813"/>
      <c r="O159" s="813"/>
      <c r="P159" s="813"/>
      <c r="Q159" s="814">
        <f>BS!K209</f>
        <v>10.525878999999998</v>
      </c>
      <c r="R159" s="500"/>
      <c r="S159" s="813"/>
      <c r="T159" s="813"/>
      <c r="U159" s="813"/>
      <c r="V159" s="813"/>
      <c r="W159" s="814">
        <v>17.365589</v>
      </c>
      <c r="X159" s="500"/>
      <c r="Y159" s="813"/>
      <c r="Z159" s="813"/>
      <c r="AA159" s="813"/>
      <c r="AB159" s="813"/>
      <c r="AC159" s="814">
        <f>W159+AC155-AC160-AC163</f>
        <v>16.018984590999999</v>
      </c>
      <c r="AD159" s="514"/>
      <c r="AE159" s="813"/>
      <c r="AF159" s="813"/>
      <c r="AG159" s="813"/>
      <c r="AH159" s="813"/>
      <c r="AI159" s="814">
        <f>AC159+AI155-AI160-AI163</f>
        <v>16.006279830059999</v>
      </c>
      <c r="AJ159" s="514"/>
      <c r="AK159" s="813"/>
      <c r="AL159" s="813"/>
      <c r="AM159" s="813"/>
      <c r="AN159" s="813"/>
      <c r="AO159" s="814">
        <f>(AI159+AO155-AO160-AO163)*4</f>
        <v>53.91083541039167</v>
      </c>
      <c r="AP159" s="514"/>
      <c r="AQ159" s="813"/>
      <c r="AR159" s="813"/>
      <c r="AS159" s="813"/>
      <c r="AT159" s="813"/>
      <c r="AU159" s="814">
        <f>AO159+AU155-AU160-AU163</f>
        <v>59.936621545331406</v>
      </c>
      <c r="AV159" s="514"/>
      <c r="AW159" s="813"/>
      <c r="AX159" s="813"/>
      <c r="AY159" s="813"/>
      <c r="AZ159" s="813"/>
      <c r="BA159" s="814">
        <f>AU159+BA155-BA160-BA163</f>
        <v>56.266691432549308</v>
      </c>
      <c r="BB159" s="514"/>
      <c r="BC159" s="813"/>
      <c r="BD159" s="813"/>
      <c r="BE159" s="813"/>
      <c r="BF159" s="813"/>
      <c r="BG159" s="814">
        <f>BA159+BG155-BG160-BG163</f>
        <v>47.294975305315475</v>
      </c>
      <c r="BH159" s="514"/>
      <c r="BI159" s="813"/>
      <c r="BJ159" s="813"/>
      <c r="BK159" s="813"/>
      <c r="BL159" s="813"/>
      <c r="BM159" s="814">
        <f>BG159+BM155-BM160-BM163</f>
        <v>44.909936997574981</v>
      </c>
      <c r="BN159" s="514"/>
      <c r="BO159" s="813"/>
      <c r="BP159" s="813"/>
      <c r="BQ159" s="813"/>
      <c r="BR159" s="813"/>
      <c r="BS159" s="814">
        <f>BM159+BS155-BS160-BS163</f>
        <v>30.131771443823862</v>
      </c>
      <c r="BT159" s="514"/>
      <c r="BU159" s="813"/>
      <c r="BV159" s="813"/>
      <c r="BW159" s="813"/>
      <c r="BX159" s="813"/>
      <c r="BY159" s="814">
        <f>BS159+BY155-BY160-BY163</f>
        <v>25.463627437417834</v>
      </c>
      <c r="BZ159" s="514"/>
      <c r="CA159" s="813"/>
      <c r="CB159" s="813"/>
      <c r="CC159" s="813"/>
      <c r="CD159" s="813"/>
      <c r="CE159" s="814">
        <f>BY159+CE155-CE160-CE163</f>
        <v>24.155585285573238</v>
      </c>
      <c r="CF159" s="514"/>
      <c r="CG159" s="813"/>
      <c r="CH159" s="813"/>
      <c r="CI159" s="813"/>
      <c r="CJ159" s="813"/>
      <c r="CK159" s="814">
        <f>CE159+CK155-CK160-CK163</f>
        <v>19.870209699901267</v>
      </c>
      <c r="CL159" s="514"/>
      <c r="CM159" s="813"/>
      <c r="CN159" s="813"/>
      <c r="CO159" s="813"/>
      <c r="CP159" s="813"/>
      <c r="CQ159" s="814">
        <f>CK159+CQ155-CQ160-CQ163</f>
        <v>17.685846789930885</v>
      </c>
      <c r="CR159" s="514"/>
      <c r="CS159" s="813"/>
      <c r="CT159" s="813"/>
      <c r="CU159" s="813"/>
      <c r="CV159" s="813"/>
      <c r="CW159" s="814">
        <f>CQ159+CW155-CW160-CW163</f>
        <v>16.79024275295162</v>
      </c>
      <c r="CX159" s="514"/>
      <c r="CY159" s="813"/>
      <c r="CZ159" s="813"/>
      <c r="DA159" s="813"/>
      <c r="DB159" s="813"/>
      <c r="DC159" s="814">
        <f>CW159+DC155-DC160-DC163</f>
        <v>16.583319927066135</v>
      </c>
      <c r="DD159" s="514"/>
      <c r="DE159" s="813"/>
      <c r="DF159" s="813"/>
      <c r="DG159" s="813"/>
      <c r="DH159" s="813"/>
      <c r="DI159" s="814">
        <f>DC159+DI155-DI160-DI163</f>
        <v>16.85847394894629</v>
      </c>
      <c r="DJ159" s="514"/>
      <c r="DK159" s="813"/>
      <c r="DL159" s="813"/>
      <c r="DM159" s="813"/>
      <c r="DN159" s="813"/>
      <c r="DO159" s="814">
        <f>DI159+DO155-DO160-DO163</f>
        <v>17.471081764262401</v>
      </c>
      <c r="DP159" s="260"/>
    </row>
    <row r="160" spans="1:120" ht="12" hidden="1" customHeight="1" outlineLevel="1">
      <c r="A160" s="812" t="s">
        <v>901</v>
      </c>
      <c r="B160" s="743"/>
      <c r="C160" s="813"/>
      <c r="D160" s="813"/>
      <c r="E160" s="813"/>
      <c r="F160" s="500"/>
      <c r="G160" s="813"/>
      <c r="H160" s="813"/>
      <c r="I160" s="813"/>
      <c r="J160" s="813"/>
      <c r="K160" s="814">
        <f>BS!E206-BS!E207</f>
        <v>1.274966</v>
      </c>
      <c r="L160" s="500"/>
      <c r="M160" s="813"/>
      <c r="N160" s="813"/>
      <c r="O160" s="813"/>
      <c r="P160" s="813"/>
      <c r="Q160" s="814">
        <f>BS!K206-BS!K207</f>
        <v>0.74655899999999953</v>
      </c>
      <c r="R160" s="500"/>
      <c r="S160" s="813"/>
      <c r="T160" s="813"/>
      <c r="U160" s="813"/>
      <c r="V160" s="813"/>
      <c r="W160" s="814">
        <f>Q159*W161</f>
        <v>1.1788984479999998</v>
      </c>
      <c r="X160" s="500"/>
      <c r="Y160" s="813"/>
      <c r="Z160" s="813"/>
      <c r="AA160" s="813"/>
      <c r="AB160" s="813"/>
      <c r="AC160" s="814">
        <f>W159*AC161</f>
        <v>1.8407524339999999</v>
      </c>
      <c r="AD160" s="514"/>
      <c r="AE160" s="813"/>
      <c r="AF160" s="813"/>
      <c r="AG160" s="813"/>
      <c r="AH160" s="813"/>
      <c r="AI160" s="814">
        <f>AC159*AI161</f>
        <v>1.6018984591000001</v>
      </c>
      <c r="AJ160" s="514"/>
      <c r="AK160" s="813"/>
      <c r="AL160" s="813"/>
      <c r="AM160" s="813"/>
      <c r="AN160" s="813"/>
      <c r="AO160" s="814">
        <f>AI159*AO161</f>
        <v>1.5366028636857598</v>
      </c>
      <c r="AP160" s="514"/>
      <c r="AQ160" s="813"/>
      <c r="AR160" s="813"/>
      <c r="AS160" s="813"/>
      <c r="AT160" s="813"/>
      <c r="AU160" s="814">
        <f>AO159*AU161*4</f>
        <v>1.9407900747741</v>
      </c>
      <c r="AV160" s="514"/>
      <c r="AW160" s="813"/>
      <c r="AX160" s="813"/>
      <c r="AY160" s="813"/>
      <c r="AZ160" s="813"/>
      <c r="BA160" s="814">
        <f>AU159*BA161</f>
        <v>3.7760071573558784</v>
      </c>
      <c r="BB160" s="514"/>
      <c r="BC160" s="813"/>
      <c r="BD160" s="813"/>
      <c r="BE160" s="813"/>
      <c r="BF160" s="813"/>
      <c r="BG160" s="814">
        <f>BA159*BG161</f>
        <v>2.9258679544925639</v>
      </c>
      <c r="BH160" s="514"/>
      <c r="BI160" s="813"/>
      <c r="BJ160" s="813"/>
      <c r="BK160" s="813"/>
      <c r="BL160" s="813"/>
      <c r="BM160" s="814">
        <f>BG159*BM161</f>
        <v>2.8849934936242438</v>
      </c>
      <c r="BN160" s="514"/>
      <c r="BO160" s="813"/>
      <c r="BP160" s="813"/>
      <c r="BQ160" s="813"/>
      <c r="BR160" s="813"/>
      <c r="BS160" s="814">
        <f>BM159*BS161</f>
        <v>2.9191459048423738</v>
      </c>
      <c r="BT160" s="514"/>
      <c r="BU160" s="813"/>
      <c r="BV160" s="813"/>
      <c r="BW160" s="813"/>
      <c r="BX160" s="813"/>
      <c r="BY160" s="814">
        <f>BS159*BY161</f>
        <v>2.1092240010676706</v>
      </c>
      <c r="BZ160" s="514"/>
      <c r="CA160" s="813"/>
      <c r="CB160" s="813"/>
      <c r="CC160" s="813"/>
      <c r="CD160" s="813"/>
      <c r="CE160" s="814">
        <f>BY159*CE161</f>
        <v>1.7824539206192485</v>
      </c>
      <c r="CF160" s="514"/>
      <c r="CG160" s="813"/>
      <c r="CH160" s="813"/>
      <c r="CI160" s="813"/>
      <c r="CJ160" s="813"/>
      <c r="CK160" s="814">
        <f>CE159*CK161</f>
        <v>1.207779264278662</v>
      </c>
      <c r="CL160" s="514"/>
      <c r="CM160" s="813"/>
      <c r="CN160" s="813"/>
      <c r="CO160" s="813"/>
      <c r="CP160" s="813"/>
      <c r="CQ160" s="814">
        <f>CK159*CQ161</f>
        <v>0.99351048499506334</v>
      </c>
      <c r="CR160" s="514"/>
      <c r="CS160" s="813"/>
      <c r="CT160" s="813"/>
      <c r="CU160" s="813"/>
      <c r="CV160" s="813"/>
      <c r="CW160" s="814">
        <f>CQ159*CW161</f>
        <v>0.88429233949654429</v>
      </c>
      <c r="CX160" s="514"/>
      <c r="CY160" s="813"/>
      <c r="CZ160" s="813"/>
      <c r="DA160" s="813"/>
      <c r="DB160" s="813"/>
      <c r="DC160" s="814">
        <f>CW159*DC161</f>
        <v>0.83951213764758104</v>
      </c>
      <c r="DD160" s="514"/>
      <c r="DE160" s="813"/>
      <c r="DF160" s="813"/>
      <c r="DG160" s="813"/>
      <c r="DH160" s="813"/>
      <c r="DI160" s="814">
        <f>DC159*DI161</f>
        <v>0.82916599635330679</v>
      </c>
      <c r="DJ160" s="514"/>
      <c r="DK160" s="813"/>
      <c r="DL160" s="813"/>
      <c r="DM160" s="813"/>
      <c r="DN160" s="813"/>
      <c r="DO160" s="814">
        <f>DI159*DO161</f>
        <v>0.84292369744731455</v>
      </c>
      <c r="DP160" s="260"/>
    </row>
    <row r="161" spans="1:120" ht="12" hidden="1" customHeight="1" outlineLevel="1">
      <c r="A161" s="812" t="s">
        <v>26</v>
      </c>
      <c r="B161" s="743"/>
      <c r="C161" s="813"/>
      <c r="D161" s="813"/>
      <c r="E161" s="813"/>
      <c r="F161" s="500"/>
      <c r="G161" s="813"/>
      <c r="H161" s="813"/>
      <c r="I161" s="813"/>
      <c r="J161" s="813"/>
      <c r="K161" s="514"/>
      <c r="L161" s="500"/>
      <c r="M161" s="813"/>
      <c r="N161" s="813"/>
      <c r="O161" s="813"/>
      <c r="P161" s="813"/>
      <c r="Q161" s="514">
        <f>Q160/K159</f>
        <v>0.18322444632058424</v>
      </c>
      <c r="R161" s="500"/>
      <c r="S161" s="813"/>
      <c r="T161" s="813"/>
      <c r="U161" s="813"/>
      <c r="V161" s="813"/>
      <c r="W161" s="504">
        <v>0.112</v>
      </c>
      <c r="X161" s="500"/>
      <c r="Y161" s="813"/>
      <c r="Z161" s="813"/>
      <c r="AA161" s="813"/>
      <c r="AB161" s="813"/>
      <c r="AC161" s="504">
        <v>0.106</v>
      </c>
      <c r="AD161" s="514"/>
      <c r="AE161" s="813"/>
      <c r="AF161" s="813"/>
      <c r="AG161" s="813"/>
      <c r="AH161" s="813"/>
      <c r="AI161" s="504">
        <v>0.1</v>
      </c>
      <c r="AJ161" s="514"/>
      <c r="AK161" s="813"/>
      <c r="AL161" s="813"/>
      <c r="AM161" s="813"/>
      <c r="AN161" s="813"/>
      <c r="AO161" s="504">
        <v>9.6000000000000002E-2</v>
      </c>
      <c r="AP161" s="514"/>
      <c r="AQ161" s="813"/>
      <c r="AR161" s="813"/>
      <c r="AS161" s="813"/>
      <c r="AT161" s="813"/>
      <c r="AU161" s="504">
        <v>8.9999999999999993E-3</v>
      </c>
      <c r="AV161" s="514"/>
      <c r="AW161" s="813"/>
      <c r="AX161" s="813"/>
      <c r="AY161" s="813"/>
      <c r="AZ161" s="813"/>
      <c r="BA161" s="504">
        <v>6.3E-2</v>
      </c>
      <c r="BB161" s="514"/>
      <c r="BC161" s="813"/>
      <c r="BD161" s="813"/>
      <c r="BE161" s="813"/>
      <c r="BF161" s="813"/>
      <c r="BG161" s="504">
        <v>5.1999999999999998E-2</v>
      </c>
      <c r="BH161" s="514"/>
      <c r="BI161" s="813"/>
      <c r="BJ161" s="813"/>
      <c r="BK161" s="813"/>
      <c r="BL161" s="813"/>
      <c r="BM161" s="504">
        <v>6.0999999999999999E-2</v>
      </c>
      <c r="BN161" s="514"/>
      <c r="BO161" s="813"/>
      <c r="BP161" s="813"/>
      <c r="BQ161" s="813"/>
      <c r="BR161" s="813"/>
      <c r="BS161" s="504">
        <v>6.5000000000000002E-2</v>
      </c>
      <c r="BT161" s="514"/>
      <c r="BU161" s="813"/>
      <c r="BV161" s="813"/>
      <c r="BW161" s="813"/>
      <c r="BX161" s="813"/>
      <c r="BY161" s="504">
        <v>7.0000000000000007E-2</v>
      </c>
      <c r="BZ161" s="514"/>
      <c r="CA161" s="813"/>
      <c r="CB161" s="813"/>
      <c r="CC161" s="813"/>
      <c r="CD161" s="813"/>
      <c r="CE161" s="504">
        <v>7.0000000000000007E-2</v>
      </c>
      <c r="CF161" s="514"/>
      <c r="CG161" s="813"/>
      <c r="CH161" s="813"/>
      <c r="CI161" s="813"/>
      <c r="CJ161" s="813"/>
      <c r="CK161" s="504">
        <v>0.05</v>
      </c>
      <c r="CL161" s="514"/>
      <c r="CM161" s="813"/>
      <c r="CN161" s="813"/>
      <c r="CO161" s="813"/>
      <c r="CP161" s="813"/>
      <c r="CQ161" s="504">
        <v>0.05</v>
      </c>
      <c r="CR161" s="514"/>
      <c r="CS161" s="813"/>
      <c r="CT161" s="813"/>
      <c r="CU161" s="813"/>
      <c r="CV161" s="813"/>
      <c r="CW161" s="504">
        <v>0.05</v>
      </c>
      <c r="CX161" s="514"/>
      <c r="CY161" s="813"/>
      <c r="CZ161" s="813"/>
      <c r="DA161" s="813"/>
      <c r="DB161" s="813"/>
      <c r="DC161" s="504">
        <v>0.05</v>
      </c>
      <c r="DD161" s="514"/>
      <c r="DE161" s="813"/>
      <c r="DF161" s="813"/>
      <c r="DG161" s="813"/>
      <c r="DH161" s="813"/>
      <c r="DI161" s="504">
        <v>0.05</v>
      </c>
      <c r="DJ161" s="514"/>
      <c r="DK161" s="813"/>
      <c r="DL161" s="813"/>
      <c r="DM161" s="813"/>
      <c r="DN161" s="813"/>
      <c r="DO161" s="504">
        <v>0.05</v>
      </c>
      <c r="DP161" s="260"/>
    </row>
    <row r="162" spans="1:120" ht="12" hidden="1" customHeight="1" outlineLevel="1">
      <c r="A162" s="812"/>
      <c r="B162" s="743"/>
      <c r="C162" s="813"/>
      <c r="D162" s="813"/>
      <c r="E162" s="813"/>
      <c r="F162" s="500"/>
      <c r="G162" s="813"/>
      <c r="H162" s="813"/>
      <c r="I162" s="813"/>
      <c r="J162" s="813"/>
      <c r="K162" s="813"/>
      <c r="L162" s="500"/>
      <c r="M162" s="813"/>
      <c r="N162" s="813"/>
      <c r="O162" s="813"/>
      <c r="P162" s="813"/>
      <c r="Q162" s="813"/>
      <c r="R162" s="500"/>
      <c r="S162" s="813"/>
      <c r="T162" s="813"/>
      <c r="U162" s="813"/>
      <c r="V162" s="813"/>
      <c r="W162" s="818"/>
      <c r="X162" s="500"/>
      <c r="Y162" s="813"/>
      <c r="Z162" s="813"/>
      <c r="AA162" s="813"/>
      <c r="AB162" s="813"/>
      <c r="AC162" s="818"/>
      <c r="AD162" s="514"/>
      <c r="AE162" s="813"/>
      <c r="AF162" s="813"/>
      <c r="AG162" s="813"/>
      <c r="AH162" s="813"/>
      <c r="AI162" s="818"/>
      <c r="AJ162" s="514"/>
      <c r="AK162" s="813"/>
      <c r="AL162" s="813"/>
      <c r="AM162" s="813"/>
      <c r="AN162" s="813"/>
      <c r="AO162" s="818"/>
      <c r="AP162" s="514"/>
      <c r="AQ162" s="813"/>
      <c r="AR162" s="813"/>
      <c r="AS162" s="813"/>
      <c r="AT162" s="813"/>
      <c r="AU162" s="818"/>
      <c r="AV162" s="514"/>
      <c r="AW162" s="813"/>
      <c r="AX162" s="813"/>
      <c r="AY162" s="813"/>
      <c r="AZ162" s="813"/>
      <c r="BA162" s="818"/>
      <c r="BB162" s="514"/>
      <c r="BC162" s="813"/>
      <c r="BD162" s="813"/>
      <c r="BE162" s="813"/>
      <c r="BF162" s="813"/>
      <c r="BG162" s="818"/>
      <c r="BH162" s="514"/>
      <c r="BI162" s="813"/>
      <c r="BJ162" s="813"/>
      <c r="BK162" s="813"/>
      <c r="BL162" s="813"/>
      <c r="BM162" s="818"/>
      <c r="BN162" s="514"/>
      <c r="BO162" s="813"/>
      <c r="BP162" s="813"/>
      <c r="BQ162" s="813"/>
      <c r="BR162" s="813"/>
      <c r="BS162" s="818"/>
      <c r="BT162" s="514"/>
      <c r="BU162" s="813"/>
      <c r="BV162" s="813"/>
      <c r="BW162" s="813"/>
      <c r="BX162" s="813"/>
      <c r="BY162" s="818"/>
      <c r="BZ162" s="514"/>
      <c r="CA162" s="813"/>
      <c r="CB162" s="813"/>
      <c r="CC162" s="813"/>
      <c r="CD162" s="813"/>
      <c r="CE162" s="818"/>
      <c r="CF162" s="514"/>
      <c r="CG162" s="813"/>
      <c r="CH162" s="813"/>
      <c r="CI162" s="813"/>
      <c r="CJ162" s="813"/>
      <c r="CK162" s="818"/>
      <c r="CL162" s="514"/>
      <c r="CM162" s="813"/>
      <c r="CN162" s="813"/>
      <c r="CO162" s="813"/>
      <c r="CP162" s="813"/>
      <c r="CQ162" s="818"/>
      <c r="CR162" s="514"/>
      <c r="CS162" s="813"/>
      <c r="CT162" s="813"/>
      <c r="CU162" s="813"/>
      <c r="CV162" s="813"/>
      <c r="CW162" s="818"/>
      <c r="CX162" s="514"/>
      <c r="CY162" s="813"/>
      <c r="CZ162" s="813"/>
      <c r="DA162" s="813"/>
      <c r="DB162" s="813"/>
      <c r="DC162" s="818"/>
      <c r="DD162" s="514"/>
      <c r="DE162" s="813"/>
      <c r="DF162" s="813"/>
      <c r="DG162" s="813"/>
      <c r="DH162" s="813"/>
      <c r="DI162" s="818"/>
      <c r="DJ162" s="514"/>
      <c r="DK162" s="813"/>
      <c r="DL162" s="813"/>
      <c r="DM162" s="813"/>
      <c r="DN162" s="813"/>
      <c r="DO162" s="818"/>
      <c r="DP162" s="260"/>
    </row>
    <row r="163" spans="1:120" ht="12" hidden="1" customHeight="1" outlineLevel="1">
      <c r="A163" s="812" t="s">
        <v>27</v>
      </c>
      <c r="B163" s="743"/>
      <c r="C163" s="813"/>
      <c r="D163" s="813"/>
      <c r="E163" s="813"/>
      <c r="F163" s="500"/>
      <c r="G163" s="813"/>
      <c r="H163" s="813"/>
      <c r="I163" s="813"/>
      <c r="J163" s="813"/>
      <c r="K163" s="814">
        <f>BS!K208</f>
        <v>1.6801219999999999</v>
      </c>
      <c r="L163" s="500"/>
      <c r="M163" s="813"/>
      <c r="N163" s="813"/>
      <c r="O163" s="813"/>
      <c r="P163" s="813"/>
      <c r="Q163" s="814">
        <f>BS!Q208</f>
        <v>1.041131</v>
      </c>
      <c r="R163" s="500"/>
      <c r="S163" s="813"/>
      <c r="T163" s="813"/>
      <c r="U163" s="813"/>
      <c r="V163" s="813"/>
      <c r="W163" s="814">
        <f>Q159*W164</f>
        <v>3.789316439999999</v>
      </c>
      <c r="X163" s="500"/>
      <c r="Y163" s="813"/>
      <c r="Z163" s="813"/>
      <c r="AA163" s="813"/>
      <c r="AB163" s="813"/>
      <c r="AC163" s="814">
        <f>W159*AC164</f>
        <v>4.7755369750000005</v>
      </c>
      <c r="AD163" s="514"/>
      <c r="AE163" s="813"/>
      <c r="AF163" s="813"/>
      <c r="AG163" s="813"/>
      <c r="AH163" s="813"/>
      <c r="AI163" s="814">
        <f>AC159*AI164</f>
        <v>3.8445563018399995</v>
      </c>
      <c r="AJ163" s="514"/>
      <c r="AK163" s="813"/>
      <c r="AL163" s="813"/>
      <c r="AM163" s="813"/>
      <c r="AN163" s="813"/>
      <c r="AO163" s="814">
        <f>AI159*AO164</f>
        <v>4.3537081137763201</v>
      </c>
      <c r="AP163" s="514"/>
      <c r="AQ163" s="813"/>
      <c r="AR163" s="813"/>
      <c r="AS163" s="813"/>
      <c r="AT163" s="813"/>
      <c r="AU163" s="814">
        <f>AO159*AU164*4</f>
        <v>11.860383790286168</v>
      </c>
      <c r="AV163" s="514"/>
      <c r="AW163" s="813"/>
      <c r="AX163" s="813"/>
      <c r="AY163" s="813"/>
      <c r="AZ163" s="813"/>
      <c r="BA163" s="814">
        <f>AU159*BA164</f>
        <v>13.785422955426224</v>
      </c>
      <c r="BB163" s="514"/>
      <c r="BC163" s="813"/>
      <c r="BD163" s="813"/>
      <c r="BE163" s="813"/>
      <c r="BF163" s="813"/>
      <c r="BG163" s="814">
        <f>BA159*BG164</f>
        <v>18.568008172741273</v>
      </c>
      <c r="BH163" s="514"/>
      <c r="BI163" s="813"/>
      <c r="BJ163" s="813"/>
      <c r="BK163" s="813"/>
      <c r="BL163" s="813"/>
      <c r="BM163" s="814">
        <f>BG159*BM164</f>
        <v>9.9319448141162496</v>
      </c>
      <c r="BN163" s="514"/>
      <c r="BO163" s="813"/>
      <c r="BP163" s="813"/>
      <c r="BQ163" s="813"/>
      <c r="BR163" s="813"/>
      <c r="BS163" s="814">
        <f>BM159*BS164</f>
        <v>20.209471648908742</v>
      </c>
      <c r="BT163" s="514"/>
      <c r="BU163" s="813"/>
      <c r="BV163" s="813"/>
      <c r="BW163" s="813"/>
      <c r="BX163" s="813"/>
      <c r="BY163" s="814">
        <f>BS159*BY164</f>
        <v>10.54612000533835</v>
      </c>
      <c r="BZ163" s="514"/>
      <c r="CA163" s="813"/>
      <c r="CB163" s="813"/>
      <c r="CC163" s="813"/>
      <c r="CD163" s="813"/>
      <c r="CE163" s="814">
        <f>BY159*CE164</f>
        <v>7.6390882312253501</v>
      </c>
      <c r="CF163" s="514"/>
      <c r="CG163" s="813"/>
      <c r="CH163" s="813"/>
      <c r="CI163" s="813"/>
      <c r="CJ163" s="813"/>
      <c r="CK163" s="814">
        <f>CE159*CK164</f>
        <v>6.0388963213933096</v>
      </c>
      <c r="CL163" s="514"/>
      <c r="CM163" s="813"/>
      <c r="CN163" s="813"/>
      <c r="CO163" s="813"/>
      <c r="CP163" s="813"/>
      <c r="CQ163" s="814">
        <f>CK159*CQ164</f>
        <v>4.9675524249753167</v>
      </c>
      <c r="CR163" s="514"/>
      <c r="CS163" s="813"/>
      <c r="CT163" s="813"/>
      <c r="CU163" s="813"/>
      <c r="CV163" s="813"/>
      <c r="CW163" s="814">
        <f>CQ159*CW164</f>
        <v>4.4214616974827212</v>
      </c>
      <c r="CX163" s="514"/>
      <c r="CY163" s="813"/>
      <c r="CZ163" s="813"/>
      <c r="DA163" s="813"/>
      <c r="DB163" s="813"/>
      <c r="DC163" s="814">
        <f>CW159*DC164</f>
        <v>4.1975606882379051</v>
      </c>
      <c r="DD163" s="514"/>
      <c r="DE163" s="813"/>
      <c r="DF163" s="813"/>
      <c r="DG163" s="813"/>
      <c r="DH163" s="813"/>
      <c r="DI163" s="814">
        <f>DC159*DI164</f>
        <v>4.1458299817665338</v>
      </c>
      <c r="DJ163" s="514"/>
      <c r="DK163" s="813"/>
      <c r="DL163" s="813"/>
      <c r="DM163" s="813"/>
      <c r="DN163" s="813"/>
      <c r="DO163" s="814">
        <f>DI159*DO164</f>
        <v>4.2146184872365726</v>
      </c>
      <c r="DP163" s="260"/>
    </row>
    <row r="164" spans="1:120" ht="12" hidden="1" customHeight="1" outlineLevel="1">
      <c r="A164" s="812" t="s">
        <v>28</v>
      </c>
      <c r="B164" s="743"/>
      <c r="C164" s="813"/>
      <c r="D164" s="813"/>
      <c r="E164" s="813"/>
      <c r="F164" s="500"/>
      <c r="G164" s="813"/>
      <c r="H164" s="813"/>
      <c r="I164" s="813"/>
      <c r="J164" s="813"/>
      <c r="K164" s="514"/>
      <c r="L164" s="500"/>
      <c r="M164" s="813"/>
      <c r="N164" s="813"/>
      <c r="O164" s="813"/>
      <c r="P164" s="813"/>
      <c r="Q164" s="514">
        <f>Q163/K159</f>
        <v>0.25551985981308417</v>
      </c>
      <c r="R164" s="500"/>
      <c r="S164" s="813"/>
      <c r="T164" s="813"/>
      <c r="U164" s="813"/>
      <c r="V164" s="813"/>
      <c r="W164" s="504">
        <v>0.36</v>
      </c>
      <c r="X164" s="500"/>
      <c r="Y164" s="813"/>
      <c r="Z164" s="813"/>
      <c r="AA164" s="813"/>
      <c r="AB164" s="813"/>
      <c r="AC164" s="504">
        <v>0.27500000000000002</v>
      </c>
      <c r="AD164" s="514"/>
      <c r="AE164" s="813"/>
      <c r="AF164" s="813"/>
      <c r="AG164" s="813"/>
      <c r="AH164" s="813"/>
      <c r="AI164" s="504">
        <v>0.24</v>
      </c>
      <c r="AJ164" s="514"/>
      <c r="AK164" s="813"/>
      <c r="AL164" s="813"/>
      <c r="AM164" s="813"/>
      <c r="AN164" s="813"/>
      <c r="AO164" s="504">
        <v>0.27200000000000002</v>
      </c>
      <c r="AP164" s="514"/>
      <c r="AQ164" s="813"/>
      <c r="AR164" s="813"/>
      <c r="AS164" s="813"/>
      <c r="AT164" s="813"/>
      <c r="AU164" s="504">
        <v>5.5E-2</v>
      </c>
      <c r="AV164" s="514"/>
      <c r="AW164" s="813"/>
      <c r="AX164" s="813"/>
      <c r="AY164" s="813"/>
      <c r="AZ164" s="813"/>
      <c r="BA164" s="504">
        <v>0.23</v>
      </c>
      <c r="BB164" s="514"/>
      <c r="BC164" s="813"/>
      <c r="BD164" s="813"/>
      <c r="BE164" s="813"/>
      <c r="BF164" s="813"/>
      <c r="BG164" s="504">
        <v>0.33</v>
      </c>
      <c r="BH164" s="514"/>
      <c r="BI164" s="813"/>
      <c r="BJ164" s="813"/>
      <c r="BK164" s="813"/>
      <c r="BL164" s="813"/>
      <c r="BM164" s="504">
        <v>0.21</v>
      </c>
      <c r="BN164" s="514"/>
      <c r="BO164" s="813"/>
      <c r="BP164" s="813"/>
      <c r="BQ164" s="813"/>
      <c r="BR164" s="813"/>
      <c r="BS164" s="504">
        <v>0.45</v>
      </c>
      <c r="BT164" s="514"/>
      <c r="BU164" s="813"/>
      <c r="BV164" s="813"/>
      <c r="BW164" s="813"/>
      <c r="BX164" s="813"/>
      <c r="BY164" s="504">
        <v>0.35</v>
      </c>
      <c r="BZ164" s="514"/>
      <c r="CA164" s="813"/>
      <c r="CB164" s="813"/>
      <c r="CC164" s="813"/>
      <c r="CD164" s="813"/>
      <c r="CE164" s="504">
        <v>0.3</v>
      </c>
      <c r="CF164" s="514"/>
      <c r="CG164" s="813"/>
      <c r="CH164" s="813"/>
      <c r="CI164" s="813"/>
      <c r="CJ164" s="813"/>
      <c r="CK164" s="504">
        <v>0.25</v>
      </c>
      <c r="CL164" s="514"/>
      <c r="CM164" s="813"/>
      <c r="CN164" s="813"/>
      <c r="CO164" s="813"/>
      <c r="CP164" s="813"/>
      <c r="CQ164" s="504">
        <v>0.25</v>
      </c>
      <c r="CR164" s="514"/>
      <c r="CS164" s="813"/>
      <c r="CT164" s="813"/>
      <c r="CU164" s="813"/>
      <c r="CV164" s="813"/>
      <c r="CW164" s="504">
        <v>0.25</v>
      </c>
      <c r="CX164" s="514"/>
      <c r="CY164" s="813"/>
      <c r="CZ164" s="813"/>
      <c r="DA164" s="813"/>
      <c r="DB164" s="813"/>
      <c r="DC164" s="504">
        <v>0.25</v>
      </c>
      <c r="DD164" s="514"/>
      <c r="DE164" s="813"/>
      <c r="DF164" s="813"/>
      <c r="DG164" s="813"/>
      <c r="DH164" s="813"/>
      <c r="DI164" s="504">
        <v>0.25</v>
      </c>
      <c r="DJ164" s="514"/>
      <c r="DK164" s="813"/>
      <c r="DL164" s="813"/>
      <c r="DM164" s="813"/>
      <c r="DN164" s="813"/>
      <c r="DO164" s="504">
        <v>0.25</v>
      </c>
      <c r="DP164" s="260"/>
    </row>
    <row r="165" spans="1:120" ht="12" hidden="1" customHeight="1" outlineLevel="1">
      <c r="A165" s="812"/>
      <c r="B165" s="743"/>
      <c r="C165" s="813"/>
      <c r="D165" s="813"/>
      <c r="E165" s="813"/>
      <c r="F165" s="500"/>
      <c r="G165" s="813"/>
      <c r="H165" s="813"/>
      <c r="I165" s="813"/>
      <c r="J165" s="813"/>
      <c r="K165" s="813"/>
      <c r="L165" s="500"/>
      <c r="M165" s="813"/>
      <c r="N165" s="813"/>
      <c r="O165" s="813"/>
      <c r="P165" s="813"/>
      <c r="Q165" s="813"/>
      <c r="R165" s="500"/>
      <c r="S165" s="813"/>
      <c r="T165" s="813"/>
      <c r="U165" s="813"/>
      <c r="V165" s="813"/>
      <c r="W165" s="818"/>
      <c r="X165" s="500"/>
      <c r="Y165" s="813"/>
      <c r="Z165" s="813"/>
      <c r="AA165" s="813"/>
      <c r="AB165" s="813"/>
      <c r="AC165" s="818"/>
      <c r="AD165" s="514"/>
      <c r="AE165" s="813"/>
      <c r="AF165" s="813"/>
      <c r="AG165" s="813"/>
      <c r="AH165" s="813"/>
      <c r="AI165" s="818"/>
      <c r="AJ165" s="514"/>
      <c r="AK165" s="813"/>
      <c r="AL165" s="813"/>
      <c r="AM165" s="813"/>
      <c r="AN165" s="813"/>
      <c r="AO165" s="818"/>
      <c r="AP165" s="514"/>
      <c r="AQ165" s="813"/>
      <c r="AR165" s="813"/>
      <c r="AS165" s="813"/>
      <c r="AT165" s="813"/>
      <c r="AU165" s="818"/>
      <c r="AV165" s="514"/>
      <c r="AW165" s="813"/>
      <c r="AX165" s="813"/>
      <c r="AY165" s="813"/>
      <c r="AZ165" s="813"/>
      <c r="BA165" s="818"/>
      <c r="BB165" s="514"/>
      <c r="BC165" s="813"/>
      <c r="BD165" s="813"/>
      <c r="BE165" s="813"/>
      <c r="BF165" s="813"/>
      <c r="BG165" s="818"/>
      <c r="BH165" s="514"/>
      <c r="BI165" s="813"/>
      <c r="BJ165" s="813"/>
      <c r="BK165" s="813"/>
      <c r="BL165" s="813"/>
      <c r="BM165" s="818"/>
      <c r="BN165" s="514"/>
      <c r="BO165" s="813"/>
      <c r="BP165" s="813"/>
      <c r="BQ165" s="813"/>
      <c r="BR165" s="813"/>
      <c r="BS165" s="818"/>
      <c r="BT165" s="514"/>
      <c r="BU165" s="813"/>
      <c r="BV165" s="813"/>
      <c r="BW165" s="813"/>
      <c r="BX165" s="813"/>
      <c r="BY165" s="818"/>
      <c r="BZ165" s="514"/>
      <c r="CA165" s="813"/>
      <c r="CB165" s="813"/>
      <c r="CC165" s="813"/>
      <c r="CD165" s="813"/>
      <c r="CE165" s="818"/>
      <c r="CF165" s="514"/>
      <c r="CG165" s="813"/>
      <c r="CH165" s="813"/>
      <c r="CI165" s="813"/>
      <c r="CJ165" s="813"/>
      <c r="CK165" s="818"/>
      <c r="CL165" s="514"/>
      <c r="CM165" s="813"/>
      <c r="CN165" s="813"/>
      <c r="CO165" s="813"/>
      <c r="CP165" s="813"/>
      <c r="CQ165" s="818"/>
      <c r="CR165" s="514"/>
      <c r="CS165" s="813"/>
      <c r="CT165" s="813"/>
      <c r="CU165" s="813"/>
      <c r="CV165" s="813"/>
      <c r="CW165" s="818"/>
      <c r="CX165" s="514"/>
      <c r="CY165" s="813"/>
      <c r="CZ165" s="813"/>
      <c r="DA165" s="813"/>
      <c r="DB165" s="813"/>
      <c r="DC165" s="818"/>
      <c r="DD165" s="514"/>
      <c r="DE165" s="813"/>
      <c r="DF165" s="813"/>
      <c r="DG165" s="813"/>
      <c r="DH165" s="813"/>
      <c r="DI165" s="818"/>
      <c r="DJ165" s="514"/>
      <c r="DK165" s="813"/>
      <c r="DL165" s="813"/>
      <c r="DM165" s="813"/>
      <c r="DN165" s="813"/>
      <c r="DO165" s="818"/>
      <c r="DP165" s="260"/>
    </row>
    <row r="166" spans="1:120" ht="12" hidden="1" customHeight="1" outlineLevel="1">
      <c r="A166" s="821" t="s">
        <v>525</v>
      </c>
      <c r="B166" s="743"/>
      <c r="C166" s="813"/>
      <c r="D166" s="813"/>
      <c r="E166" s="813"/>
      <c r="F166" s="500"/>
      <c r="G166" s="813"/>
      <c r="H166" s="813"/>
      <c r="I166" s="813"/>
      <c r="J166" s="813"/>
      <c r="K166" s="813"/>
      <c r="L166" s="500"/>
      <c r="M166" s="813"/>
      <c r="N166" s="813"/>
      <c r="O166" s="813"/>
      <c r="P166" s="813"/>
      <c r="Q166" s="813"/>
      <c r="R166" s="500"/>
      <c r="S166" s="813"/>
      <c r="T166" s="813"/>
      <c r="U166" s="813"/>
      <c r="V166" s="813"/>
      <c r="W166" s="818"/>
      <c r="X166" s="500"/>
      <c r="Y166" s="813"/>
      <c r="Z166" s="813"/>
      <c r="AA166" s="813"/>
      <c r="AB166" s="813"/>
      <c r="AC166" s="818"/>
      <c r="AD166" s="514"/>
      <c r="AE166" s="813"/>
      <c r="AF166" s="813"/>
      <c r="AG166" s="813"/>
      <c r="AH166" s="813"/>
      <c r="AI166" s="818"/>
      <c r="AJ166" s="514"/>
      <c r="AK166" s="813"/>
      <c r="AL166" s="813"/>
      <c r="AM166" s="813"/>
      <c r="AN166" s="813"/>
      <c r="AO166" s="818"/>
      <c r="AP166" s="514"/>
      <c r="AQ166" s="813"/>
      <c r="AR166" s="813"/>
      <c r="AS166" s="813"/>
      <c r="AT166" s="813"/>
      <c r="AU166" s="818"/>
      <c r="AV166" s="514"/>
      <c r="AW166" s="813"/>
      <c r="AX166" s="813"/>
      <c r="AY166" s="813"/>
      <c r="AZ166" s="813"/>
      <c r="BA166" s="818"/>
      <c r="BB166" s="514"/>
      <c r="BC166" s="813"/>
      <c r="BD166" s="813"/>
      <c r="BE166" s="813"/>
      <c r="BF166" s="813"/>
      <c r="BG166" s="818"/>
      <c r="BH166" s="514"/>
      <c r="BI166" s="813"/>
      <c r="BJ166" s="813"/>
      <c r="BK166" s="813"/>
      <c r="BL166" s="813"/>
      <c r="BM166" s="818"/>
      <c r="BN166" s="514"/>
      <c r="BO166" s="813"/>
      <c r="BP166" s="813"/>
      <c r="BQ166" s="813"/>
      <c r="BR166" s="813"/>
      <c r="BS166" s="818"/>
      <c r="BT166" s="514"/>
      <c r="BU166" s="813"/>
      <c r="BV166" s="813"/>
      <c r="BW166" s="813"/>
      <c r="BX166" s="813"/>
      <c r="BY166" s="818"/>
      <c r="BZ166" s="514"/>
      <c r="CA166" s="813"/>
      <c r="CB166" s="813"/>
      <c r="CC166" s="813"/>
      <c r="CD166" s="813"/>
      <c r="CE166" s="818"/>
      <c r="CF166" s="514"/>
      <c r="CG166" s="813"/>
      <c r="CH166" s="813"/>
      <c r="CI166" s="813"/>
      <c r="CJ166" s="813"/>
      <c r="CK166" s="818"/>
      <c r="CL166" s="514"/>
      <c r="CM166" s="813"/>
      <c r="CN166" s="813"/>
      <c r="CO166" s="813"/>
      <c r="CP166" s="813"/>
      <c r="CQ166" s="818"/>
      <c r="CR166" s="514"/>
      <c r="CS166" s="813"/>
      <c r="CT166" s="813"/>
      <c r="CU166" s="813"/>
      <c r="CV166" s="813"/>
      <c r="CW166" s="818"/>
      <c r="CX166" s="514"/>
      <c r="CY166" s="813"/>
      <c r="CZ166" s="813"/>
      <c r="DA166" s="813"/>
      <c r="DB166" s="813"/>
      <c r="DC166" s="818"/>
      <c r="DD166" s="514"/>
      <c r="DE166" s="813"/>
      <c r="DF166" s="813"/>
      <c r="DG166" s="813"/>
      <c r="DH166" s="813"/>
      <c r="DI166" s="818"/>
      <c r="DJ166" s="514"/>
      <c r="DK166" s="813"/>
      <c r="DL166" s="813"/>
      <c r="DM166" s="813"/>
      <c r="DN166" s="813"/>
      <c r="DO166" s="818"/>
      <c r="DP166" s="260"/>
    </row>
    <row r="167" spans="1:120" ht="12" hidden="1" customHeight="1" outlineLevel="1">
      <c r="A167" s="822" t="s">
        <v>29</v>
      </c>
      <c r="B167" s="743"/>
      <c r="C167" s="813"/>
      <c r="D167" s="813"/>
      <c r="E167" s="813"/>
      <c r="F167" s="500"/>
      <c r="G167" s="813"/>
      <c r="H167" s="813"/>
      <c r="I167" s="813"/>
      <c r="J167" s="813"/>
      <c r="K167" s="819">
        <f>BS!K237</f>
        <v>1.1000000000000001</v>
      </c>
      <c r="L167" s="500"/>
      <c r="M167" s="813"/>
      <c r="N167" s="813"/>
      <c r="O167" s="813"/>
      <c r="P167" s="813"/>
      <c r="Q167" s="819">
        <f>BS!Q237</f>
        <v>3.74</v>
      </c>
      <c r="R167" s="500"/>
      <c r="S167" s="813"/>
      <c r="T167" s="813"/>
      <c r="U167" s="813"/>
      <c r="V167" s="813"/>
      <c r="W167" s="819">
        <f>BS!W237</f>
        <v>11.61</v>
      </c>
      <c r="X167" s="500"/>
      <c r="Y167" s="813"/>
      <c r="Z167" s="813"/>
      <c r="AA167" s="813"/>
      <c r="AB167" s="813"/>
      <c r="AC167" s="819">
        <f>BS!AC237</f>
        <v>24.51</v>
      </c>
      <c r="AD167" s="514"/>
      <c r="AE167" s="813"/>
      <c r="AF167" s="813"/>
      <c r="AG167" s="813"/>
      <c r="AH167" s="813"/>
      <c r="AI167" s="814">
        <f>BS!AI237</f>
        <v>34.35</v>
      </c>
      <c r="AJ167" s="514"/>
      <c r="AK167" s="813"/>
      <c r="AL167" s="813"/>
      <c r="AM167" s="813"/>
      <c r="AN167" s="813"/>
      <c r="AO167" s="814">
        <f>BS!AO237</f>
        <v>50.51</v>
      </c>
      <c r="AP167" s="514"/>
      <c r="AQ167" s="813"/>
      <c r="AR167" s="813"/>
      <c r="AS167" s="813"/>
      <c r="AT167" s="813"/>
      <c r="AU167" s="814">
        <f>BS!AU237</f>
        <v>35.07</v>
      </c>
      <c r="AV167" s="514"/>
      <c r="AW167" s="813"/>
      <c r="AX167" s="813"/>
      <c r="AY167" s="813"/>
      <c r="AZ167" s="813"/>
      <c r="BA167" s="814">
        <f>BS!BA237/4</f>
        <v>15.445</v>
      </c>
      <c r="BB167" s="514"/>
      <c r="BC167" s="813"/>
      <c r="BD167" s="813"/>
      <c r="BE167" s="813"/>
      <c r="BF167" s="813"/>
      <c r="BG167" s="814">
        <f>BS!BG237/4</f>
        <v>32.082500000000003</v>
      </c>
      <c r="BH167" s="514"/>
      <c r="BI167" s="813"/>
      <c r="BJ167" s="813"/>
      <c r="BK167" s="813"/>
      <c r="BL167" s="813"/>
      <c r="BM167" s="814">
        <f>BS!BM237/4</f>
        <v>28.077500000000001</v>
      </c>
      <c r="BN167" s="514"/>
      <c r="BO167" s="813"/>
      <c r="BP167" s="813"/>
      <c r="BQ167" s="813"/>
      <c r="BR167" s="813"/>
      <c r="BS167" s="814">
        <f>BS!BS237/4</f>
        <v>30.805</v>
      </c>
      <c r="BT167" s="514"/>
      <c r="BU167" s="813"/>
      <c r="BV167" s="813"/>
      <c r="BW167" s="813"/>
      <c r="BX167" s="813"/>
      <c r="BY167" s="814">
        <f>AVERAGE(BY168,BS168)</f>
        <v>41.963360000000002</v>
      </c>
      <c r="BZ167" s="514"/>
      <c r="CA167" s="813"/>
      <c r="CB167" s="813"/>
      <c r="CC167" s="813"/>
      <c r="CD167" s="813"/>
      <c r="CE167" s="814">
        <f>AVERAGE(CE168,BY168)</f>
        <v>46.082819124480004</v>
      </c>
      <c r="CF167" s="514"/>
      <c r="CG167" s="813"/>
      <c r="CH167" s="813"/>
      <c r="CI167" s="813"/>
      <c r="CJ167" s="813"/>
      <c r="CK167" s="814">
        <f>AVERAGE(CK168,CE168)</f>
        <v>50.606677312291957</v>
      </c>
      <c r="CL167" s="514"/>
      <c r="CM167" s="813"/>
      <c r="CN167" s="813"/>
      <c r="CO167" s="813"/>
      <c r="CP167" s="813"/>
      <c r="CQ167" s="814">
        <f>AVERAGE(CQ168,CK168)</f>
        <v>55.574633610685034</v>
      </c>
      <c r="CR167" s="514"/>
      <c r="CS167" s="813"/>
      <c r="CT167" s="813"/>
      <c r="CU167" s="813"/>
      <c r="CV167" s="813"/>
      <c r="CW167" s="814">
        <f>AVERAGE(CW168,CQ168)</f>
        <v>61.030284242978766</v>
      </c>
      <c r="CX167" s="514"/>
      <c r="CY167" s="813"/>
      <c r="CZ167" s="813"/>
      <c r="DA167" s="813"/>
      <c r="DB167" s="813"/>
      <c r="DC167" s="814">
        <f>AVERAGE(DC168,CW168)</f>
        <v>67.021505186543507</v>
      </c>
      <c r="DD167" s="514"/>
      <c r="DE167" s="813"/>
      <c r="DF167" s="813"/>
      <c r="DG167" s="813"/>
      <c r="DH167" s="813"/>
      <c r="DI167" s="814">
        <f>AVERAGE(DI168,DC168)</f>
        <v>73.600872307696108</v>
      </c>
      <c r="DJ167" s="514"/>
      <c r="DK167" s="813"/>
      <c r="DL167" s="813"/>
      <c r="DM167" s="813"/>
      <c r="DN167" s="813"/>
      <c r="DO167" s="814">
        <f>AVERAGE(DO168,DI168)</f>
        <v>80.82612274039802</v>
      </c>
      <c r="DP167" s="260"/>
    </row>
    <row r="168" spans="1:120" ht="12" hidden="1" customHeight="1" outlineLevel="1">
      <c r="A168" s="823" t="s">
        <v>192</v>
      </c>
      <c r="B168" s="743"/>
      <c r="C168" s="813"/>
      <c r="D168" s="813"/>
      <c r="E168" s="813"/>
      <c r="F168" s="500"/>
      <c r="G168" s="813"/>
      <c r="H168" s="813"/>
      <c r="I168" s="813"/>
      <c r="J168" s="813"/>
      <c r="K168" s="824" t="s">
        <v>657</v>
      </c>
      <c r="L168" s="825"/>
      <c r="M168" s="826"/>
      <c r="N168" s="826"/>
      <c r="O168" s="826"/>
      <c r="P168" s="826"/>
      <c r="Q168" s="824" t="s">
        <v>657</v>
      </c>
      <c r="R168" s="500"/>
      <c r="S168" s="813"/>
      <c r="T168" s="813"/>
      <c r="U168" s="813"/>
      <c r="V168" s="813"/>
      <c r="W168" s="819">
        <v>13.7</v>
      </c>
      <c r="X168" s="500"/>
      <c r="Y168" s="813"/>
      <c r="Z168" s="813"/>
      <c r="AA168" s="813"/>
      <c r="AB168" s="813"/>
      <c r="AC168" s="819">
        <v>41.05</v>
      </c>
      <c r="AD168" s="514"/>
      <c r="AE168" s="813"/>
      <c r="AF168" s="813"/>
      <c r="AG168" s="813"/>
      <c r="AH168" s="813"/>
      <c r="AI168" s="816">
        <v>35</v>
      </c>
      <c r="AJ168" s="514"/>
      <c r="AK168" s="813"/>
      <c r="AL168" s="813"/>
      <c r="AM168" s="813"/>
      <c r="AN168" s="813"/>
      <c r="AO168" s="816">
        <v>51.72</v>
      </c>
      <c r="AP168" s="514"/>
      <c r="AQ168" s="813"/>
      <c r="AR168" s="813"/>
      <c r="AS168" s="813"/>
      <c r="AT168" s="813"/>
      <c r="AU168" s="816">
        <v>27</v>
      </c>
      <c r="AV168" s="514"/>
      <c r="AW168" s="813"/>
      <c r="AX168" s="813"/>
      <c r="AY168" s="813"/>
      <c r="AZ168" s="813"/>
      <c r="BA168" s="816">
        <f>62.08/4</f>
        <v>15.52</v>
      </c>
      <c r="BB168" s="514"/>
      <c r="BC168" s="813"/>
      <c r="BD168" s="813"/>
      <c r="BE168" s="813"/>
      <c r="BF168" s="813"/>
      <c r="BG168" s="816">
        <f>137.95/4</f>
        <v>34.487499999999997</v>
      </c>
      <c r="BH168" s="514"/>
      <c r="BI168" s="813"/>
      <c r="BJ168" s="813"/>
      <c r="BK168" s="813"/>
      <c r="BL168" s="813"/>
      <c r="BM168" s="816">
        <f>116.8/4</f>
        <v>29.2</v>
      </c>
      <c r="BN168" s="514"/>
      <c r="BO168" s="813"/>
      <c r="BP168" s="813"/>
      <c r="BQ168" s="813"/>
      <c r="BR168" s="813"/>
      <c r="BS168" s="816">
        <f>160/4</f>
        <v>40</v>
      </c>
      <c r="BT168" s="514"/>
      <c r="BU168" s="813"/>
      <c r="BV168" s="813"/>
      <c r="BW168" s="813"/>
      <c r="BX168" s="813"/>
      <c r="BY168" s="816">
        <v>43.926720000000003</v>
      </c>
      <c r="BZ168" s="514"/>
      <c r="CA168" s="813"/>
      <c r="CB168" s="813"/>
      <c r="CC168" s="813"/>
      <c r="CD168" s="813"/>
      <c r="CE168" s="816">
        <v>48.238918248960005</v>
      </c>
      <c r="CF168" s="514"/>
      <c r="CG168" s="813"/>
      <c r="CH168" s="813"/>
      <c r="CI168" s="813"/>
      <c r="CJ168" s="813"/>
      <c r="CK168" s="816">
        <v>52.97443637562391</v>
      </c>
      <c r="CL168" s="514"/>
      <c r="CM168" s="813"/>
      <c r="CN168" s="813"/>
      <c r="CO168" s="813"/>
      <c r="CP168" s="813"/>
      <c r="CQ168" s="816">
        <v>58.174830845746158</v>
      </c>
      <c r="CR168" s="514"/>
      <c r="CS168" s="813"/>
      <c r="CT168" s="813"/>
      <c r="CU168" s="813"/>
      <c r="CV168" s="813"/>
      <c r="CW168" s="816">
        <v>63.885737640211367</v>
      </c>
      <c r="CX168" s="514"/>
      <c r="CY168" s="813"/>
      <c r="CZ168" s="813"/>
      <c r="DA168" s="813"/>
      <c r="DB168" s="813"/>
      <c r="DC168" s="816">
        <v>70.15727273287564</v>
      </c>
      <c r="DD168" s="514"/>
      <c r="DE168" s="813"/>
      <c r="DF168" s="813"/>
      <c r="DG168" s="813"/>
      <c r="DH168" s="813"/>
      <c r="DI168" s="816">
        <v>77.044471882516575</v>
      </c>
      <c r="DJ168" s="514"/>
      <c r="DK168" s="813"/>
      <c r="DL168" s="813"/>
      <c r="DM168" s="813"/>
      <c r="DN168" s="813"/>
      <c r="DO168" s="816">
        <v>84.607773598279465</v>
      </c>
      <c r="DP168" s="260"/>
    </row>
    <row r="169" spans="1:120" ht="24" hidden="1" customHeight="1" outlineLevel="1">
      <c r="A169" s="822" t="s">
        <v>78</v>
      </c>
      <c r="B169" s="743"/>
      <c r="C169" s="813"/>
      <c r="D169" s="813"/>
      <c r="E169" s="813"/>
      <c r="F169" s="500"/>
      <c r="G169" s="813"/>
      <c r="H169" s="813"/>
      <c r="I169" s="813"/>
      <c r="J169" s="813"/>
      <c r="K169" s="818">
        <f>BS!K220</f>
        <v>4</v>
      </c>
      <c r="L169" s="500"/>
      <c r="M169" s="813"/>
      <c r="N169" s="813"/>
      <c r="O169" s="813"/>
      <c r="P169" s="813"/>
      <c r="Q169" s="818">
        <f>BS!Q220</f>
        <v>4</v>
      </c>
      <c r="R169" s="500"/>
      <c r="S169" s="813"/>
      <c r="T169" s="813"/>
      <c r="U169" s="813"/>
      <c r="V169" s="813"/>
      <c r="W169" s="818">
        <f>BS!W220</f>
        <v>4</v>
      </c>
      <c r="X169" s="500"/>
      <c r="Y169" s="813"/>
      <c r="Z169" s="813"/>
      <c r="AA169" s="813"/>
      <c r="AB169" s="813"/>
      <c r="AC169" s="818">
        <f>BS!AC220</f>
        <v>4</v>
      </c>
      <c r="AD169" s="514"/>
      <c r="AE169" s="813"/>
      <c r="AF169" s="813"/>
      <c r="AG169" s="813"/>
      <c r="AH169" s="813"/>
      <c r="AI169" s="815">
        <v>4</v>
      </c>
      <c r="AJ169" s="514"/>
      <c r="AK169" s="813"/>
      <c r="AL169" s="813"/>
      <c r="AM169" s="813"/>
      <c r="AN169" s="813"/>
      <c r="AO169" s="815">
        <v>4</v>
      </c>
      <c r="AP169" s="514"/>
      <c r="AQ169" s="813"/>
      <c r="AR169" s="813"/>
      <c r="AS169" s="813"/>
      <c r="AT169" s="813"/>
      <c r="AU169" s="815">
        <v>4</v>
      </c>
      <c r="AV169" s="514"/>
      <c r="AW169" s="813"/>
      <c r="AX169" s="813"/>
      <c r="AY169" s="813"/>
      <c r="AZ169" s="813"/>
      <c r="BA169" s="815">
        <v>3.9</v>
      </c>
      <c r="BB169" s="514"/>
      <c r="BC169" s="813"/>
      <c r="BD169" s="813"/>
      <c r="BE169" s="813"/>
      <c r="BF169" s="813"/>
      <c r="BG169" s="815">
        <v>3.75</v>
      </c>
      <c r="BH169" s="514"/>
      <c r="BI169" s="813"/>
      <c r="BJ169" s="813"/>
      <c r="BK169" s="813"/>
      <c r="BL169" s="813"/>
      <c r="BM169" s="815">
        <v>3.7</v>
      </c>
      <c r="BN169" s="514"/>
      <c r="BO169" s="813"/>
      <c r="BP169" s="813"/>
      <c r="BQ169" s="813"/>
      <c r="BR169" s="813"/>
      <c r="BS169" s="815">
        <v>3.7</v>
      </c>
      <c r="BT169" s="514"/>
      <c r="BU169" s="813"/>
      <c r="BV169" s="813"/>
      <c r="BW169" s="813"/>
      <c r="BX169" s="813"/>
      <c r="BY169" s="815">
        <f>BS169</f>
        <v>3.7</v>
      </c>
      <c r="BZ169" s="514"/>
      <c r="CA169" s="813"/>
      <c r="CB169" s="813"/>
      <c r="CC169" s="813"/>
      <c r="CD169" s="813"/>
      <c r="CE169" s="815">
        <f>BY169</f>
        <v>3.7</v>
      </c>
      <c r="CF169" s="514"/>
      <c r="CG169" s="813"/>
      <c r="CH169" s="813"/>
      <c r="CI169" s="813"/>
      <c r="CJ169" s="813"/>
      <c r="CK169" s="815">
        <f>CE169</f>
        <v>3.7</v>
      </c>
      <c r="CL169" s="514"/>
      <c r="CM169" s="813"/>
      <c r="CN169" s="813"/>
      <c r="CO169" s="813"/>
      <c r="CP169" s="813"/>
      <c r="CQ169" s="815">
        <f>CK169</f>
        <v>3.7</v>
      </c>
      <c r="CR169" s="514"/>
      <c r="CS169" s="813"/>
      <c r="CT169" s="813"/>
      <c r="CU169" s="813"/>
      <c r="CV169" s="813"/>
      <c r="CW169" s="815">
        <f>CQ169</f>
        <v>3.7</v>
      </c>
      <c r="CX169" s="514"/>
      <c r="CY169" s="813"/>
      <c r="CZ169" s="813"/>
      <c r="DA169" s="813"/>
      <c r="DB169" s="813"/>
      <c r="DC169" s="815">
        <f>CW169</f>
        <v>3.7</v>
      </c>
      <c r="DD169" s="514"/>
      <c r="DE169" s="813"/>
      <c r="DF169" s="813"/>
      <c r="DG169" s="813"/>
      <c r="DH169" s="813"/>
      <c r="DI169" s="815">
        <f>DC169</f>
        <v>3.7</v>
      </c>
      <c r="DJ169" s="514"/>
      <c r="DK169" s="813"/>
      <c r="DL169" s="813"/>
      <c r="DM169" s="813"/>
      <c r="DN169" s="813"/>
      <c r="DO169" s="815">
        <f>DI169</f>
        <v>3.7</v>
      </c>
      <c r="DP169" s="260"/>
    </row>
    <row r="170" spans="1:120" ht="12" hidden="1" customHeight="1" outlineLevel="1">
      <c r="A170" s="822" t="s">
        <v>79</v>
      </c>
      <c r="B170" s="743"/>
      <c r="C170" s="813"/>
      <c r="D170" s="813"/>
      <c r="E170" s="813"/>
      <c r="F170" s="500"/>
      <c r="G170" s="813"/>
      <c r="H170" s="813"/>
      <c r="I170" s="813"/>
      <c r="J170" s="813"/>
      <c r="K170" s="827">
        <f>BS!K221</f>
        <v>1.67E-2</v>
      </c>
      <c r="L170" s="500"/>
      <c r="M170" s="813"/>
      <c r="N170" s="813"/>
      <c r="O170" s="813"/>
      <c r="P170" s="813"/>
      <c r="Q170" s="827">
        <f>BS!Q221</f>
        <v>2.92E-2</v>
      </c>
      <c r="R170" s="500"/>
      <c r="S170" s="813"/>
      <c r="T170" s="813"/>
      <c r="U170" s="813"/>
      <c r="V170" s="813"/>
      <c r="W170" s="827">
        <f>BS!W221</f>
        <v>3.2799999999999996E-2</v>
      </c>
      <c r="X170" s="500"/>
      <c r="Y170" s="813"/>
      <c r="Z170" s="813"/>
      <c r="AA170" s="813"/>
      <c r="AB170" s="813"/>
      <c r="AC170" s="827">
        <f>BS!AC221</f>
        <v>4.0999999999999995E-2</v>
      </c>
      <c r="AD170" s="514"/>
      <c r="AE170" s="813"/>
      <c r="AF170" s="813"/>
      <c r="AG170" s="813"/>
      <c r="AH170" s="813"/>
      <c r="AI170" s="828">
        <v>4.4999999999999998E-2</v>
      </c>
      <c r="AJ170" s="514"/>
      <c r="AK170" s="813"/>
      <c r="AL170" s="813"/>
      <c r="AM170" s="813"/>
      <c r="AN170" s="813"/>
      <c r="AO170" s="828">
        <v>4.4999999999999998E-2</v>
      </c>
      <c r="AP170" s="514"/>
      <c r="AQ170" s="813"/>
      <c r="AR170" s="813"/>
      <c r="AS170" s="813"/>
      <c r="AT170" s="813"/>
      <c r="AU170" s="828">
        <v>2.2499999999999999E-2</v>
      </c>
      <c r="AV170" s="514"/>
      <c r="AW170" s="813"/>
      <c r="AX170" s="813"/>
      <c r="AY170" s="813"/>
      <c r="AZ170" s="813"/>
      <c r="BA170" s="828">
        <v>2.0799999999999999E-2</v>
      </c>
      <c r="BB170" s="514"/>
      <c r="BC170" s="813"/>
      <c r="BD170" s="813"/>
      <c r="BE170" s="813"/>
      <c r="BF170" s="813"/>
      <c r="BG170" s="828">
        <v>1.54E-2</v>
      </c>
      <c r="BH170" s="514"/>
      <c r="BI170" s="813"/>
      <c r="BJ170" s="813"/>
      <c r="BK170" s="813"/>
      <c r="BL170" s="813"/>
      <c r="BM170" s="828">
        <v>1.2E-2</v>
      </c>
      <c r="BN170" s="514"/>
      <c r="BO170" s="813"/>
      <c r="BP170" s="813"/>
      <c r="BQ170" s="813"/>
      <c r="BR170" s="813"/>
      <c r="BS170" s="828">
        <v>6.0000000000000001E-3</v>
      </c>
      <c r="BT170" s="514"/>
      <c r="BU170" s="813"/>
      <c r="BV170" s="813"/>
      <c r="BW170" s="813"/>
      <c r="BX170" s="813"/>
      <c r="BY170" s="828">
        <f>BS170</f>
        <v>6.0000000000000001E-3</v>
      </c>
      <c r="BZ170" s="514"/>
      <c r="CA170" s="813"/>
      <c r="CB170" s="813"/>
      <c r="CC170" s="813"/>
      <c r="CD170" s="813"/>
      <c r="CE170" s="828">
        <f>BY170</f>
        <v>6.0000000000000001E-3</v>
      </c>
      <c r="CF170" s="514"/>
      <c r="CG170" s="813"/>
      <c r="CH170" s="813"/>
      <c r="CI170" s="813"/>
      <c r="CJ170" s="813"/>
      <c r="CK170" s="828">
        <f>CE170</f>
        <v>6.0000000000000001E-3</v>
      </c>
      <c r="CL170" s="514"/>
      <c r="CM170" s="813"/>
      <c r="CN170" s="813"/>
      <c r="CO170" s="813"/>
      <c r="CP170" s="813"/>
      <c r="CQ170" s="828">
        <f>CK170</f>
        <v>6.0000000000000001E-3</v>
      </c>
      <c r="CR170" s="514"/>
      <c r="CS170" s="813"/>
      <c r="CT170" s="813"/>
      <c r="CU170" s="813"/>
      <c r="CV170" s="813"/>
      <c r="CW170" s="828">
        <f>CQ170</f>
        <v>6.0000000000000001E-3</v>
      </c>
      <c r="CX170" s="514"/>
      <c r="CY170" s="813"/>
      <c r="CZ170" s="813"/>
      <c r="DA170" s="813"/>
      <c r="DB170" s="813"/>
      <c r="DC170" s="828">
        <f>CW170</f>
        <v>6.0000000000000001E-3</v>
      </c>
      <c r="DD170" s="514"/>
      <c r="DE170" s="813"/>
      <c r="DF170" s="813"/>
      <c r="DG170" s="813"/>
      <c r="DH170" s="813"/>
      <c r="DI170" s="828">
        <f>DC170</f>
        <v>6.0000000000000001E-3</v>
      </c>
      <c r="DJ170" s="514"/>
      <c r="DK170" s="813"/>
      <c r="DL170" s="813"/>
      <c r="DM170" s="813"/>
      <c r="DN170" s="813"/>
      <c r="DO170" s="828">
        <f>DI170</f>
        <v>6.0000000000000001E-3</v>
      </c>
      <c r="DP170" s="260"/>
    </row>
    <row r="171" spans="1:120" ht="12" hidden="1" customHeight="1" outlineLevel="1">
      <c r="A171" s="822" t="s">
        <v>526</v>
      </c>
      <c r="B171" s="743"/>
      <c r="C171" s="813"/>
      <c r="D171" s="813"/>
      <c r="E171" s="813"/>
      <c r="F171" s="500"/>
      <c r="G171" s="813"/>
      <c r="H171" s="813"/>
      <c r="I171" s="813"/>
      <c r="J171" s="813"/>
      <c r="K171" s="651">
        <f>BS!K222</f>
        <v>1</v>
      </c>
      <c r="L171" s="500"/>
      <c r="M171" s="813"/>
      <c r="N171" s="813"/>
      <c r="O171" s="813"/>
      <c r="P171" s="813"/>
      <c r="Q171" s="651">
        <f>BS!Q222</f>
        <v>1</v>
      </c>
      <c r="R171" s="500"/>
      <c r="S171" s="813"/>
      <c r="T171" s="813"/>
      <c r="U171" s="813"/>
      <c r="V171" s="813"/>
      <c r="W171" s="651">
        <f>BS!W222</f>
        <v>0.875</v>
      </c>
      <c r="X171" s="500"/>
      <c r="Y171" s="813"/>
      <c r="Z171" s="813"/>
      <c r="AA171" s="813"/>
      <c r="AB171" s="813"/>
      <c r="AC171" s="651">
        <f>BS!AC222</f>
        <v>0.5625</v>
      </c>
      <c r="AD171" s="514"/>
      <c r="AE171" s="813"/>
      <c r="AF171" s="813"/>
      <c r="AG171" s="813"/>
      <c r="AH171" s="813"/>
      <c r="AI171" s="504">
        <v>0.5</v>
      </c>
      <c r="AJ171" s="514"/>
      <c r="AK171" s="813"/>
      <c r="AL171" s="813"/>
      <c r="AM171" s="813"/>
      <c r="AN171" s="813"/>
      <c r="AO171" s="504">
        <v>0.5</v>
      </c>
      <c r="AP171" s="514"/>
      <c r="AQ171" s="813"/>
      <c r="AR171" s="813"/>
      <c r="AS171" s="813"/>
      <c r="AT171" s="813"/>
      <c r="AU171" s="504">
        <v>0.55000000000000004</v>
      </c>
      <c r="AV171" s="514"/>
      <c r="AW171" s="813"/>
      <c r="AX171" s="813"/>
      <c r="AY171" s="813"/>
      <c r="AZ171" s="813"/>
      <c r="BA171" s="504">
        <v>0.55000000000000004</v>
      </c>
      <c r="BB171" s="514"/>
      <c r="BC171" s="813"/>
      <c r="BD171" s="813"/>
      <c r="BE171" s="813"/>
      <c r="BF171" s="813"/>
      <c r="BG171" s="504">
        <v>0.47499999999999998</v>
      </c>
      <c r="BH171" s="514"/>
      <c r="BI171" s="813"/>
      <c r="BJ171" s="813"/>
      <c r="BK171" s="813"/>
      <c r="BL171" s="813"/>
      <c r="BM171" s="504">
        <v>0.49</v>
      </c>
      <c r="BN171" s="514"/>
      <c r="BO171" s="813"/>
      <c r="BP171" s="813"/>
      <c r="BQ171" s="813"/>
      <c r="BR171" s="813"/>
      <c r="BS171" s="504">
        <v>0.49</v>
      </c>
      <c r="BT171" s="514"/>
      <c r="BU171" s="813"/>
      <c r="BV171" s="813"/>
      <c r="BW171" s="813"/>
      <c r="BX171" s="813"/>
      <c r="BY171" s="504">
        <v>0.5</v>
      </c>
      <c r="BZ171" s="514"/>
      <c r="CA171" s="813"/>
      <c r="CB171" s="813"/>
      <c r="CC171" s="813"/>
      <c r="CD171" s="813"/>
      <c r="CE171" s="504">
        <v>0.5</v>
      </c>
      <c r="CF171" s="514"/>
      <c r="CG171" s="813"/>
      <c r="CH171" s="813"/>
      <c r="CI171" s="813"/>
      <c r="CJ171" s="813"/>
      <c r="CK171" s="504">
        <v>0.5</v>
      </c>
      <c r="CL171" s="514"/>
      <c r="CM171" s="813"/>
      <c r="CN171" s="813"/>
      <c r="CO171" s="813"/>
      <c r="CP171" s="813"/>
      <c r="CQ171" s="504">
        <v>0.5</v>
      </c>
      <c r="CR171" s="514"/>
      <c r="CS171" s="813"/>
      <c r="CT171" s="813"/>
      <c r="CU171" s="813"/>
      <c r="CV171" s="813"/>
      <c r="CW171" s="504">
        <v>0.5</v>
      </c>
      <c r="CX171" s="514"/>
      <c r="CY171" s="813"/>
      <c r="CZ171" s="813"/>
      <c r="DA171" s="813"/>
      <c r="DB171" s="813"/>
      <c r="DC171" s="504">
        <v>0.5</v>
      </c>
      <c r="DD171" s="514"/>
      <c r="DE171" s="813"/>
      <c r="DF171" s="813"/>
      <c r="DG171" s="813"/>
      <c r="DH171" s="813"/>
      <c r="DI171" s="504">
        <v>0.5</v>
      </c>
      <c r="DJ171" s="514"/>
      <c r="DK171" s="813"/>
      <c r="DL171" s="813"/>
      <c r="DM171" s="813"/>
      <c r="DN171" s="813"/>
      <c r="DO171" s="504">
        <v>0.5</v>
      </c>
      <c r="DP171" s="260"/>
    </row>
    <row r="172" spans="1:120" ht="12" hidden="1" customHeight="1" outlineLevel="1">
      <c r="A172" s="822" t="s">
        <v>369</v>
      </c>
      <c r="B172" s="743"/>
      <c r="C172" s="813"/>
      <c r="D172" s="813"/>
      <c r="E172" s="813"/>
      <c r="F172" s="500"/>
      <c r="G172" s="813"/>
      <c r="H172" s="813"/>
      <c r="I172" s="813"/>
      <c r="J172" s="813"/>
      <c r="K172" s="651">
        <f>BS!K223</f>
        <v>0</v>
      </c>
      <c r="L172" s="500"/>
      <c r="M172" s="813"/>
      <c r="N172" s="813"/>
      <c r="O172" s="813"/>
      <c r="P172" s="813"/>
      <c r="Q172" s="651">
        <f>BS!Q223</f>
        <v>0</v>
      </c>
      <c r="R172" s="500"/>
      <c r="S172" s="813"/>
      <c r="T172" s="813"/>
      <c r="U172" s="813"/>
      <c r="V172" s="813"/>
      <c r="W172" s="651">
        <f>BS!W223</f>
        <v>0</v>
      </c>
      <c r="X172" s="500"/>
      <c r="Y172" s="813"/>
      <c r="Z172" s="813"/>
      <c r="AA172" s="813"/>
      <c r="AB172" s="813"/>
      <c r="AC172" s="651">
        <f>BS!AC223</f>
        <v>0</v>
      </c>
      <c r="AD172" s="514"/>
      <c r="AE172" s="813"/>
      <c r="AF172" s="813"/>
      <c r="AG172" s="813"/>
      <c r="AH172" s="813"/>
      <c r="AI172" s="504">
        <v>0</v>
      </c>
      <c r="AJ172" s="514"/>
      <c r="AK172" s="813"/>
      <c r="AL172" s="813"/>
      <c r="AM172" s="813"/>
      <c r="AN172" s="813"/>
      <c r="AO172" s="504">
        <v>0</v>
      </c>
      <c r="AP172" s="514"/>
      <c r="AQ172" s="813"/>
      <c r="AR172" s="813"/>
      <c r="AS172" s="813"/>
      <c r="AT172" s="813"/>
      <c r="AU172" s="504">
        <v>0</v>
      </c>
      <c r="AV172" s="514"/>
      <c r="AW172" s="813"/>
      <c r="AX172" s="813"/>
      <c r="AY172" s="813"/>
      <c r="AZ172" s="813"/>
      <c r="BA172" s="504">
        <v>0</v>
      </c>
      <c r="BB172" s="514"/>
      <c r="BC172" s="813"/>
      <c r="BD172" s="813"/>
      <c r="BE172" s="813"/>
      <c r="BF172" s="813"/>
      <c r="BG172" s="504">
        <v>0</v>
      </c>
      <c r="BH172" s="514"/>
      <c r="BI172" s="813"/>
      <c r="BJ172" s="813"/>
      <c r="BK172" s="813"/>
      <c r="BL172" s="813"/>
      <c r="BM172" s="504">
        <v>0</v>
      </c>
      <c r="BN172" s="514"/>
      <c r="BO172" s="813"/>
      <c r="BP172" s="813"/>
      <c r="BQ172" s="813"/>
      <c r="BR172" s="813"/>
      <c r="BS172" s="504">
        <v>0</v>
      </c>
      <c r="BT172" s="514"/>
      <c r="BU172" s="813"/>
      <c r="BV172" s="813"/>
      <c r="BW172" s="813"/>
      <c r="BX172" s="813"/>
      <c r="BY172" s="504">
        <v>0</v>
      </c>
      <c r="BZ172" s="514"/>
      <c r="CA172" s="813"/>
      <c r="CB172" s="813"/>
      <c r="CC172" s="813"/>
      <c r="CD172" s="813"/>
      <c r="CE172" s="504">
        <v>0</v>
      </c>
      <c r="CF172" s="514"/>
      <c r="CG172" s="813"/>
      <c r="CH172" s="813"/>
      <c r="CI172" s="813"/>
      <c r="CJ172" s="813"/>
      <c r="CK172" s="504">
        <v>0</v>
      </c>
      <c r="CL172" s="514"/>
      <c r="CM172" s="813"/>
      <c r="CN172" s="813"/>
      <c r="CO172" s="813"/>
      <c r="CP172" s="813"/>
      <c r="CQ172" s="504">
        <v>0</v>
      </c>
      <c r="CR172" s="514"/>
      <c r="CS172" s="813"/>
      <c r="CT172" s="813"/>
      <c r="CU172" s="813"/>
      <c r="CV172" s="813"/>
      <c r="CW172" s="504">
        <v>0</v>
      </c>
      <c r="CX172" s="514"/>
      <c r="CY172" s="813"/>
      <c r="CZ172" s="813"/>
      <c r="DA172" s="813"/>
      <c r="DB172" s="813"/>
      <c r="DC172" s="504">
        <v>0</v>
      </c>
      <c r="DD172" s="514"/>
      <c r="DE172" s="813"/>
      <c r="DF172" s="813"/>
      <c r="DG172" s="813"/>
      <c r="DH172" s="813"/>
      <c r="DI172" s="504">
        <v>0</v>
      </c>
      <c r="DJ172" s="514"/>
      <c r="DK172" s="813"/>
      <c r="DL172" s="813"/>
      <c r="DM172" s="813"/>
      <c r="DN172" s="813"/>
      <c r="DO172" s="504">
        <v>0</v>
      </c>
      <c r="DP172" s="260"/>
    </row>
    <row r="173" spans="1:120" ht="12.75" hidden="1" customHeight="1" outlineLevel="1" thickBot="1">
      <c r="A173" s="829" t="s">
        <v>269</v>
      </c>
      <c r="B173" s="830"/>
      <c r="C173" s="831"/>
      <c r="D173" s="831"/>
      <c r="E173" s="831"/>
      <c r="F173" s="832"/>
      <c r="G173" s="831"/>
      <c r="H173" s="831"/>
      <c r="I173" s="831"/>
      <c r="J173" s="831"/>
      <c r="K173" s="833">
        <v>1.65</v>
      </c>
      <c r="L173" s="832"/>
      <c r="M173" s="831"/>
      <c r="N173" s="831"/>
      <c r="O173" s="831"/>
      <c r="P173" s="831"/>
      <c r="Q173" s="833">
        <v>3.65</v>
      </c>
      <c r="R173" s="832"/>
      <c r="S173" s="831"/>
      <c r="T173" s="831"/>
      <c r="U173" s="831"/>
      <c r="V173" s="831"/>
      <c r="W173" s="833">
        <v>7.59</v>
      </c>
      <c r="X173" s="832"/>
      <c r="Y173" s="831"/>
      <c r="Z173" s="831"/>
      <c r="AA173" s="831"/>
      <c r="AB173" s="831"/>
      <c r="AC173" s="833">
        <v>11.11</v>
      </c>
      <c r="AD173" s="834"/>
      <c r="AE173" s="831"/>
      <c r="AF173" s="831"/>
      <c r="AG173" s="831"/>
      <c r="AH173" s="831"/>
      <c r="AI173" s="833">
        <v>15.078012304357616</v>
      </c>
      <c r="AJ173" s="834"/>
      <c r="AK173" s="831"/>
      <c r="AL173" s="831"/>
      <c r="AM173" s="831"/>
      <c r="AN173" s="831"/>
      <c r="AO173" s="833">
        <v>22.171481848416391</v>
      </c>
      <c r="AP173" s="834"/>
      <c r="AQ173" s="831"/>
      <c r="AR173" s="831"/>
      <c r="AS173" s="831"/>
      <c r="AT173" s="831"/>
      <c r="AU173" s="833">
        <f>15.39/4</f>
        <v>3.8475000000000001</v>
      </c>
      <c r="AV173" s="834"/>
      <c r="AW173" s="831"/>
      <c r="AX173" s="831"/>
      <c r="AY173" s="831"/>
      <c r="AZ173" s="831"/>
      <c r="BA173" s="833">
        <f>24.73/4</f>
        <v>6.1825000000000001</v>
      </c>
      <c r="BB173" s="834"/>
      <c r="BC173" s="831"/>
      <c r="BD173" s="831"/>
      <c r="BE173" s="831"/>
      <c r="BF173" s="831"/>
      <c r="BG173" s="833">
        <f>48.83/4</f>
        <v>12.2075</v>
      </c>
      <c r="BH173" s="834"/>
      <c r="BI173" s="831"/>
      <c r="BJ173" s="831"/>
      <c r="BK173" s="831"/>
      <c r="BL173" s="831"/>
      <c r="BM173" s="833">
        <f>49.14/4</f>
        <v>12.285</v>
      </c>
      <c r="BN173" s="834"/>
      <c r="BO173" s="831"/>
      <c r="BP173" s="831"/>
      <c r="BQ173" s="831"/>
      <c r="BR173" s="831"/>
      <c r="BS173" s="833">
        <f>Call_Eur(BS167,BS167,BS169,BS170,BS171)</f>
        <v>11.386756564573284</v>
      </c>
      <c r="BT173" s="834"/>
      <c r="BU173" s="831"/>
      <c r="BV173" s="831"/>
      <c r="BW173" s="831"/>
      <c r="BX173" s="831"/>
      <c r="BY173" s="833">
        <f>Call_Eur(BY167,BY167,BY169,BY170,BY171)</f>
        <v>15.795597821729661</v>
      </c>
      <c r="BZ173" s="834"/>
      <c r="CA173" s="831"/>
      <c r="CB173" s="831"/>
      <c r="CC173" s="831"/>
      <c r="CD173" s="831"/>
      <c r="CE173" s="833">
        <f>Call_Eur(CE167,CE167,CE169,CE170,CE171)</f>
        <v>17.346220068693221</v>
      </c>
      <c r="CF173" s="834"/>
      <c r="CG173" s="831"/>
      <c r="CH173" s="831"/>
      <c r="CI173" s="831"/>
      <c r="CJ173" s="831"/>
      <c r="CK173" s="833">
        <f>Call_Eur(CK167,CK167,CK169,CK170,CK171)</f>
        <v>19.049063800396695</v>
      </c>
      <c r="CL173" s="834"/>
      <c r="CM173" s="831"/>
      <c r="CN173" s="831"/>
      <c r="CO173" s="831"/>
      <c r="CP173" s="831"/>
      <c r="CQ173" s="833">
        <f>Call_Eur(CQ167,CQ167,CQ169,CQ170,CQ171)</f>
        <v>20.919072295554042</v>
      </c>
      <c r="CR173" s="834"/>
      <c r="CS173" s="831"/>
      <c r="CT173" s="831"/>
      <c r="CU173" s="831"/>
      <c r="CV173" s="831"/>
      <c r="CW173" s="833">
        <f>Call_Eur(CW167,CW167,CW169,CW170,CW171)</f>
        <v>22.972655784663988</v>
      </c>
      <c r="CX173" s="834"/>
      <c r="CY173" s="831"/>
      <c r="CZ173" s="831"/>
      <c r="DA173" s="831"/>
      <c r="DB173" s="831"/>
      <c r="DC173" s="833">
        <f>Call_Eur(DC167,DC167,DC169,DC170,DC171)</f>
        <v>25.227835457732887</v>
      </c>
      <c r="DD173" s="834"/>
      <c r="DE173" s="831"/>
      <c r="DF173" s="831"/>
      <c r="DG173" s="831"/>
      <c r="DH173" s="831"/>
      <c r="DI173" s="833">
        <f>Call_Eur(DI167,DI167,DI169,DI170,DI171)</f>
        <v>27.704401608947606</v>
      </c>
      <c r="DJ173" s="834"/>
      <c r="DK173" s="831"/>
      <c r="DL173" s="831"/>
      <c r="DM173" s="831"/>
      <c r="DN173" s="831"/>
      <c r="DO173" s="833">
        <f>Call_Eur(DO167,DO167,DO169,DO170,DO171)</f>
        <v>30.424087306094773</v>
      </c>
      <c r="DP173" s="260"/>
    </row>
    <row r="174" spans="1:120" ht="12" hidden="1" customHeight="1" outlineLevel="1">
      <c r="A174" s="801"/>
      <c r="B174" s="730"/>
      <c r="C174" s="721"/>
      <c r="D174" s="721"/>
      <c r="E174" s="721"/>
      <c r="F174" s="260"/>
      <c r="G174" s="721"/>
      <c r="H174" s="721"/>
      <c r="I174" s="721"/>
      <c r="J174" s="721"/>
      <c r="K174" s="721"/>
      <c r="L174" s="260"/>
      <c r="M174" s="721"/>
      <c r="N174" s="721"/>
      <c r="O174" s="721"/>
      <c r="P174" s="721"/>
      <c r="Q174" s="721"/>
      <c r="R174" s="260"/>
      <c r="S174" s="721"/>
      <c r="T174" s="721"/>
      <c r="U174" s="721"/>
      <c r="V174" s="721"/>
      <c r="W174" s="721"/>
      <c r="X174" s="260"/>
      <c r="Y174" s="721"/>
      <c r="Z174" s="721"/>
      <c r="AA174" s="721"/>
      <c r="AB174" s="721"/>
      <c r="AC174" s="721"/>
      <c r="AD174" s="279"/>
      <c r="AE174" s="721"/>
      <c r="AF174" s="721"/>
      <c r="AG174" s="721"/>
      <c r="AH174" s="721"/>
      <c r="AI174" s="721"/>
      <c r="AJ174" s="279"/>
      <c r="AK174" s="721"/>
      <c r="AL174" s="721"/>
      <c r="AM174" s="721"/>
      <c r="AN174" s="721"/>
      <c r="AO174" s="721"/>
      <c r="AP174" s="279"/>
      <c r="AQ174" s="721"/>
      <c r="AR174" s="721"/>
      <c r="AS174" s="721"/>
      <c r="AT174" s="721"/>
      <c r="AU174" s="721"/>
      <c r="AV174" s="279"/>
      <c r="AW174" s="721"/>
      <c r="AX174" s="721"/>
      <c r="AY174" s="721"/>
      <c r="AZ174" s="721"/>
      <c r="BA174" s="721"/>
      <c r="BB174" s="279"/>
      <c r="BC174" s="721"/>
      <c r="BD174" s="721"/>
      <c r="BE174" s="721"/>
      <c r="BF174" s="721"/>
      <c r="BG174" s="721"/>
      <c r="BH174" s="279"/>
      <c r="BI174" s="721"/>
      <c r="BJ174" s="721"/>
      <c r="BK174" s="721"/>
      <c r="BL174" s="721"/>
      <c r="BM174" s="721"/>
      <c r="BN174" s="279"/>
      <c r="BO174" s="721"/>
      <c r="BP174" s="721"/>
      <c r="BQ174" s="721"/>
      <c r="BR174" s="721"/>
      <c r="BS174" s="721"/>
      <c r="BT174" s="279"/>
      <c r="BU174" s="721"/>
      <c r="BV174" s="721"/>
      <c r="BW174" s="721"/>
      <c r="BX174" s="721"/>
      <c r="BY174" s="721"/>
      <c r="BZ174" s="279"/>
      <c r="CA174" s="721"/>
      <c r="CB174" s="721"/>
      <c r="CC174" s="721"/>
      <c r="CD174" s="721"/>
      <c r="CE174" s="721"/>
      <c r="CF174" s="279"/>
      <c r="CG174" s="721"/>
      <c r="CH174" s="721"/>
      <c r="CI174" s="721"/>
      <c r="CJ174" s="721"/>
      <c r="CK174" s="721"/>
      <c r="CL174" s="279"/>
      <c r="CM174" s="721"/>
      <c r="CN174" s="721"/>
      <c r="CO174" s="721"/>
      <c r="CP174" s="721"/>
      <c r="CQ174" s="721"/>
      <c r="CR174" s="279"/>
      <c r="CS174" s="721"/>
      <c r="CT174" s="721"/>
      <c r="CU174" s="721"/>
      <c r="CV174" s="721"/>
      <c r="CW174" s="721"/>
      <c r="CX174" s="279"/>
      <c r="CY174" s="721"/>
      <c r="CZ174" s="721"/>
      <c r="DA174" s="721"/>
      <c r="DB174" s="721"/>
      <c r="DC174" s="721"/>
      <c r="DD174" s="279"/>
      <c r="DE174" s="721"/>
      <c r="DF174" s="721"/>
      <c r="DG174" s="721"/>
      <c r="DH174" s="721"/>
      <c r="DI174" s="721"/>
      <c r="DJ174" s="279"/>
      <c r="DK174" s="721"/>
      <c r="DL174" s="721"/>
      <c r="DM174" s="721"/>
      <c r="DN174" s="721"/>
      <c r="DO174" s="721"/>
      <c r="DP174" s="260"/>
    </row>
    <row r="175" spans="1:120" ht="13.5" customHeight="1" collapsed="1">
      <c r="A175" s="835"/>
      <c r="B175" s="781"/>
      <c r="C175" s="782"/>
      <c r="D175" s="782"/>
      <c r="E175" s="782"/>
      <c r="F175" s="782"/>
      <c r="G175" s="782"/>
      <c r="H175" s="782"/>
      <c r="I175" s="782"/>
      <c r="J175" s="782"/>
      <c r="K175" s="782"/>
      <c r="L175" s="782"/>
      <c r="M175" s="782"/>
      <c r="N175" s="782"/>
      <c r="O175" s="782"/>
      <c r="P175" s="782"/>
      <c r="Q175" s="782"/>
      <c r="R175" s="782"/>
      <c r="S175" s="783"/>
      <c r="T175" s="783"/>
      <c r="U175" s="784"/>
      <c r="V175" s="782"/>
      <c r="W175" s="785"/>
      <c r="X175" s="782"/>
      <c r="Y175" s="782"/>
      <c r="Z175" s="782"/>
      <c r="AA175" s="782"/>
      <c r="AB175" s="788"/>
      <c r="AC175" s="782"/>
      <c r="AD175" s="782"/>
      <c r="AE175" s="782"/>
      <c r="AF175" s="782"/>
      <c r="AG175" s="782"/>
      <c r="AH175" s="782"/>
      <c r="AI175" s="782"/>
      <c r="AJ175" s="782"/>
      <c r="AK175" s="782"/>
      <c r="AL175" s="782"/>
      <c r="AM175" s="782"/>
      <c r="AN175" s="782"/>
      <c r="AO175" s="836"/>
      <c r="AP175" s="782"/>
      <c r="AQ175" s="837"/>
      <c r="AR175" s="838"/>
      <c r="AS175" s="782"/>
      <c r="AT175" s="782"/>
      <c r="AU175" s="782"/>
      <c r="AV175" s="782"/>
      <c r="AW175" s="782"/>
      <c r="AX175" s="782"/>
      <c r="AY175" s="782"/>
      <c r="AZ175" s="782"/>
      <c r="BA175" s="839"/>
      <c r="BB175" s="782"/>
      <c r="BC175" s="782"/>
      <c r="BD175" s="782"/>
      <c r="BE175" s="782"/>
      <c r="BF175" s="785"/>
      <c r="BG175" s="785"/>
      <c r="BH175" s="782"/>
      <c r="BI175" s="782"/>
      <c r="BJ175" s="782"/>
      <c r="BK175" s="782"/>
      <c r="BL175" s="782"/>
      <c r="BM175" s="782"/>
      <c r="BN175" s="782"/>
      <c r="BO175" s="782"/>
      <c r="BP175" s="782"/>
      <c r="BQ175" s="782"/>
      <c r="BR175" s="782"/>
      <c r="BS175" s="1956">
        <f>2935/BM19-1</f>
        <v>0.29492587597213182</v>
      </c>
      <c r="BT175" s="782"/>
      <c r="BU175" s="782"/>
      <c r="BV175" s="782"/>
      <c r="BW175" s="782"/>
      <c r="BX175" s="782"/>
      <c r="BY175" s="1956"/>
      <c r="BZ175" s="782"/>
      <c r="CA175" s="782"/>
      <c r="CB175" s="782"/>
      <c r="CC175" s="782"/>
      <c r="CD175" s="782"/>
      <c r="CE175" s="1953"/>
      <c r="CF175" s="782"/>
      <c r="CG175" s="782"/>
      <c r="CH175" s="782"/>
      <c r="CI175" s="782"/>
      <c r="CJ175" s="782"/>
      <c r="CK175" s="1953"/>
      <c r="CL175" s="782"/>
      <c r="CM175" s="782"/>
      <c r="CN175" s="782"/>
      <c r="CO175" s="782"/>
      <c r="CP175" s="782"/>
      <c r="CQ175" s="1953"/>
      <c r="CR175" s="782"/>
      <c r="CS175" s="782"/>
      <c r="CT175" s="782"/>
      <c r="CU175" s="782"/>
      <c r="CV175" s="782"/>
      <c r="CW175" s="1953"/>
      <c r="CX175" s="782"/>
      <c r="CY175" s="782"/>
      <c r="CZ175" s="782"/>
      <c r="DA175" s="782"/>
      <c r="DB175" s="782"/>
      <c r="DC175" s="782"/>
      <c r="DD175" s="782"/>
      <c r="DE175" s="782"/>
      <c r="DF175" s="782"/>
      <c r="DG175" s="782"/>
      <c r="DH175" s="782"/>
      <c r="DI175" s="782"/>
      <c r="DJ175" s="782"/>
      <c r="DK175" s="782"/>
      <c r="DL175" s="782"/>
      <c r="DM175" s="782"/>
      <c r="DN175" s="782"/>
      <c r="DO175" s="782"/>
      <c r="DP175" s="746"/>
    </row>
    <row r="176" spans="1:120" ht="20.100000000000001" customHeight="1">
      <c r="A176" s="840" t="str">
        <f>A1</f>
        <v>salesforce.com</v>
      </c>
      <c r="B176" s="841"/>
      <c r="C176" s="548"/>
      <c r="D176" s="548"/>
      <c r="E176" s="548"/>
      <c r="F176" s="548"/>
      <c r="G176" s="548"/>
      <c r="H176" s="548"/>
      <c r="I176" s="548"/>
      <c r="J176" s="548"/>
      <c r="K176" s="548"/>
      <c r="L176" s="548"/>
      <c r="M176" s="548"/>
      <c r="N176" s="548"/>
      <c r="O176" s="548"/>
      <c r="P176" s="548"/>
      <c r="Q176" s="548"/>
      <c r="R176" s="548"/>
      <c r="S176" s="548"/>
      <c r="T176" s="548"/>
      <c r="U176" s="548"/>
      <c r="V176" s="548"/>
      <c r="W176" s="548"/>
      <c r="X176" s="548"/>
      <c r="Y176" s="842"/>
      <c r="Z176" s="842"/>
      <c r="AA176" s="842"/>
      <c r="AB176" s="842"/>
      <c r="AC176" s="842"/>
      <c r="AD176" s="548"/>
      <c r="AE176" s="842"/>
      <c r="AF176" s="842"/>
      <c r="AG176" s="842"/>
      <c r="AH176" s="842"/>
      <c r="AI176" s="842"/>
      <c r="AJ176" s="548"/>
      <c r="AK176" s="842"/>
      <c r="AL176" s="842"/>
      <c r="AM176" s="842"/>
      <c r="AN176" s="842"/>
      <c r="AO176" s="842"/>
      <c r="AP176" s="548"/>
      <c r="AQ176" s="842"/>
      <c r="AR176" s="842"/>
      <c r="AS176" s="842"/>
      <c r="AT176" s="842"/>
      <c r="AU176" s="842"/>
      <c r="AV176" s="548"/>
      <c r="AW176" s="842"/>
      <c r="AX176" s="842"/>
      <c r="AY176" s="842"/>
      <c r="AZ176" s="842"/>
      <c r="BA176" s="842"/>
      <c r="BB176" s="548"/>
      <c r="BC176" s="842"/>
      <c r="BD176" s="842"/>
      <c r="BE176" s="842"/>
      <c r="BF176" s="842"/>
      <c r="BG176" s="842"/>
      <c r="BH176" s="548"/>
      <c r="BI176" s="842"/>
      <c r="BJ176" s="842"/>
      <c r="BK176" s="842"/>
      <c r="BL176" s="842"/>
      <c r="BM176" s="842"/>
      <c r="BN176" s="548"/>
      <c r="BO176" s="842"/>
      <c r="BP176" s="842"/>
      <c r="BQ176" s="842"/>
      <c r="BR176" s="842"/>
      <c r="BS176" s="842"/>
      <c r="BT176" s="548"/>
      <c r="BU176" s="842"/>
      <c r="BV176" s="842"/>
      <c r="BW176" s="842"/>
      <c r="BX176" s="842"/>
      <c r="BY176" s="842"/>
      <c r="BZ176" s="548"/>
      <c r="CA176" s="842"/>
      <c r="CB176" s="842"/>
      <c r="CC176" s="842"/>
      <c r="CD176" s="842"/>
      <c r="CE176" s="842"/>
      <c r="CF176" s="548"/>
      <c r="CG176" s="842"/>
      <c r="CH176" s="842"/>
      <c r="CI176" s="842"/>
      <c r="CJ176" s="842"/>
      <c r="CK176" s="842"/>
      <c r="CL176" s="548"/>
      <c r="CM176" s="842"/>
      <c r="CN176" s="842"/>
      <c r="CO176" s="842"/>
      <c r="CP176" s="842"/>
      <c r="CQ176" s="842"/>
      <c r="CR176" s="548"/>
      <c r="CS176" s="842"/>
      <c r="CT176" s="842"/>
      <c r="CU176" s="842"/>
      <c r="CV176" s="842"/>
      <c r="CW176" s="842"/>
      <c r="CX176" s="548"/>
      <c r="CY176" s="842"/>
      <c r="CZ176" s="842"/>
      <c r="DA176" s="842"/>
      <c r="DB176" s="842"/>
      <c r="DC176" s="842"/>
      <c r="DD176" s="548"/>
      <c r="DE176" s="842"/>
      <c r="DF176" s="842"/>
      <c r="DG176" s="842"/>
      <c r="DH176" s="842"/>
      <c r="DI176" s="842"/>
      <c r="DJ176" s="548"/>
      <c r="DK176" s="842"/>
      <c r="DL176" s="842"/>
      <c r="DM176" s="842"/>
      <c r="DN176" s="842"/>
      <c r="DO176" s="842"/>
      <c r="DP176" s="548"/>
    </row>
    <row r="177" spans="1:120" ht="20.100000000000001" customHeight="1">
      <c r="A177" s="840" t="s">
        <v>202</v>
      </c>
      <c r="B177" s="841"/>
      <c r="C177" s="639"/>
      <c r="D177" s="639"/>
      <c r="E177" s="639"/>
      <c r="F177" s="548"/>
      <c r="G177" s="843"/>
      <c r="H177" s="548"/>
      <c r="I177" s="639"/>
      <c r="J177" s="548"/>
      <c r="K177" s="639"/>
      <c r="L177" s="548"/>
      <c r="M177" s="548"/>
      <c r="N177" s="548"/>
      <c r="O177" s="548"/>
      <c r="P177" s="548"/>
      <c r="Q177" s="548"/>
      <c r="R177" s="548"/>
      <c r="S177" s="548"/>
      <c r="T177" s="548"/>
      <c r="U177" s="548"/>
      <c r="V177" s="548"/>
      <c r="W177" s="548"/>
      <c r="X177" s="548"/>
      <c r="Y177" s="548"/>
      <c r="Z177" s="548"/>
      <c r="AA177" s="548"/>
      <c r="AB177" s="548"/>
      <c r="AC177" s="548"/>
      <c r="AD177" s="548"/>
      <c r="AE177" s="548"/>
      <c r="AF177" s="548"/>
      <c r="AG177" s="548"/>
      <c r="AH177" s="548"/>
      <c r="AI177" s="548"/>
      <c r="AJ177" s="548"/>
      <c r="AK177" s="548"/>
      <c r="AL177" s="548"/>
      <c r="AM177" s="548"/>
      <c r="AN177" s="548"/>
      <c r="AO177" s="548"/>
      <c r="AP177" s="548"/>
      <c r="AQ177" s="548"/>
      <c r="AR177" s="548"/>
      <c r="AS177" s="548"/>
      <c r="AT177" s="548"/>
      <c r="AU177" s="548"/>
      <c r="AV177" s="548"/>
      <c r="AW177" s="548"/>
      <c r="AX177" s="548"/>
      <c r="AY177" s="548"/>
      <c r="AZ177" s="548"/>
      <c r="BA177" s="548"/>
      <c r="BB177" s="548"/>
      <c r="BC177" s="548"/>
      <c r="BD177" s="548"/>
      <c r="BE177" s="548"/>
      <c r="BF177" s="639"/>
      <c r="BG177" s="639"/>
      <c r="BH177" s="548"/>
      <c r="BI177" s="548"/>
      <c r="BJ177" s="548"/>
      <c r="BK177" s="548"/>
      <c r="BL177" s="548"/>
      <c r="BM177" s="634"/>
      <c r="BN177" s="548"/>
      <c r="BO177" s="548"/>
      <c r="BP177" s="548"/>
      <c r="BQ177" s="548"/>
      <c r="BR177" s="548"/>
      <c r="BS177" s="634"/>
      <c r="BT177" s="548"/>
      <c r="BU177" s="548"/>
      <c r="BV177" s="548"/>
      <c r="BW177" s="548"/>
      <c r="BX177" s="548"/>
      <c r="BY177" s="634"/>
      <c r="BZ177" s="548"/>
      <c r="CA177" s="548"/>
      <c r="CB177" s="548"/>
      <c r="CC177" s="548"/>
      <c r="CD177" s="548"/>
      <c r="CE177" s="634"/>
      <c r="CF177" s="548"/>
      <c r="CG177" s="548"/>
      <c r="CH177" s="548"/>
      <c r="CI177" s="548"/>
      <c r="CJ177" s="548"/>
      <c r="CK177" s="634"/>
      <c r="CL177" s="548"/>
      <c r="CM177" s="548"/>
      <c r="CN177" s="548"/>
      <c r="CO177" s="548"/>
      <c r="CP177" s="548"/>
      <c r="CQ177" s="634"/>
      <c r="CR177" s="548"/>
      <c r="CS177" s="548"/>
      <c r="CT177" s="548"/>
      <c r="CU177" s="548"/>
      <c r="CV177" s="548"/>
      <c r="CW177" s="634"/>
      <c r="CX177" s="548"/>
      <c r="CY177" s="548"/>
      <c r="CZ177" s="548"/>
      <c r="DA177" s="548"/>
      <c r="DB177" s="548"/>
      <c r="DC177" s="634"/>
      <c r="DD177" s="548"/>
      <c r="DE177" s="548"/>
      <c r="DF177" s="548"/>
      <c r="DG177" s="548"/>
      <c r="DH177" s="548"/>
      <c r="DI177" s="634"/>
      <c r="DJ177" s="548"/>
      <c r="DK177" s="548"/>
      <c r="DL177" s="548"/>
      <c r="DM177" s="548"/>
      <c r="DN177" s="548"/>
      <c r="DO177" s="634"/>
      <c r="DP177" s="548"/>
    </row>
    <row r="178" spans="1:120" ht="11.25" customHeight="1">
      <c r="A178" s="844"/>
      <c r="B178" s="845"/>
      <c r="C178" s="846"/>
      <c r="D178" s="846"/>
      <c r="E178" s="846"/>
      <c r="F178" s="847"/>
      <c r="G178" s="848">
        <f>G6</f>
        <v>2003</v>
      </c>
      <c r="H178" s="846"/>
      <c r="I178" s="849"/>
      <c r="J178" s="846"/>
      <c r="K178" s="846"/>
      <c r="L178" s="847"/>
      <c r="M178" s="848" t="str">
        <f>M6</f>
        <v>2004</v>
      </c>
      <c r="N178" s="846"/>
      <c r="O178" s="849"/>
      <c r="P178" s="846"/>
      <c r="Q178" s="846"/>
      <c r="R178" s="847"/>
      <c r="S178" s="848" t="str">
        <f>S6</f>
        <v>2005</v>
      </c>
      <c r="T178" s="846"/>
      <c r="U178" s="849"/>
      <c r="V178" s="846"/>
      <c r="W178" s="846"/>
      <c r="X178" s="847"/>
      <c r="Y178" s="848">
        <f>Y6</f>
        <v>2006</v>
      </c>
      <c r="Z178" s="846"/>
      <c r="AA178" s="849"/>
      <c r="AB178" s="846"/>
      <c r="AC178" s="846"/>
      <c r="AD178" s="846"/>
      <c r="AE178" s="848">
        <f>AE6</f>
        <v>2007</v>
      </c>
      <c r="AF178" s="846"/>
      <c r="AG178" s="849"/>
      <c r="AH178" s="846"/>
      <c r="AI178" s="850"/>
      <c r="AJ178" s="846"/>
      <c r="AK178" s="848">
        <f>AK6</f>
        <v>2008</v>
      </c>
      <c r="AL178" s="846"/>
      <c r="AM178" s="849"/>
      <c r="AN178" s="846"/>
      <c r="AO178" s="850"/>
      <c r="AP178" s="846"/>
      <c r="AQ178" s="848">
        <f>AQ6</f>
        <v>2009</v>
      </c>
      <c r="AR178" s="846"/>
      <c r="AS178" s="849"/>
      <c r="AT178" s="846"/>
      <c r="AU178" s="850"/>
      <c r="AV178" s="846"/>
      <c r="AW178" s="848">
        <f>AW6</f>
        <v>2010</v>
      </c>
      <c r="AX178" s="846"/>
      <c r="AY178" s="849"/>
      <c r="AZ178" s="849"/>
      <c r="BA178" s="846"/>
      <c r="BB178" s="846"/>
      <c r="BC178" s="848">
        <f>BC6</f>
        <v>2011</v>
      </c>
      <c r="BD178" s="846"/>
      <c r="BE178" s="849"/>
      <c r="BF178" s="846"/>
      <c r="BG178" s="851"/>
      <c r="BH178" s="846"/>
      <c r="BI178" s="848">
        <f>BI6</f>
        <v>2012</v>
      </c>
      <c r="BJ178" s="846"/>
      <c r="BK178" s="849"/>
      <c r="BL178" s="846"/>
      <c r="BM178" s="851"/>
      <c r="BN178" s="846"/>
      <c r="BO178" s="848">
        <f>BO6</f>
        <v>2013</v>
      </c>
      <c r="BP178" s="846"/>
      <c r="BQ178" s="849"/>
      <c r="BR178" s="846"/>
      <c r="BS178" s="851"/>
      <c r="BT178" s="846"/>
      <c r="BU178" s="848">
        <f>BU6</f>
        <v>2014</v>
      </c>
      <c r="BV178" s="846"/>
      <c r="BW178" s="849"/>
      <c r="BX178" s="846"/>
      <c r="BY178" s="851"/>
      <c r="BZ178" s="846"/>
      <c r="CA178" s="848">
        <f>CA6</f>
        <v>2015</v>
      </c>
      <c r="CB178" s="846"/>
      <c r="CC178" s="849"/>
      <c r="CD178" s="846"/>
      <c r="CE178" s="851"/>
      <c r="CF178" s="846"/>
      <c r="CG178" s="848">
        <f>CG6</f>
        <v>2016</v>
      </c>
      <c r="CH178" s="846"/>
      <c r="CI178" s="849"/>
      <c r="CJ178" s="846"/>
      <c r="CK178" s="851"/>
      <c r="CL178" s="846"/>
      <c r="CM178" s="848">
        <f>CM6</f>
        <v>2017</v>
      </c>
      <c r="CN178" s="846"/>
      <c r="CO178" s="849"/>
      <c r="CP178" s="846"/>
      <c r="CQ178" s="851"/>
      <c r="CR178" s="846"/>
      <c r="CS178" s="848">
        <f>CS6</f>
        <v>2018</v>
      </c>
      <c r="CT178" s="846"/>
      <c r="CU178" s="849"/>
      <c r="CV178" s="846"/>
      <c r="CW178" s="851"/>
      <c r="CX178" s="846"/>
      <c r="CY178" s="848" t="str">
        <f>CY6</f>
        <v xml:space="preserve">  2019E</v>
      </c>
      <c r="CZ178" s="846"/>
      <c r="DA178" s="849"/>
      <c r="DB178" s="846"/>
      <c r="DC178" s="851"/>
      <c r="DD178" s="846"/>
      <c r="DE178" s="848" t="str">
        <f>DE6</f>
        <v xml:space="preserve">  2020E</v>
      </c>
      <c r="DF178" s="846"/>
      <c r="DG178" s="849"/>
      <c r="DH178" s="846"/>
      <c r="DI178" s="851"/>
      <c r="DJ178" s="846"/>
      <c r="DK178" s="848" t="str">
        <f>DK6</f>
        <v xml:space="preserve">  2021E</v>
      </c>
      <c r="DL178" s="846"/>
      <c r="DM178" s="849"/>
      <c r="DN178" s="846"/>
      <c r="DO178" s="851"/>
      <c r="DP178" s="852"/>
    </row>
    <row r="179" spans="1:120">
      <c r="A179" s="853"/>
      <c r="B179" s="854"/>
      <c r="C179" s="855" t="str">
        <f>C7</f>
        <v>FY00</v>
      </c>
      <c r="D179" s="855" t="str">
        <f>D7</f>
        <v>FY01</v>
      </c>
      <c r="E179" s="855" t="str">
        <f>E7</f>
        <v>FY02</v>
      </c>
      <c r="F179" s="855"/>
      <c r="G179" s="855" t="str">
        <f>G7</f>
        <v>4/02</v>
      </c>
      <c r="H179" s="855" t="str">
        <f>H7</f>
        <v>7/02</v>
      </c>
      <c r="I179" s="855" t="str">
        <f>I7</f>
        <v>10/02</v>
      </c>
      <c r="J179" s="855" t="str">
        <f>J7</f>
        <v>1/03</v>
      </c>
      <c r="K179" s="855" t="str">
        <f>K7</f>
        <v>FY03</v>
      </c>
      <c r="L179" s="855"/>
      <c r="M179" s="855" t="str">
        <f>M7</f>
        <v>4/03</v>
      </c>
      <c r="N179" s="855" t="str">
        <f>N7</f>
        <v>7/03</v>
      </c>
      <c r="O179" s="855" t="str">
        <f>O7</f>
        <v>10/03</v>
      </c>
      <c r="P179" s="855" t="str">
        <f>P7</f>
        <v>1/04</v>
      </c>
      <c r="Q179" s="855" t="str">
        <f>Q7</f>
        <v>FY04</v>
      </c>
      <c r="R179" s="855"/>
      <c r="S179" s="855" t="str">
        <f>S7</f>
        <v>4/04</v>
      </c>
      <c r="T179" s="855" t="str">
        <f>T7</f>
        <v xml:space="preserve"> 7/04</v>
      </c>
      <c r="U179" s="855" t="str">
        <f>U7</f>
        <v xml:space="preserve"> 10/04</v>
      </c>
      <c r="V179" s="855" t="str">
        <f>V7</f>
        <v>1/05</v>
      </c>
      <c r="W179" s="855" t="str">
        <f>W7</f>
        <v>FY05</v>
      </c>
      <c r="X179" s="855"/>
      <c r="Y179" s="855" t="str">
        <f>Y7</f>
        <v>4/05</v>
      </c>
      <c r="Z179" s="855" t="str">
        <f>Z7</f>
        <v xml:space="preserve"> 7/05</v>
      </c>
      <c r="AA179" s="855" t="str">
        <f>AA7</f>
        <v xml:space="preserve"> 10/05</v>
      </c>
      <c r="AB179" s="855" t="str">
        <f>AB7</f>
        <v>1/06</v>
      </c>
      <c r="AC179" s="855" t="str">
        <f>AC7</f>
        <v>FY06</v>
      </c>
      <c r="AD179" s="855"/>
      <c r="AE179" s="855" t="str">
        <f>AE7</f>
        <v>4/06</v>
      </c>
      <c r="AF179" s="855" t="str">
        <f>AF7</f>
        <v xml:space="preserve"> 7/06</v>
      </c>
      <c r="AG179" s="855" t="str">
        <f>AG7</f>
        <v xml:space="preserve"> 10/06</v>
      </c>
      <c r="AH179" s="855" t="str">
        <f>AH7</f>
        <v>1/07</v>
      </c>
      <c r="AI179" s="856" t="str">
        <f>AI7</f>
        <v>FY07</v>
      </c>
      <c r="AJ179" s="855"/>
      <c r="AK179" s="855" t="str">
        <f>AK7</f>
        <v>4/07</v>
      </c>
      <c r="AL179" s="855" t="str">
        <f>AL7</f>
        <v xml:space="preserve"> 7/07</v>
      </c>
      <c r="AM179" s="855" t="str">
        <f>AM7</f>
        <v xml:space="preserve"> 10/07</v>
      </c>
      <c r="AN179" s="855" t="str">
        <f>AN7</f>
        <v>1/08</v>
      </c>
      <c r="AO179" s="856" t="str">
        <f>AO7</f>
        <v>FY08</v>
      </c>
      <c r="AP179" s="855"/>
      <c r="AQ179" s="855" t="str">
        <f>AQ7</f>
        <v>4/08</v>
      </c>
      <c r="AR179" s="855" t="str">
        <f>AR7</f>
        <v xml:space="preserve"> 7/08</v>
      </c>
      <c r="AS179" s="855" t="str">
        <f>AS7</f>
        <v xml:space="preserve"> 10/08</v>
      </c>
      <c r="AT179" s="855" t="str">
        <f>AT7</f>
        <v>1/09</v>
      </c>
      <c r="AU179" s="856" t="str">
        <f>AU7</f>
        <v>FY09</v>
      </c>
      <c r="AV179" s="855"/>
      <c r="AW179" s="855" t="str">
        <f>AW7</f>
        <v>4/09</v>
      </c>
      <c r="AX179" s="855" t="str">
        <f>AX7</f>
        <v xml:space="preserve"> 7/09</v>
      </c>
      <c r="AY179" s="855" t="str">
        <f>AY7</f>
        <v xml:space="preserve"> 10/09</v>
      </c>
      <c r="AZ179" s="855" t="str">
        <f>AZ7</f>
        <v>1/10</v>
      </c>
      <c r="BA179" s="857" t="str">
        <f>BA7</f>
        <v>FY10</v>
      </c>
      <c r="BB179" s="855"/>
      <c r="BC179" s="855" t="str">
        <f>BC7</f>
        <v>4/10</v>
      </c>
      <c r="BD179" s="855" t="str">
        <f>BD7</f>
        <v xml:space="preserve"> 7/10</v>
      </c>
      <c r="BE179" s="855" t="str">
        <f>BE7</f>
        <v xml:space="preserve"> 10/10</v>
      </c>
      <c r="BF179" s="855" t="str">
        <f>BF7</f>
        <v>1/11</v>
      </c>
      <c r="BG179" s="858" t="str">
        <f>BG7</f>
        <v>FY11</v>
      </c>
      <c r="BH179" s="855"/>
      <c r="BI179" s="855" t="str">
        <f>BI7</f>
        <v>4/11</v>
      </c>
      <c r="BJ179" s="855" t="str">
        <f>BJ7</f>
        <v xml:space="preserve"> 7/11</v>
      </c>
      <c r="BK179" s="855" t="str">
        <f>BK7</f>
        <v xml:space="preserve"> 10/11</v>
      </c>
      <c r="BL179" s="855" t="str">
        <f>BL7</f>
        <v>1/12</v>
      </c>
      <c r="BM179" s="858" t="str">
        <f>BM7</f>
        <v>FY12</v>
      </c>
      <c r="BN179" s="855"/>
      <c r="BO179" s="855" t="str">
        <f>BO7</f>
        <v>4/12</v>
      </c>
      <c r="BP179" s="855" t="str">
        <f>BP7</f>
        <v xml:space="preserve"> 7/12</v>
      </c>
      <c r="BQ179" s="855" t="str">
        <f>BQ7</f>
        <v xml:space="preserve"> 10/12</v>
      </c>
      <c r="BR179" s="855" t="str">
        <f>BR7</f>
        <v>1/13</v>
      </c>
      <c r="BS179" s="858" t="str">
        <f>BS7</f>
        <v>FY13</v>
      </c>
      <c r="BT179" s="855"/>
      <c r="BU179" s="855" t="str">
        <f>BU7</f>
        <v>4/13</v>
      </c>
      <c r="BV179" s="855" t="str">
        <f>BV7</f>
        <v xml:space="preserve"> 7/13</v>
      </c>
      <c r="BW179" s="855" t="str">
        <f>BW7</f>
        <v xml:space="preserve"> 10/13</v>
      </c>
      <c r="BX179" s="855" t="str">
        <f>BX7</f>
        <v>1/14</v>
      </c>
      <c r="BY179" s="858" t="str">
        <f>BY7</f>
        <v>FY14</v>
      </c>
      <c r="BZ179" s="855"/>
      <c r="CA179" s="855" t="str">
        <f>CA7</f>
        <v>4/14</v>
      </c>
      <c r="CB179" s="855" t="str">
        <f>CB7</f>
        <v xml:space="preserve"> 7/14</v>
      </c>
      <c r="CC179" s="855" t="str">
        <f>CC7</f>
        <v xml:space="preserve"> 10/14</v>
      </c>
      <c r="CD179" s="855" t="str">
        <f>CD7</f>
        <v>1/15</v>
      </c>
      <c r="CE179" s="858" t="str">
        <f>CE7</f>
        <v>FY15</v>
      </c>
      <c r="CF179" s="855"/>
      <c r="CG179" s="855" t="str">
        <f>CG7</f>
        <v>4/15</v>
      </c>
      <c r="CH179" s="855" t="str">
        <f>CH7</f>
        <v xml:space="preserve"> 7/15</v>
      </c>
      <c r="CI179" s="855" t="str">
        <f>CI7</f>
        <v xml:space="preserve"> 10/15</v>
      </c>
      <c r="CJ179" s="855" t="str">
        <f>CJ7</f>
        <v>1/16</v>
      </c>
      <c r="CK179" s="858" t="str">
        <f>CK7</f>
        <v>FY16</v>
      </c>
      <c r="CL179" s="855"/>
      <c r="CM179" s="855" t="str">
        <f>CM7</f>
        <v>4/16</v>
      </c>
      <c r="CN179" s="855" t="str">
        <f>CN7</f>
        <v xml:space="preserve"> 7/16</v>
      </c>
      <c r="CO179" s="855" t="str">
        <f>CO7</f>
        <v xml:space="preserve"> 10/16</v>
      </c>
      <c r="CP179" s="855" t="str">
        <f>CP7</f>
        <v>1/17</v>
      </c>
      <c r="CQ179" s="858" t="str">
        <f>CQ7</f>
        <v>FY17</v>
      </c>
      <c r="CR179" s="855"/>
      <c r="CS179" s="855" t="str">
        <f>CS7</f>
        <v>4/17</v>
      </c>
      <c r="CT179" s="855" t="str">
        <f>CT7</f>
        <v xml:space="preserve"> 7/17</v>
      </c>
      <c r="CU179" s="855" t="str">
        <f>CU7</f>
        <v xml:space="preserve"> 10/17</v>
      </c>
      <c r="CV179" s="855" t="str">
        <f>CV7</f>
        <v>1/18</v>
      </c>
      <c r="CW179" s="858" t="str">
        <f>CW7</f>
        <v>FY18</v>
      </c>
      <c r="CX179" s="855"/>
      <c r="CY179" s="855" t="str">
        <f>CY7</f>
        <v>4/18E</v>
      </c>
      <c r="CZ179" s="855" t="str">
        <f>CZ7</f>
        <v xml:space="preserve"> 7/18E</v>
      </c>
      <c r="DA179" s="855" t="str">
        <f>DA7</f>
        <v xml:space="preserve"> 10/18E</v>
      </c>
      <c r="DB179" s="855" t="str">
        <f>DB7</f>
        <v>1/19E</v>
      </c>
      <c r="DC179" s="858" t="str">
        <f>DC7</f>
        <v>FY19E</v>
      </c>
      <c r="DD179" s="855"/>
      <c r="DE179" s="855" t="str">
        <f>DE7</f>
        <v>4/19E</v>
      </c>
      <c r="DF179" s="855" t="str">
        <f>DF7</f>
        <v xml:space="preserve"> 7/19E</v>
      </c>
      <c r="DG179" s="855" t="str">
        <f>DG7</f>
        <v xml:space="preserve"> 10/19E</v>
      </c>
      <c r="DH179" s="855" t="str">
        <f>DH7</f>
        <v>1/20E</v>
      </c>
      <c r="DI179" s="858" t="str">
        <f>DI7</f>
        <v>FY20E</v>
      </c>
      <c r="DJ179" s="855"/>
      <c r="DK179" s="855" t="str">
        <f>DK7</f>
        <v>4/20E</v>
      </c>
      <c r="DL179" s="855" t="str">
        <f>DL7</f>
        <v xml:space="preserve"> 7/20E</v>
      </c>
      <c r="DM179" s="855" t="str">
        <f>DM7</f>
        <v xml:space="preserve"> 10/20E</v>
      </c>
      <c r="DN179" s="855" t="str">
        <f>DN7</f>
        <v>1/21E</v>
      </c>
      <c r="DO179" s="858" t="str">
        <f>DO7</f>
        <v>FY21E</v>
      </c>
      <c r="DP179" s="859"/>
    </row>
    <row r="180" spans="1:120" ht="5.25" customHeight="1">
      <c r="A180" s="255"/>
      <c r="B180" s="668"/>
      <c r="C180" s="669"/>
      <c r="D180" s="669"/>
      <c r="E180" s="669"/>
      <c r="F180" s="669"/>
      <c r="G180" s="669"/>
      <c r="H180" s="669"/>
      <c r="I180" s="669"/>
      <c r="J180" s="669"/>
      <c r="K180" s="669"/>
      <c r="L180" s="669"/>
      <c r="M180" s="669"/>
      <c r="N180" s="669"/>
      <c r="O180" s="669"/>
      <c r="P180" s="669"/>
      <c r="Q180" s="669"/>
      <c r="R180" s="669"/>
      <c r="S180" s="669"/>
      <c r="T180" s="669"/>
      <c r="U180" s="669"/>
      <c r="V180" s="669"/>
      <c r="W180" s="669"/>
      <c r="X180" s="669"/>
      <c r="Y180" s="669"/>
      <c r="Z180" s="669"/>
      <c r="AA180" s="669"/>
      <c r="AB180" s="669"/>
      <c r="AC180" s="669"/>
      <c r="AD180" s="669"/>
      <c r="AE180" s="669"/>
      <c r="AF180" s="669"/>
      <c r="AG180" s="669"/>
      <c r="AH180" s="669"/>
      <c r="AI180" s="670"/>
      <c r="AJ180" s="669"/>
      <c r="AK180" s="669"/>
      <c r="AL180" s="669"/>
      <c r="AM180" s="669"/>
      <c r="AN180" s="669"/>
      <c r="AO180" s="670"/>
      <c r="AP180" s="669"/>
      <c r="AQ180" s="669"/>
      <c r="AR180" s="669"/>
      <c r="AS180" s="669"/>
      <c r="AT180" s="669"/>
      <c r="AU180" s="670"/>
      <c r="AV180" s="669"/>
      <c r="AW180" s="669"/>
      <c r="AX180" s="669"/>
      <c r="AY180" s="669"/>
      <c r="AZ180" s="669"/>
      <c r="BA180" s="670"/>
      <c r="BB180" s="669"/>
      <c r="BC180" s="669"/>
      <c r="BD180" s="669"/>
      <c r="BE180" s="669"/>
      <c r="BF180" s="669"/>
      <c r="BG180" s="860"/>
      <c r="BH180" s="669"/>
      <c r="BI180" s="669"/>
      <c r="BJ180" s="669"/>
      <c r="BK180" s="669"/>
      <c r="BL180" s="669"/>
      <c r="BM180" s="860"/>
      <c r="BN180" s="669"/>
      <c r="BO180" s="669"/>
      <c r="BP180" s="669"/>
      <c r="BQ180" s="669"/>
      <c r="BR180" s="669"/>
      <c r="BS180" s="860"/>
      <c r="BT180" s="669"/>
      <c r="BU180" s="669"/>
      <c r="BV180" s="669"/>
      <c r="BW180" s="669"/>
      <c r="BX180" s="669"/>
      <c r="BY180" s="860"/>
      <c r="BZ180" s="669"/>
      <c r="CA180" s="669"/>
      <c r="CB180" s="669"/>
      <c r="CC180" s="669"/>
      <c r="CD180" s="669"/>
      <c r="CE180" s="860"/>
      <c r="CF180" s="669"/>
      <c r="CG180" s="669"/>
      <c r="CH180" s="669"/>
      <c r="CI180" s="669"/>
      <c r="CJ180" s="669"/>
      <c r="CK180" s="860"/>
      <c r="CL180" s="669"/>
      <c r="CM180" s="669"/>
      <c r="CN180" s="669"/>
      <c r="CO180" s="669"/>
      <c r="CP180" s="669"/>
      <c r="CQ180" s="860"/>
      <c r="CR180" s="669"/>
      <c r="CS180" s="669"/>
      <c r="CT180" s="669"/>
      <c r="CU180" s="669"/>
      <c r="CV180" s="669"/>
      <c r="CW180" s="860"/>
      <c r="CX180" s="669"/>
      <c r="CY180" s="669"/>
      <c r="CZ180" s="669"/>
      <c r="DA180" s="669"/>
      <c r="DB180" s="669"/>
      <c r="DC180" s="860"/>
      <c r="DD180" s="669"/>
      <c r="DE180" s="669"/>
      <c r="DF180" s="669"/>
      <c r="DG180" s="669"/>
      <c r="DH180" s="669"/>
      <c r="DI180" s="860"/>
      <c r="DJ180" s="669"/>
      <c r="DK180" s="669"/>
      <c r="DL180" s="669"/>
      <c r="DM180" s="669"/>
      <c r="DN180" s="669"/>
      <c r="DO180" s="860"/>
      <c r="DP180" s="669"/>
    </row>
    <row r="181" spans="1:120">
      <c r="A181" s="378" t="s">
        <v>534</v>
      </c>
      <c r="B181" s="378"/>
      <c r="C181" s="378"/>
      <c r="D181" s="378"/>
      <c r="E181" s="378"/>
      <c r="F181" s="378"/>
      <c r="G181" s="378"/>
      <c r="H181" s="378"/>
      <c r="I181" s="378"/>
      <c r="J181" s="378"/>
      <c r="K181" s="378"/>
      <c r="L181" s="378"/>
      <c r="M181" s="378"/>
      <c r="N181" s="378"/>
      <c r="O181" s="378"/>
      <c r="P181" s="378"/>
      <c r="Q181" s="378"/>
      <c r="R181" s="378"/>
      <c r="S181" s="378"/>
      <c r="T181" s="378"/>
      <c r="U181" s="378"/>
      <c r="V181" s="378"/>
      <c r="W181" s="378"/>
      <c r="X181" s="378"/>
      <c r="Y181" s="378"/>
      <c r="Z181" s="378"/>
      <c r="AA181" s="378"/>
      <c r="AB181" s="378"/>
      <c r="AC181" s="378"/>
      <c r="AD181" s="378"/>
      <c r="AE181" s="378"/>
      <c r="AF181" s="378"/>
      <c r="AG181" s="378"/>
      <c r="AH181" s="378"/>
      <c r="AI181" s="379"/>
      <c r="AJ181" s="378"/>
      <c r="AK181" s="378"/>
      <c r="AL181" s="378"/>
      <c r="AM181" s="378"/>
      <c r="AN181" s="378"/>
      <c r="AO181" s="379"/>
      <c r="AP181" s="378"/>
      <c r="AQ181" s="378"/>
      <c r="AR181" s="378"/>
      <c r="AS181" s="378"/>
      <c r="AT181" s="378"/>
      <c r="AU181" s="379"/>
      <c r="AV181" s="378"/>
      <c r="AW181" s="378"/>
      <c r="AX181" s="378"/>
      <c r="AY181" s="378"/>
      <c r="AZ181" s="378"/>
      <c r="BA181" s="379"/>
      <c r="BB181" s="378"/>
      <c r="BC181" s="378"/>
      <c r="BD181" s="378"/>
      <c r="BE181" s="378"/>
      <c r="BF181" s="378"/>
      <c r="BG181" s="380"/>
      <c r="BH181" s="378"/>
      <c r="BI181" s="378"/>
      <c r="BJ181" s="378"/>
      <c r="BK181" s="378"/>
      <c r="BL181" s="378"/>
      <c r="BM181" s="380"/>
      <c r="BN181" s="378"/>
      <c r="BO181" s="378"/>
      <c r="BP181" s="378"/>
      <c r="BQ181" s="378"/>
      <c r="BR181" s="378"/>
      <c r="BS181" s="380"/>
      <c r="BT181" s="378"/>
      <c r="BU181" s="378"/>
      <c r="BV181" s="378"/>
      <c r="BW181" s="378"/>
      <c r="BX181" s="378"/>
      <c r="BY181" s="380"/>
      <c r="BZ181" s="378"/>
      <c r="CA181" s="378"/>
      <c r="CB181" s="378"/>
      <c r="CC181" s="378"/>
      <c r="CD181" s="378"/>
      <c r="CE181" s="380"/>
      <c r="CF181" s="378"/>
      <c r="CG181" s="378"/>
      <c r="CH181" s="378"/>
      <c r="CI181" s="378"/>
      <c r="CJ181" s="378"/>
      <c r="CK181" s="380"/>
      <c r="CL181" s="378"/>
      <c r="CM181" s="378"/>
      <c r="CN181" s="378"/>
      <c r="CO181" s="378"/>
      <c r="CP181" s="378"/>
      <c r="CQ181" s="380"/>
      <c r="CR181" s="378"/>
      <c r="CS181" s="378"/>
      <c r="CT181" s="378"/>
      <c r="CU181" s="378"/>
      <c r="CV181" s="378"/>
      <c r="CW181" s="380"/>
      <c r="CX181" s="378"/>
      <c r="CY181" s="378"/>
      <c r="CZ181" s="378"/>
      <c r="DA181" s="378"/>
      <c r="DB181" s="378"/>
      <c r="DC181" s="380"/>
      <c r="DD181" s="378"/>
      <c r="DE181" s="378"/>
      <c r="DF181" s="378"/>
      <c r="DG181" s="378"/>
      <c r="DH181" s="378"/>
      <c r="DI181" s="380"/>
      <c r="DJ181" s="378"/>
      <c r="DK181" s="378"/>
      <c r="DL181" s="378"/>
      <c r="DM181" s="378"/>
      <c r="DN181" s="378"/>
      <c r="DO181" s="380"/>
      <c r="DP181" s="316"/>
    </row>
    <row r="182" spans="1:120">
      <c r="A182" s="260" t="s">
        <v>230</v>
      </c>
      <c r="B182" s="869"/>
      <c r="C182" s="268" t="s">
        <v>88</v>
      </c>
      <c r="D182" s="870" t="s">
        <v>88</v>
      </c>
      <c r="E182" s="279">
        <f>E13/D13-1</f>
        <v>3.2837514934289125</v>
      </c>
      <c r="F182" s="260"/>
      <c r="G182" s="714" t="s">
        <v>88</v>
      </c>
      <c r="H182" s="714" t="s">
        <v>88</v>
      </c>
      <c r="I182" s="714" t="s">
        <v>88</v>
      </c>
      <c r="J182" s="714" t="s">
        <v>88</v>
      </c>
      <c r="K182" s="279">
        <f>K13/E13-1</f>
        <v>1.2152187049690881</v>
      </c>
      <c r="L182" s="260"/>
      <c r="M182" s="279">
        <f>M13/G13-1</f>
        <v>0.92077185017026109</v>
      </c>
      <c r="N182" s="279">
        <f>N13/H13-1</f>
        <v>0.73764966740576488</v>
      </c>
      <c r="O182" s="279">
        <f>O13/I13-1</f>
        <v>0.73765169668392994</v>
      </c>
      <c r="P182" s="279">
        <f>P13/J13-1</f>
        <v>0.83148831488314867</v>
      </c>
      <c r="Q182" s="279">
        <f>Q13/K13-1</f>
        <v>0.80031895249286533</v>
      </c>
      <c r="R182" s="260"/>
      <c r="S182" s="279">
        <f>S13/M13-1</f>
        <v>0.83878974116534688</v>
      </c>
      <c r="T182" s="279">
        <f>T13/N13-1</f>
        <v>0.8383523887300941</v>
      </c>
      <c r="U182" s="279">
        <f>U13/O13-1</f>
        <v>0.84452846975088969</v>
      </c>
      <c r="V182" s="279">
        <f>V13/P13-1</f>
        <v>0.84236251026042819</v>
      </c>
      <c r="W182" s="279">
        <f>W13/Q13-1</f>
        <v>0.84130961816401717</v>
      </c>
      <c r="X182" s="260"/>
      <c r="Y182" s="279">
        <f>Y13/S13-1</f>
        <v>0.87009898444530132</v>
      </c>
      <c r="Z182" s="279">
        <f>Z13/T13-1</f>
        <v>0.82241719188161144</v>
      </c>
      <c r="AA182" s="279">
        <f>AA13/U13-1</f>
        <v>0.79394670203786299</v>
      </c>
      <c r="AB182" s="279">
        <f>AB13/V13-1</f>
        <v>0.66923185969744226</v>
      </c>
      <c r="AC182" s="279">
        <f>AC13/W13-1</f>
        <v>0.77645480038233416</v>
      </c>
      <c r="AD182" s="279"/>
      <c r="AE182" s="279">
        <f>AE13/Y13-1</f>
        <v>0.62387008076989181</v>
      </c>
      <c r="AF182" s="279">
        <f>AF13/Z13-1</f>
        <v>0.62501904384655216</v>
      </c>
      <c r="AG182" s="279">
        <f>AG13/AA13-1</f>
        <v>0.59214099427311617</v>
      </c>
      <c r="AH182" s="279">
        <f>AH13/AB13-1</f>
        <v>0.60231725811343639</v>
      </c>
      <c r="AI182" s="871">
        <f>AI13/AC13-1</f>
        <v>0.60939855116359443</v>
      </c>
      <c r="AJ182" s="279"/>
      <c r="AK182" s="279">
        <f>AK13/AE13-1</f>
        <v>0.5629729186288932</v>
      </c>
      <c r="AL182" s="279">
        <f>AL13/AF13-1</f>
        <v>0.50003281362796836</v>
      </c>
      <c r="AM182" s="279">
        <f>AM13/AG13-1</f>
        <v>0.48924708484966173</v>
      </c>
      <c r="AN182" s="279">
        <f>AN13/AH13-1</f>
        <v>0.487964806808459</v>
      </c>
      <c r="AO182" s="871">
        <f>AO13/AI13-1</f>
        <v>0.50684364344861166</v>
      </c>
      <c r="AP182" s="279"/>
      <c r="AQ182" s="279">
        <f>AQ13/AK13-1</f>
        <v>0.52577019432595318</v>
      </c>
      <c r="AR182" s="279">
        <f>AR13/AL13-1</f>
        <v>0.49826872835910452</v>
      </c>
      <c r="AS182" s="279">
        <f>AS13/AM13-1</f>
        <v>0.43672041547602847</v>
      </c>
      <c r="AT182" s="279">
        <f>AT13/AN13-1</f>
        <v>0.35413221248034521</v>
      </c>
      <c r="AU182" s="871">
        <f>AU13/AO13-1</f>
        <v>0.44666689196436615</v>
      </c>
      <c r="AV182" s="279"/>
      <c r="AW182" s="279">
        <f>AW13/AQ13-1</f>
        <v>0.25040716070311198</v>
      </c>
      <c r="AX182" s="279">
        <f>AX13/AR13-1</f>
        <v>0.2240947772401134</v>
      </c>
      <c r="AY182" s="279">
        <f>AY13/AS13-1</f>
        <v>0.21099592348946161</v>
      </c>
      <c r="AZ182" s="279">
        <f>AZ13/AT13-1</f>
        <v>0.23029574236218098</v>
      </c>
      <c r="BA182" s="871">
        <f>BA13/AU13-1</f>
        <v>0.22842163209672406</v>
      </c>
      <c r="BB182" s="279"/>
      <c r="BC182" s="279">
        <f>BC13/AW13-1</f>
        <v>0.24468356946140091</v>
      </c>
      <c r="BD182" s="279">
        <f>BD13/AX13-1</f>
        <v>0.25733028898582333</v>
      </c>
      <c r="BE182" s="279">
        <f>BE13/AY13-1</f>
        <v>0.31309023364942812</v>
      </c>
      <c r="BF182" s="279">
        <f>BF13/AZ13-1</f>
        <v>0.30892441523057834</v>
      </c>
      <c r="BG182" s="872">
        <f>BG13/BA13-1</f>
        <v>0.28249765186792253</v>
      </c>
      <c r="BH182" s="279"/>
      <c r="BI182" s="279">
        <f>BI13/BC13-1</f>
        <v>0.35012203745523407</v>
      </c>
      <c r="BJ182" s="279">
        <f>BJ13/BD13-1</f>
        <v>0.38034318920398635</v>
      </c>
      <c r="BK182" s="279">
        <f>BK13/BE13-1</f>
        <v>0.36291035071522892</v>
      </c>
      <c r="BL182" s="279">
        <f>BL13/BF13-1</f>
        <v>0.38674877605977587</v>
      </c>
      <c r="BM182" s="872">
        <f>BM13/BG13-1</f>
        <v>0.37075128372911648</v>
      </c>
      <c r="BN182" s="279"/>
      <c r="BO182" s="279">
        <f>BO13/BI13-1</f>
        <v>0.3837686693248632</v>
      </c>
      <c r="BP182" s="279">
        <f>BP13/BJ13-1</f>
        <v>0.34993392619762465</v>
      </c>
      <c r="BQ182" s="279">
        <f>BQ13/BK13-1</f>
        <v>0.34855111784435766</v>
      </c>
      <c r="BR182" s="279">
        <f>BR13/BL13-1</f>
        <v>0.32178356939365838</v>
      </c>
      <c r="BS182" s="872">
        <f>BS13/BM13-1</f>
        <v>0.34924378031768821</v>
      </c>
      <c r="BT182" s="279"/>
      <c r="BU182" s="279">
        <f>BU13/BO13-1</f>
        <v>0.28540184976038585</v>
      </c>
      <c r="BV182" s="279">
        <f>BV13/BP13-1</f>
        <v>0.313241007544804</v>
      </c>
      <c r="BW182" s="279">
        <f>BW13/BQ13-1</f>
        <v>0.35630029705644062</v>
      </c>
      <c r="BX182" s="279">
        <f>BX13/BR13-1</f>
        <v>0.368565044971642</v>
      </c>
      <c r="BY182" s="872">
        <f>BY13/BS13-1</f>
        <v>0.33314672853673044</v>
      </c>
      <c r="BZ182" s="279"/>
      <c r="CA182" s="279">
        <f>CA13/BU13-1</f>
        <v>0.36223865232522101</v>
      </c>
      <c r="CB182" s="279">
        <f>CB13/BV13-1</f>
        <v>0.36522699381066936</v>
      </c>
      <c r="CC182" s="279">
        <f>CC13/BW13-1</f>
        <v>0.28277131559141266</v>
      </c>
      <c r="CD182" s="279">
        <f>CD13/BX13-1</f>
        <v>0.25149464977241887</v>
      </c>
      <c r="CE182" s="872">
        <f>CE13/BY13-1</f>
        <v>0.3109449445188468</v>
      </c>
      <c r="CF182" s="279"/>
      <c r="CG182" s="279">
        <f>CG13/CA13-1</f>
        <v>0.22485805879163889</v>
      </c>
      <c r="CH182" s="279">
        <f>CH13/CB13-1</f>
        <v>0.23424877919367959</v>
      </c>
      <c r="CI182" s="279">
        <f>CI13/CC13-1</f>
        <v>0.23889553306796296</v>
      </c>
      <c r="CJ182" s="279">
        <f>CJ13/CD13-1</f>
        <v>0.25071542295805282</v>
      </c>
      <c r="CK182" s="872">
        <f>CK13/CE13-1</f>
        <v>0.23771262468676224</v>
      </c>
      <c r="CL182" s="279"/>
      <c r="CM182" s="279">
        <f>CM13/CG13-1</f>
        <v>0.26343800234400505</v>
      </c>
      <c r="CN182" s="279">
        <f>CN13/CH13-1</f>
        <v>0.23976628175944681</v>
      </c>
      <c r="CO182" s="279">
        <f>CO13/CI13-1</f>
        <v>0.24283655102036983</v>
      </c>
      <c r="CP182" s="279">
        <f>CP13/CJ13-1</f>
        <v>0.25435382073621504</v>
      </c>
      <c r="CQ182" s="872">
        <f>CQ13/CK13-1</f>
        <v>0.2498720913162451</v>
      </c>
      <c r="CR182" s="279"/>
      <c r="CS182" s="279">
        <f>CS13/CM13-1</f>
        <v>0.23960387340304923</v>
      </c>
      <c r="CT182" s="279">
        <f>CT13/CN13-1</f>
        <v>0.25577865201900241</v>
      </c>
      <c r="CU182" s="279">
        <f>CU13/CO13-1</f>
        <v>0.25310222224910417</v>
      </c>
      <c r="CV182" s="279">
        <f>CV13/CP13-1</f>
        <v>0.2579057361922934</v>
      </c>
      <c r="CW182" s="872">
        <f>CW13/CQ13-1</f>
        <v>0.25197026122955735</v>
      </c>
      <c r="CX182" s="279"/>
      <c r="CY182" s="279">
        <f>CY13/CS13-1</f>
        <v>0.2333246700907079</v>
      </c>
      <c r="CZ182" s="279">
        <f>CZ13/CT13-1</f>
        <v>0.216559779898303</v>
      </c>
      <c r="DA182" s="279">
        <f>DA13/CU13-1</f>
        <v>0.20722666500610742</v>
      </c>
      <c r="DB182" s="279">
        <f>DB13/CV13-1</f>
        <v>0.19863437537334483</v>
      </c>
      <c r="DC182" s="872">
        <f>DC13/CW13-1</f>
        <v>0.21306900376105653</v>
      </c>
      <c r="DD182" s="279"/>
      <c r="DE182" s="279">
        <f>DE13/CY13-1</f>
        <v>0.20335266595534374</v>
      </c>
      <c r="DF182" s="279">
        <f>DF13/CZ13-1</f>
        <v>0.20343100551774795</v>
      </c>
      <c r="DG182" s="279">
        <f>DG13/DA13-1</f>
        <v>0.20327079799071091</v>
      </c>
      <c r="DH182" s="279">
        <f>DH13/DB13-1</f>
        <v>0.19743183649229779</v>
      </c>
      <c r="DI182" s="872">
        <f>DI13/DC13-1</f>
        <v>0.20175139306365919</v>
      </c>
      <c r="DJ182" s="279"/>
      <c r="DK182" s="279">
        <f>DK13/DE13-1</f>
        <v>0.19803493176609055</v>
      </c>
      <c r="DL182" s="279">
        <f>DL13/DF13-1</f>
        <v>0.19471116547219136</v>
      </c>
      <c r="DM182" s="279">
        <f>DM13/DG13-1</f>
        <v>0.19288840822141484</v>
      </c>
      <c r="DN182" s="279">
        <f>DN13/DH13-1</f>
        <v>0.19345772846656772</v>
      </c>
      <c r="DO182" s="872">
        <f>DO13/DI13-1</f>
        <v>0.19467568000523583</v>
      </c>
      <c r="DP182" s="260"/>
    </row>
    <row r="183" spans="1:120">
      <c r="A183" s="260" t="s">
        <v>86</v>
      </c>
      <c r="B183" s="869"/>
      <c r="C183" s="268" t="s">
        <v>88</v>
      </c>
      <c r="D183" s="268" t="s">
        <v>88</v>
      </c>
      <c r="E183" s="279">
        <f>E16/D16-1</f>
        <v>1.1694915254237288</v>
      </c>
      <c r="F183" s="260"/>
      <c r="G183" s="714" t="s">
        <v>88</v>
      </c>
      <c r="H183" s="714" t="s">
        <v>88</v>
      </c>
      <c r="I183" s="714" t="s">
        <v>88</v>
      </c>
      <c r="J183" s="714" t="s">
        <v>88</v>
      </c>
      <c r="K183" s="279">
        <f>K16/E16-1</f>
        <v>2.722098214285714</v>
      </c>
      <c r="L183" s="260"/>
      <c r="M183" s="279">
        <f>M16/G16-1</f>
        <v>2.6802218114602585</v>
      </c>
      <c r="N183" s="279">
        <f>N16/H16-1</f>
        <v>2.3404605263157898</v>
      </c>
      <c r="O183" s="279">
        <f>O16/I16-1</f>
        <v>1.3556618819776718</v>
      </c>
      <c r="P183" s="279">
        <f>P16/J16-1</f>
        <v>2.4881974248927037</v>
      </c>
      <c r="Q183" s="279">
        <f>Q16/K16-1</f>
        <v>2.0665667166416792</v>
      </c>
      <c r="R183" s="260"/>
      <c r="S183" s="279">
        <f>S16/M16-1</f>
        <v>0.86991461577096918</v>
      </c>
      <c r="T183" s="279">
        <f>T16/N16-1</f>
        <v>1.2471688823239782</v>
      </c>
      <c r="U183" s="279">
        <f>U16/O16-1</f>
        <v>0.6574136763710221</v>
      </c>
      <c r="V183" s="279">
        <f>V16/P16-1</f>
        <v>0.60412180867425413</v>
      </c>
      <c r="W183" s="279">
        <f>W16/Q16-1</f>
        <v>0.79896352791629988</v>
      </c>
      <c r="X183" s="260"/>
      <c r="Y183" s="279">
        <f>Y16/S16-1</f>
        <v>0.6081117378458234</v>
      </c>
      <c r="Z183" s="279">
        <f>Z16/T16-1</f>
        <v>0.38146362839614367</v>
      </c>
      <c r="AA183" s="279">
        <f>AA16/U16-1</f>
        <v>0.69260620915032689</v>
      </c>
      <c r="AB183" s="279">
        <f>AB16/V16-1</f>
        <v>0.65656759348034499</v>
      </c>
      <c r="AC183" s="279">
        <f>AC16/W16-1</f>
        <v>0.58810740297858466</v>
      </c>
      <c r="AD183" s="279"/>
      <c r="AE183" s="279">
        <f>AE16/Y16-1</f>
        <v>0.70252213128444962</v>
      </c>
      <c r="AF183" s="279">
        <f>AF16/Z16-1</f>
        <v>0.81982553528945301</v>
      </c>
      <c r="AG183" s="279">
        <f>AG16/AA16-1</f>
        <v>0.40219621093278612</v>
      </c>
      <c r="AH183" s="279">
        <f>AH16/AB16-1</f>
        <v>0.406528533395069</v>
      </c>
      <c r="AI183" s="871">
        <f>AI16/AC16-1</f>
        <v>0.55513724416455612</v>
      </c>
      <c r="AJ183" s="279"/>
      <c r="AK183" s="279">
        <f>AK16/AE16-1</f>
        <v>0.4443245364465811</v>
      </c>
      <c r="AL183" s="279">
        <f>AL16/AF16-1</f>
        <v>0.44509325431410129</v>
      </c>
      <c r="AM183" s="279">
        <f>AM16/AG16-1</f>
        <v>0.41368330464716019</v>
      </c>
      <c r="AN183" s="279">
        <f>AN16/AH16-1</f>
        <v>0.67796889144926342</v>
      </c>
      <c r="AO183" s="871">
        <f>AO16/AI16-1</f>
        <v>0.49916369558519302</v>
      </c>
      <c r="AP183" s="279"/>
      <c r="AQ183" s="279">
        <f>AQ16/AK16-1</f>
        <v>0.5134492596114657</v>
      </c>
      <c r="AR183" s="279">
        <f>AR16/AL16-1</f>
        <v>0.40866051504734324</v>
      </c>
      <c r="AS183" s="279">
        <f>AS16/AM16-1</f>
        <v>0.40524745845254762</v>
      </c>
      <c r="AT183" s="279">
        <f>AT16/AN16-1</f>
        <v>0.15125803129138249</v>
      </c>
      <c r="AU183" s="871">
        <f>AU16/AO16-1</f>
        <v>0.35344030299916307</v>
      </c>
      <c r="AV183" s="279"/>
      <c r="AW183" s="279">
        <f>AW16/AQ16-1</f>
        <v>3.9271127866792321E-2</v>
      </c>
      <c r="AX183" s="279">
        <f>AX16/AR16-1</f>
        <v>-3.1510896091107576E-2</v>
      </c>
      <c r="AY183" s="279">
        <f>AY16/AS16-1</f>
        <v>2.5775428868480388E-2</v>
      </c>
      <c r="AZ183" s="279">
        <f>AZ16/AT16-1</f>
        <v>0.13556000511225674</v>
      </c>
      <c r="BA183" s="871">
        <f>BA16/AU16-1</f>
        <v>4.2475188459244029E-2</v>
      </c>
      <c r="BB183" s="279"/>
      <c r="BC183" s="279">
        <f>BC16/AW16-1</f>
        <v>0.12718086025220243</v>
      </c>
      <c r="BD183" s="279">
        <f>BD16/AX16-1</f>
        <v>0.12377878962026445</v>
      </c>
      <c r="BE183" s="279">
        <f>BE16/AY16-1</f>
        <v>0.10388952236158633</v>
      </c>
      <c r="BF183" s="279">
        <f>BF16/AZ16-1</f>
        <v>6.2952541737009815E-2</v>
      </c>
      <c r="BG183" s="872">
        <f>BG16/BA16-1</f>
        <v>0.1028290206115845</v>
      </c>
      <c r="BH183" s="279"/>
      <c r="BI183" s="279">
        <f>BI16/BC16-1</f>
        <v>0.18233017892034797</v>
      </c>
      <c r="BJ183" s="279">
        <f>BJ16/BD16-1</f>
        <v>0.44459305298768736</v>
      </c>
      <c r="BK183" s="279">
        <f>BK16/BE16-1</f>
        <v>0.34197941772829887</v>
      </c>
      <c r="BL183" s="279">
        <f>BL16/BF16-1</f>
        <v>0.32862739561641896</v>
      </c>
      <c r="BM183" s="872">
        <f>BM16/BG16-1</f>
        <v>0.32370700228314808</v>
      </c>
      <c r="BN183" s="279"/>
      <c r="BO183" s="279">
        <f>BO16/BI16-1</f>
        <v>0.3041801685029164</v>
      </c>
      <c r="BP183" s="279">
        <f>BP16/BJ16-1</f>
        <v>0.20240721073986334</v>
      </c>
      <c r="BQ183" s="279">
        <f>BQ16/BK16-1</f>
        <v>0.36262044586350406</v>
      </c>
      <c r="BR183" s="279">
        <f>BR16/BL16-1</f>
        <v>0.30660928700456913</v>
      </c>
      <c r="BS183" s="872">
        <f>BS16/BM16-1</f>
        <v>0.29280496062150307</v>
      </c>
      <c r="BT183" s="279"/>
      <c r="BU183" s="279">
        <f>BU16/BO16-1</f>
        <v>0.25256540860188337</v>
      </c>
      <c r="BV183" s="279">
        <f>BV16/BP16-1</f>
        <v>0.22859860494610018</v>
      </c>
      <c r="BW183" s="279">
        <f>BW16/BQ16-1</f>
        <v>0.49709192853257478</v>
      </c>
      <c r="BX183" s="279">
        <f>BX16/BR16-1</f>
        <v>0.42806896271296702</v>
      </c>
      <c r="BY183" s="872">
        <f>BY16/BS16-1</f>
        <v>0.35875779410872899</v>
      </c>
      <c r="BZ183" s="279"/>
      <c r="CA183" s="279">
        <f>CA16/BU16-1</f>
        <v>0.57633103229389815</v>
      </c>
      <c r="CB183" s="279">
        <f>CB16/BV16-1</f>
        <v>0.58458986175115202</v>
      </c>
      <c r="CC183" s="279">
        <f>CC16/BW16-1</f>
        <v>0.32957880320858579</v>
      </c>
      <c r="CD183" s="279">
        <f>CD16/BX16-1</f>
        <v>0.41299241183923918</v>
      </c>
      <c r="CE183" s="872">
        <f>CE16/BY16-1</f>
        <v>0.45995512474590283</v>
      </c>
      <c r="CF183" s="279"/>
      <c r="CG183" s="279">
        <f>CG16/CA16-1</f>
        <v>0.3323937281353031</v>
      </c>
      <c r="CH183" s="279">
        <f>CH16/CB16-1</f>
        <v>0.31874970918058709</v>
      </c>
      <c r="CI183" s="279">
        <f>CI16/CC16-1</f>
        <v>0.21538332177166764</v>
      </c>
      <c r="CJ183" s="279">
        <f>CJ16/CD16-1</f>
        <v>0.27695717884130988</v>
      </c>
      <c r="CK183" s="872">
        <f>CK16/CE16-1</f>
        <v>0.28290376908582582</v>
      </c>
      <c r="CL183" s="279"/>
      <c r="CM183" s="279">
        <f>CM16/CG16-1</f>
        <v>0.33273517189270896</v>
      </c>
      <c r="CN183" s="279">
        <f>CN16/CH16-1</f>
        <v>0.32790543818638929</v>
      </c>
      <c r="CO183" s="279">
        <f>CO16/CI16-1</f>
        <v>0.39054257398343051</v>
      </c>
      <c r="CP183" s="279">
        <f>CP16/CJ16-1</f>
        <v>0.44658271394530447</v>
      </c>
      <c r="CQ183" s="872">
        <f>CQ16/CK16-1</f>
        <v>0.37728679836314516</v>
      </c>
      <c r="CR183" s="279"/>
      <c r="CS183" s="279">
        <f>CS16/CM16-1</f>
        <v>0.32287577067535955</v>
      </c>
      <c r="CT183" s="279">
        <f>CT16/CN16-1</f>
        <v>0.28266617066787125</v>
      </c>
      <c r="CU183" s="279">
        <f>CU16/CO16-1</f>
        <v>0.20470913093772158</v>
      </c>
      <c r="CV183" s="279">
        <f>CV16/CP16-1</f>
        <v>6.9085891009452505E-2</v>
      </c>
      <c r="CW183" s="872">
        <f>CW16/CQ16-1</f>
        <v>0.21028533499848212</v>
      </c>
      <c r="CX183" s="279"/>
      <c r="CY183" s="279">
        <f>CY16/CS16-1</f>
        <v>0.23097583748866479</v>
      </c>
      <c r="CZ183" s="279">
        <f>CZ16/CT16-1</f>
        <v>0.21883867377964195</v>
      </c>
      <c r="DA183" s="279">
        <f>DA16/CU16-1</f>
        <v>0.20874326554723788</v>
      </c>
      <c r="DB183" s="279">
        <f>DB16/CV16-1</f>
        <v>0.17755020920523679</v>
      </c>
      <c r="DC183" s="872">
        <f>DC16/CW16-1</f>
        <v>0.20872450752587746</v>
      </c>
      <c r="DD183" s="279"/>
      <c r="DE183" s="279">
        <f>DE16/CY16-1</f>
        <v>0.18698754763984504</v>
      </c>
      <c r="DF183" s="279">
        <f>DF16/CZ16-1</f>
        <v>0.19767034514241821</v>
      </c>
      <c r="DG183" s="279">
        <f>DG16/DA16-1</f>
        <v>0.20032593903180063</v>
      </c>
      <c r="DH183" s="279">
        <f>DH16/DB16-1</f>
        <v>0.17453976287078365</v>
      </c>
      <c r="DI183" s="872">
        <f>DI16/DC16-1</f>
        <v>0.1899596344258947</v>
      </c>
      <c r="DJ183" s="279"/>
      <c r="DK183" s="279">
        <f>DK16/DE16-1</f>
        <v>0.18357814847114362</v>
      </c>
      <c r="DL183" s="279">
        <f>DL16/DF16-1</f>
        <v>0.18774906681089831</v>
      </c>
      <c r="DM183" s="279">
        <f>DM16/DG16-1</f>
        <v>0.19378127162793346</v>
      </c>
      <c r="DN183" s="279">
        <f>DN16/DH16-1</f>
        <v>0.17357993311126418</v>
      </c>
      <c r="DO183" s="872">
        <f>DO16/DI16-1</f>
        <v>0.18478242674066592</v>
      </c>
      <c r="DP183" s="260"/>
    </row>
    <row r="184" spans="1:120">
      <c r="A184" s="260" t="s">
        <v>91</v>
      </c>
      <c r="B184" s="869"/>
      <c r="C184" s="268" t="s">
        <v>88</v>
      </c>
      <c r="D184" s="268" t="s">
        <v>88</v>
      </c>
      <c r="E184" s="714">
        <f>E19/D19-1</f>
        <v>3.1230910763569462</v>
      </c>
      <c r="F184" s="260"/>
      <c r="G184" s="714" t="s">
        <v>88</v>
      </c>
      <c r="H184" s="714" t="s">
        <v>88</v>
      </c>
      <c r="I184" s="714" t="s">
        <v>88</v>
      </c>
      <c r="J184" s="714" t="s">
        <v>88</v>
      </c>
      <c r="K184" s="714">
        <f>K19/E19-1</f>
        <v>1.275469677361774</v>
      </c>
      <c r="L184" s="260"/>
      <c r="M184" s="714">
        <f>M19/G19-1</f>
        <v>1.0225644316115923</v>
      </c>
      <c r="N184" s="714">
        <f>N19/H19-1</f>
        <v>0.81965833543717892</v>
      </c>
      <c r="O184" s="714">
        <f>O19/I19-1</f>
        <v>0.79226270171235313</v>
      </c>
      <c r="P184" s="714">
        <f>P19/J19-1</f>
        <v>0.93068225619940903</v>
      </c>
      <c r="Q184" s="714">
        <f>Q19/K19-1</f>
        <v>0.88313623972857958</v>
      </c>
      <c r="R184" s="260"/>
      <c r="S184" s="714">
        <f>S19/M19-1</f>
        <v>0.8420663036006979</v>
      </c>
      <c r="T184" s="714">
        <f>T19/N19-1</f>
        <v>0.87675160708504873</v>
      </c>
      <c r="U184" s="714">
        <f>U19/O19-1</f>
        <v>0.8227962569788474</v>
      </c>
      <c r="V184" s="714">
        <f>V19/P19-1</f>
        <v>0.81659068978138594</v>
      </c>
      <c r="W184" s="714">
        <f>W19/Q19-1</f>
        <v>0.83679951678243758</v>
      </c>
      <c r="X184" s="260"/>
      <c r="Y184" s="714">
        <f>Y19/S19-1</f>
        <v>0.84210224174057791</v>
      </c>
      <c r="Z184" s="714">
        <f>Z19/T19-1</f>
        <v>0.77282472092851351</v>
      </c>
      <c r="AA184" s="714">
        <f>AA19/U19-1</f>
        <v>0.78324453743448141</v>
      </c>
      <c r="AB184" s="714">
        <f>AB19/V19-1</f>
        <v>0.66802212697366015</v>
      </c>
      <c r="AC184" s="714">
        <f>AC19/W19-1</f>
        <v>0.75680793763288468</v>
      </c>
      <c r="AD184" s="714"/>
      <c r="AE184" s="714">
        <f>AE19/Y19-1</f>
        <v>0.63120744191844436</v>
      </c>
      <c r="AF184" s="714">
        <f>AF19/Z19-1</f>
        <v>0.64209165589424932</v>
      </c>
      <c r="AG184" s="714">
        <f>AG19/AA19-1</f>
        <v>0.57310125433938519</v>
      </c>
      <c r="AH184" s="714">
        <f>AH19/AB19-1</f>
        <v>0.58374330141439001</v>
      </c>
      <c r="AI184" s="715">
        <f>AI19/AC19-1</f>
        <v>0.6042819752337365</v>
      </c>
      <c r="AJ184" s="714"/>
      <c r="AK184" s="714">
        <f>AK19/AE19-1</f>
        <v>0.55142043826299614</v>
      </c>
      <c r="AL184" s="714">
        <f>AL19/AF19-1</f>
        <v>0.4946968350305152</v>
      </c>
      <c r="AM184" s="714">
        <f>AM19/AG19-1</f>
        <v>0.48249559794852859</v>
      </c>
      <c r="AN184" s="714">
        <f>AN19/AH19-1</f>
        <v>0.50397304156092693</v>
      </c>
      <c r="AO184" s="715">
        <f>AO19/AI19-1</f>
        <v>0.506141646114046</v>
      </c>
      <c r="AP184" s="714"/>
      <c r="AQ184" s="714">
        <f>AQ19/AK19-1</f>
        <v>0.52465335073763031</v>
      </c>
      <c r="AR184" s="714">
        <f>AR19/AL19-1</f>
        <v>0.48985439944727305</v>
      </c>
      <c r="AS184" s="714">
        <f>AS19/AM19-1</f>
        <v>0.43403888943636759</v>
      </c>
      <c r="AT184" s="714">
        <f>AT19/AN19-1</f>
        <v>0.3350621928392945</v>
      </c>
      <c r="AU184" s="715">
        <f>AU19/AO19-1</f>
        <v>0.43818485374649407</v>
      </c>
      <c r="AV184" s="714"/>
      <c r="AW184" s="714">
        <f>AW19/AQ19-1</f>
        <v>0.23140916396766031</v>
      </c>
      <c r="AX184" s="714">
        <f>AX19/AR19-1</f>
        <v>0.20140111070142952</v>
      </c>
      <c r="AY184" s="714">
        <f>AY19/AS19-1</f>
        <v>0.19553179715502012</v>
      </c>
      <c r="AZ184" s="714">
        <f>AZ19/AT19-1</f>
        <v>0.2226166591270895</v>
      </c>
      <c r="BA184" s="715">
        <f>BA19/AU19-1</f>
        <v>0.21250054561377607</v>
      </c>
      <c r="BB184" s="714"/>
      <c r="BC184" s="714">
        <f>BC19/AW19-1</f>
        <v>0.23576038619459272</v>
      </c>
      <c r="BD184" s="714">
        <f>BD19/AX19-1</f>
        <v>0.24777179088846779</v>
      </c>
      <c r="BE184" s="714">
        <f>BE19/AY19-1</f>
        <v>0.29810406324024585</v>
      </c>
      <c r="BF184" s="714">
        <f>BF19/AZ19-1</f>
        <v>0.29040613022491235</v>
      </c>
      <c r="BG184" s="873">
        <f>BG19/BA19-1</f>
        <v>0.26927127574424592</v>
      </c>
      <c r="BH184" s="714"/>
      <c r="BI184" s="714">
        <f>BI19/BC19-1</f>
        <v>0.3384994679058313</v>
      </c>
      <c r="BJ184" s="714">
        <f>BJ19/BD19-1</f>
        <v>0.38448469972513255</v>
      </c>
      <c r="BK184" s="714">
        <f>BK19/BE19-1</f>
        <v>0.36163528608417406</v>
      </c>
      <c r="BL184" s="714">
        <f>BL19/BF19-1</f>
        <v>0.38314432865582337</v>
      </c>
      <c r="BM184" s="873">
        <f>BM19/BG19-1</f>
        <v>0.36774223526209959</v>
      </c>
      <c r="BN184" s="714"/>
      <c r="BO184" s="714">
        <f>BO19/BI19-1</f>
        <v>0.37889896979165827</v>
      </c>
      <c r="BP184" s="714">
        <f>BP19/BJ19-1</f>
        <v>0.34001157504917567</v>
      </c>
      <c r="BQ184" s="714">
        <f>BQ19/BK19-1</f>
        <v>0.34939581693081845</v>
      </c>
      <c r="BR184" s="714">
        <f>BR19/BL19-1</f>
        <v>0.3208796147570947</v>
      </c>
      <c r="BS184" s="873">
        <f>BS19/BM19-1</f>
        <v>0.34575006209908588</v>
      </c>
      <c r="BT184" s="714"/>
      <c r="BU184" s="714">
        <f>BU19/BO19-1</f>
        <v>0.28350158957937621</v>
      </c>
      <c r="BV184" s="714">
        <f>BV19/BP19-1</f>
        <v>0.30813272484483689</v>
      </c>
      <c r="BW184" s="714">
        <f>BW19/BQ19-1</f>
        <v>0.36483603459166569</v>
      </c>
      <c r="BX184" s="714">
        <f>BX19/BR19-1</f>
        <v>0.37207148599285222</v>
      </c>
      <c r="BY184" s="873">
        <f>BY19/BS19-1</f>
        <v>0.33466975062250137</v>
      </c>
      <c r="BZ184" s="714"/>
      <c r="CA184" s="714">
        <f>CA19/BU19-1</f>
        <v>0.3743296517157666</v>
      </c>
      <c r="CB184" s="714">
        <f>CB19/BV19-1</f>
        <v>0.37766091940812485</v>
      </c>
      <c r="CC184" s="714">
        <f>CC19/BW19-1</f>
        <v>0.28588408916446872</v>
      </c>
      <c r="CD184" s="714">
        <f>CD19/BX19-1</f>
        <v>0.26139977402156056</v>
      </c>
      <c r="CE184" s="873">
        <f>CE19/BY19-1</f>
        <v>0.31996611154548393</v>
      </c>
      <c r="CF184" s="714"/>
      <c r="CG184" s="714">
        <f>CG19/CA19-1</f>
        <v>0.23182384338736139</v>
      </c>
      <c r="CH184" s="714">
        <f>CH19/CB19-1</f>
        <v>0.2397578857397249</v>
      </c>
      <c r="CI184" s="714">
        <f>CI19/CC19-1</f>
        <v>0.23727880143532909</v>
      </c>
      <c r="CJ184" s="714">
        <f>CJ19/CD19-1</f>
        <v>0.25251833023214609</v>
      </c>
      <c r="CK184" s="873">
        <f>CK19/CE19-1</f>
        <v>0.24073867990574627</v>
      </c>
      <c r="CL184" s="714"/>
      <c r="CM184" s="714">
        <f>CM19/CG19-1</f>
        <v>0.26829331238704923</v>
      </c>
      <c r="CN184" s="714">
        <f>CN19/CH19-1</f>
        <v>0.24587871417350393</v>
      </c>
      <c r="CO184" s="714">
        <f>CO19/CI19-1</f>
        <v>0.25281328436821493</v>
      </c>
      <c r="CP184" s="714">
        <f>CP19/CJ19-1</f>
        <v>0.26781835726578662</v>
      </c>
      <c r="CQ184" s="873">
        <f>CQ19/CK19-1</f>
        <v>0.25869388362398937</v>
      </c>
      <c r="CR184" s="714"/>
      <c r="CS184" s="714">
        <f>CS19/CM19-1</f>
        <v>0.24573477136370947</v>
      </c>
      <c r="CT184" s="714">
        <f>CT19/CN19-1</f>
        <v>0.25776606118575018</v>
      </c>
      <c r="CU184" s="714">
        <f>CU19/CO19-1</f>
        <v>0.24947418726906068</v>
      </c>
      <c r="CV184" s="714">
        <f>CV19/CP19-1</f>
        <v>0.242815132424407</v>
      </c>
      <c r="CW184" s="873">
        <f>CW19/CQ19-1</f>
        <v>0.24881219983260205</v>
      </c>
      <c r="CX184" s="714"/>
      <c r="CY184" s="714">
        <f>CY19/CS19-1</f>
        <v>0.23314102844758078</v>
      </c>
      <c r="CZ184" s="714">
        <f>CZ19/CT19-1</f>
        <v>0.21673156062485521</v>
      </c>
      <c r="DA184" s="714">
        <f>DA19/CU19-1</f>
        <v>0.20733629117080232</v>
      </c>
      <c r="DB184" s="714">
        <f>DB19/CV19-1</f>
        <v>0.19718486450946715</v>
      </c>
      <c r="DC184" s="873">
        <f>DC19/CW19-1</f>
        <v>0.2127500177812629</v>
      </c>
      <c r="DD184" s="714"/>
      <c r="DE184" s="714">
        <f>DE19/CY19-1</f>
        <v>0.20207541853607958</v>
      </c>
      <c r="DF184" s="714">
        <f>DF19/CZ19-1</f>
        <v>0.20299602074179024</v>
      </c>
      <c r="DG184" s="714">
        <f>DG19/DA19-1</f>
        <v>0.20305768333069318</v>
      </c>
      <c r="DH184" s="714">
        <f>DH19/DB19-1</f>
        <v>0.19588384562318462</v>
      </c>
      <c r="DI184" s="873">
        <f>DI19/DC19-1</f>
        <v>0.20088848050592767</v>
      </c>
      <c r="DJ184" s="714"/>
      <c r="DK184" s="714">
        <f>DK19/DE19-1</f>
        <v>0.19692078603125918</v>
      </c>
      <c r="DL184" s="714">
        <f>DL19/DF19-1</f>
        <v>0.19418778795264946</v>
      </c>
      <c r="DM184" s="714">
        <f>DM19/DG19-1</f>
        <v>0.19295287657664995</v>
      </c>
      <c r="DN184" s="714">
        <f>DN19/DH19-1</f>
        <v>0.19213755742988692</v>
      </c>
      <c r="DO184" s="873">
        <f>DO19/DI19-1</f>
        <v>0.19395828741640364</v>
      </c>
      <c r="DP184" s="260"/>
    </row>
    <row r="185" spans="1:120" ht="5.25" customHeight="1">
      <c r="A185" s="255"/>
      <c r="B185" s="744"/>
      <c r="C185" s="669"/>
      <c r="D185" s="669"/>
      <c r="E185" s="669"/>
      <c r="F185" s="669"/>
      <c r="G185" s="669"/>
      <c r="H185" s="669"/>
      <c r="I185" s="669"/>
      <c r="J185" s="669"/>
      <c r="K185" s="669"/>
      <c r="L185" s="669"/>
      <c r="M185" s="669"/>
      <c r="N185" s="669"/>
      <c r="O185" s="669"/>
      <c r="P185" s="669"/>
      <c r="Q185" s="669"/>
      <c r="R185" s="669"/>
      <c r="S185" s="669"/>
      <c r="T185" s="669"/>
      <c r="U185" s="669"/>
      <c r="V185" s="669"/>
      <c r="W185" s="669"/>
      <c r="X185" s="669"/>
      <c r="Y185" s="669"/>
      <c r="Z185" s="669"/>
      <c r="AA185" s="669"/>
      <c r="AB185" s="669"/>
      <c r="AC185" s="669"/>
      <c r="AD185" s="669"/>
      <c r="AE185" s="669"/>
      <c r="AF185" s="669"/>
      <c r="AG185" s="669"/>
      <c r="AH185" s="669"/>
      <c r="AI185" s="670"/>
      <c r="AJ185" s="669"/>
      <c r="AK185" s="669"/>
      <c r="AL185" s="669"/>
      <c r="AM185" s="669"/>
      <c r="AN185" s="669"/>
      <c r="AO185" s="670"/>
      <c r="AP185" s="669"/>
      <c r="AQ185" s="669"/>
      <c r="AR185" s="669"/>
      <c r="AS185" s="669"/>
      <c r="AT185" s="669"/>
      <c r="AU185" s="670"/>
      <c r="AV185" s="669"/>
      <c r="AW185" s="669"/>
      <c r="AX185" s="669"/>
      <c r="AY185" s="669"/>
      <c r="AZ185" s="669"/>
      <c r="BA185" s="670"/>
      <c r="BB185" s="669"/>
      <c r="BC185" s="669"/>
      <c r="BD185" s="669"/>
      <c r="BE185" s="669"/>
      <c r="BF185" s="669"/>
      <c r="BG185" s="860"/>
      <c r="BH185" s="669"/>
      <c r="BI185" s="669"/>
      <c r="BJ185" s="669"/>
      <c r="BK185" s="669"/>
      <c r="BL185" s="669"/>
      <c r="BM185" s="860"/>
      <c r="BN185" s="669"/>
      <c r="BO185" s="669"/>
      <c r="BP185" s="669"/>
      <c r="BQ185" s="669"/>
      <c r="BR185" s="669"/>
      <c r="BS185" s="860"/>
      <c r="BT185" s="669"/>
      <c r="BU185" s="669"/>
      <c r="BV185" s="669"/>
      <c r="BW185" s="669"/>
      <c r="BX185" s="669"/>
      <c r="BY185" s="860"/>
      <c r="BZ185" s="669"/>
      <c r="CA185" s="669"/>
      <c r="CB185" s="669"/>
      <c r="CC185" s="669"/>
      <c r="CD185" s="669"/>
      <c r="CE185" s="860"/>
      <c r="CF185" s="669"/>
      <c r="CG185" s="669"/>
      <c r="CH185" s="669"/>
      <c r="CI185" s="669"/>
      <c r="CJ185" s="669"/>
      <c r="CK185" s="860"/>
      <c r="CL185" s="669"/>
      <c r="CM185" s="669"/>
      <c r="CN185" s="669"/>
      <c r="CO185" s="669"/>
      <c r="CP185" s="669"/>
      <c r="CQ185" s="860"/>
      <c r="CR185" s="669"/>
      <c r="CS185" s="669"/>
      <c r="CT185" s="669"/>
      <c r="CU185" s="669"/>
      <c r="CV185" s="669"/>
      <c r="CW185" s="860"/>
      <c r="CX185" s="669"/>
      <c r="CY185" s="669"/>
      <c r="CZ185" s="669"/>
      <c r="DA185" s="669"/>
      <c r="DB185" s="669"/>
      <c r="DC185" s="860"/>
      <c r="DD185" s="669"/>
      <c r="DE185" s="669"/>
      <c r="DF185" s="669"/>
      <c r="DG185" s="669"/>
      <c r="DH185" s="669"/>
      <c r="DI185" s="860"/>
      <c r="DJ185" s="669"/>
      <c r="DK185" s="669"/>
      <c r="DL185" s="669"/>
      <c r="DM185" s="669"/>
      <c r="DN185" s="669"/>
      <c r="DO185" s="860"/>
      <c r="DP185" s="669"/>
    </row>
    <row r="186" spans="1:120">
      <c r="A186" s="260" t="s">
        <v>256</v>
      </c>
      <c r="B186" s="869"/>
      <c r="C186" s="268" t="s">
        <v>88</v>
      </c>
      <c r="D186" s="268" t="s">
        <v>88</v>
      </c>
      <c r="E186" s="714">
        <f>E24/D24-1</f>
        <v>1.1491329479768786</v>
      </c>
      <c r="F186" s="260"/>
      <c r="G186" s="714" t="s">
        <v>88</v>
      </c>
      <c r="H186" s="714" t="s">
        <v>88</v>
      </c>
      <c r="I186" s="714" t="s">
        <v>88</v>
      </c>
      <c r="J186" s="714" t="s">
        <v>88</v>
      </c>
      <c r="K186" s="714">
        <f>K24/E24-1</f>
        <v>0.93625605164066705</v>
      </c>
      <c r="L186" s="260"/>
      <c r="M186" s="714">
        <f t="shared" ref="M186:S187" si="17">M24/G24-1</f>
        <v>0.10062026188835271</v>
      </c>
      <c r="N186" s="714">
        <f t="shared" si="17"/>
        <v>0.19907712590639415</v>
      </c>
      <c r="O186" s="714">
        <f t="shared" si="17"/>
        <v>-8.8860544217687076E-2</v>
      </c>
      <c r="P186" s="714">
        <f t="shared" si="17"/>
        <v>0.18307610431080357</v>
      </c>
      <c r="Q186" s="714">
        <f t="shared" si="17"/>
        <v>8.0983469926378504E-2</v>
      </c>
      <c r="R186" s="260"/>
      <c r="S186" s="714">
        <f t="shared" si="17"/>
        <v>0.42892924232936758</v>
      </c>
      <c r="T186" s="714">
        <f t="shared" ref="T186:W187" si="18">T24/N24-1</f>
        <v>0.48378229796591521</v>
      </c>
      <c r="U186" s="714">
        <f t="shared" si="18"/>
        <v>0.65468968735417654</v>
      </c>
      <c r="V186" s="714">
        <f t="shared" si="18"/>
        <v>0.88933873144399489</v>
      </c>
      <c r="W186" s="714">
        <f t="shared" si="18"/>
        <v>0.63544076072988975</v>
      </c>
      <c r="X186" s="260"/>
      <c r="Y186" s="714">
        <f t="shared" ref="Y186:AC187" si="19">Y24/S24-1</f>
        <v>1.3382997370727434</v>
      </c>
      <c r="Z186" s="714">
        <f t="shared" si="19"/>
        <v>1.9688773619859208</v>
      </c>
      <c r="AA186" s="714">
        <f t="shared" si="19"/>
        <v>1.8395375070501978</v>
      </c>
      <c r="AB186" s="714">
        <f t="shared" si="19"/>
        <v>1.628333333333333</v>
      </c>
      <c r="AC186" s="714">
        <f t="shared" si="19"/>
        <v>1.7073937298656401</v>
      </c>
      <c r="AD186" s="714"/>
      <c r="AE186" s="714">
        <f t="shared" ref="AE186:AI187" si="20">AE24/Y24-1</f>
        <v>1.2711769115442277</v>
      </c>
      <c r="AF186" s="714">
        <f t="shared" si="20"/>
        <v>0.90839885186571823</v>
      </c>
      <c r="AG186" s="714">
        <f t="shared" si="20"/>
        <v>0.65140530340649505</v>
      </c>
      <c r="AH186" s="714">
        <f t="shared" si="20"/>
        <v>0.47395597427303215</v>
      </c>
      <c r="AI186" s="715">
        <f t="shared" si="20"/>
        <v>0.75029747221174214</v>
      </c>
      <c r="AJ186" s="714"/>
      <c r="AK186" s="714">
        <f t="shared" ref="AK186:AO187" si="21">AK24/AE24-1</f>
        <v>0.62422642132189132</v>
      </c>
      <c r="AL186" s="714">
        <f t="shared" si="21"/>
        <v>0.36509285901124766</v>
      </c>
      <c r="AM186" s="714">
        <f t="shared" si="21"/>
        <v>0.34634351695934562</v>
      </c>
      <c r="AN186" s="714">
        <f t="shared" si="21"/>
        <v>0.44563948128572295</v>
      </c>
      <c r="AO186" s="715">
        <f t="shared" si="21"/>
        <v>0.43372575029016724</v>
      </c>
      <c r="AP186" s="714"/>
      <c r="AQ186" s="714">
        <f t="shared" ref="AQ186:AU187" si="22">AQ24/AK24-1</f>
        <v>0.39250152408047145</v>
      </c>
      <c r="AR186" s="714">
        <f t="shared" si="22"/>
        <v>0.40685029940119755</v>
      </c>
      <c r="AS186" s="714">
        <f t="shared" si="22"/>
        <v>0.33666860231384277</v>
      </c>
      <c r="AT186" s="714">
        <f t="shared" si="22"/>
        <v>0.37658362384151034</v>
      </c>
      <c r="AU186" s="715">
        <f t="shared" si="22"/>
        <v>0.37717999722440676</v>
      </c>
      <c r="AV186" s="714"/>
      <c r="AW186" s="714">
        <f t="shared" ref="AW186:BA187" si="23">AW24/AQ24-1</f>
        <v>0.26698285297336732</v>
      </c>
      <c r="AX186" s="714">
        <f t="shared" si="23"/>
        <v>0.25207709071097772</v>
      </c>
      <c r="AY186" s="714">
        <f t="shared" si="23"/>
        <v>0.28809651116160917</v>
      </c>
      <c r="AZ186" s="714">
        <f t="shared" si="23"/>
        <v>0.22050648548486729</v>
      </c>
      <c r="BA186" s="715">
        <f t="shared" si="23"/>
        <v>0.25597487445625711</v>
      </c>
      <c r="BB186" s="714"/>
      <c r="BC186" s="714">
        <f t="shared" ref="BC186:BG187" si="24">BC24/AW24-1</f>
        <v>0.19652729785763645</v>
      </c>
      <c r="BD186" s="714">
        <f t="shared" si="24"/>
        <v>0.24541078567349306</v>
      </c>
      <c r="BE186" s="714">
        <f t="shared" si="24"/>
        <v>0.34211960046698686</v>
      </c>
      <c r="BF186" s="714">
        <f t="shared" si="24"/>
        <v>0.40169534412955454</v>
      </c>
      <c r="BG186" s="873">
        <f t="shared" si="24"/>
        <v>0.30027947901901553</v>
      </c>
      <c r="BH186" s="714"/>
      <c r="BI186" s="714">
        <f t="shared" ref="BI186:BM187" si="25">BI24/BC24-1</f>
        <v>0.59189468871080275</v>
      </c>
      <c r="BJ186" s="714">
        <f t="shared" si="25"/>
        <v>0.58905994104159842</v>
      </c>
      <c r="BK186" s="714">
        <f t="shared" si="25"/>
        <v>0.52395035954534896</v>
      </c>
      <c r="BL186" s="714">
        <f t="shared" si="25"/>
        <v>0.49712067876162114</v>
      </c>
      <c r="BM186" s="873">
        <f t="shared" si="25"/>
        <v>0.54615760380511591</v>
      </c>
      <c r="BN186" s="714"/>
      <c r="BO186" s="714">
        <f t="shared" ref="BO186:BS187" si="26">BO24/BI24-1</f>
        <v>0.38017778315292983</v>
      </c>
      <c r="BP186" s="714">
        <f t="shared" si="26"/>
        <v>0.38586799686688367</v>
      </c>
      <c r="BQ186" s="714">
        <f t="shared" si="26"/>
        <v>0.40715653817370034</v>
      </c>
      <c r="BR186" s="714">
        <f t="shared" si="26"/>
        <v>0.37285519636332976</v>
      </c>
      <c r="BS186" s="873">
        <f t="shared" si="26"/>
        <v>0.38660875522549887</v>
      </c>
      <c r="BT186" s="714"/>
      <c r="BU186" s="714">
        <f t="shared" ref="BU186:BY187" si="27">BU24/BO24-1</f>
        <v>0.44853005608131813</v>
      </c>
      <c r="BV186" s="714">
        <f t="shared" si="27"/>
        <v>0.37190508770364183</v>
      </c>
      <c r="BW186" s="714">
        <f t="shared" si="27"/>
        <v>0.48702855700584124</v>
      </c>
      <c r="BX186" s="714">
        <f t="shared" si="27"/>
        <v>0.46639146282552346</v>
      </c>
      <c r="BY186" s="873">
        <f t="shared" si="27"/>
        <v>0.44511654010908108</v>
      </c>
      <c r="BZ186" s="714"/>
      <c r="CA186" s="714">
        <f t="shared" ref="CA186:CE187" si="28">CA24/BU24-1</f>
        <v>0.36318953457597636</v>
      </c>
      <c r="CB186" s="714">
        <f t="shared" si="28"/>
        <v>0.42851877014701012</v>
      </c>
      <c r="CC186" s="714">
        <f t="shared" si="28"/>
        <v>0.32388688509683883</v>
      </c>
      <c r="CD186" s="714">
        <f t="shared" si="28"/>
        <v>0.42565106974292632</v>
      </c>
      <c r="CE186" s="873">
        <f t="shared" si="28"/>
        <v>0.38473820129986525</v>
      </c>
      <c r="CF186" s="714"/>
      <c r="CG186" s="714">
        <f t="shared" ref="CG186:CK187" si="29">CG24/CA24-1</f>
        <v>0.41201497711829149</v>
      </c>
      <c r="CH186" s="714">
        <f t="shared" si="29"/>
        <v>0.375674814188933</v>
      </c>
      <c r="CI186" s="714">
        <f t="shared" si="29"/>
        <v>0.29466791822157101</v>
      </c>
      <c r="CJ186" s="714">
        <f t="shared" si="29"/>
        <v>0.25556568538070179</v>
      </c>
      <c r="CK186" s="873">
        <f t="shared" si="29"/>
        <v>0.32805769364454207</v>
      </c>
      <c r="CL186" s="714"/>
      <c r="CM186" s="714">
        <f t="shared" ref="CM186:CQ187" si="30">CM24/CG24-1</f>
        <v>0.23202423090068391</v>
      </c>
      <c r="CN186" s="714">
        <f t="shared" si="30"/>
        <v>0.23354713900065449</v>
      </c>
      <c r="CO186" s="714">
        <f t="shared" si="30"/>
        <v>0.32506215760267909</v>
      </c>
      <c r="CP186" s="714">
        <f t="shared" si="30"/>
        <v>0.35520710989757442</v>
      </c>
      <c r="CQ186" s="873">
        <f t="shared" si="30"/>
        <v>0.28936265453964571</v>
      </c>
      <c r="CR186" s="714"/>
      <c r="CS186" s="714">
        <f t="shared" ref="CS186:CW187" si="31">CS24/CM24-1</f>
        <v>0.33710974991470377</v>
      </c>
      <c r="CT186" s="714">
        <f t="shared" si="31"/>
        <v>0.29486074794498496</v>
      </c>
      <c r="CU186" s="714">
        <f t="shared" si="31"/>
        <v>0.25934180323493305</v>
      </c>
      <c r="CV186" s="714">
        <f t="shared" si="31"/>
        <v>0.21784916235602036</v>
      </c>
      <c r="CW186" s="873">
        <f t="shared" si="31"/>
        <v>0.27298892611836001</v>
      </c>
      <c r="CX186" s="714"/>
      <c r="CY186" s="714">
        <f t="shared" ref="CY186:DC187" si="32">CY24/CS24-1</f>
        <v>0.20095873196248126</v>
      </c>
      <c r="CZ186" s="714">
        <f t="shared" si="32"/>
        <v>0.18338623861726822</v>
      </c>
      <c r="DA186" s="714">
        <f t="shared" si="32"/>
        <v>0.17542119013832513</v>
      </c>
      <c r="DB186" s="714">
        <f t="shared" si="32"/>
        <v>0.16637415188336324</v>
      </c>
      <c r="DC186" s="873">
        <f t="shared" si="32"/>
        <v>0.18075780600815938</v>
      </c>
      <c r="DD186" s="714"/>
      <c r="DE186" s="714">
        <f t="shared" ref="DE186:DE187" si="33">DE24/CY24-1</f>
        <v>0.17740830207592673</v>
      </c>
      <c r="DF186" s="714">
        <f t="shared" ref="DF186:DF187" si="34">DF24/CZ24-1</f>
        <v>0.17644264493848971</v>
      </c>
      <c r="DG186" s="714">
        <f t="shared" ref="DG186:DG187" si="35">DG24/DA24-1</f>
        <v>0.17722355674938117</v>
      </c>
      <c r="DH186" s="714">
        <f t="shared" ref="DH186:DH187" si="36">DH24/DB24-1</f>
        <v>0.17093644916096173</v>
      </c>
      <c r="DI186" s="873">
        <f t="shared" ref="DI186:DI187" si="37">DI24/DC24-1</f>
        <v>0.17539567446541282</v>
      </c>
      <c r="DJ186" s="714"/>
      <c r="DK186" s="714">
        <f t="shared" ref="DK186:DK187" si="38">DK24/DE24-1</f>
        <v>0.17163605708923457</v>
      </c>
      <c r="DL186" s="714">
        <f t="shared" ref="DL186:DL187" si="39">DL24/DF24-1</f>
        <v>0.16730371313224679</v>
      </c>
      <c r="DM186" s="714">
        <f t="shared" ref="DM186:DM187" si="40">DM24/DG24-1</f>
        <v>0.1664945665718931</v>
      </c>
      <c r="DN186" s="714">
        <f t="shared" ref="DN186:DN187" si="41">DN24/DH24-1</f>
        <v>0.16645274044868041</v>
      </c>
      <c r="DO186" s="873">
        <f t="shared" ref="DO186:DO187" si="42">DO24/DI24-1</f>
        <v>0.16788504571659613</v>
      </c>
      <c r="DP186" s="260"/>
    </row>
    <row r="187" spans="1:120">
      <c r="A187" s="260" t="s">
        <v>2</v>
      </c>
      <c r="B187" s="869"/>
      <c r="C187" s="268" t="s">
        <v>88</v>
      </c>
      <c r="D187" s="268" t="s">
        <v>88</v>
      </c>
      <c r="E187" s="714">
        <f>E25/D25-1</f>
        <v>0.37647754137115852</v>
      </c>
      <c r="F187" s="260"/>
      <c r="G187" s="714" t="s">
        <v>88</v>
      </c>
      <c r="H187" s="714" t="s">
        <v>88</v>
      </c>
      <c r="I187" s="714" t="s">
        <v>88</v>
      </c>
      <c r="J187" s="714" t="s">
        <v>88</v>
      </c>
      <c r="K187" s="714">
        <f>K25/E25-1</f>
        <v>0.35852297123228838</v>
      </c>
      <c r="L187" s="260"/>
      <c r="M187" s="714">
        <f t="shared" si="17"/>
        <v>5.0205479452054798</v>
      </c>
      <c r="N187" s="714">
        <f t="shared" si="17"/>
        <v>2.163779527559055</v>
      </c>
      <c r="O187" s="714">
        <f t="shared" si="17"/>
        <v>1.9394644935972059</v>
      </c>
      <c r="P187" s="714">
        <f t="shared" si="17"/>
        <v>1.3214804063860668</v>
      </c>
      <c r="Q187" s="714">
        <f t="shared" si="17"/>
        <v>1.99968394437421</v>
      </c>
      <c r="R187" s="260"/>
      <c r="S187" s="714">
        <f t="shared" si="17"/>
        <v>1.3213879408418658</v>
      </c>
      <c r="T187" s="714">
        <f t="shared" si="18"/>
        <v>1.7292185166749627</v>
      </c>
      <c r="U187" s="714">
        <f t="shared" si="18"/>
        <v>1.1223762376237625</v>
      </c>
      <c r="V187" s="714">
        <f t="shared" si="18"/>
        <v>0.81431697405439207</v>
      </c>
      <c r="W187" s="714">
        <f t="shared" si="18"/>
        <v>1.1838583921609946</v>
      </c>
      <c r="X187" s="260"/>
      <c r="Y187" s="714">
        <f t="shared" si="19"/>
        <v>0.62435677530017131</v>
      </c>
      <c r="Z187" s="714">
        <f t="shared" si="19"/>
        <v>0.49990880904614277</v>
      </c>
      <c r="AA187" s="714">
        <f t="shared" si="19"/>
        <v>0.77551782048889728</v>
      </c>
      <c r="AB187" s="714">
        <f t="shared" si="19"/>
        <v>0.77481047553411431</v>
      </c>
      <c r="AC187" s="714">
        <f t="shared" si="19"/>
        <v>0.67264920152458174</v>
      </c>
      <c r="AD187" s="714"/>
      <c r="AE187" s="714">
        <f t="shared" si="20"/>
        <v>0.69075275305475947</v>
      </c>
      <c r="AF187" s="714">
        <f t="shared" si="20"/>
        <v>0.44868677042801552</v>
      </c>
      <c r="AG187" s="714">
        <f t="shared" si="20"/>
        <v>0.411245401996847</v>
      </c>
      <c r="AH187" s="714">
        <f t="shared" si="20"/>
        <v>0.5472284244248129</v>
      </c>
      <c r="AI187" s="715">
        <f t="shared" si="20"/>
        <v>0.51397502091205371</v>
      </c>
      <c r="AJ187" s="714"/>
      <c r="AK187" s="714">
        <f t="shared" si="21"/>
        <v>0.53542112776588136</v>
      </c>
      <c r="AL187" s="714">
        <f t="shared" si="21"/>
        <v>0.43293604163169386</v>
      </c>
      <c r="AM187" s="714">
        <f t="shared" si="21"/>
        <v>0.36878165028299081</v>
      </c>
      <c r="AN187" s="714">
        <f t="shared" si="21"/>
        <v>0.23829840632450727</v>
      </c>
      <c r="AO187" s="715">
        <f t="shared" si="21"/>
        <v>0.37930574607529333</v>
      </c>
      <c r="AP187" s="714"/>
      <c r="AQ187" s="714">
        <f t="shared" si="22"/>
        <v>0.1571270846650008</v>
      </c>
      <c r="AR187" s="714">
        <f t="shared" si="22"/>
        <v>0.21637769447047783</v>
      </c>
      <c r="AS187" s="714">
        <f t="shared" si="22"/>
        <v>0.14836779107725784</v>
      </c>
      <c r="AT187" s="714">
        <f t="shared" si="22"/>
        <v>4.1345764085934489E-2</v>
      </c>
      <c r="AU187" s="715">
        <f t="shared" si="22"/>
        <v>0.13731231957125289</v>
      </c>
      <c r="AV187" s="714"/>
      <c r="AW187" s="714">
        <f t="shared" si="23"/>
        <v>0.16084969617837586</v>
      </c>
      <c r="AX187" s="714">
        <f t="shared" si="23"/>
        <v>-1.9840123278435873E-2</v>
      </c>
      <c r="AY187" s="714">
        <f t="shared" si="23"/>
        <v>3.4254038944425913E-2</v>
      </c>
      <c r="AZ187" s="714">
        <f t="shared" si="23"/>
        <v>8.9091086025690824E-2</v>
      </c>
      <c r="BA187" s="715">
        <f t="shared" si="23"/>
        <v>6.4915348927591099E-2</v>
      </c>
      <c r="BB187" s="714"/>
      <c r="BC187" s="714">
        <f t="shared" si="24"/>
        <v>5.7708946184461096E-2</v>
      </c>
      <c r="BD187" s="714">
        <f t="shared" si="24"/>
        <v>0.22423110936425283</v>
      </c>
      <c r="BE187" s="714">
        <f t="shared" si="24"/>
        <v>9.3632615666514152E-2</v>
      </c>
      <c r="BF187" s="714">
        <f t="shared" si="24"/>
        <v>0.23549122101594966</v>
      </c>
      <c r="BG187" s="873">
        <f t="shared" si="24"/>
        <v>0.15069055575197021</v>
      </c>
      <c r="BH187" s="714"/>
      <c r="BI187" s="714">
        <f t="shared" si="25"/>
        <v>-1.1370143149284306E-2</v>
      </c>
      <c r="BJ187" s="714">
        <f t="shared" si="25"/>
        <v>9.9084998796051149E-2</v>
      </c>
      <c r="BK187" s="714">
        <f t="shared" si="25"/>
        <v>0.17789226773896294</v>
      </c>
      <c r="BL187" s="714">
        <f t="shared" si="25"/>
        <v>0.12088667100600281</v>
      </c>
      <c r="BM187" s="873">
        <f t="shared" si="25"/>
        <v>9.6941405011100601E-2</v>
      </c>
      <c r="BN187" s="714"/>
      <c r="BO187" s="714">
        <f t="shared" si="26"/>
        <v>0.47087539301671355</v>
      </c>
      <c r="BP187" s="714">
        <f t="shared" si="26"/>
        <v>0.3157702559608575</v>
      </c>
      <c r="BQ187" s="714">
        <f t="shared" si="26"/>
        <v>0.51946943565307047</v>
      </c>
      <c r="BR187" s="714">
        <f t="shared" si="26"/>
        <v>0.33293544536568054</v>
      </c>
      <c r="BS187" s="873">
        <f t="shared" si="26"/>
        <v>0.40620905879270297</v>
      </c>
      <c r="BT187" s="714"/>
      <c r="BU187" s="714">
        <f t="shared" si="27"/>
        <v>0.25909883557405644</v>
      </c>
      <c r="BV187" s="714">
        <f t="shared" si="27"/>
        <v>0.29951436103787965</v>
      </c>
      <c r="BW187" s="714">
        <f t="shared" si="27"/>
        <v>0.34005008308174789</v>
      </c>
      <c r="BX187" s="714">
        <f t="shared" si="27"/>
        <v>0.50269864704601019</v>
      </c>
      <c r="BY187" s="873">
        <f t="shared" si="27"/>
        <v>0.35535066019854145</v>
      </c>
      <c r="BZ187" s="714"/>
      <c r="CA187" s="714">
        <f t="shared" si="28"/>
        <v>0.59826654157172832</v>
      </c>
      <c r="CB187" s="714">
        <f t="shared" si="28"/>
        <v>0.62159391816861698</v>
      </c>
      <c r="CC187" s="714">
        <f t="shared" si="28"/>
        <v>0.40322045442637844</v>
      </c>
      <c r="CD187" s="714">
        <f t="shared" si="28"/>
        <v>0.3366566269911575</v>
      </c>
      <c r="CE187" s="873">
        <f t="shared" si="28"/>
        <v>0.47349957333838999</v>
      </c>
      <c r="CF187" s="714"/>
      <c r="CG187" s="714">
        <f t="shared" si="29"/>
        <v>0.28836585229496281</v>
      </c>
      <c r="CH187" s="714">
        <f t="shared" si="29"/>
        <v>0.26826538137378853</v>
      </c>
      <c r="CI187" s="714">
        <f t="shared" si="29"/>
        <v>0.28345800092100526</v>
      </c>
      <c r="CJ187" s="714">
        <f t="shared" si="29"/>
        <v>0.25955247080938437</v>
      </c>
      <c r="CK187" s="873">
        <f t="shared" si="29"/>
        <v>0.27449327585097505</v>
      </c>
      <c r="CL187" s="714"/>
      <c r="CM187" s="714">
        <f t="shared" si="30"/>
        <v>0.459307875894988</v>
      </c>
      <c r="CN187" s="714">
        <f t="shared" si="30"/>
        <v>0.46553210047037075</v>
      </c>
      <c r="CO187" s="714">
        <f t="shared" si="30"/>
        <v>0.42914218110587421</v>
      </c>
      <c r="CP187" s="714">
        <f t="shared" si="30"/>
        <v>0.40815467477924772</v>
      </c>
      <c r="CQ187" s="873">
        <f t="shared" si="30"/>
        <v>0.43947058853227894</v>
      </c>
      <c r="CR187" s="714"/>
      <c r="CS187" s="714">
        <f t="shared" si="31"/>
        <v>0.16060928196016921</v>
      </c>
      <c r="CT187" s="714">
        <f t="shared" si="31"/>
        <v>0.1384856278473301</v>
      </c>
      <c r="CU187" s="714">
        <f t="shared" si="31"/>
        <v>0.15065546629030524</v>
      </c>
      <c r="CV187" s="714">
        <f t="shared" si="31"/>
        <v>0.17494038439327975</v>
      </c>
      <c r="CW187" s="873">
        <f t="shared" si="31"/>
        <v>0.15626002886559642</v>
      </c>
      <c r="CX187" s="714"/>
      <c r="CY187" s="714">
        <f t="shared" si="32"/>
        <v>0.26041237390328975</v>
      </c>
      <c r="CZ187" s="714">
        <f t="shared" si="32"/>
        <v>0.24813109438866587</v>
      </c>
      <c r="DA187" s="714">
        <f t="shared" si="32"/>
        <v>0.2087432655472381</v>
      </c>
      <c r="DB187" s="714">
        <f t="shared" si="32"/>
        <v>0.17755020920523679</v>
      </c>
      <c r="DC187" s="873">
        <f t="shared" si="32"/>
        <v>0.22239536423343731</v>
      </c>
      <c r="DD187" s="714"/>
      <c r="DE187" s="714">
        <f t="shared" si="33"/>
        <v>0.18698754763984504</v>
      </c>
      <c r="DF187" s="714">
        <f t="shared" si="34"/>
        <v>0.19767034514241799</v>
      </c>
      <c r="DG187" s="714">
        <f t="shared" si="35"/>
        <v>0.20032593903180063</v>
      </c>
      <c r="DH187" s="714">
        <f t="shared" si="36"/>
        <v>0.17453976287078365</v>
      </c>
      <c r="DI187" s="873">
        <f t="shared" si="37"/>
        <v>0.18989290147193683</v>
      </c>
      <c r="DJ187" s="714"/>
      <c r="DK187" s="714">
        <f t="shared" si="38"/>
        <v>0.18357814847114362</v>
      </c>
      <c r="DL187" s="714">
        <f t="shared" si="39"/>
        <v>0.18774906681089809</v>
      </c>
      <c r="DM187" s="714">
        <f t="shared" si="40"/>
        <v>0.19378127162793324</v>
      </c>
      <c r="DN187" s="714">
        <f t="shared" si="41"/>
        <v>0.17357993311126441</v>
      </c>
      <c r="DO187" s="873">
        <f t="shared" si="42"/>
        <v>0.18474677574959086</v>
      </c>
      <c r="DP187" s="260"/>
    </row>
    <row r="188" spans="1:120">
      <c r="A188" s="260" t="s">
        <v>3</v>
      </c>
      <c r="B188" s="869"/>
      <c r="C188" s="268" t="s">
        <v>88</v>
      </c>
      <c r="D188" s="268" t="s">
        <v>88</v>
      </c>
      <c r="E188" s="279">
        <f>SUM(E24:E25)/SUM(D24:D25)-1</f>
        <v>0.76709526592635924</v>
      </c>
      <c r="F188" s="260"/>
      <c r="G188" s="714" t="s">
        <v>88</v>
      </c>
      <c r="H188" s="714" t="s">
        <v>88</v>
      </c>
      <c r="I188" s="714" t="s">
        <v>88</v>
      </c>
      <c r="J188" s="714" t="s">
        <v>88</v>
      </c>
      <c r="K188" s="279">
        <f>SUM(K24:K25)/SUM(E24:E25)-1</f>
        <v>0.71374235157929533</v>
      </c>
      <c r="L188" s="260"/>
      <c r="M188" s="279">
        <f>SUM(M24:M25)/SUM(G24:G25)-1</f>
        <v>0.92484222604704525</v>
      </c>
      <c r="N188" s="279">
        <f>SUM(N24:N25)/SUM(H24:H25)-1</f>
        <v>0.77881040892193298</v>
      </c>
      <c r="O188" s="279">
        <f>SUM(O24:O25)/SUM(I24:I25)-1</f>
        <v>0.45375272500778552</v>
      </c>
      <c r="P188" s="279">
        <f>SUM(P24:P25)/SUM(J24:J25)-1</f>
        <v>0.66472213693583049</v>
      </c>
      <c r="Q188" s="279">
        <f>SUM(Q24:Q25)/SUM(K24:K25)-1</f>
        <v>0.66679532953777865</v>
      </c>
      <c r="R188" s="260"/>
      <c r="S188" s="279">
        <f>SUM(S24:S25)/SUM(M24:M25)-1</f>
        <v>0.89657228017883761</v>
      </c>
      <c r="T188" s="279">
        <f>SUM(T24:T25)/SUM(N24:N25)-1</f>
        <v>1.137408568443051</v>
      </c>
      <c r="U188" s="279">
        <f>SUM(U24:U25)/SUM(O24:O25)-1</f>
        <v>0.90766923736075422</v>
      </c>
      <c r="V188" s="279">
        <f>SUM(V24:V25)/SUM(P24:P25)-1</f>
        <v>0.84507561785319107</v>
      </c>
      <c r="W188" s="279">
        <f>SUM(W24:W25)/SUM(Q24:Q25)-1</f>
        <v>0.93677994557980671</v>
      </c>
      <c r="X188" s="260"/>
      <c r="Y188" s="279">
        <f>SUM(Y24:Y25)/SUM(S24:S25)-1</f>
        <v>0.88040232594688028</v>
      </c>
      <c r="Z188" s="279">
        <f>SUM(Z24:Z25)/SUM(T24:T25)-1</f>
        <v>0.98447812270838475</v>
      </c>
      <c r="AA188" s="279">
        <f>SUM(AA24:AA25)/SUM(U24:U25)-1</f>
        <v>1.1992139247613705</v>
      </c>
      <c r="AB188" s="279">
        <f>SUM(AB24:AB25)/SUM(V24:V25)-1</f>
        <v>1.1331467413034781</v>
      </c>
      <c r="AC188" s="279">
        <f>SUM(AC24:AC25)/SUM(W24:W25)-1</f>
        <v>1.0662999940216418</v>
      </c>
      <c r="AD188" s="714"/>
      <c r="AE188" s="279">
        <f>SUM(AE24:AE25)/SUM(Y24:Y25)-1</f>
        <v>0.94960300877559534</v>
      </c>
      <c r="AF188" s="279">
        <f>SUM(AF24:AF25)/SUM(Z24:Z25)-1</f>
        <v>0.67555582927880753</v>
      </c>
      <c r="AG188" s="279">
        <f>SUM(AG24:AG25)/SUM(AA24:AA25)-1</f>
        <v>0.53472222222222188</v>
      </c>
      <c r="AH188" s="279">
        <f>SUM(AH24:AH25)/SUM(AB24:AB25)-1</f>
        <v>0.50932521087160287</v>
      </c>
      <c r="AI188" s="871">
        <f>SUM(AI24:AI25)/SUM(AC24:AC25)-1</f>
        <v>0.6317738622226079</v>
      </c>
      <c r="AJ188" s="714"/>
      <c r="AK188" s="279">
        <f>SUM(AK24:AK25)/SUM(AE24:AE25)-1</f>
        <v>0.58155785141681338</v>
      </c>
      <c r="AL188" s="279">
        <f>SUM(AL24:AL25)/SUM(AF24:AF25)-1</f>
        <v>0.39480261706976405</v>
      </c>
      <c r="AM188" s="279">
        <f>SUM(AM24:AM25)/SUM(AG24:AG25)-1</f>
        <v>0.35636811285600212</v>
      </c>
      <c r="AN188" s="279">
        <f>SUM(AN24:AN25)/SUM(AH24:AH25)-1</f>
        <v>0.34304076500357006</v>
      </c>
      <c r="AO188" s="871">
        <f>SUM(AO24:AO25)/SUM(AI24:AI25)-1</f>
        <v>0.40840263125232701</v>
      </c>
      <c r="AP188" s="714"/>
      <c r="AQ188" s="279">
        <f>SUM(AQ24:AQ25)/SUM(AK24:AK25)-1</f>
        <v>0.28270945707857864</v>
      </c>
      <c r="AR188" s="279">
        <f>SUM(AR24:AR25)/SUM(AL24:AL25)-1</f>
        <v>0.32115845784910535</v>
      </c>
      <c r="AS188" s="279">
        <f>SUM(AS24:AS25)/SUM(AM24:AM25)-1</f>
        <v>0.25177226678440912</v>
      </c>
      <c r="AT188" s="279">
        <f>SUM(AT24:AT25)/SUM(AN24:AN25)-1</f>
        <v>0.22363493457857531</v>
      </c>
      <c r="AU188" s="871">
        <f>SUM(AU24:AU25)/SUM(AO24:AO25)-1</f>
        <v>0.26786894533094152</v>
      </c>
      <c r="AV188" s="714"/>
      <c r="AW188" s="279">
        <f>SUM(AW24:AW25)/SUM(AQ24:AQ25)-1</f>
        <v>0.22232318323014177</v>
      </c>
      <c r="AX188" s="279">
        <f>SUM(AX24:AX25)/SUM(AR24:AR25)-1</f>
        <v>0.13944628395898984</v>
      </c>
      <c r="AY188" s="279">
        <f>SUM(AY24:AY25)/SUM(AS24:AS25)-1</f>
        <v>0.18310438752914893</v>
      </c>
      <c r="AZ188" s="279">
        <f>SUM(AZ24:AZ25)/SUM(AT24:AT25)-1</f>
        <v>0.1694815990327212</v>
      </c>
      <c r="BA188" s="871">
        <f>SUM(BA24:BA25)/SUM(AU24:AU25)-1</f>
        <v>0.17787210803296594</v>
      </c>
      <c r="BB188" s="714"/>
      <c r="BC188" s="279">
        <f>SUM(BC24:BC25)/SUM(AW24:AW25)-1</f>
        <v>0.14105179448170957</v>
      </c>
      <c r="BD188" s="279">
        <f>SUM(BD24:BD25)/SUM(AX24:AX25)-1</f>
        <v>0.23786433260393869</v>
      </c>
      <c r="BE188" s="279">
        <f>SUM(BE24:BE25)/SUM(AY24:AY25)-1</f>
        <v>0.25227329192546599</v>
      </c>
      <c r="BF188" s="279">
        <f>SUM(BF24:BF25)/SUM(AZ24:AZ25)-1</f>
        <v>0.34159895320097555</v>
      </c>
      <c r="BG188" s="872">
        <f>SUM(BG24:BG25)/SUM(BA24:BA25)-1</f>
        <v>0.24499361425012767</v>
      </c>
      <c r="BH188" s="714"/>
      <c r="BI188" s="279">
        <f>SUM(BI24:BI25)/SUM(BC24:BC25)-1</f>
        <v>0.3684226474554182</v>
      </c>
      <c r="BJ188" s="279">
        <f>SUM(BJ24:BJ25)/SUM(BD24:BD25)-1</f>
        <v>0.416401510330491</v>
      </c>
      <c r="BK188" s="279">
        <f>SUM(BK24:BK25)/SUM(BE24:BE25)-1</f>
        <v>0.41467608390868449</v>
      </c>
      <c r="BL188" s="279">
        <f>SUM(BL24:BL25)/SUM(BF24:BF25)-1</f>
        <v>0.37184072053847728</v>
      </c>
      <c r="BM188" s="872">
        <f>SUM(BM24:BM25)/SUM(BG24:BG25)-1</f>
        <v>0.39270950770387048</v>
      </c>
      <c r="BN188" s="714"/>
      <c r="BO188" s="279">
        <f>SUM(BO24:BO25)/SUM(BI24:BI25)-1</f>
        <v>0.4044508414526129</v>
      </c>
      <c r="BP188" s="279">
        <f>SUM(BP24:BP25)/SUM(BJ24:BJ25)-1</f>
        <v>0.36670061303141033</v>
      </c>
      <c r="BQ188" s="279">
        <f>SUM(BQ24:BQ25)/SUM(BK24:BK25)-1</f>
        <v>0.43668542792497989</v>
      </c>
      <c r="BR188" s="279">
        <f>SUM(BR24:BR25)/SUM(BL24:BL25)-1</f>
        <v>0.36199420696919193</v>
      </c>
      <c r="BS188" s="872">
        <f>SUM(BS24:BS25)/SUM(BM24:BM25)-1</f>
        <v>0.39188216819085686</v>
      </c>
      <c r="BT188" s="714"/>
      <c r="BU188" s="279">
        <f>SUM(BU24:BU25)/SUM(BO24:BO25)-1</f>
        <v>0.39543555380370532</v>
      </c>
      <c r="BV188" s="279">
        <f>SUM(BV24:BV25)/SUM(BP24:BP25)-1</f>
        <v>0.35284835556594518</v>
      </c>
      <c r="BW188" s="279">
        <f>SUM(BW24:BW25)/SUM(BQ24:BQ25)-1</f>
        <v>0.44615885204828687</v>
      </c>
      <c r="BX188" s="279">
        <f>SUM(BX24:BX25)/SUM(BR24:BR25)-1</f>
        <v>0.47605882504575558</v>
      </c>
      <c r="BY188" s="872">
        <f>SUM(BY24:BY25)/SUM(BS24:BS25)-1</f>
        <v>0.42071665970976624</v>
      </c>
      <c r="BZ188" s="714"/>
      <c r="CA188" s="279">
        <f>SUM(CA24:CA25)/SUM(BU24:BU25)-1</f>
        <v>0.4226404008790412</v>
      </c>
      <c r="CB188" s="279">
        <f>SUM(CB24:CB25)/SUM(BV24:BV25)-1</f>
        <v>0.4773416996965214</v>
      </c>
      <c r="CC188" s="279">
        <f>SUM(CC24:CC25)/SUM(BW24:BW25)-1</f>
        <v>0.34432824537403706</v>
      </c>
      <c r="CD188" s="279">
        <f>SUM(CD24:CD25)/SUM(BX24:BX25)-1</f>
        <v>0.40152722414568442</v>
      </c>
      <c r="CE188" s="872">
        <f>SUM(CE24:CE25)/SUM(BY24:BY25)-1</f>
        <v>0.40775498362558138</v>
      </c>
      <c r="CF188" s="714"/>
      <c r="CG188" s="279">
        <f>SUM(CG24:CG25)/SUM(CA24:CA25)-1</f>
        <v>0.37688376359585885</v>
      </c>
      <c r="CH188" s="279">
        <f>SUM(CH24:CH25)/SUM(CB24:CB25)-1</f>
        <v>0.34586213324658366</v>
      </c>
      <c r="CI188" s="279">
        <f>SUM(CI24:CI25)/SUM(CC24:CC25)-1</f>
        <v>0.29165299823928348</v>
      </c>
      <c r="CJ188" s="279">
        <f>SUM(CJ24:CJ25)/SUM(CD24:CD25)-1</f>
        <v>0.25659636771440142</v>
      </c>
      <c r="CK188" s="872">
        <f>SUM(CK24:CK25)/SUM(CE24:CE25)-1</f>
        <v>0.31351918250582012</v>
      </c>
      <c r="CL188" s="714"/>
      <c r="CM188" s="279">
        <f>SUM(CM24:CM25)/SUM(CG24:CG25)-1</f>
        <v>0.29244861290164414</v>
      </c>
      <c r="CN188" s="279">
        <f>SUM(CN24:CN25)/SUM(CH24:CH25)-1</f>
        <v>0.2942246846186225</v>
      </c>
      <c r="CO188" s="279">
        <f>SUM(CO24:CO25)/SUM(CI24:CI25)-1</f>
        <v>0.35287699775313475</v>
      </c>
      <c r="CP188" s="279">
        <f>SUM(CP24:CP25)/SUM(CJ24:CJ25)-1</f>
        <v>0.36892756210025279</v>
      </c>
      <c r="CQ188" s="872">
        <f>SUM(CQ24:CQ25)/SUM(CK24:CK25)-1</f>
        <v>0.32889461217255578</v>
      </c>
      <c r="CR188" s="714"/>
      <c r="CS188" s="279">
        <f>SUM(CS24:CS25)/SUM(CM24:CM25)-1</f>
        <v>0.28412833718636454</v>
      </c>
      <c r="CT188" s="279">
        <f>SUM(CT24:CT25)/SUM(CN24:CN25)-1</f>
        <v>0.24854576740672352</v>
      </c>
      <c r="CU188" s="279">
        <f>SUM(CU24:CU25)/SUM(CO24:CO25)-1</f>
        <v>0.22865855994605755</v>
      </c>
      <c r="CV188" s="279">
        <f>SUM(CV24:CV25)/SUM(CP24:CP25)-1</f>
        <v>0.20641146835012081</v>
      </c>
      <c r="CW188" s="872">
        <f>SUM(CW24:CW25)/SUM(CQ24:CQ25)-1</f>
        <v>0.2396896102167887</v>
      </c>
      <c r="CX188" s="714"/>
      <c r="CY188" s="279">
        <f>SUM(CY24:CY25)/SUM(CS24:CS25)-1</f>
        <v>0.21708870889283904</v>
      </c>
      <c r="CZ188" s="279">
        <f>SUM(CZ24:CZ25)/SUM(CT24:CT25)-1</f>
        <v>0.20087190480437744</v>
      </c>
      <c r="DA188" s="279">
        <f>SUM(DA24:DA25)/SUM(CU24:CU25)-1</f>
        <v>0.18423111995754682</v>
      </c>
      <c r="DB188" s="279">
        <f>SUM(DB24:DB25)/SUM(CV24:CV25)-1</f>
        <v>0.16927550990091533</v>
      </c>
      <c r="DC188" s="872">
        <f>SUM(DC24:DC25)/SUM(CW24:CW25)-1</f>
        <v>0.19183640220252385</v>
      </c>
      <c r="DD188" s="714"/>
      <c r="DE188" s="279">
        <f>SUM(DE24:DE25)/SUM(CY24:CY25)-1</f>
        <v>0.18009969442959362</v>
      </c>
      <c r="DF188" s="279">
        <f>SUM(DF24:DF25)/SUM(CZ24:CZ25)-1</f>
        <v>0.18240123323676749</v>
      </c>
      <c r="DG188" s="279">
        <f>SUM(DG24:DG25)/SUM(DA24:DA25)-1</f>
        <v>0.18345795827919686</v>
      </c>
      <c r="DH188" s="279">
        <f>SUM(DH24:DH25)/SUM(DB24:DB25)-1</f>
        <v>0.17187850654142656</v>
      </c>
      <c r="DI188" s="872">
        <f>SUM(DI24:DI25)/SUM(DC24:DC25)-1</f>
        <v>0.17935188566171956</v>
      </c>
      <c r="DJ188" s="714"/>
      <c r="DK188" s="279">
        <f>SUM(DK24:DK25)/SUM(DE24:DE25)-1</f>
        <v>0.17501090000260811</v>
      </c>
      <c r="DL188" s="279">
        <f>SUM(DL24:DL25)/SUM(DF24:DF25)-1</f>
        <v>0.17311680898196458</v>
      </c>
      <c r="DM188" s="279">
        <f>SUM(DM24:DM25)/SUM(DG24:DG25)-1</f>
        <v>0.17396310220249234</v>
      </c>
      <c r="DN188" s="279">
        <f>SUM(DN24:DN25)/SUM(DH24:DH25)-1</f>
        <v>0.16832031916606738</v>
      </c>
      <c r="DO188" s="872">
        <f>SUM(DO24:DO25)/SUM(DI24:DI25)-1</f>
        <v>0.1725276442285526</v>
      </c>
      <c r="DP188" s="260"/>
    </row>
    <row r="189" spans="1:120">
      <c r="A189" s="260" t="s">
        <v>92</v>
      </c>
      <c r="B189" s="869"/>
      <c r="C189" s="268" t="s">
        <v>88</v>
      </c>
      <c r="D189" s="279">
        <f>D37/C37-1</f>
        <v>9.160864345738295</v>
      </c>
      <c r="E189" s="279">
        <f>E37/D37-1</f>
        <v>-3.0994013862633896E-2</v>
      </c>
      <c r="F189" s="260"/>
      <c r="G189" s="714" t="s">
        <v>88</v>
      </c>
      <c r="H189" s="714" t="s">
        <v>88</v>
      </c>
      <c r="I189" s="714" t="s">
        <v>88</v>
      </c>
      <c r="J189" s="714" t="s">
        <v>88</v>
      </c>
      <c r="K189" s="279">
        <f>K37/E37-1</f>
        <v>0.36240601503759384</v>
      </c>
      <c r="L189" s="260"/>
      <c r="M189" s="279">
        <f>M37/G37-1</f>
        <v>0.78343096234309639</v>
      </c>
      <c r="N189" s="279">
        <f>N37/H37-1</f>
        <v>0.64643194388236869</v>
      </c>
      <c r="O189" s="279">
        <f>O37/I37-1</f>
        <v>0.45402928578543689</v>
      </c>
      <c r="P189" s="279">
        <f>P37/J37-1</f>
        <v>0.69806835066864759</v>
      </c>
      <c r="Q189" s="279">
        <f>Q37/K37-1</f>
        <v>0.62878109897977441</v>
      </c>
      <c r="R189" s="260"/>
      <c r="S189" s="279">
        <f>S37/M37-1</f>
        <v>0.91582207207207178</v>
      </c>
      <c r="T189" s="279">
        <f>T37/N37-1</f>
        <v>0.84555510036870118</v>
      </c>
      <c r="U189" s="279">
        <f>U37/O37-1</f>
        <v>0.70857025416181418</v>
      </c>
      <c r="V189" s="279">
        <f>V37/P37-1</f>
        <v>0.65855792789639489</v>
      </c>
      <c r="W189" s="279">
        <f>W37/Q37-1</f>
        <v>0.76393772893772893</v>
      </c>
      <c r="X189" s="260"/>
      <c r="Y189" s="279">
        <f>Y37/S37-1</f>
        <v>0.69003183933382339</v>
      </c>
      <c r="Z189" s="279">
        <f>Z37/T37-1</f>
        <v>0.53997780244173166</v>
      </c>
      <c r="AA189" s="279">
        <f>AA37/U37-1</f>
        <v>0.51984763432237369</v>
      </c>
      <c r="AB189" s="279">
        <f>AB37/V37-1</f>
        <v>0.49495269248355656</v>
      </c>
      <c r="AC189" s="279">
        <f>AC37/W37-1</f>
        <v>0.55328051832085667</v>
      </c>
      <c r="AD189" s="279"/>
      <c r="AE189" s="279">
        <f>AE37/Y37-1</f>
        <v>0.4064112225378238</v>
      </c>
      <c r="AF189" s="279">
        <f>AF37/Z37-1</f>
        <v>0.58657172509225064</v>
      </c>
      <c r="AG189" s="279">
        <f>AG37/AA37-1</f>
        <v>0.62775359451259716</v>
      </c>
      <c r="AH189" s="279">
        <f>AH37/AB37-1</f>
        <v>0.62849681198974183</v>
      </c>
      <c r="AI189" s="871">
        <f>AI37/AC37-1</f>
        <v>0.56736721079158769</v>
      </c>
      <c r="AJ189" s="279"/>
      <c r="AK189" s="279">
        <f>AK37/AE37-1</f>
        <v>0.61375814030170628</v>
      </c>
      <c r="AL189" s="279">
        <f>AL37/AF37-1</f>
        <v>0.52541110202598351</v>
      </c>
      <c r="AM189" s="279">
        <f>AM37/AG37-1</f>
        <v>0.45709886547811984</v>
      </c>
      <c r="AN189" s="279">
        <f>AN37/AH37-1</f>
        <v>0.42881703652334746</v>
      </c>
      <c r="AO189" s="871">
        <f>AO37/AI37-1</f>
        <v>0.4972043927924088</v>
      </c>
      <c r="AP189" s="279"/>
      <c r="AQ189" s="279">
        <f>AQ37/AK37-1</f>
        <v>0.46327229075677478</v>
      </c>
      <c r="AR189" s="279">
        <f>AR37/AL37-1</f>
        <v>0.45352646186465928</v>
      </c>
      <c r="AS189" s="279">
        <f>AS37/AM37-1</f>
        <v>0.41504732878769346</v>
      </c>
      <c r="AT189" s="279">
        <f>AT37/AN37-1</f>
        <v>0.36060750073308578</v>
      </c>
      <c r="AU189" s="871">
        <f>AU37/AO37-1</f>
        <v>0.41966974024161319</v>
      </c>
      <c r="AV189" s="279"/>
      <c r="AW189" s="279">
        <f>AW37/AQ37-1</f>
        <v>0.11993053070699844</v>
      </c>
      <c r="AX189" s="279">
        <f>AX37/AR37-1</f>
        <v>0.12187666461790614</v>
      </c>
      <c r="AY189" s="279">
        <f>AY37/AS37-1</f>
        <v>0.12493613274955395</v>
      </c>
      <c r="AZ189" s="279">
        <f>AZ37/AT37-1</f>
        <v>0.16783590963139128</v>
      </c>
      <c r="BA189" s="871">
        <f>BA37/AU37-1</f>
        <v>0.13461881878467441</v>
      </c>
      <c r="BB189" s="279"/>
      <c r="BC189" s="279">
        <f>BC37/AW37-1</f>
        <v>0.27533216442626141</v>
      </c>
      <c r="BD189" s="279">
        <f>BD37/AX37-1</f>
        <v>0.23347480222356976</v>
      </c>
      <c r="BE189" s="279">
        <f>BE37/AY37-1</f>
        <v>0.31060505481758938</v>
      </c>
      <c r="BF189" s="279">
        <f>BF37/AZ37-1</f>
        <v>0.34981927404164348</v>
      </c>
      <c r="BG189" s="872">
        <f>BG37/BA37-1</f>
        <v>0.29482543056569943</v>
      </c>
      <c r="BH189" s="279"/>
      <c r="BI189" s="279">
        <f>BI37/BC37-1</f>
        <v>0.40198097239959196</v>
      </c>
      <c r="BJ189" s="279">
        <f>BJ37/BD37-1</f>
        <v>0.50173221445110983</v>
      </c>
      <c r="BK189" s="279">
        <f>BK37/BE37-1</f>
        <v>0.46348940616969347</v>
      </c>
      <c r="BL189" s="279">
        <f>BL37/BF37-1</f>
        <v>0.36298063323841667</v>
      </c>
      <c r="BM189" s="872">
        <f>BM37/BG37-1</f>
        <v>0.42944356277161533</v>
      </c>
      <c r="BN189" s="279"/>
      <c r="BO189" s="279">
        <f>BO37/BI37-1</f>
        <v>0.41374365858335782</v>
      </c>
      <c r="BP189" s="279">
        <f>BP37/BJ37-1</f>
        <v>0.31307944995879056</v>
      </c>
      <c r="BQ189" s="279">
        <f>BQ37/BK37-1</f>
        <v>0.34868758993788562</v>
      </c>
      <c r="BR189" s="279">
        <f>BR37/BL37-1</f>
        <v>0.30145965203555725</v>
      </c>
      <c r="BS189" s="872">
        <f>BS37/BM37-1</f>
        <v>0.34127628674889854</v>
      </c>
      <c r="BT189" s="279"/>
      <c r="BU189" s="279">
        <f>BU37/BO37-1</f>
        <v>0.24617495183044347</v>
      </c>
      <c r="BV189" s="279">
        <f>BV37/BP37-1</f>
        <v>0.26140336124358798</v>
      </c>
      <c r="BW189" s="279">
        <f>BW37/BQ37-1</f>
        <v>0.33093288097501961</v>
      </c>
      <c r="BX189" s="279">
        <f>BX37/BR37-1</f>
        <v>0.47614048609357762</v>
      </c>
      <c r="BY189" s="872">
        <f>BY37/BS37-1</f>
        <v>0.33377641008106473</v>
      </c>
      <c r="BZ189" s="279"/>
      <c r="CA189" s="279">
        <f>CA37/BU37-1</f>
        <v>0.37857100448261849</v>
      </c>
      <c r="CB189" s="279">
        <f>CB37/BV37-1</f>
        <v>0.39716246202489436</v>
      </c>
      <c r="CC189" s="279">
        <f>CC37/BW37-1</f>
        <v>0.26167696997495526</v>
      </c>
      <c r="CD189" s="279">
        <f>CD37/BX37-1</f>
        <v>0.15277627741168853</v>
      </c>
      <c r="CE189" s="872">
        <f>CE37/BY37-1</f>
        <v>0.28500113758837675</v>
      </c>
      <c r="CF189" s="279"/>
      <c r="CG189" s="279">
        <f>CG37/CA37-1</f>
        <v>0.15992620998928686</v>
      </c>
      <c r="CH189" s="279">
        <f>CH37/CB37-1</f>
        <v>0.19791249520725951</v>
      </c>
      <c r="CI189" s="279">
        <f>CI37/CC37-1</f>
        <v>0.17475420489788585</v>
      </c>
      <c r="CJ189" s="279">
        <f>CJ37/CD37-1</f>
        <v>0.23991253758150788</v>
      </c>
      <c r="CK189" s="872">
        <f>CK37/CE37-1</f>
        <v>0.19430776142938577</v>
      </c>
      <c r="CL189" s="279"/>
      <c r="CM189" s="279">
        <f>CM37/CG37-1</f>
        <v>0.21446152941704311</v>
      </c>
      <c r="CN189" s="279">
        <f>CN37/CH37-1</f>
        <v>0.17425049611289345</v>
      </c>
      <c r="CO189" s="279">
        <f>CO37/CI37-1</f>
        <v>0.19980747453419401</v>
      </c>
      <c r="CP189" s="279">
        <f>CP37/CJ37-1</f>
        <v>0.1901232546275593</v>
      </c>
      <c r="CQ189" s="872">
        <f>CQ37/CK37-1</f>
        <v>0.1941761324090312</v>
      </c>
      <c r="CR189" s="279"/>
      <c r="CS189" s="279">
        <f>CS37/CM37-1</f>
        <v>0.22275668789808911</v>
      </c>
      <c r="CT189" s="279">
        <f>CT37/CN37-1</f>
        <v>0.2352381771551999</v>
      </c>
      <c r="CU189" s="279">
        <f>CU37/CO37-1</f>
        <v>0.18427410749237327</v>
      </c>
      <c r="CV189" s="279">
        <f>CV37/CP37-1</f>
        <v>0.29360376198242855</v>
      </c>
      <c r="CW189" s="872">
        <f>CW37/CQ37-1</f>
        <v>0.23543977556098827</v>
      </c>
      <c r="CX189" s="279"/>
      <c r="CY189" s="279">
        <f>CY37/CS37-1</f>
        <v>0.21466349704718501</v>
      </c>
      <c r="CZ189" s="279">
        <f>CZ37/CT37-1</f>
        <v>0.18143153949793556</v>
      </c>
      <c r="DA189" s="279">
        <f>DA37/CU37-1</f>
        <v>0.16613263501487729</v>
      </c>
      <c r="DB189" s="279">
        <f>DB37/CV37-1</f>
        <v>0.10028275526156216</v>
      </c>
      <c r="DC189" s="872">
        <f>DC37/CW37-1</f>
        <v>0.16181575740481335</v>
      </c>
      <c r="DD189" s="279"/>
      <c r="DE189" s="279">
        <f>DE37/CY37-1</f>
        <v>0.17171997867405753</v>
      </c>
      <c r="DF189" s="279">
        <f>DF37/CZ37-1</f>
        <v>0.1718706385751203</v>
      </c>
      <c r="DG189" s="279">
        <f>DG37/DA37-1</f>
        <v>0.1708903655945786</v>
      </c>
      <c r="DH189" s="279">
        <f>DH37/DB37-1</f>
        <v>0.14124955825968866</v>
      </c>
      <c r="DI189" s="872">
        <f>DI37/DC37-1</f>
        <v>0.16323360616778282</v>
      </c>
      <c r="DJ189" s="279"/>
      <c r="DK189" s="279">
        <f>DK37/DE37-1</f>
        <v>0.15040832025284234</v>
      </c>
      <c r="DL189" s="279">
        <f>DL37/DF37-1</f>
        <v>0.14661058524537252</v>
      </c>
      <c r="DM189" s="279">
        <f>DM37/DG37-1</f>
        <v>0.14707007363139413</v>
      </c>
      <c r="DN189" s="279">
        <f>DN37/DH37-1</f>
        <v>0.15092003549747046</v>
      </c>
      <c r="DO189" s="872">
        <f>DO37/DI37-1</f>
        <v>0.1487841320370531</v>
      </c>
      <c r="DP189" s="260"/>
    </row>
    <row r="190" spans="1:120">
      <c r="A190" s="260" t="s">
        <v>93</v>
      </c>
      <c r="B190" s="869"/>
      <c r="C190" s="268" t="s">
        <v>88</v>
      </c>
      <c r="D190" s="279">
        <f>D41/C41-1</f>
        <v>2.0909090909090913</v>
      </c>
      <c r="E190" s="279">
        <f>E41/D41-1</f>
        <v>0.57694592988710625</v>
      </c>
      <c r="F190" s="260"/>
      <c r="G190" s="714" t="s">
        <v>88</v>
      </c>
      <c r="H190" s="714" t="s">
        <v>88</v>
      </c>
      <c r="I190" s="714" t="s">
        <v>88</v>
      </c>
      <c r="J190" s="714" t="s">
        <v>88</v>
      </c>
      <c r="K190" s="279">
        <f>K41/E41-1</f>
        <v>-0.12434061793519224</v>
      </c>
      <c r="L190" s="260"/>
      <c r="M190" s="279">
        <f>M41/G41-1</f>
        <v>0.15348837209302335</v>
      </c>
      <c r="N190" s="279">
        <f>N41/H41-1</f>
        <v>0.43648763853367423</v>
      </c>
      <c r="O190" s="279">
        <f>O41/I41-1</f>
        <v>0.70135746606334837</v>
      </c>
      <c r="P190" s="279">
        <f>P41/J41-1</f>
        <v>0.66563706563706582</v>
      </c>
      <c r="Q190" s="279">
        <f>Q41/K41-1</f>
        <v>0.49784853700516352</v>
      </c>
      <c r="R190" s="260"/>
      <c r="S190" s="279">
        <f>S41/M41-1</f>
        <v>0.71532258064516108</v>
      </c>
      <c r="T190" s="279">
        <f>T41/N41-1</f>
        <v>0.23086053412462904</v>
      </c>
      <c r="U190" s="279">
        <f>U41/O41-1</f>
        <v>0.30957446808510647</v>
      </c>
      <c r="V190" s="279">
        <f>V41/P41-1</f>
        <v>0.46453407510431144</v>
      </c>
      <c r="W190" s="279">
        <f>W41/Q41-1</f>
        <v>0.41080149382361375</v>
      </c>
      <c r="X190" s="260"/>
      <c r="Y190" s="279">
        <f>Y41/S41-1</f>
        <v>1.0225669957686883</v>
      </c>
      <c r="Z190" s="279">
        <f>Z41/T41-1</f>
        <v>1.6374156219864995</v>
      </c>
      <c r="AA190" s="279">
        <f>AA41/U41-1</f>
        <v>1.6815597075548334</v>
      </c>
      <c r="AB190" s="279">
        <f>AB41/V41-1</f>
        <v>1.2019626464070909</v>
      </c>
      <c r="AC190" s="279">
        <f>AC41/W41-1</f>
        <v>1.3752799837100387</v>
      </c>
      <c r="AD190" s="279"/>
      <c r="AE190" s="279">
        <f>AE41/Y41-1</f>
        <v>0.88400743840074369</v>
      </c>
      <c r="AF190" s="279">
        <f>AF41/Z41-1</f>
        <v>0.77733089579524672</v>
      </c>
      <c r="AG190" s="279">
        <f>AG41/AA41-1</f>
        <v>0.55331717661314728</v>
      </c>
      <c r="AH190" s="279">
        <f>AH41/AB41-1</f>
        <v>0.72642323174238066</v>
      </c>
      <c r="AI190" s="871">
        <f>AI41/AC41-1</f>
        <v>0.71843120445777964</v>
      </c>
      <c r="AJ190" s="279"/>
      <c r="AK190" s="279">
        <f>AK41/AE41-1</f>
        <v>0.58470080197409047</v>
      </c>
      <c r="AL190" s="279">
        <f>AL41/AF41-1</f>
        <v>0.39744908455050409</v>
      </c>
      <c r="AM190" s="279">
        <f>AM41/AG41-1</f>
        <v>0.48288639687957091</v>
      </c>
      <c r="AN190" s="279">
        <f>AN41/AH41-1</f>
        <v>0.31892747106336894</v>
      </c>
      <c r="AO190" s="871">
        <f>AO41/AI41-1</f>
        <v>0.43363847247511922</v>
      </c>
      <c r="AP190" s="279"/>
      <c r="AQ190" s="279">
        <f>AQ41/AK41-1</f>
        <v>0.37558393023980052</v>
      </c>
      <c r="AR190" s="279">
        <f>AR41/AL41-1</f>
        <v>0.60267922861769474</v>
      </c>
      <c r="AS190" s="279">
        <f>AS41/AM41-1</f>
        <v>0.56349049779706717</v>
      </c>
      <c r="AT190" s="279">
        <f>AT41/AN41-1</f>
        <v>0.67056001010164801</v>
      </c>
      <c r="AU190" s="871">
        <f>AU41/AO41-1</f>
        <v>0.56026863386456949</v>
      </c>
      <c r="AV190" s="279"/>
      <c r="AW190" s="279">
        <f>AW41/AQ41-1</f>
        <v>0.61308580484491748</v>
      </c>
      <c r="AX190" s="279">
        <f>AX41/AR41-1</f>
        <v>0.29296408560668685</v>
      </c>
      <c r="AY190" s="279">
        <f>AY41/AS41-1</f>
        <v>0.26413189771197843</v>
      </c>
      <c r="AZ190" s="279">
        <f>AZ41/AT41-1</f>
        <v>0.21160241874527608</v>
      </c>
      <c r="BA190" s="871">
        <f>BA41/AU41-1</f>
        <v>0.32438279176609663</v>
      </c>
      <c r="BB190" s="279"/>
      <c r="BC190" s="279">
        <f>BC41/AW41-1</f>
        <v>0.26385964912280691</v>
      </c>
      <c r="BD190" s="279">
        <f>BD41/AX41-1</f>
        <v>0.38134479451568182</v>
      </c>
      <c r="BE190" s="279">
        <f>BE41/AY41-1</f>
        <v>0.44160899653979246</v>
      </c>
      <c r="BF190" s="279">
        <f>BF41/AZ41-1</f>
        <v>0.58308119404847303</v>
      </c>
      <c r="BG190" s="872">
        <f>BG41/BA41-1</f>
        <v>0.42285800889128389</v>
      </c>
      <c r="BH190" s="279"/>
      <c r="BI190" s="279">
        <f>BI41/BC41-1</f>
        <v>0.59503053858967259</v>
      </c>
      <c r="BJ190" s="279">
        <f>BJ41/BD41-1</f>
        <v>0.59955257270693529</v>
      </c>
      <c r="BK190" s="279">
        <f>BK41/BE41-1</f>
        <v>0.47365505781347372</v>
      </c>
      <c r="BL190" s="279">
        <f>BL41/BF41-1</f>
        <v>0.29931825346784358</v>
      </c>
      <c r="BM190" s="872">
        <f>BM41/BG41-1</f>
        <v>0.47614060003550485</v>
      </c>
      <c r="BN190" s="279"/>
      <c r="BO190" s="279">
        <f>BO41/BI41-1</f>
        <v>0.37693418968548187</v>
      </c>
      <c r="BP190" s="279">
        <f>BP41/BJ41-1</f>
        <v>0.33997267100715378</v>
      </c>
      <c r="BQ190" s="279">
        <f>BQ41/BK41-1</f>
        <v>0.44224143331453991</v>
      </c>
      <c r="BR190" s="279">
        <f>BR41/BL41-1</f>
        <v>0.49513974189830612</v>
      </c>
      <c r="BS190" s="872">
        <f>BS41/BM41-1</f>
        <v>0.41568151114638829</v>
      </c>
      <c r="BT190" s="279"/>
      <c r="BU190" s="279">
        <f>BU41/BO41-1</f>
        <v>0.35901098484369665</v>
      </c>
      <c r="BV190" s="279">
        <f>BV41/BP41-1</f>
        <v>0.46421844444711069</v>
      </c>
      <c r="BW190" s="279">
        <f>BW41/BQ41-1</f>
        <v>0.55016831360625473</v>
      </c>
      <c r="BX190" s="279">
        <f>BX41/BR41-1</f>
        <v>0.46120453577296794</v>
      </c>
      <c r="BY190" s="872">
        <f>BY41/BS41-1</f>
        <v>0.46222242358684529</v>
      </c>
      <c r="BZ190" s="279"/>
      <c r="CA190" s="279">
        <f>CA41/BU41-1</f>
        <v>0.49822342107710926</v>
      </c>
      <c r="CB190" s="279">
        <f>CB41/BV41-1</f>
        <v>0.39288143092415218</v>
      </c>
      <c r="CC190" s="279">
        <f>CC41/BW41-1</f>
        <v>0.1809884067107983</v>
      </c>
      <c r="CD190" s="279">
        <f>CD41/BX41-1</f>
        <v>0.19432065858703651</v>
      </c>
      <c r="CE190" s="872">
        <f>CE41/BY41-1</f>
        <v>0.30083775838629845</v>
      </c>
      <c r="CF190" s="279"/>
      <c r="CG190" s="279">
        <f>CG41/CA41-1</f>
        <v>0.18508263282714776</v>
      </c>
      <c r="CH190" s="279">
        <f>CH41/CB41-1</f>
        <v>0.17865609393106929</v>
      </c>
      <c r="CI190" s="279">
        <f>CI41/CC41-1</f>
        <v>0.2318378096232323</v>
      </c>
      <c r="CJ190" s="279">
        <f>CJ41/CD41-1</f>
        <v>0.26660893520321283</v>
      </c>
      <c r="CK190" s="872">
        <f>CK41/CE41-1</f>
        <v>0.21607386367019776</v>
      </c>
      <c r="CL190" s="279"/>
      <c r="CM190" s="279">
        <f>CM41/CG41-1</f>
        <v>0.18291545739341819</v>
      </c>
      <c r="CN190" s="279">
        <f>CN41/CH41-1</f>
        <v>0.2620877585243151</v>
      </c>
      <c r="CO190" s="279">
        <f>CO41/CI41-1</f>
        <v>0.25717216074885152</v>
      </c>
      <c r="CP190" s="279">
        <f>CP41/CJ41-1</f>
        <v>0.28878008938485955</v>
      </c>
      <c r="CQ190" s="872">
        <f>CQ41/CK41-1</f>
        <v>0.24945829548542853</v>
      </c>
      <c r="CR190" s="279"/>
      <c r="CS190" s="279">
        <f>CS41/CM41-1</f>
        <v>0.38247668311175254</v>
      </c>
      <c r="CT190" s="279">
        <f>CT41/CN41-1</f>
        <v>0.2646333072342042</v>
      </c>
      <c r="CU190" s="279">
        <f>CU41/CO41-1</f>
        <v>0.25388089027795324</v>
      </c>
      <c r="CV190" s="279">
        <f>CV41/CP41-1</f>
        <v>0.18878907960650682</v>
      </c>
      <c r="CW190" s="872">
        <f>CW41/CQ41-1</f>
        <v>0.26708241887443185</v>
      </c>
      <c r="CX190" s="279"/>
      <c r="CY190" s="279">
        <f>CY41/CS41-1</f>
        <v>0.16951712012653819</v>
      </c>
      <c r="CZ190" s="279">
        <f>CZ41/CT41-1</f>
        <v>0.15001550778021633</v>
      </c>
      <c r="DA190" s="279">
        <f>DA41/CU41-1</f>
        <v>0.13656320270138322</v>
      </c>
      <c r="DB190" s="279">
        <f>DB41/CV41-1</f>
        <v>0.22668067360458743</v>
      </c>
      <c r="DC190" s="872">
        <f>DC41/CW41-1</f>
        <v>0.17111134200925937</v>
      </c>
      <c r="DD190" s="279"/>
      <c r="DE190" s="279">
        <f>DE41/CY41-1</f>
        <v>0.15360463553059245</v>
      </c>
      <c r="DF190" s="279">
        <f>DF41/CZ41-1</f>
        <v>0.15202161308323969</v>
      </c>
      <c r="DG190" s="279">
        <f>DG41/DA41-1</f>
        <v>0.15075082753370661</v>
      </c>
      <c r="DH190" s="279">
        <f>DH41/DB41-1</f>
        <v>0.14605535205555187</v>
      </c>
      <c r="DI190" s="872">
        <f>DI41/DC41-1</f>
        <v>0.15047751797820053</v>
      </c>
      <c r="DJ190" s="279"/>
      <c r="DK190" s="279">
        <f>DK41/DE41-1</f>
        <v>0.14662999670221466</v>
      </c>
      <c r="DL190" s="279">
        <f>DL41/DF41-1</f>
        <v>0.14134762034412529</v>
      </c>
      <c r="DM190" s="279">
        <f>DM41/DG41-1</f>
        <v>0.13872774582316572</v>
      </c>
      <c r="DN190" s="279">
        <f>DN41/DH41-1</f>
        <v>8.8473422001201119E-2</v>
      </c>
      <c r="DO190" s="872">
        <f>DO41/DI41-1</f>
        <v>0.12773651317447854</v>
      </c>
      <c r="DP190" s="260"/>
    </row>
    <row r="191" spans="1:120">
      <c r="A191" s="260" t="s">
        <v>94</v>
      </c>
      <c r="B191" s="869"/>
      <c r="C191" s="268" t="s">
        <v>88</v>
      </c>
      <c r="D191" s="279">
        <f>D45/C45-1</f>
        <v>2.4691295546558707</v>
      </c>
      <c r="E191" s="279">
        <f>E45/D45-1</f>
        <v>0.21327498176513493</v>
      </c>
      <c r="F191" s="260"/>
      <c r="G191" s="714" t="s">
        <v>88</v>
      </c>
      <c r="H191" s="714" t="s">
        <v>88</v>
      </c>
      <c r="I191" s="714" t="s">
        <v>88</v>
      </c>
      <c r="J191" s="714" t="s">
        <v>88</v>
      </c>
      <c r="K191" s="279">
        <f>K45/E45-1</f>
        <v>0.55801370686545626</v>
      </c>
      <c r="L191" s="260"/>
      <c r="M191" s="279">
        <f t="shared" ref="M191:S191" si="43">M45/G45-1</f>
        <v>0.66286496350364943</v>
      </c>
      <c r="N191" s="279">
        <f t="shared" si="43"/>
        <v>0.48992493085736855</v>
      </c>
      <c r="O191" s="279">
        <f t="shared" si="43"/>
        <v>-8.2607772350817399E-2</v>
      </c>
      <c r="P191" s="279">
        <f t="shared" si="43"/>
        <v>0.46880317640385716</v>
      </c>
      <c r="Q191" s="279">
        <f t="shared" si="43"/>
        <v>0.3053711992591448</v>
      </c>
      <c r="R191" s="260"/>
      <c r="S191" s="279">
        <f t="shared" si="43"/>
        <v>0.52894375857338827</v>
      </c>
      <c r="T191" s="279">
        <f>T45/N45-1</f>
        <v>0.75948024396711755</v>
      </c>
      <c r="U191" s="279">
        <f>U45/O45-1</f>
        <v>0.91689814814814818</v>
      </c>
      <c r="V191" s="279">
        <f>V45/P45-1</f>
        <v>0.88820235566711703</v>
      </c>
      <c r="W191" s="279">
        <f>W45/Q45-1</f>
        <v>0.78941767661838624</v>
      </c>
      <c r="X191" s="260"/>
      <c r="Y191" s="279">
        <f>Y45/S45-1</f>
        <v>0.69083079131527003</v>
      </c>
      <c r="Z191" s="279">
        <f>Z45/T45-1</f>
        <v>0.71137905048982675</v>
      </c>
      <c r="AA191" s="279">
        <f>AA45/U45-1</f>
        <v>0.47264823088998908</v>
      </c>
      <c r="AB191" s="279">
        <f>AB45/V45-1</f>
        <v>0.5352285509765824</v>
      </c>
      <c r="AC191" s="279">
        <f>AC45/W45-1</f>
        <v>0.58537068851592422</v>
      </c>
      <c r="AD191" s="279"/>
      <c r="AE191" s="279">
        <f>AE45/Y45-1</f>
        <v>0.82054547384060283</v>
      </c>
      <c r="AF191" s="279">
        <f>AF45/Z45-1</f>
        <v>0.47239101717305165</v>
      </c>
      <c r="AG191" s="279">
        <f>AG45/AA45-1</f>
        <v>0.46986469864698654</v>
      </c>
      <c r="AH191" s="279">
        <f>AH45/AB45-1</f>
        <v>0.44474788516618924</v>
      </c>
      <c r="AI191" s="871">
        <f>AI45/AC45-1</f>
        <v>0.53146751135747938</v>
      </c>
      <c r="AJ191" s="279"/>
      <c r="AK191" s="279">
        <f>AK45/AE45-1</f>
        <v>0.26744389390848156</v>
      </c>
      <c r="AL191" s="279">
        <f>AL45/AF45-1</f>
        <v>0.36473473293857284</v>
      </c>
      <c r="AM191" s="279">
        <f>AM45/AG45-1</f>
        <v>0.40195258019525792</v>
      </c>
      <c r="AN191" s="279">
        <f>AN45/AH45-1</f>
        <v>0.44287690179806383</v>
      </c>
      <c r="AO191" s="871">
        <f>AO45/AI45-1</f>
        <v>0.37416484099661163</v>
      </c>
      <c r="AP191" s="279"/>
      <c r="AQ191" s="279">
        <f>AQ45/AK45-1</f>
        <v>0.52977969921353996</v>
      </c>
      <c r="AR191" s="279">
        <f>AR45/AL45-1</f>
        <v>0.44024192488057157</v>
      </c>
      <c r="AS191" s="279">
        <f>AS45/AM45-1</f>
        <v>0.45459610027855168</v>
      </c>
      <c r="AT191" s="279">
        <f>AT45/AN45-1</f>
        <v>0.13433026584867069</v>
      </c>
      <c r="AU191" s="871">
        <f>AU45/AO45-1</f>
        <v>0.36828867367753948</v>
      </c>
      <c r="AV191" s="279"/>
      <c r="AW191" s="279">
        <f>AW45/AQ45-1</f>
        <v>0.13249353616739823</v>
      </c>
      <c r="AX191" s="279">
        <f>AX45/AR45-1</f>
        <v>0.25737934392307227</v>
      </c>
      <c r="AY191" s="279">
        <f>AY45/AS45-1</f>
        <v>0.21078404552169383</v>
      </c>
      <c r="AZ191" s="279">
        <f>AZ45/AT45-1</f>
        <v>0.36819718309859151</v>
      </c>
      <c r="BA191" s="871">
        <f>BA45/AU45-1</f>
        <v>0.24346133248418722</v>
      </c>
      <c r="BB191" s="279"/>
      <c r="BC191" s="279">
        <f>BC45/AW45-1</f>
        <v>0.30375109506490761</v>
      </c>
      <c r="BD191" s="279">
        <f>BD45/AX45-1</f>
        <v>0.31892545982575027</v>
      </c>
      <c r="BE191" s="279">
        <f>BE45/AY45-1</f>
        <v>0.27931042273887807</v>
      </c>
      <c r="BF191" s="279">
        <f>BF45/AZ45-1</f>
        <v>0.29212904819748431</v>
      </c>
      <c r="BG191" s="872">
        <f>BG45/BA45-1</f>
        <v>0.29781921673388845</v>
      </c>
      <c r="BH191" s="279"/>
      <c r="BI191" s="279">
        <f>BI45/BC45-1</f>
        <v>0.46722730141923385</v>
      </c>
      <c r="BJ191" s="279">
        <f>BJ45/BD45-1</f>
        <v>0.33092957539726209</v>
      </c>
      <c r="BK191" s="279">
        <f>BK45/BE45-1</f>
        <v>0.30135462107698552</v>
      </c>
      <c r="BL191" s="279">
        <f>BL45/BF45-1</f>
        <v>0.26392606755895454</v>
      </c>
      <c r="BM191" s="872">
        <f>BM45/BG45-1</f>
        <v>0.33458002601013481</v>
      </c>
      <c r="BN191" s="279"/>
      <c r="BO191" s="279">
        <f>BO45/BI45-1</f>
        <v>0.18296626281971218</v>
      </c>
      <c r="BP191" s="279">
        <f>BP45/BJ45-1</f>
        <v>0.19134738670674034</v>
      </c>
      <c r="BQ191" s="279">
        <f>BQ45/BK45-1</f>
        <v>0.29294012268606484</v>
      </c>
      <c r="BR191" s="279">
        <f>BR45/BL45-1</f>
        <v>0.22186223589329845</v>
      </c>
      <c r="BS191" s="872">
        <f>BS45/BM45-1</f>
        <v>0.2226056626724644</v>
      </c>
      <c r="BT191" s="279"/>
      <c r="BU191" s="279">
        <f>BU45/BO45-1</f>
        <v>0.2896376157013647</v>
      </c>
      <c r="BV191" s="279">
        <f>BV45/BP45-1</f>
        <v>0.52992639911123463</v>
      </c>
      <c r="BW191" s="279">
        <f>BW45/BQ45-1</f>
        <v>0.31913843957635746</v>
      </c>
      <c r="BX191" s="279">
        <f>BX45/BR45-1</f>
        <v>0.41587652053692103</v>
      </c>
      <c r="BY191" s="872">
        <f>BY45/BS45-1</f>
        <v>0.38805810166417021</v>
      </c>
      <c r="BZ191" s="279"/>
      <c r="CA191" s="279">
        <f>CA45/BU45-1</f>
        <v>0.2483398526334939</v>
      </c>
      <c r="CB191" s="279">
        <f>CB45/BV45-1</f>
        <v>8.3552691295270876E-2</v>
      </c>
      <c r="CC191" s="279">
        <f>CC45/BW45-1</f>
        <v>0.12833305483278035</v>
      </c>
      <c r="CD191" s="279">
        <f>CD45/BX45-1</f>
        <v>0.12441795221196394</v>
      </c>
      <c r="CE191" s="872">
        <f>CE45/BY45-1</f>
        <v>0.14166854771324133</v>
      </c>
      <c r="CF191" s="279"/>
      <c r="CG191" s="279">
        <f>CG45/CA45-1</f>
        <v>9.6028565182540548E-2</v>
      </c>
      <c r="CH191" s="279">
        <f>CH45/CB45-1</f>
        <v>8.6924956369982542E-2</v>
      </c>
      <c r="CI191" s="279">
        <f>CI45/CC45-1</f>
        <v>0.13618380688429554</v>
      </c>
      <c r="CJ191" s="279">
        <f>CJ45/CD45-1</f>
        <v>0.13681993454521879</v>
      </c>
      <c r="CK191" s="872">
        <f>CK45/CE45-1</f>
        <v>0.11455879955461978</v>
      </c>
      <c r="CL191" s="279"/>
      <c r="CM191" s="279">
        <f>CM45/CG45-1</f>
        <v>0.19117999042604117</v>
      </c>
      <c r="CN191" s="279">
        <f>CN45/CH45-1</f>
        <v>0.40128578952100802</v>
      </c>
      <c r="CO191" s="279">
        <f>CO45/CI45-1</f>
        <v>0.32136029594319471</v>
      </c>
      <c r="CP191" s="279">
        <f>CP45/CJ45-1</f>
        <v>0.25896577868735626</v>
      </c>
      <c r="CQ191" s="872">
        <f>CQ45/CK45-1</f>
        <v>0.29322527888908057</v>
      </c>
      <c r="CR191" s="279"/>
      <c r="CS191" s="279">
        <f>CS45/CM45-1</f>
        <v>0.24564223639925653</v>
      </c>
      <c r="CT191" s="279">
        <f>CT45/CN45-1</f>
        <v>0.12677889661430997</v>
      </c>
      <c r="CU191" s="279">
        <f>CU45/CO45-1</f>
        <v>0.11067843503830654</v>
      </c>
      <c r="CV191" s="279">
        <f>CV45/CP45-1</f>
        <v>0.10586658455742537</v>
      </c>
      <c r="CW191" s="872">
        <f>CW45/CQ45-1</f>
        <v>0.14272203417974527</v>
      </c>
      <c r="CX191" s="279"/>
      <c r="CY191" s="279">
        <f>CY45/CS45-1</f>
        <v>0.12136700229233344</v>
      </c>
      <c r="CZ191" s="279">
        <f>CZ45/CT45-1</f>
        <v>7.7614769692180063E-2</v>
      </c>
      <c r="DA191" s="279">
        <f>DA45/CU45-1</f>
        <v>0.12205372869892117</v>
      </c>
      <c r="DB191" s="279">
        <f>DB45/CV45-1</f>
        <v>0.22985305434296133</v>
      </c>
      <c r="DC191" s="872">
        <f>DC45/CW45-1</f>
        <v>0.13811041274918945</v>
      </c>
      <c r="DD191" s="279"/>
      <c r="DE191" s="279">
        <f>DE45/CY45-1</f>
        <v>0.16672025916737132</v>
      </c>
      <c r="DF191" s="279">
        <f>DF45/CZ45-1</f>
        <v>0.13223154893344957</v>
      </c>
      <c r="DG191" s="279">
        <f>DG45/DA45-1</f>
        <v>0.16637909542426965</v>
      </c>
      <c r="DH191" s="279">
        <f>DH45/DB45-1</f>
        <v>0.12793589984914</v>
      </c>
      <c r="DI191" s="872">
        <f>DI45/DC45-1</f>
        <v>0.1474052244345776</v>
      </c>
      <c r="DJ191" s="279"/>
      <c r="DK191" s="279">
        <f>DK45/DE45-1</f>
        <v>0.19692078603125918</v>
      </c>
      <c r="DL191" s="279">
        <f>DL45/DF45-1</f>
        <v>0.19418778795264968</v>
      </c>
      <c r="DM191" s="279">
        <f>DM45/DG45-1</f>
        <v>0.19295287657664995</v>
      </c>
      <c r="DN191" s="279">
        <f>DN45/DH45-1</f>
        <v>0.19213755742988692</v>
      </c>
      <c r="DO191" s="872">
        <f>DO45/DI45-1</f>
        <v>0.19396302336109716</v>
      </c>
      <c r="DP191" s="260"/>
    </row>
    <row r="192" spans="1:120">
      <c r="A192" s="260" t="s">
        <v>761</v>
      </c>
      <c r="B192" s="869"/>
      <c r="C192" s="268" t="s">
        <v>88</v>
      </c>
      <c r="D192" s="279">
        <f>D58/C58-1</f>
        <v>9.0442905985095816</v>
      </c>
      <c r="E192" s="279">
        <f>E58/D58-1</f>
        <v>-0.31593415390862678</v>
      </c>
      <c r="F192" s="260"/>
      <c r="G192" s="714" t="s">
        <v>88</v>
      </c>
      <c r="H192" s="714" t="s">
        <v>88</v>
      </c>
      <c r="I192" s="714" t="s">
        <v>88</v>
      </c>
      <c r="J192" s="714" t="s">
        <v>88</v>
      </c>
      <c r="K192" s="279">
        <f>K58/E58-1</f>
        <v>0.33737902171069822</v>
      </c>
      <c r="L192" s="260"/>
      <c r="M192" s="279">
        <f>M58/G58-1</f>
        <v>0.68156243237394487</v>
      </c>
      <c r="N192" s="279">
        <f>N58/H58-1</f>
        <v>0.58864801655122778</v>
      </c>
      <c r="O192" s="279">
        <f>O58/I58-1</f>
        <v>0.31186526209550247</v>
      </c>
      <c r="P192" s="279">
        <f>P58/J58-1</f>
        <v>0.64105658353445971</v>
      </c>
      <c r="Q192" s="279">
        <f>Q58/K58-1</f>
        <v>0.53491237677984671</v>
      </c>
      <c r="R192" s="260"/>
      <c r="S192" s="279">
        <f>S58/M58-1</f>
        <v>0.80908564442442565</v>
      </c>
      <c r="T192" s="279">
        <f>T58/N58-1</f>
        <v>0.76852952833927812</v>
      </c>
      <c r="U192" s="279">
        <f>U58/O58-1</f>
        <v>0.7157763138914266</v>
      </c>
      <c r="V192" s="279">
        <f>V58/P58-1</f>
        <v>0.69004820655282284</v>
      </c>
      <c r="W192" s="279">
        <f>W58/Q58-1</f>
        <v>0.73810160938873781</v>
      </c>
      <c r="X192" s="260"/>
      <c r="Y192" s="279">
        <f>Y58/S58-1</f>
        <v>0.7153476791748179</v>
      </c>
      <c r="Z192" s="279">
        <f>Z58/T58-1</f>
        <v>0.64926042133572426</v>
      </c>
      <c r="AA192" s="279">
        <f>AA58/U58-1</f>
        <v>0.58904800605330276</v>
      </c>
      <c r="AB192" s="279">
        <f>AB58/V58-1</f>
        <v>0.55846165002779879</v>
      </c>
      <c r="AC192" s="279">
        <f>AC58/W58-1</f>
        <v>0.61959223172850675</v>
      </c>
      <c r="AD192" s="279"/>
      <c r="AE192" s="279">
        <f>AE58/Y58-1</f>
        <v>0.52993136624712278</v>
      </c>
      <c r="AF192" s="279">
        <f>AF58/Z58-1</f>
        <v>0.58165899869935722</v>
      </c>
      <c r="AG192" s="279">
        <f>AG58/AA58-1</f>
        <v>0.58512927233607259</v>
      </c>
      <c r="AH192" s="279">
        <f>AH58/AB58-1</f>
        <v>0.59627435165653275</v>
      </c>
      <c r="AI192" s="871">
        <f>AI58/AC58-1</f>
        <v>0.57552260155535606</v>
      </c>
      <c r="AJ192" s="279"/>
      <c r="AK192" s="279">
        <f>AK58/AE58-1</f>
        <v>0.53004716469695334</v>
      </c>
      <c r="AL192" s="279">
        <f>AL58/AF58-1</f>
        <v>0.47717119151651999</v>
      </c>
      <c r="AM192" s="279">
        <f>AM58/AG58-1</f>
        <v>0.4490431686693368</v>
      </c>
      <c r="AN192" s="279">
        <f>AN58/AH58-1</f>
        <v>0.41895739202254312</v>
      </c>
      <c r="AO192" s="871">
        <f>AO58/AI58-1</f>
        <v>0.46390369338179327</v>
      </c>
      <c r="AP192" s="279"/>
      <c r="AQ192" s="279">
        <f>AQ58/AK58-1</f>
        <v>0.46610507294517811</v>
      </c>
      <c r="AR192" s="279">
        <f>AR58/AL58-1</f>
        <v>0.46784485766987416</v>
      </c>
      <c r="AS192" s="279">
        <f>AS58/AM58-1</f>
        <v>0.44001074938574947</v>
      </c>
      <c r="AT192" s="279">
        <f>AT58/AN58-1</f>
        <v>0.34573244220444832</v>
      </c>
      <c r="AU192" s="871">
        <f>AU58/AO58-1</f>
        <v>0.4253462579413132</v>
      </c>
      <c r="AV192" s="279"/>
      <c r="AW192" s="279">
        <f>AW58/AQ58-1</f>
        <v>0.17509802855364809</v>
      </c>
      <c r="AX192" s="279">
        <f>AX58/AR58-1</f>
        <v>0.16816954506087911</v>
      </c>
      <c r="AY192" s="279">
        <f>AY58/AS58-1</f>
        <v>0.15931473177390187</v>
      </c>
      <c r="AZ192" s="279">
        <f>AZ58/AT58-1</f>
        <v>0.20992265418278033</v>
      </c>
      <c r="BA192" s="871">
        <f>BA58/AU58-1</f>
        <v>0.17876021871527503</v>
      </c>
      <c r="BB192" s="279"/>
      <c r="BC192" s="279">
        <f>BC58/AW58-1</f>
        <v>0.27915514103262828</v>
      </c>
      <c r="BD192" s="279">
        <f>BD58/AX58-1</f>
        <v>0.27075640839269277</v>
      </c>
      <c r="BE192" s="279">
        <f>BE58/AY58-1</f>
        <v>0.32234415387304205</v>
      </c>
      <c r="BF192" s="279">
        <f>BF58/AZ58-1</f>
        <v>0.36948530957968484</v>
      </c>
      <c r="BG192" s="872">
        <f>BG58/BA58-1</f>
        <v>0.31318920080741619</v>
      </c>
      <c r="BH192" s="279"/>
      <c r="BI192" s="279">
        <f>BI58/BC58-1</f>
        <v>0.44281074649902741</v>
      </c>
      <c r="BJ192" s="279">
        <f>BJ58/BD58-1</f>
        <v>0.48074327158469532</v>
      </c>
      <c r="BK192" s="279">
        <f>BK58/BE58-1</f>
        <v>0.43309148835526878</v>
      </c>
      <c r="BL192" s="279">
        <f>BL58/BF58-1</f>
        <v>0.33396698072647335</v>
      </c>
      <c r="BM192" s="872">
        <f>BM58/BG58-1</f>
        <v>0.41764620067711955</v>
      </c>
      <c r="BN192" s="279"/>
      <c r="BO192" s="279">
        <f>BO58/BI58-1</f>
        <v>0.36152543222808498</v>
      </c>
      <c r="BP192" s="279">
        <f>BP58/BJ58-1</f>
        <v>0.2946495020846267</v>
      </c>
      <c r="BQ192" s="279">
        <f>BQ58/BK58-1</f>
        <v>0.35321614150391567</v>
      </c>
      <c r="BR192" s="279">
        <f>BR58/BL58-1</f>
        <v>0.31632660108615318</v>
      </c>
      <c r="BS192" s="872">
        <f>BS58/BM58-1</f>
        <v>0.33076255536710275</v>
      </c>
      <c r="BT192" s="279"/>
      <c r="BU192" s="279">
        <f>BU58/BO58-1</f>
        <v>0.27202005217658209</v>
      </c>
      <c r="BV192" s="279">
        <f>BV58/BP58-1</f>
        <v>0.34118435683070825</v>
      </c>
      <c r="BW192" s="279">
        <f>BW58/BQ58-1</f>
        <v>0.36512741966436346</v>
      </c>
      <c r="BX192" s="279">
        <f>BX58/BR58-1</f>
        <v>0.46334966823019985</v>
      </c>
      <c r="BY192" s="872">
        <f>BY58/BS58-1</f>
        <v>0.36447707975863985</v>
      </c>
      <c r="BZ192" s="279"/>
      <c r="CA192" s="279">
        <f>CA58/BU58-1</f>
        <v>0.37623458180250546</v>
      </c>
      <c r="CB192" s="279">
        <f>CB58/BV58-1</f>
        <v>0.33489751031867376</v>
      </c>
      <c r="CC192" s="279">
        <f>CC58/BW58-1</f>
        <v>0.22452735991591655</v>
      </c>
      <c r="CD192" s="279">
        <f>CD58/BX58-1</f>
        <v>0.15527830795836595</v>
      </c>
      <c r="CE192" s="872">
        <f>CE58/BY58-1</f>
        <v>0.26281205529895302</v>
      </c>
      <c r="CF192" s="279"/>
      <c r="CG192" s="279">
        <f>CG58/CA58-1</f>
        <v>0.15441330308417522</v>
      </c>
      <c r="CH192" s="279">
        <f>CH58/CB58-1</f>
        <v>0.17661142664142448</v>
      </c>
      <c r="CI192" s="279">
        <f>CI58/CC58-1</f>
        <v>0.17921160797340074</v>
      </c>
      <c r="CJ192" s="279">
        <f>CJ58/CD58-1</f>
        <v>0.22820778344804316</v>
      </c>
      <c r="CK192" s="872">
        <f>CK58/CE58-1</f>
        <v>0.18572578286046415</v>
      </c>
      <c r="CL192" s="279"/>
      <c r="CM192" s="279">
        <f>CM58/CG58-1</f>
        <v>0.20481921611548803</v>
      </c>
      <c r="CN192" s="279">
        <f>CN58/CH58-1</f>
        <v>0.22424849037095096</v>
      </c>
      <c r="CO192" s="279">
        <f>CO58/CI58-1</f>
        <v>0.22846500218818777</v>
      </c>
      <c r="CP192" s="279">
        <f>CP58/CJ58-1</f>
        <v>0.21840476535415054</v>
      </c>
      <c r="CQ192" s="872">
        <f>CQ58/CK58-1</f>
        <v>0.21928814165623334</v>
      </c>
      <c r="CR192" s="279"/>
      <c r="CS192" s="279">
        <f>CS58/CM58-1</f>
        <v>0.25651006542209198</v>
      </c>
      <c r="CT192" s="279">
        <f>CT58/CN58-1</f>
        <v>0.22271970703158117</v>
      </c>
      <c r="CU192" s="279">
        <f>CU58/CO58-1</f>
        <v>0.18613004884515805</v>
      </c>
      <c r="CV192" s="279">
        <f>CV58/CP58-1</f>
        <v>0.24459017209412282</v>
      </c>
      <c r="CW192" s="872">
        <f>CW58/CQ58-1</f>
        <v>0.22696767833773634</v>
      </c>
      <c r="CX192" s="279"/>
      <c r="CY192" s="279">
        <f>CY58/CS58-1</f>
        <v>0.19131253900220035</v>
      </c>
      <c r="CZ192" s="279">
        <f>CZ58/CT58-1</f>
        <v>0.1589941127750425</v>
      </c>
      <c r="DA192" s="279">
        <f>DA58/CU58-1</f>
        <v>0.15358022772366842</v>
      </c>
      <c r="DB192" s="279">
        <f>DB58/CV58-1</f>
        <v>0.14130145241470404</v>
      </c>
      <c r="DC192" s="872">
        <f>DC58/CW58-1</f>
        <v>0.16019730158117307</v>
      </c>
      <c r="DD192" s="279"/>
      <c r="DE192" s="279">
        <f>DE58/CY58-1</f>
        <v>0.16730464196685402</v>
      </c>
      <c r="DF192" s="279">
        <f>DF58/CZ58-1</f>
        <v>0.1621819063824419</v>
      </c>
      <c r="DG192" s="279">
        <f>DG58/DA58-1</f>
        <v>0.16618638830742327</v>
      </c>
      <c r="DH192" s="279">
        <f>DH58/DB58-1</f>
        <v>0.14026134117559441</v>
      </c>
      <c r="DI192" s="872">
        <f>DI58/DC58-1</f>
        <v>0.15839001966782051</v>
      </c>
      <c r="DJ192" s="279"/>
      <c r="DK192" s="279">
        <f>DK58/DE58-1</f>
        <v>0.15617454650679075</v>
      </c>
      <c r="DL192" s="279">
        <f>DL58/DF58-1</f>
        <v>0.15224967424052838</v>
      </c>
      <c r="DM192" s="279">
        <f>DM58/DG58-1</f>
        <v>0.15200237132830963</v>
      </c>
      <c r="DN192" s="279">
        <f>DN58/DH58-1</f>
        <v>0.14436897934471715</v>
      </c>
      <c r="DO192" s="872">
        <f>DO58/DI58-1</f>
        <v>0.15100588363739442</v>
      </c>
      <c r="DP192" s="260"/>
    </row>
    <row r="193" spans="1:120" ht="5.25" customHeight="1">
      <c r="A193" s="255"/>
      <c r="B193" s="744"/>
      <c r="C193" s="669"/>
      <c r="D193" s="669"/>
      <c r="E193" s="669"/>
      <c r="F193" s="669"/>
      <c r="G193" s="669"/>
      <c r="H193" s="669"/>
      <c r="I193" s="669"/>
      <c r="J193" s="669"/>
      <c r="K193" s="669"/>
      <c r="L193" s="669"/>
      <c r="M193" s="669"/>
      <c r="N193" s="669"/>
      <c r="O193" s="669"/>
      <c r="P193" s="669"/>
      <c r="Q193" s="669"/>
      <c r="R193" s="669"/>
      <c r="S193" s="669"/>
      <c r="T193" s="669"/>
      <c r="U193" s="669"/>
      <c r="V193" s="669"/>
      <c r="W193" s="669"/>
      <c r="X193" s="669"/>
      <c r="Y193" s="669"/>
      <c r="Z193" s="669"/>
      <c r="AA193" s="669"/>
      <c r="AB193" s="669"/>
      <c r="AC193" s="669"/>
      <c r="AD193" s="669"/>
      <c r="AE193" s="669"/>
      <c r="AF193" s="669"/>
      <c r="AG193" s="669"/>
      <c r="AH193" s="669"/>
      <c r="AI193" s="670"/>
      <c r="AJ193" s="669"/>
      <c r="AK193" s="669"/>
      <c r="AL193" s="669"/>
      <c r="AM193" s="669"/>
      <c r="AN193" s="669"/>
      <c r="AO193" s="670"/>
      <c r="AP193" s="669"/>
      <c r="AQ193" s="669"/>
      <c r="AR193" s="669"/>
      <c r="AS193" s="669"/>
      <c r="AT193" s="669"/>
      <c r="AU193" s="670"/>
      <c r="AV193" s="669"/>
      <c r="AW193" s="669"/>
      <c r="AX193" s="669"/>
      <c r="AY193" s="669"/>
      <c r="AZ193" s="669"/>
      <c r="BA193" s="670"/>
      <c r="BB193" s="669"/>
      <c r="BC193" s="669"/>
      <c r="BD193" s="669"/>
      <c r="BE193" s="669"/>
      <c r="BF193" s="669"/>
      <c r="BG193" s="860"/>
      <c r="BH193" s="669"/>
      <c r="BI193" s="669"/>
      <c r="BJ193" s="669"/>
      <c r="BK193" s="669"/>
      <c r="BL193" s="669"/>
      <c r="BM193" s="860"/>
      <c r="BN193" s="669"/>
      <c r="BO193" s="669"/>
      <c r="BP193" s="669"/>
      <c r="BQ193" s="669"/>
      <c r="BR193" s="669"/>
      <c r="BS193" s="860"/>
      <c r="BT193" s="669"/>
      <c r="BU193" s="669"/>
      <c r="BV193" s="669"/>
      <c r="BW193" s="669"/>
      <c r="BX193" s="669"/>
      <c r="BY193" s="860"/>
      <c r="BZ193" s="669"/>
      <c r="CA193" s="669"/>
      <c r="CB193" s="669"/>
      <c r="CC193" s="669"/>
      <c r="CD193" s="669"/>
      <c r="CE193" s="860"/>
      <c r="CF193" s="669"/>
      <c r="CG193" s="669"/>
      <c r="CH193" s="669"/>
      <c r="CI193" s="669"/>
      <c r="CJ193" s="669"/>
      <c r="CK193" s="860"/>
      <c r="CL193" s="669"/>
      <c r="CM193" s="669"/>
      <c r="CN193" s="669"/>
      <c r="CO193" s="669"/>
      <c r="CP193" s="669"/>
      <c r="CQ193" s="860"/>
      <c r="CR193" s="669"/>
      <c r="CS193" s="669"/>
      <c r="CT193" s="669"/>
      <c r="CU193" s="669"/>
      <c r="CV193" s="669"/>
      <c r="CW193" s="860"/>
      <c r="CX193" s="669"/>
      <c r="CY193" s="669"/>
      <c r="CZ193" s="669"/>
      <c r="DA193" s="669"/>
      <c r="DB193" s="669"/>
      <c r="DC193" s="860"/>
      <c r="DD193" s="669"/>
      <c r="DE193" s="669"/>
      <c r="DF193" s="669"/>
      <c r="DG193" s="669"/>
      <c r="DH193" s="669"/>
      <c r="DI193" s="860"/>
      <c r="DJ193" s="669"/>
      <c r="DK193" s="669"/>
      <c r="DL193" s="669"/>
      <c r="DM193" s="669"/>
      <c r="DN193" s="669"/>
      <c r="DO193" s="860"/>
      <c r="DP193" s="669"/>
    </row>
    <row r="194" spans="1:120">
      <c r="A194" s="260" t="s">
        <v>949</v>
      </c>
      <c r="B194" s="869"/>
      <c r="C194" s="268" t="s">
        <v>88</v>
      </c>
      <c r="D194" s="279">
        <f>D64/C64-1</f>
        <v>8.682500519429782</v>
      </c>
      <c r="E194" s="279">
        <f>E64/D64-1</f>
        <v>-0.59408564060495228</v>
      </c>
      <c r="F194" s="260"/>
      <c r="G194" s="714" t="s">
        <v>88</v>
      </c>
      <c r="H194" s="714" t="s">
        <v>88</v>
      </c>
      <c r="I194" s="714" t="s">
        <v>88</v>
      </c>
      <c r="J194" s="714" t="s">
        <v>88</v>
      </c>
      <c r="K194" s="714" t="s">
        <v>88</v>
      </c>
      <c r="L194" s="260"/>
      <c r="M194" s="714" t="s">
        <v>88</v>
      </c>
      <c r="N194" s="714" t="s">
        <v>88</v>
      </c>
      <c r="O194" s="714" t="s">
        <v>88</v>
      </c>
      <c r="P194" s="714" t="s">
        <v>88</v>
      </c>
      <c r="Q194" s="714" t="s">
        <v>88</v>
      </c>
      <c r="R194" s="260"/>
      <c r="S194" s="714" t="s">
        <v>88</v>
      </c>
      <c r="T194" s="714" t="s">
        <v>88</v>
      </c>
      <c r="U194" s="714" t="s">
        <v>88</v>
      </c>
      <c r="V194" s="714" t="s">
        <v>88</v>
      </c>
      <c r="W194" s="714" t="s">
        <v>88</v>
      </c>
      <c r="X194" s="260"/>
      <c r="Y194" s="279">
        <f>Y64/S64-1</f>
        <v>10.038781163434882</v>
      </c>
      <c r="Z194" s="279">
        <f>Z64/T64-1</f>
        <v>2.5991416309012445</v>
      </c>
      <c r="AA194" s="279">
        <f>AA64/U64-1</f>
        <v>2.6023688663282427</v>
      </c>
      <c r="AB194" s="279">
        <f>AB64/V64-1</f>
        <v>0.6305495187829826</v>
      </c>
      <c r="AC194" s="279">
        <f>AC64/W64-1</f>
        <v>2.0394171779140984</v>
      </c>
      <c r="AD194" s="279"/>
      <c r="AE194" s="279">
        <f>AE64/Y64-1</f>
        <v>0.90087829360100469</v>
      </c>
      <c r="AF194" s="279">
        <f>AF64/Z64-1</f>
        <v>1.254948724063917</v>
      </c>
      <c r="AG194" s="279">
        <f>AG64/AA64-1</f>
        <v>0.58399874745577596</v>
      </c>
      <c r="AH194" s="279">
        <f>AH64/AB64-1</f>
        <v>0.73229246001524095</v>
      </c>
      <c r="AI194" s="871">
        <f>AI64/AC64-1</f>
        <v>0.82898521471464393</v>
      </c>
      <c r="AJ194" s="279"/>
      <c r="AK194" s="279">
        <f>AK64/AE64-1</f>
        <v>0.6667986798679868</v>
      </c>
      <c r="AL194" s="279">
        <f>AL64/AF64-1</f>
        <v>0.9331570597567449</v>
      </c>
      <c r="AM194" s="279">
        <f>AM64/AG64-1</f>
        <v>1.1543935949392092</v>
      </c>
      <c r="AN194" s="279">
        <f>AN64/AH64-1</f>
        <v>2.0353923939327263</v>
      </c>
      <c r="AO194" s="871">
        <f>AO64/AI64-1</f>
        <v>1.2159194371637456</v>
      </c>
      <c r="AP194" s="279"/>
      <c r="AQ194" s="279">
        <f>AQ64/AK64-1</f>
        <v>1.7551085062569292</v>
      </c>
      <c r="AR194" s="279">
        <f>AR64/AL64-1</f>
        <v>0.9850093007987728</v>
      </c>
      <c r="AS194" s="279">
        <f>AS64/AM64-1</f>
        <v>0.73926408515323705</v>
      </c>
      <c r="AT194" s="279">
        <f>AT64/AN64-1</f>
        <v>0.45317931633835529</v>
      </c>
      <c r="AU194" s="871">
        <f>AU64/AO64-1</f>
        <v>0.85651675880272848</v>
      </c>
      <c r="AV194" s="279"/>
      <c r="AW194" s="279">
        <f>AW64/AQ64-1</f>
        <v>0.51170010923934872</v>
      </c>
      <c r="AX194" s="279">
        <f>AX64/AR64-1</f>
        <v>0.44881759550190137</v>
      </c>
      <c r="AY194" s="279">
        <f>AY64/AS64-1</f>
        <v>0.39143738953810447</v>
      </c>
      <c r="AZ194" s="279">
        <f>AZ64/AT64-1</f>
        <v>0.3548628242505798</v>
      </c>
      <c r="BA194" s="871">
        <f>BA64/AU64-1</f>
        <v>0.4236124151621643</v>
      </c>
      <c r="BB194" s="279"/>
      <c r="BC194" s="279">
        <f>BC64/AW64-1</f>
        <v>0.17943939451565183</v>
      </c>
      <c r="BD194" s="279">
        <f>BD64/AX64-1</f>
        <v>0.16830270517064272</v>
      </c>
      <c r="BE194" s="279">
        <f>BE64/AY64-1</f>
        <v>0.25064457420186548</v>
      </c>
      <c r="BF194" s="279">
        <f>BF64/AZ64-1</f>
        <v>-0.11369822702861798</v>
      </c>
      <c r="BG194" s="872">
        <f>BG64/BA64-1</f>
        <v>0.11929034446370723</v>
      </c>
      <c r="BH194" s="279"/>
      <c r="BI194" s="279">
        <f>BI64/BC64-1</f>
        <v>-0.1117667924284933</v>
      </c>
      <c r="BJ194" s="279">
        <f>BJ64/BD64-1</f>
        <v>-6.3309071369253678E-2</v>
      </c>
      <c r="BK194" s="279">
        <f>BK64/BE64-1</f>
        <v>-1.0580727311313431E-2</v>
      </c>
      <c r="BL194" s="279">
        <f>BL64/BF64-1</f>
        <v>0.73492425814484452</v>
      </c>
      <c r="BM194" s="872">
        <f>BM64/BG64-1</f>
        <v>0.10058334806434521</v>
      </c>
      <c r="BN194" s="279"/>
      <c r="BO194" s="279">
        <f>BO64/BI64-1</f>
        <v>0.45020874931929589</v>
      </c>
      <c r="BP194" s="279">
        <f>BP64/BJ64-1</f>
        <v>0.599756627553236</v>
      </c>
      <c r="BQ194" s="279">
        <f>BQ64/BK64-1</f>
        <v>0.18224019855678608</v>
      </c>
      <c r="BR194" s="279">
        <f>BR64/BL64-1</f>
        <v>0.2885080018180517</v>
      </c>
      <c r="BS194" s="872">
        <f>BS64/BM64-1</f>
        <v>0.36451975586251173</v>
      </c>
      <c r="BT194" s="279"/>
      <c r="BU194" s="279">
        <f>BU64/BO64-1</f>
        <v>0.1760126170329932</v>
      </c>
      <c r="BV194" s="279">
        <f>BV64/BP64-1</f>
        <v>6.1058831199881203E-2</v>
      </c>
      <c r="BW194" s="279">
        <f>BW64/BQ64-1</f>
        <v>0.20078791177461475</v>
      </c>
      <c r="BX194" s="279">
        <f>BX64/BR64-1</f>
        <v>-0.26219053719123431</v>
      </c>
      <c r="BY194" s="872">
        <f>BY64/BS64-1</f>
        <v>1.9422046966040662E-2</v>
      </c>
      <c r="BZ194" s="279"/>
      <c r="CA194" s="279">
        <f>CA64/BU64-1</f>
        <v>0.27070694169487419</v>
      </c>
      <c r="CB194" s="279">
        <f>CB64/BV64-1</f>
        <v>0.48390598596958245</v>
      </c>
      <c r="CC194" s="279">
        <f>CC64/BW64-1</f>
        <v>0.64973019641701146</v>
      </c>
      <c r="CD194" s="279">
        <f>CD64/BX64-1</f>
        <v>0.9747489997735328</v>
      </c>
      <c r="CE194" s="872">
        <f>CE64/BY64-1</f>
        <v>0.57833458422339046</v>
      </c>
      <c r="CF194" s="279"/>
      <c r="CG194" s="279">
        <f>CG64/CA64-1</f>
        <v>0.48059268938251742</v>
      </c>
      <c r="CH194" s="279">
        <f>CH64/CB64-1</f>
        <v>0.43167513250883016</v>
      </c>
      <c r="CI194" s="279">
        <f>CI64/CC64-1</f>
        <v>0.48506515595561983</v>
      </c>
      <c r="CJ194" s="279">
        <f>CJ64/CD64-1</f>
        <v>0.39389769172448852</v>
      </c>
      <c r="CK194" s="872">
        <f>CK64/CE64-1</f>
        <v>0.44573553618240558</v>
      </c>
      <c r="CL194" s="279"/>
      <c r="CM194" s="279">
        <f>CM64/CG64-1</f>
        <v>0.57557208723446118</v>
      </c>
      <c r="CN194" s="279">
        <f>CN64/CH64-1</f>
        <v>0.27049227743391069</v>
      </c>
      <c r="CO194" s="279">
        <f>CO64/CI64-1</f>
        <v>0.20060965671569453</v>
      </c>
      <c r="CP194" s="279">
        <f>CP64/CJ64-1</f>
        <v>0.34954429523452157</v>
      </c>
      <c r="CQ194" s="872">
        <f>CQ64/CK64-1</f>
        <v>0.33718873643982294</v>
      </c>
      <c r="CR194" s="279"/>
      <c r="CS194" s="279">
        <f>CS64/CM64-1</f>
        <v>0.13791803408185133</v>
      </c>
      <c r="CT194" s="279">
        <f>CT64/CN64-1</f>
        <v>0.44684241679187764</v>
      </c>
      <c r="CU194" s="279">
        <f>CU64/CO64-1</f>
        <v>0.60313919443486519</v>
      </c>
      <c r="CV194" s="279">
        <f>CV64/CP64-1</f>
        <v>0.30220215677242934</v>
      </c>
      <c r="CW194" s="872">
        <f>CW64/CQ64-1</f>
        <v>0.36922636123805352</v>
      </c>
      <c r="CX194" s="279"/>
      <c r="CY194" s="279">
        <f>CY64/CS64-1</f>
        <v>0.45963419436437691</v>
      </c>
      <c r="CZ194" s="279">
        <f>CZ64/CT64-1</f>
        <v>0.481510080411373</v>
      </c>
      <c r="DA194" s="279">
        <f>DA64/CU64-1</f>
        <v>0.43828185389339502</v>
      </c>
      <c r="DB194" s="279">
        <f>DB64/CV64-1</f>
        <v>0.50721639238436933</v>
      </c>
      <c r="DC194" s="872">
        <f>DC64/CW64-1</f>
        <v>0.47102262594225897</v>
      </c>
      <c r="DD194" s="279"/>
      <c r="DE194" s="279">
        <f>DE64/CY64-1</f>
        <v>0.36923907557761626</v>
      </c>
      <c r="DF194" s="279">
        <f>DF64/CZ64-1</f>
        <v>0.36178244407069182</v>
      </c>
      <c r="DG194" s="279">
        <f>DG64/DA64-1</f>
        <v>0.33513807034571186</v>
      </c>
      <c r="DH194" s="279">
        <f>DH64/DB64-1</f>
        <v>0.42537212327163032</v>
      </c>
      <c r="DI194" s="872">
        <f>DI64/DC64-1</f>
        <v>0.37231937829807737</v>
      </c>
      <c r="DJ194" s="279"/>
      <c r="DK194" s="279">
        <f>DK64/DE64-1</f>
        <v>0.35927237727316919</v>
      </c>
      <c r="DL194" s="279">
        <f>DL64/DF64-1</f>
        <v>0.33372983815436963</v>
      </c>
      <c r="DM194" s="279">
        <f>DM64/DG64-1</f>
        <v>0.3184467302249594</v>
      </c>
      <c r="DN194" s="279">
        <f>DN64/DH64-1</f>
        <v>0.35395273882566713</v>
      </c>
      <c r="DO194" s="872">
        <f>DO64/DI64-1</f>
        <v>0.34026845941706152</v>
      </c>
      <c r="DP194" s="260"/>
    </row>
    <row r="195" spans="1:120">
      <c r="A195" s="260" t="s">
        <v>962</v>
      </c>
      <c r="B195" s="869"/>
      <c r="C195" s="268" t="s">
        <v>88</v>
      </c>
      <c r="D195" s="279">
        <f>D84/C84-1</f>
        <v>8.5275922395648038</v>
      </c>
      <c r="E195" s="279">
        <f>E84/D84-1</f>
        <v>-0.59664589958416392</v>
      </c>
      <c r="F195" s="260"/>
      <c r="G195" s="714" t="s">
        <v>88</v>
      </c>
      <c r="H195" s="714" t="s">
        <v>88</v>
      </c>
      <c r="I195" s="714" t="s">
        <v>88</v>
      </c>
      <c r="J195" s="714" t="s">
        <v>88</v>
      </c>
      <c r="K195" s="714" t="s">
        <v>88</v>
      </c>
      <c r="L195" s="260"/>
      <c r="M195" s="714" t="s">
        <v>88</v>
      </c>
      <c r="N195" s="714" t="s">
        <v>88</v>
      </c>
      <c r="O195" s="714" t="s">
        <v>88</v>
      </c>
      <c r="P195" s="714" t="s">
        <v>88</v>
      </c>
      <c r="Q195" s="714" t="s">
        <v>88</v>
      </c>
      <c r="R195" s="260"/>
      <c r="S195" s="714" t="s">
        <v>88</v>
      </c>
      <c r="T195" s="714" t="s">
        <v>88</v>
      </c>
      <c r="U195" s="714" t="s">
        <v>88</v>
      </c>
      <c r="V195" s="714" t="s">
        <v>88</v>
      </c>
      <c r="W195" s="714" t="s">
        <v>88</v>
      </c>
      <c r="X195" s="260"/>
      <c r="Y195" s="279">
        <f>Y84/S84-1</f>
        <v>8.5011441647597099</v>
      </c>
      <c r="Z195" s="279">
        <f>Z84/T84-1</f>
        <v>3.307692307692256</v>
      </c>
      <c r="AA195" s="279">
        <f>AA84/U84-1</f>
        <v>1.9391546679052372</v>
      </c>
      <c r="AB195" s="279">
        <f>AB84/V84-1</f>
        <v>0.66118237590629847</v>
      </c>
      <c r="AC195" s="279">
        <f>AC84/W84-1</f>
        <v>1.9236319085216347</v>
      </c>
      <c r="AD195" s="279"/>
      <c r="AE195" s="279">
        <f>AE84/Y84-1</f>
        <v>0.20207129094412379</v>
      </c>
      <c r="AF195" s="279">
        <f>AF84/Z84-1</f>
        <v>0.30138888888888915</v>
      </c>
      <c r="AG195" s="279">
        <f>AG84/AA84-1</f>
        <v>0.17558942458884519</v>
      </c>
      <c r="AH195" s="279">
        <f>AH84/AB84-1</f>
        <v>0.27003354344087738</v>
      </c>
      <c r="AI195" s="871">
        <f>AI84/AC84-1</f>
        <v>0.23642592992855249</v>
      </c>
      <c r="AJ195" s="279"/>
      <c r="AK195" s="279">
        <f>AK84/AE84-1</f>
        <v>0.81789220597074719</v>
      </c>
      <c r="AL195" s="279">
        <f>AL84/AF84-1</f>
        <v>0.89680591553590694</v>
      </c>
      <c r="AM195" s="279">
        <f>AM84/AG84-1</f>
        <v>1.0600460335659285</v>
      </c>
      <c r="AN195" s="279">
        <f>AN84/AH84-1</f>
        <v>1.2615288974119894</v>
      </c>
      <c r="AO195" s="871">
        <f>AO84/AI84-1</f>
        <v>1.0316162480879627</v>
      </c>
      <c r="AP195" s="279"/>
      <c r="AQ195" s="279">
        <f>AQ84/AK84-1</f>
        <v>1.1683217422931524</v>
      </c>
      <c r="AR195" s="279">
        <f>AR84/AL84-1</f>
        <v>0.6482399135128174</v>
      </c>
      <c r="AS195" s="279">
        <f>AS84/AM84-1</f>
        <v>0.49840661316541079</v>
      </c>
      <c r="AT195" s="279">
        <f>AT84/AN84-1</f>
        <v>0.70061954643314994</v>
      </c>
      <c r="AU195" s="871">
        <f>AU84/AO84-1</f>
        <v>0.70975674696456181</v>
      </c>
      <c r="AV195" s="279"/>
      <c r="AW195" s="279">
        <f>AW84/AQ84-1</f>
        <v>0.66035459046224765</v>
      </c>
      <c r="AX195" s="279">
        <f>AX84/AR84-1</f>
        <v>0.72219252901589726</v>
      </c>
      <c r="AY195" s="279">
        <f>AY84/AS84-1</f>
        <v>0.47321040510898049</v>
      </c>
      <c r="AZ195" s="279">
        <f>AZ84/AT84-1</f>
        <v>0.2842521802650475</v>
      </c>
      <c r="BA195" s="871">
        <f>BA84/AU84-1</f>
        <v>0.50886993541836767</v>
      </c>
      <c r="BB195" s="279"/>
      <c r="BC195" s="279">
        <f>BC84/AW84-1</f>
        <v>0.2229977082377943</v>
      </c>
      <c r="BD195" s="279">
        <f>BD84/AX84-1</f>
        <v>9.680568864242356E-2</v>
      </c>
      <c r="BE195" s="279">
        <f>BE84/AY84-1</f>
        <v>0.31108085466639346</v>
      </c>
      <c r="BF195" s="279">
        <f>BF84/AZ84-1</f>
        <v>0.15258366601352669</v>
      </c>
      <c r="BG195" s="872">
        <f>BG84/BA84-1</f>
        <v>0.19348176999096034</v>
      </c>
      <c r="BH195" s="279"/>
      <c r="BI195" s="279">
        <f>BI84/BC84-1</f>
        <v>-1.4768830258585774E-3</v>
      </c>
      <c r="BJ195" s="279">
        <f>BJ84/BD84-1</f>
        <v>0.1122528011566073</v>
      </c>
      <c r="BK195" s="279">
        <f>BK84/BE84-1</f>
        <v>0.10479561698193951</v>
      </c>
      <c r="BL195" s="279">
        <f>BL84/BF84-1</f>
        <v>0.4309263988855363</v>
      </c>
      <c r="BM195" s="872">
        <f>BM84/BG84-1</f>
        <v>0.16553887276799162</v>
      </c>
      <c r="BN195" s="279"/>
      <c r="BO195" s="279">
        <f>BO84/BI84-1</f>
        <v>0.36535472549511194</v>
      </c>
      <c r="BP195" s="279">
        <f>BP84/BJ84-1</f>
        <v>0.40931247388700398</v>
      </c>
      <c r="BQ195" s="279">
        <f>BQ84/BK84-1</f>
        <v>1.3060957939633022E-2</v>
      </c>
      <c r="BR195" s="279">
        <f>BR84/BL84-1</f>
        <v>0.26126886256693194</v>
      </c>
      <c r="BS195" s="872">
        <f>BS84/BM84-1</f>
        <v>0.25283699116232694</v>
      </c>
      <c r="BT195" s="279"/>
      <c r="BU195" s="279">
        <f>BU84/BO84-1</f>
        <v>0.11934488836662549</v>
      </c>
      <c r="BV195" s="279">
        <f>BV84/BP84-1</f>
        <v>-7.2814414651817372E-2</v>
      </c>
      <c r="BW195" s="279">
        <f>BW84/BQ84-1</f>
        <v>0.16049233496504778</v>
      </c>
      <c r="BX195" s="279">
        <f>BX84/BR84-1</f>
        <v>-0.39553851695569486</v>
      </c>
      <c r="BY195" s="872">
        <f>BY84/BS84-1</f>
        <v>-8.5342172638557479E-2</v>
      </c>
      <c r="BZ195" s="279"/>
      <c r="CA195" s="279">
        <f>CA84/BU84-1</f>
        <v>0.14027950921855825</v>
      </c>
      <c r="CB195" s="279">
        <f>CB84/BV84-1</f>
        <v>0.5220712319033638</v>
      </c>
      <c r="CC195" s="279">
        <f>CC84/BW84-1</f>
        <v>0.62486113039855984</v>
      </c>
      <c r="CD195" s="279">
        <f>CD84/BX84-1</f>
        <v>0.97460945813646438</v>
      </c>
      <c r="CE195" s="872">
        <f>CE84/BY84-1</f>
        <v>0.53969069609155707</v>
      </c>
      <c r="CF195" s="279"/>
      <c r="CG195" s="279">
        <f>CG84/CA84-1</f>
        <v>0.55841820588066104</v>
      </c>
      <c r="CH195" s="279">
        <f>CH84/CB84-1</f>
        <v>0.49691311197991994</v>
      </c>
      <c r="CI195" s="279">
        <f>CI84/CC84-1</f>
        <v>0.50123390844506099</v>
      </c>
      <c r="CJ195" s="279">
        <f>CJ84/CD84-1</f>
        <v>0.39753608036301924</v>
      </c>
      <c r="CK195" s="872">
        <f>CK84/CE84-1</f>
        <v>0.48362193890246918</v>
      </c>
      <c r="CL195" s="279"/>
      <c r="CM195" s="279">
        <f>CM84/CG84-1</f>
        <v>0.54643467023583825</v>
      </c>
      <c r="CN195" s="279">
        <f>CN84/CH84-1</f>
        <v>0.32872301443128671</v>
      </c>
      <c r="CO195" s="279">
        <f>CO84/CI84-1</f>
        <v>0.21644855290592968</v>
      </c>
      <c r="CP195" s="279">
        <f>CP84/CJ84-1</f>
        <v>0.51413675556446026</v>
      </c>
      <c r="CQ195" s="872">
        <f>CQ84/CK84-1</f>
        <v>0.39156996189690418</v>
      </c>
      <c r="CR195" s="279"/>
      <c r="CS195" s="279">
        <f>CS84/CM84-1</f>
        <v>0.21041227698423626</v>
      </c>
      <c r="CT195" s="279">
        <f>CT84/CN84-1</f>
        <v>0.41350498163425886</v>
      </c>
      <c r="CU195" s="279">
        <f>CU84/CO84-1</f>
        <v>0.66369874633641368</v>
      </c>
      <c r="CV195" s="279">
        <f>CV84/CP84-1</f>
        <v>0.34095331234783166</v>
      </c>
      <c r="CW195" s="872">
        <f>CW84/CQ84-1</f>
        <v>0.40570513765839045</v>
      </c>
      <c r="CX195" s="279"/>
      <c r="CY195" s="279">
        <f>CY84/CS84-1</f>
        <v>0.75806292772636685</v>
      </c>
      <c r="CZ195" s="279">
        <f>CZ84/CT84-1</f>
        <v>0.81423454483372226</v>
      </c>
      <c r="DA195" s="279">
        <f>DA84/CU84-1</f>
        <v>0.71243095478322904</v>
      </c>
      <c r="DB195" s="279">
        <f>DB84/CV84-1</f>
        <v>0.70417373248110504</v>
      </c>
      <c r="DC195" s="872">
        <f>DC84/CW84-1</f>
        <v>0.74431101763283403</v>
      </c>
      <c r="DD195" s="279"/>
      <c r="DE195" s="279">
        <f>DE84/CY84-1</f>
        <v>0.399650707318572</v>
      </c>
      <c r="DF195" s="279">
        <f>DF84/CZ84-1</f>
        <v>0.38587938472711469</v>
      </c>
      <c r="DG195" s="279">
        <f>DG84/DA84-1</f>
        <v>0.35669643853667776</v>
      </c>
      <c r="DH195" s="279">
        <f>DH84/DB84-1</f>
        <v>0.45008797545861778</v>
      </c>
      <c r="DI195" s="872">
        <f>DI84/DC84-1</f>
        <v>0.39715888340024175</v>
      </c>
      <c r="DJ195" s="279"/>
      <c r="DK195" s="279">
        <f>DK84/DE84-1</f>
        <v>0.35980179235147447</v>
      </c>
      <c r="DL195" s="279">
        <f>DL84/DF84-1</f>
        <v>0.33424091608694062</v>
      </c>
      <c r="DM195" s="279">
        <f>DM84/DG84-1</f>
        <v>0.3189252169463177</v>
      </c>
      <c r="DN195" s="279">
        <f>DN84/DH84-1</f>
        <v>0.35435432342169504</v>
      </c>
      <c r="DO195" s="872">
        <f>DO84/DI84-1</f>
        <v>0.34074787508415327</v>
      </c>
      <c r="DP195" s="260"/>
    </row>
    <row r="196" spans="1:120">
      <c r="A196" s="260" t="s">
        <v>762</v>
      </c>
      <c r="B196" s="869"/>
      <c r="C196" s="268" t="s">
        <v>88</v>
      </c>
      <c r="D196" s="268" t="s">
        <v>88</v>
      </c>
      <c r="E196" s="714" t="s">
        <v>88</v>
      </c>
      <c r="F196" s="260"/>
      <c r="G196" s="714" t="s">
        <v>88</v>
      </c>
      <c r="H196" s="714" t="s">
        <v>88</v>
      </c>
      <c r="I196" s="714" t="s">
        <v>88</v>
      </c>
      <c r="J196" s="714" t="s">
        <v>88</v>
      </c>
      <c r="K196" s="714" t="s">
        <v>88</v>
      </c>
      <c r="L196" s="260"/>
      <c r="M196" s="714" t="s">
        <v>88</v>
      </c>
      <c r="N196" s="714" t="s">
        <v>88</v>
      </c>
      <c r="O196" s="714" t="s">
        <v>88</v>
      </c>
      <c r="P196" s="714" t="s">
        <v>88</v>
      </c>
      <c r="Q196" s="714" t="s">
        <v>88</v>
      </c>
      <c r="R196" s="260"/>
      <c r="S196" s="714" t="s">
        <v>88</v>
      </c>
      <c r="T196" s="714" t="s">
        <v>88</v>
      </c>
      <c r="U196" s="714" t="s">
        <v>88</v>
      </c>
      <c r="V196" s="714" t="s">
        <v>88</v>
      </c>
      <c r="W196" s="714" t="s">
        <v>88</v>
      </c>
      <c r="X196" s="260"/>
      <c r="Y196" s="714">
        <f>Y86/S86-1</f>
        <v>7.1973056953736467</v>
      </c>
      <c r="Z196" s="714">
        <f>Z86/T86-1</f>
        <v>2.9343375528636217</v>
      </c>
      <c r="AA196" s="714">
        <f>AA86/U86-1</f>
        <v>1.8777483687881578</v>
      </c>
      <c r="AB196" s="714">
        <f>AB86/V86-1</f>
        <v>0.60385666552212225</v>
      </c>
      <c r="AC196" s="714">
        <f>AC86/W86-1</f>
        <v>1.7300231960166395</v>
      </c>
      <c r="AD196" s="279"/>
      <c r="AE196" s="714">
        <f>AE86/Y86-1</f>
        <v>0.16696224107597413</v>
      </c>
      <c r="AF196" s="714">
        <f>AF86/Z86-1</f>
        <v>0.29206861163709497</v>
      </c>
      <c r="AG196" s="714">
        <f>AG86/AA86-1</f>
        <v>0.15971668516191051</v>
      </c>
      <c r="AH196" s="714">
        <f>AH86/AB86-1</f>
        <v>0.2671427950593992</v>
      </c>
      <c r="AI196" s="715">
        <f>AI86/AC86-1</f>
        <v>0.22282406293576673</v>
      </c>
      <c r="AJ196" s="279"/>
      <c r="AK196" s="714">
        <f>AK86/AE86-1</f>
        <v>0.80633400708999492</v>
      </c>
      <c r="AL196" s="714">
        <f>AL86/AF86-1</f>
        <v>0.85759820422765576</v>
      </c>
      <c r="AM196" s="714">
        <f>AM86/AG86-1</f>
        <v>1.0281763530132548</v>
      </c>
      <c r="AN196" s="714">
        <f>AN86/AH86-1</f>
        <v>1.2172601275168211</v>
      </c>
      <c r="AO196" s="715">
        <f>AO86/AI86-1</f>
        <v>1.0000227594272659</v>
      </c>
      <c r="AP196" s="279"/>
      <c r="AQ196" s="714">
        <f>AQ86/AK86-1</f>
        <v>1.102460280848895</v>
      </c>
      <c r="AR196" s="714">
        <f>AR86/AL86-1</f>
        <v>0.59191483790179333</v>
      </c>
      <c r="AS196" s="714">
        <f>AS86/AM86-1</f>
        <v>0.46291415952470616</v>
      </c>
      <c r="AT196" s="714">
        <f>AT86/AN86-1</f>
        <v>0.68897099967761144</v>
      </c>
      <c r="AU196" s="715">
        <f>AU86/AO86-1</f>
        <v>0.66907823206847961</v>
      </c>
      <c r="AV196" s="279"/>
      <c r="AW196" s="714">
        <f>AW86/AQ86-1</f>
        <v>0.64796971669315306</v>
      </c>
      <c r="AX196" s="714">
        <f>AX86/AR86-1</f>
        <v>0.70940188241827262</v>
      </c>
      <c r="AY196" s="714">
        <f>AY86/AS86-1</f>
        <v>0.43353788315734576</v>
      </c>
      <c r="AZ196" s="714">
        <f>AZ86/AT86-1</f>
        <v>0.22377724459928783</v>
      </c>
      <c r="BA196" s="715">
        <f>BA86/AU86-1</f>
        <v>0.4842349605278955</v>
      </c>
      <c r="BB196" s="279"/>
      <c r="BC196" s="714">
        <f>BC86/AW86-1</f>
        <v>0.15917111953708685</v>
      </c>
      <c r="BD196" s="714">
        <f>BD86/AX86-1</f>
        <v>3.4598652432007215E-2</v>
      </c>
      <c r="BE196" s="714">
        <f>BE86/AY86-1</f>
        <v>0.23026001566416276</v>
      </c>
      <c r="BF196" s="714">
        <f>BF86/AZ86-1</f>
        <v>7.4384992477191547E-2</v>
      </c>
      <c r="BG196" s="873">
        <f>BG86/BA86-1</f>
        <v>0.11517784530212771</v>
      </c>
      <c r="BH196" s="279"/>
      <c r="BI196" s="714">
        <f>BI86/BC86-1</f>
        <v>-6.3846530299108473E-2</v>
      </c>
      <c r="BJ196" s="714">
        <f>BJ86/BD86-1</f>
        <v>4.0302474960886681E-2</v>
      </c>
      <c r="BK196" s="714">
        <f>BK86/BE86-1</f>
        <v>6.4954248993627006E-2</v>
      </c>
      <c r="BL196" s="714">
        <f>BL86/BF86-1</f>
        <v>0.41450111895022324</v>
      </c>
      <c r="BM196" s="873">
        <f>BM86/BG86-1</f>
        <v>0.10781209608002462</v>
      </c>
      <c r="BN196" s="279"/>
      <c r="BO196" s="714">
        <f>BO86/BI86-1</f>
        <v>0.3187151631128271</v>
      </c>
      <c r="BP196" s="714">
        <f>BP86/BJ86-1</f>
        <v>0.38291811055128155</v>
      </c>
      <c r="BQ196" s="714">
        <f>BQ86/BK86-1</f>
        <v>-3.9980473709653297E-2</v>
      </c>
      <c r="BR196" s="714">
        <f>BR86/BL86-1</f>
        <v>0.16759121033954472</v>
      </c>
      <c r="BS196" s="873">
        <f>BS86/BM86-1</f>
        <v>0.20238717943766948</v>
      </c>
      <c r="BT196" s="279"/>
      <c r="BU196" s="714">
        <f>BU86/BO86-1</f>
        <v>5.0184543773635459E-2</v>
      </c>
      <c r="BV196" s="714">
        <f>BV86/BP86-1</f>
        <v>-0.13200885310063659</v>
      </c>
      <c r="BW196" s="714">
        <f>BW86/BQ86-1</f>
        <v>8.803624024026413E-2</v>
      </c>
      <c r="BX196" s="714">
        <f>BX86/BR86-1</f>
        <v>-0.43042982958009246</v>
      </c>
      <c r="BY196" s="873">
        <f>BY86/BS86-1</f>
        <v>-0.14076194587375956</v>
      </c>
      <c r="BZ196" s="279"/>
      <c r="CA196" s="714">
        <f>CA86/BU86-1</f>
        <v>9.5718864138401694E-2</v>
      </c>
      <c r="CB196" s="714">
        <f>CB86/BV86-1</f>
        <v>0.4677147338424914</v>
      </c>
      <c r="CC196" s="714">
        <f>CC86/BW86-1</f>
        <v>0.57928622061417112</v>
      </c>
      <c r="CD196" s="714">
        <f>CD86/BX86-1</f>
        <v>0.98400224976427997</v>
      </c>
      <c r="CE196" s="873">
        <f>CE86/BY86-1</f>
        <v>0.50190349504837806</v>
      </c>
      <c r="CF196" s="279"/>
      <c r="CG196" s="714">
        <f>CG86/CA86-1</f>
        <v>0.52015624845428854</v>
      </c>
      <c r="CH196" s="714">
        <f>CH86/CB86-1</f>
        <v>0.44163904334716331</v>
      </c>
      <c r="CI196" s="714">
        <f>CI86/CC86-1</f>
        <v>0.45872187390198693</v>
      </c>
      <c r="CJ196" s="714">
        <f>CJ86/CD86-1</f>
        <v>0.32452693668615118</v>
      </c>
      <c r="CK196" s="873">
        <f>CK86/CE86-1</f>
        <v>0.43081473194112774</v>
      </c>
      <c r="CL196" s="279"/>
      <c r="CM196" s="714">
        <f>CM86/CG86-1</f>
        <v>0.49579719216884355</v>
      </c>
      <c r="CN196" s="714">
        <f>CN86/CH86-1</f>
        <v>0.28416101750062217</v>
      </c>
      <c r="CO196" s="714">
        <f>CO86/CI86-1</f>
        <v>0.16988647398189283</v>
      </c>
      <c r="CP196" s="714">
        <f>CP86/CJ86-1</f>
        <v>0.45401862655821423</v>
      </c>
      <c r="CQ196" s="873">
        <f>CQ86/CK86-1</f>
        <v>0.34132937936032204</v>
      </c>
      <c r="CR196" s="279"/>
      <c r="CS196" s="714">
        <f>CS86/CM86-1</f>
        <v>0.17720270276234551</v>
      </c>
      <c r="CT196" s="714">
        <f>CT86/CN86-1</f>
        <v>0.34874296333907129</v>
      </c>
      <c r="CU196" s="714">
        <f>CU86/CO86-1</f>
        <v>0.58841028434703957</v>
      </c>
      <c r="CV196" s="714">
        <f>CV86/CP86-1</f>
        <v>0.27249610201652752</v>
      </c>
      <c r="CW196" s="873">
        <f>CW86/CQ86-1</f>
        <v>0.34585544277228775</v>
      </c>
      <c r="CX196" s="279"/>
      <c r="CY196" s="714">
        <f>CY86/CS86-1</f>
        <v>0.64037742595068581</v>
      </c>
      <c r="CZ196" s="714">
        <f>CZ86/CT86-1</f>
        <v>0.73184110934761248</v>
      </c>
      <c r="DA196" s="714">
        <f>DA86/CU86-1</f>
        <v>0.65096267610504088</v>
      </c>
      <c r="DB196" s="714">
        <f>DB86/CV86-1</f>
        <v>0.66502217120120499</v>
      </c>
      <c r="DC196" s="873">
        <f>DC86/CW86-1</f>
        <v>0.66978360117247449</v>
      </c>
      <c r="DD196" s="279"/>
      <c r="DE196" s="714">
        <f>DE86/CY86-1</f>
        <v>0.37289436236596285</v>
      </c>
      <c r="DF196" s="714">
        <f>DF86/CZ86-1</f>
        <v>0.35919662558608567</v>
      </c>
      <c r="DG196" s="714">
        <f>DG86/DA86-1</f>
        <v>0.32047587398466981</v>
      </c>
      <c r="DH196" s="714">
        <f>DH86/DB86-1</f>
        <v>0.40078308148933894</v>
      </c>
      <c r="DI196" s="873">
        <f>DI86/DC86-1</f>
        <v>0.3624680399729483</v>
      </c>
      <c r="DJ196" s="279"/>
      <c r="DK196" s="714">
        <f>DK86/DE86-1</f>
        <v>0.30891018137157555</v>
      </c>
      <c r="DL196" s="714">
        <f>DL86/DF86-1</f>
        <v>0.28476882287248007</v>
      </c>
      <c r="DM196" s="714">
        <f>DM86/DG86-1</f>
        <v>0.27047017601572532</v>
      </c>
      <c r="DN196" s="714">
        <f>DN86/DH86-1</f>
        <v>0.30505051241308689</v>
      </c>
      <c r="DO196" s="873">
        <f>DO86/DI86-1</f>
        <v>0.29126386260376114</v>
      </c>
      <c r="DP196" s="260"/>
    </row>
    <row r="197" spans="1:120" ht="5.25" customHeight="1">
      <c r="A197" s="255"/>
      <c r="B197" s="668"/>
      <c r="C197" s="669"/>
      <c r="D197" s="669"/>
      <c r="E197" s="669"/>
      <c r="F197" s="669"/>
      <c r="G197" s="669"/>
      <c r="H197" s="669"/>
      <c r="I197" s="669"/>
      <c r="J197" s="669"/>
      <c r="K197" s="669"/>
      <c r="L197" s="669"/>
      <c r="M197" s="669"/>
      <c r="N197" s="669"/>
      <c r="O197" s="669"/>
      <c r="P197" s="669"/>
      <c r="Q197" s="669"/>
      <c r="R197" s="669"/>
      <c r="S197" s="669"/>
      <c r="T197" s="669"/>
      <c r="U197" s="669"/>
      <c r="V197" s="669"/>
      <c r="W197" s="669"/>
      <c r="X197" s="669"/>
      <c r="Y197" s="669"/>
      <c r="Z197" s="669"/>
      <c r="AA197" s="669"/>
      <c r="AB197" s="669"/>
      <c r="AC197" s="669"/>
      <c r="AD197" s="669"/>
      <c r="AE197" s="669"/>
      <c r="AF197" s="669"/>
      <c r="AG197" s="669"/>
      <c r="AH197" s="669"/>
      <c r="AI197" s="670"/>
      <c r="AJ197" s="669"/>
      <c r="AK197" s="669"/>
      <c r="AL197" s="669"/>
      <c r="AM197" s="669"/>
      <c r="AN197" s="669"/>
      <c r="AO197" s="670"/>
      <c r="AP197" s="669"/>
      <c r="AQ197" s="669"/>
      <c r="AR197" s="669"/>
      <c r="AS197" s="669"/>
      <c r="AT197" s="669"/>
      <c r="AU197" s="670"/>
      <c r="AV197" s="669"/>
      <c r="AW197" s="669"/>
      <c r="AX197" s="669"/>
      <c r="AY197" s="669"/>
      <c r="AZ197" s="669"/>
      <c r="BA197" s="670"/>
      <c r="BB197" s="669"/>
      <c r="BC197" s="669"/>
      <c r="BD197" s="669"/>
      <c r="BE197" s="669"/>
      <c r="BF197" s="669"/>
      <c r="BG197" s="860"/>
      <c r="BH197" s="669"/>
      <c r="BI197" s="669"/>
      <c r="BJ197" s="669"/>
      <c r="BK197" s="669"/>
      <c r="BL197" s="669"/>
      <c r="BM197" s="860"/>
      <c r="BN197" s="669"/>
      <c r="BO197" s="669"/>
      <c r="BP197" s="669"/>
      <c r="BQ197" s="669"/>
      <c r="BR197" s="669"/>
      <c r="BS197" s="860"/>
      <c r="BT197" s="669"/>
      <c r="BU197" s="669"/>
      <c r="BV197" s="669"/>
      <c r="BW197" s="669"/>
      <c r="BX197" s="669"/>
      <c r="BY197" s="860"/>
      <c r="BZ197" s="669"/>
      <c r="CA197" s="669"/>
      <c r="CB197" s="669"/>
      <c r="CC197" s="669"/>
      <c r="CD197" s="669"/>
      <c r="CE197" s="860"/>
      <c r="CF197" s="669"/>
      <c r="CG197" s="669"/>
      <c r="CH197" s="669"/>
      <c r="CI197" s="669"/>
      <c r="CJ197" s="669"/>
      <c r="CK197" s="860"/>
      <c r="CL197" s="669"/>
      <c r="CM197" s="669"/>
      <c r="CN197" s="669"/>
      <c r="CO197" s="669"/>
      <c r="CP197" s="669"/>
      <c r="CQ197" s="860"/>
      <c r="CR197" s="669"/>
      <c r="CS197" s="669"/>
      <c r="CT197" s="669"/>
      <c r="CU197" s="669"/>
      <c r="CV197" s="669"/>
      <c r="CW197" s="860"/>
      <c r="CX197" s="669"/>
      <c r="CY197" s="669"/>
      <c r="CZ197" s="669"/>
      <c r="DA197" s="669"/>
      <c r="DB197" s="669"/>
      <c r="DC197" s="860"/>
      <c r="DD197" s="669"/>
      <c r="DE197" s="669"/>
      <c r="DF197" s="669"/>
      <c r="DG197" s="669"/>
      <c r="DH197" s="669"/>
      <c r="DI197" s="860"/>
      <c r="DJ197" s="669"/>
      <c r="DK197" s="669"/>
      <c r="DL197" s="669"/>
      <c r="DM197" s="669"/>
      <c r="DN197" s="669"/>
      <c r="DO197" s="860"/>
      <c r="DP197" s="669"/>
    </row>
    <row r="198" spans="1:120">
      <c r="A198" s="378" t="s">
        <v>535</v>
      </c>
      <c r="B198" s="378"/>
      <c r="C198" s="378"/>
      <c r="D198" s="378"/>
      <c r="E198" s="378"/>
      <c r="F198" s="378"/>
      <c r="G198" s="378"/>
      <c r="H198" s="378"/>
      <c r="I198" s="378"/>
      <c r="J198" s="378"/>
      <c r="K198" s="378"/>
      <c r="L198" s="378"/>
      <c r="M198" s="378"/>
      <c r="N198" s="378"/>
      <c r="O198" s="378"/>
      <c r="P198" s="378"/>
      <c r="Q198" s="378"/>
      <c r="R198" s="378"/>
      <c r="S198" s="378"/>
      <c r="T198" s="378"/>
      <c r="U198" s="378"/>
      <c r="V198" s="378"/>
      <c r="W198" s="378"/>
      <c r="X198" s="378"/>
      <c r="Y198" s="378"/>
      <c r="Z198" s="378"/>
      <c r="AA198" s="378"/>
      <c r="AB198" s="378"/>
      <c r="AC198" s="378"/>
      <c r="AD198" s="378"/>
      <c r="AE198" s="378"/>
      <c r="AF198" s="378"/>
      <c r="AG198" s="378"/>
      <c r="AH198" s="378"/>
      <c r="AI198" s="379"/>
      <c r="AJ198" s="378"/>
      <c r="AK198" s="378"/>
      <c r="AL198" s="378"/>
      <c r="AM198" s="378"/>
      <c r="AN198" s="378"/>
      <c r="AO198" s="379"/>
      <c r="AP198" s="378"/>
      <c r="AQ198" s="378"/>
      <c r="AR198" s="378"/>
      <c r="AS198" s="378"/>
      <c r="AT198" s="378"/>
      <c r="AU198" s="379"/>
      <c r="AV198" s="378"/>
      <c r="AW198" s="378"/>
      <c r="AX198" s="378"/>
      <c r="AY198" s="378"/>
      <c r="AZ198" s="378"/>
      <c r="BA198" s="379"/>
      <c r="BB198" s="378"/>
      <c r="BC198" s="378"/>
      <c r="BD198" s="378"/>
      <c r="BE198" s="378"/>
      <c r="BF198" s="378"/>
      <c r="BG198" s="380"/>
      <c r="BH198" s="378"/>
      <c r="BI198" s="378"/>
      <c r="BJ198" s="378"/>
      <c r="BK198" s="378"/>
      <c r="BL198" s="378"/>
      <c r="BM198" s="380"/>
      <c r="BN198" s="378"/>
      <c r="BO198" s="378"/>
      <c r="BP198" s="378"/>
      <c r="BQ198" s="378"/>
      <c r="BR198" s="378"/>
      <c r="BS198" s="380"/>
      <c r="BT198" s="378"/>
      <c r="BU198" s="378"/>
      <c r="BV198" s="378"/>
      <c r="BW198" s="378"/>
      <c r="BX198" s="378"/>
      <c r="BY198" s="380"/>
      <c r="BZ198" s="378"/>
      <c r="CA198" s="378"/>
      <c r="CB198" s="378"/>
      <c r="CC198" s="378"/>
      <c r="CD198" s="378"/>
      <c r="CE198" s="380"/>
      <c r="CF198" s="378"/>
      <c r="CG198" s="378"/>
      <c r="CH198" s="378"/>
      <c r="CI198" s="378"/>
      <c r="CJ198" s="378"/>
      <c r="CK198" s="380"/>
      <c r="CL198" s="378"/>
      <c r="CM198" s="378"/>
      <c r="CN198" s="378"/>
      <c r="CO198" s="378"/>
      <c r="CP198" s="378"/>
      <c r="CQ198" s="380"/>
      <c r="CR198" s="378"/>
      <c r="CS198" s="378"/>
      <c r="CT198" s="378"/>
      <c r="CU198" s="378"/>
      <c r="CV198" s="378"/>
      <c r="CW198" s="380"/>
      <c r="CX198" s="378"/>
      <c r="CY198" s="378"/>
      <c r="CZ198" s="378"/>
      <c r="DA198" s="378"/>
      <c r="DB198" s="378"/>
      <c r="DC198" s="380"/>
      <c r="DD198" s="378"/>
      <c r="DE198" s="378"/>
      <c r="DF198" s="378"/>
      <c r="DG198" s="378"/>
      <c r="DH198" s="378"/>
      <c r="DI198" s="380"/>
      <c r="DJ198" s="378"/>
      <c r="DK198" s="378"/>
      <c r="DL198" s="378"/>
      <c r="DM198" s="378"/>
      <c r="DN198" s="378"/>
      <c r="DO198" s="380"/>
      <c r="DP198" s="316"/>
    </row>
    <row r="199" spans="1:120">
      <c r="A199" s="316" t="s">
        <v>230</v>
      </c>
      <c r="B199" s="730"/>
      <c r="C199" s="268" t="s">
        <v>88</v>
      </c>
      <c r="D199" s="874" t="s">
        <v>88</v>
      </c>
      <c r="E199" s="874" t="s">
        <v>88</v>
      </c>
      <c r="F199" s="316"/>
      <c r="G199" s="268" t="s">
        <v>88</v>
      </c>
      <c r="H199" s="875">
        <f>H13/G13-1</f>
        <v>0.27979568671963673</v>
      </c>
      <c r="I199" s="875">
        <f>I13/H13-1</f>
        <v>0.1474057649667404</v>
      </c>
      <c r="J199" s="875">
        <f>J13/I13-1</f>
        <v>0.13117415165803514</v>
      </c>
      <c r="K199" s="874" t="s">
        <v>88</v>
      </c>
      <c r="L199" s="316"/>
      <c r="M199" s="279">
        <f>M13/J13-1</f>
        <v>0.15634823014896826</v>
      </c>
      <c r="N199" s="279">
        <f>N13/M13-1</f>
        <v>0.15778276799432689</v>
      </c>
      <c r="O199" s="279">
        <f>O13/N13-1</f>
        <v>0.14740710494079234</v>
      </c>
      <c r="P199" s="279">
        <f>P13/O13-1</f>
        <v>0.19225978647686826</v>
      </c>
      <c r="Q199" s="876" t="s">
        <v>88</v>
      </c>
      <c r="R199" s="260"/>
      <c r="S199" s="279">
        <f>S13/P13-1</f>
        <v>0.16095813745242893</v>
      </c>
      <c r="T199" s="279">
        <f>T13/S13-1</f>
        <v>0.15750739169559069</v>
      </c>
      <c r="U199" s="279">
        <f>U13/T13-1</f>
        <v>0.15126190410084117</v>
      </c>
      <c r="V199" s="279">
        <f>V13/U13-1</f>
        <v>0.19085976124442294</v>
      </c>
      <c r="W199" s="876" t="s">
        <v>88</v>
      </c>
      <c r="X199" s="260"/>
      <c r="Y199" s="279">
        <f>Y13/V13-1</f>
        <v>0.17843617732234351</v>
      </c>
      <c r="Z199" s="279">
        <f>Z13/Y13-1</f>
        <v>0.12799450077332897</v>
      </c>
      <c r="AA199" s="279">
        <f>AA13/Z13-1</f>
        <v>0.13327645571163038</v>
      </c>
      <c r="AB199" s="279">
        <f>AB13/AA13-1</f>
        <v>0.10807141128707021</v>
      </c>
      <c r="AC199" s="876" t="s">
        <v>88</v>
      </c>
      <c r="AD199" s="876"/>
      <c r="AE199" s="279">
        <f>AE13/AB13-1</f>
        <v>0.1464118895966029</v>
      </c>
      <c r="AF199" s="279">
        <f>AF13/AE13-1</f>
        <v>0.12879260897632627</v>
      </c>
      <c r="AG199" s="279">
        <f>AG13/AF13-1</f>
        <v>0.11034754319679752</v>
      </c>
      <c r="AH199" s="279">
        <f>AH13/AG13-1</f>
        <v>0.11515371560291454</v>
      </c>
      <c r="AI199" s="877" t="s">
        <v>88</v>
      </c>
      <c r="AJ199" s="876"/>
      <c r="AK199" s="279">
        <f>AK13/AH13-1</f>
        <v>0.11826214687554426</v>
      </c>
      <c r="AL199" s="279">
        <f>AL13/AK13-1</f>
        <v>8.3336718802897947E-2</v>
      </c>
      <c r="AM199" s="279">
        <f>AM13/AL13-1</f>
        <v>0.10236377954724452</v>
      </c>
      <c r="AN199" s="279">
        <f>AN13/AM13-1</f>
        <v>0.11419354107134749</v>
      </c>
      <c r="AO199" s="877" t="s">
        <v>88</v>
      </c>
      <c r="AP199" s="876"/>
      <c r="AQ199" s="279">
        <f>AQ13/AN13-1</f>
        <v>0.1466743335182199</v>
      </c>
      <c r="AR199" s="279">
        <f>AR13/AQ13-1</f>
        <v>6.3809959128609428E-2</v>
      </c>
      <c r="AS199" s="279">
        <f>AS13/AR13-1</f>
        <v>5.7079092274320065E-2</v>
      </c>
      <c r="AT199" s="279">
        <f>AT13/AS13-1</f>
        <v>5.0145420535668617E-2</v>
      </c>
      <c r="AU199" s="877" t="s">
        <v>88</v>
      </c>
      <c r="AV199" s="876"/>
      <c r="AW199" s="279">
        <f>AW13/AT13-1</f>
        <v>5.8840329187178186E-2</v>
      </c>
      <c r="AX199" s="279">
        <f>AX13/AW13-1</f>
        <v>4.1424150364839152E-2</v>
      </c>
      <c r="AY199" s="279">
        <f>AY13/AX13-1</f>
        <v>4.5767448200654259E-2</v>
      </c>
      <c r="AZ199" s="279">
        <f>AZ13/AY13-1</f>
        <v>6.6881741454035915E-2</v>
      </c>
      <c r="BA199" s="877" t="s">
        <v>88</v>
      </c>
      <c r="BB199" s="876"/>
      <c r="BC199" s="279">
        <f>BC13/AZ13-1</f>
        <v>7.1223052346713667E-2</v>
      </c>
      <c r="BD199" s="279">
        <f>BD13/BC13-1</f>
        <v>5.2005634252606292E-2</v>
      </c>
      <c r="BE199" s="279">
        <f>BE13/BD13-1</f>
        <v>9.2145027388460754E-2</v>
      </c>
      <c r="BF199" s="279">
        <f>BF13/BE13-1</f>
        <v>6.3497026911661036E-2</v>
      </c>
      <c r="BG199" s="878" t="s">
        <v>88</v>
      </c>
      <c r="BH199" s="876"/>
      <c r="BI199" s="279">
        <f>BI13/BF13-1</f>
        <v>0.10493916468704945</v>
      </c>
      <c r="BJ199" s="279">
        <f>BJ13/BI13-1</f>
        <v>7.5553744002162526E-2</v>
      </c>
      <c r="BK199" s="279">
        <f>BK13/BJ13-1</f>
        <v>7.8351944611892543E-2</v>
      </c>
      <c r="BL199" s="279">
        <f>BL13/BK13-1</f>
        <v>8.209846644646035E-2</v>
      </c>
      <c r="BM199" s="878" t="s">
        <v>88</v>
      </c>
      <c r="BN199" s="876"/>
      <c r="BO199" s="279">
        <f>BO13/BL13-1</f>
        <v>0.10256466347731408</v>
      </c>
      <c r="BP199" s="279">
        <f>BP13/BO13-1</f>
        <v>4.9255211989865932E-2</v>
      </c>
      <c r="BQ199" s="279">
        <f>BQ13/BP13-1</f>
        <v>7.7247331972834621E-2</v>
      </c>
      <c r="BR199" s="279">
        <f>BR13/BQ13-1</f>
        <v>6.0619767755873522E-2</v>
      </c>
      <c r="BS199" s="878" t="s">
        <v>88</v>
      </c>
      <c r="BT199" s="876"/>
      <c r="BU199" s="279">
        <f>BU13/BR13-1</f>
        <v>7.2216882348073552E-2</v>
      </c>
      <c r="BV199" s="279">
        <f>BV13/BU13-1</f>
        <v>7.1979919759778133E-2</v>
      </c>
      <c r="BW199" s="279">
        <f>BW13/BV13-1</f>
        <v>0.11256872726628298</v>
      </c>
      <c r="BX199" s="279">
        <f>BX13/BW13-1</f>
        <v>7.021073674234124E-2</v>
      </c>
      <c r="BY199" s="878" t="s">
        <v>88</v>
      </c>
      <c r="BZ199" s="876"/>
      <c r="CA199" s="279">
        <f>CA13/BX13-1</f>
        <v>6.7260402548462883E-2</v>
      </c>
      <c r="CB199" s="279">
        <f>CB13/CA13-1</f>
        <v>7.433152097173723E-2</v>
      </c>
      <c r="CC199" s="279">
        <f>CC13/CB13-1</f>
        <v>4.5372862118454815E-2</v>
      </c>
      <c r="CD199" s="279">
        <f>CD13/CC13-1</f>
        <v>4.4116745426705073E-2</v>
      </c>
      <c r="CE199" s="878" t="s">
        <v>88</v>
      </c>
      <c r="CF199" s="876"/>
      <c r="CG199" s="279">
        <f>CG13/CD13-1</f>
        <v>4.4545020730541784E-2</v>
      </c>
      <c r="CH199" s="279">
        <f>CH13/CG13-1</f>
        <v>8.2568187138997162E-2</v>
      </c>
      <c r="CI199" s="279">
        <f>CI13/CH13-1</f>
        <v>4.930852766579541E-2</v>
      </c>
      <c r="CJ199" s="279">
        <f>CJ13/CI13-1</f>
        <v>5.4078315739886307E-2</v>
      </c>
      <c r="CK199" s="878" t="s">
        <v>88</v>
      </c>
      <c r="CL199" s="876"/>
      <c r="CM199" s="279">
        <f>CM13/CJ13-1</f>
        <v>5.5170384985677279E-2</v>
      </c>
      <c r="CN199" s="279">
        <f>CN13/CM13-1</f>
        <v>6.228523570636435E-2</v>
      </c>
      <c r="CO199" s="279">
        <f>CO13/CN13-1</f>
        <v>5.1907130132337942E-2</v>
      </c>
      <c r="CP199" s="279">
        <f>CP13/CO13-1</f>
        <v>6.3846377561075363E-2</v>
      </c>
      <c r="CQ199" s="878" t="s">
        <v>88</v>
      </c>
      <c r="CR199" s="876"/>
      <c r="CS199" s="279">
        <f>CS13/CP13-1</f>
        <v>4.2762635793411663E-2</v>
      </c>
      <c r="CT199" s="279">
        <f>CT13/CS13-1</f>
        <v>7.6146299618157443E-2</v>
      </c>
      <c r="CU199" s="279">
        <f>CU13/CT13-1</f>
        <v>4.9665209907202801E-2</v>
      </c>
      <c r="CV199" s="279">
        <f>CV13/CU13-1</f>
        <v>6.7924417498514744E-2</v>
      </c>
      <c r="CW199" s="878" t="s">
        <v>88</v>
      </c>
      <c r="CX199" s="876"/>
      <c r="CY199" s="279">
        <f>CY13/CV13-1</f>
        <v>2.2385737476459333E-2</v>
      </c>
      <c r="CZ199" s="279">
        <f>CZ13/CY13-1</f>
        <v>6.1517974261838804E-2</v>
      </c>
      <c r="DA199" s="279">
        <f>DA13/CZ13-1</f>
        <v>4.1612464646116232E-2</v>
      </c>
      <c r="DB199" s="279">
        <f>DB13/DA13-1</f>
        <v>6.0323594747470066E-2</v>
      </c>
      <c r="DC199" s="878" t="s">
        <v>88</v>
      </c>
      <c r="DD199" s="876"/>
      <c r="DE199" s="279">
        <f>DE13/DB13-1</f>
        <v>2.641024494547195E-2</v>
      </c>
      <c r="DF199" s="279">
        <f>DF13/DE13-1</f>
        <v>6.1587080232133884E-2</v>
      </c>
      <c r="DG199" s="279">
        <f>DG13/DF13-1</f>
        <v>4.1473799316465554E-2</v>
      </c>
      <c r="DH199" s="279">
        <f>DH13/DG13-1</f>
        <v>5.5178295238890618E-2</v>
      </c>
      <c r="DI199" s="878" t="s">
        <v>88</v>
      </c>
      <c r="DJ199" s="876"/>
      <c r="DK199" s="279">
        <f>DK13/DH13-1</f>
        <v>2.692720394792536E-2</v>
      </c>
      <c r="DL199" s="279">
        <f>DL13/DK13-1</f>
        <v>5.864186781657188E-2</v>
      </c>
      <c r="DM199" s="279">
        <f>DM13/DL13-1</f>
        <v>3.9884834574140049E-2</v>
      </c>
      <c r="DN199" s="279">
        <f>DN13/DM13-1</f>
        <v>5.568189168729698E-2</v>
      </c>
      <c r="DO199" s="878" t="s">
        <v>88</v>
      </c>
      <c r="DP199" s="316"/>
    </row>
    <row r="200" spans="1:120">
      <c r="A200" s="260" t="s">
        <v>86</v>
      </c>
      <c r="B200" s="730"/>
      <c r="C200" s="268" t="s">
        <v>88</v>
      </c>
      <c r="D200" s="876" t="s">
        <v>88</v>
      </c>
      <c r="E200" s="876" t="s">
        <v>88</v>
      </c>
      <c r="F200" s="260"/>
      <c r="G200" s="268" t="s">
        <v>88</v>
      </c>
      <c r="H200" s="279">
        <f>H16/G16-1</f>
        <v>0.12384473197781865</v>
      </c>
      <c r="I200" s="279">
        <f>I16/H16-1</f>
        <v>1.0625</v>
      </c>
      <c r="J200" s="279">
        <f>J16/I16-1</f>
        <v>-0.25677830940988833</v>
      </c>
      <c r="K200" s="876" t="s">
        <v>88</v>
      </c>
      <c r="L200" s="260"/>
      <c r="M200" s="279">
        <f>M16/J16-1</f>
        <v>1.1362660944206007</v>
      </c>
      <c r="N200" s="279">
        <f>N16/M16-1</f>
        <v>2.0090406830738372E-2</v>
      </c>
      <c r="O200" s="279">
        <f>O16/N16-1</f>
        <v>0.45445593303791232</v>
      </c>
      <c r="P200" s="279">
        <f>P16/O16-1</f>
        <v>0.10054163845633024</v>
      </c>
      <c r="Q200" s="876" t="s">
        <v>88</v>
      </c>
      <c r="R200" s="260"/>
      <c r="S200" s="279">
        <f>S16/P16-1</f>
        <v>0.14518609658566595</v>
      </c>
      <c r="T200" s="279">
        <f>T16/S16-1</f>
        <v>0.22589309696481341</v>
      </c>
      <c r="U200" s="279">
        <f>U16/T16-1</f>
        <v>7.2743207712532731E-2</v>
      </c>
      <c r="V200" s="279">
        <f>V16/U16-1</f>
        <v>6.5155228758170036E-2</v>
      </c>
      <c r="W200" s="876" t="s">
        <v>88</v>
      </c>
      <c r="X200" s="260"/>
      <c r="Y200" s="279">
        <f>Y16/V16-1</f>
        <v>0.14803451581975069</v>
      </c>
      <c r="Z200" s="279">
        <f>Z16/Y16-1</f>
        <v>5.3115082679138004E-2</v>
      </c>
      <c r="AA200" s="279">
        <f>AA16/Z16-1</f>
        <v>0.31435368754956405</v>
      </c>
      <c r="AB200" s="279">
        <f>AB16/AA16-1</f>
        <v>4.2476167491251271E-2</v>
      </c>
      <c r="AC200" s="876" t="s">
        <v>88</v>
      </c>
      <c r="AD200" s="876"/>
      <c r="AE200" s="279">
        <f>AE16/AB16-1</f>
        <v>0.17988193077902537</v>
      </c>
      <c r="AF200" s="279">
        <f>AF16/AE16-1</f>
        <v>0.12567448248798208</v>
      </c>
      <c r="AG200" s="279">
        <f>AG16/AF16-1</f>
        <v>1.2724420428795513E-2</v>
      </c>
      <c r="AH200" s="279">
        <f>AH16/AG16-1</f>
        <v>4.5697074010327077E-2</v>
      </c>
      <c r="AI200" s="877" t="s">
        <v>88</v>
      </c>
      <c r="AJ200" s="876"/>
      <c r="AK200" s="279">
        <f>AK16/AH16-1</f>
        <v>0.21158752366060396</v>
      </c>
      <c r="AL200" s="279">
        <f>AL16/AK16-1</f>
        <v>0.12627360412987376</v>
      </c>
      <c r="AM200" s="279">
        <f>AM16/AL16-1</f>
        <v>-9.2877389783486697E-3</v>
      </c>
      <c r="AN200" s="279">
        <f>AN16/AM16-1</f>
        <v>0.24118828757533328</v>
      </c>
      <c r="AO200" s="877" t="s">
        <v>88</v>
      </c>
      <c r="AP200" s="876"/>
      <c r="AQ200" s="279">
        <f>AQ16/AN16-1</f>
        <v>9.2795134631418863E-2</v>
      </c>
      <c r="AR200" s="279">
        <f>AR16/AQ16-1</f>
        <v>4.8292266953906982E-2</v>
      </c>
      <c r="AS200" s="279">
        <f>AS16/AR16-1</f>
        <v>-1.1688144881620066E-2</v>
      </c>
      <c r="AT200" s="279">
        <f>AT16/AS16-1</f>
        <v>1.6851498873678761E-2</v>
      </c>
      <c r="AU200" s="877" t="s">
        <v>88</v>
      </c>
      <c r="AV200" s="876"/>
      <c r="AW200" s="279">
        <f>AW16/AT16-1</f>
        <v>-1.3504877944872873E-2</v>
      </c>
      <c r="AX200" s="279">
        <f>AX16/AW16-1</f>
        <v>-2.3104163067887429E-2</v>
      </c>
      <c r="AY200" s="279">
        <f>AY16/AX16-1</f>
        <v>4.6770699792228365E-2</v>
      </c>
      <c r="AZ200" s="279">
        <f>AZ16/AY16-1</f>
        <v>0.12568098314962639</v>
      </c>
      <c r="BA200" s="877" t="s">
        <v>88</v>
      </c>
      <c r="BB200" s="876"/>
      <c r="BC200" s="279">
        <f>BC16/AZ16-1</f>
        <v>-2.0784093040705387E-2</v>
      </c>
      <c r="BD200" s="279">
        <f>BD16/BC16-1</f>
        <v>-2.6052641661238995E-2</v>
      </c>
      <c r="BE200" s="279">
        <f>BE16/BD16-1</f>
        <v>2.8244364895165353E-2</v>
      </c>
      <c r="BF200" s="279">
        <f>BF16/BE16-1</f>
        <v>8.3935881250239097E-2</v>
      </c>
      <c r="BG200" s="878" t="s">
        <v>88</v>
      </c>
      <c r="BH200" s="876"/>
      <c r="BI200" s="279">
        <f>BI16/BF16-1</f>
        <v>8.9189284579818562E-2</v>
      </c>
      <c r="BJ200" s="279">
        <f>BJ16/BI16-1</f>
        <v>0.1899870382372002</v>
      </c>
      <c r="BK200" s="279">
        <f>BK16/BJ16-1</f>
        <v>-4.4794815238406338E-2</v>
      </c>
      <c r="BL200" s="279">
        <f>BL16/BK16-1</f>
        <v>7.3151262899823211E-2</v>
      </c>
      <c r="BM200" s="878" t="s">
        <v>88</v>
      </c>
      <c r="BN200" s="876"/>
      <c r="BO200" s="279">
        <f>BO16/BL16-1</f>
        <v>6.9147805759218084E-2</v>
      </c>
      <c r="BP200" s="279">
        <f>BP16/BO16-1</f>
        <v>9.7125251571545723E-2</v>
      </c>
      <c r="BQ200" s="279">
        <f>BQ16/BP16-1</f>
        <v>8.2480297128363134E-2</v>
      </c>
      <c r="BR200" s="279">
        <f>BR16/BQ16-1</f>
        <v>2.9038871919327081E-2</v>
      </c>
      <c r="BS200" s="878" t="s">
        <v>88</v>
      </c>
      <c r="BT200" s="876"/>
      <c r="BU200" s="279">
        <f>BU16/BR16-1</f>
        <v>2.4925791892001836E-2</v>
      </c>
      <c r="BV200" s="279">
        <f>BV16/BU16-1</f>
        <v>7.6132666825359019E-2</v>
      </c>
      <c r="BW200" s="279">
        <f>BW16/BV16-1</f>
        <v>0.31904147465437793</v>
      </c>
      <c r="BX200" s="279">
        <f>BX16/BW16-1</f>
        <v>-1.8404650772799735E-2</v>
      </c>
      <c r="BY200" s="878" t="s">
        <v>88</v>
      </c>
      <c r="BZ200" s="876"/>
      <c r="CA200" s="279">
        <f>CA16/BX16-1</f>
        <v>0.13133355162939009</v>
      </c>
      <c r="CB200" s="279">
        <f>CB16/CA16-1</f>
        <v>8.1770820225002039E-2</v>
      </c>
      <c r="CC200" s="279">
        <f>CC16/CB16-1</f>
        <v>0.10676562281885427</v>
      </c>
      <c r="CD200" s="279">
        <f>CD16/CC16-1</f>
        <v>4.3177566164259717E-2</v>
      </c>
      <c r="CE200" s="878" t="s">
        <v>88</v>
      </c>
      <c r="CF200" s="876"/>
      <c r="CG200" s="279">
        <f>CG16/CD16-1</f>
        <v>6.6801007556674952E-2</v>
      </c>
      <c r="CH200" s="279">
        <f>CH16/CG16-1</f>
        <v>7.0693237627502903E-2</v>
      </c>
      <c r="CI200" s="279">
        <f>CI16/CH16-1</f>
        <v>2.0014995809994218E-2</v>
      </c>
      <c r="CJ200" s="279">
        <f>CJ16/CI16-1</f>
        <v>9.6027120051195958E-2</v>
      </c>
      <c r="CK200" s="878" t="s">
        <v>88</v>
      </c>
      <c r="CL200" s="876"/>
      <c r="CM200" s="279">
        <f>CM16/CJ16-1</f>
        <v>0.11339929618583233</v>
      </c>
      <c r="CN200" s="279">
        <f>CN16/CM16-1</f>
        <v>6.6813124512791422E-2</v>
      </c>
      <c r="CO200" s="279">
        <f>CO16/CN16-1</f>
        <v>6.8128977401054946E-2</v>
      </c>
      <c r="CP200" s="279">
        <f>CP16/CO16-1</f>
        <v>0.14019801733895521</v>
      </c>
      <c r="CQ200" s="878" t="s">
        <v>88</v>
      </c>
      <c r="CR200" s="876"/>
      <c r="CS200" s="279">
        <f>CS16/CP16-1</f>
        <v>1.8185090843637619E-2</v>
      </c>
      <c r="CT200" s="279">
        <f>CT16/CS16-1</f>
        <v>3.43867017372812E-2</v>
      </c>
      <c r="CU200" s="279">
        <f>CU16/CT16-1</f>
        <v>3.2109379046041386E-3</v>
      </c>
      <c r="CV200" s="279">
        <f>CV16/CU16-1</f>
        <v>1.1837282535749116E-2</v>
      </c>
      <c r="CW200" s="878" t="s">
        <v>88</v>
      </c>
      <c r="CX200" s="876"/>
      <c r="CY200" s="279">
        <f>CY16/CV16-1</f>
        <v>0.17236721152148982</v>
      </c>
      <c r="CZ200" s="279">
        <f>CZ16/CY16-1</f>
        <v>2.4187865695922017E-2</v>
      </c>
      <c r="DA200" s="279">
        <f>DA16/CZ16-1</f>
        <v>-5.0984669241360692E-3</v>
      </c>
      <c r="DB200" s="279">
        <f>DB16/DA16-1</f>
        <v>-1.4274380927199459E-2</v>
      </c>
      <c r="DC200" s="878" t="s">
        <v>88</v>
      </c>
      <c r="DD200" s="876"/>
      <c r="DE200" s="279">
        <f>DE16/DB16-1</f>
        <v>0.18176301142732454</v>
      </c>
      <c r="DF200" s="279">
        <f>DF16/DE16-1</f>
        <v>3.340547846328179E-2</v>
      </c>
      <c r="DG200" s="279">
        <f>DG16/DF16-1</f>
        <v>-2.8924722257707147E-3</v>
      </c>
      <c r="DH200" s="279">
        <f>DH16/DG16-1</f>
        <v>-3.5450374574676147E-2</v>
      </c>
      <c r="DI200" s="878" t="s">
        <v>88</v>
      </c>
      <c r="DJ200" s="876"/>
      <c r="DK200" s="279">
        <f>DK16/DH16-1</f>
        <v>0.19085698178335209</v>
      </c>
      <c r="DL200" s="279">
        <f>DL16/DK16-1</f>
        <v>3.7047189716647999E-2</v>
      </c>
      <c r="DM200" s="279">
        <f>DM16/DL16-1</f>
        <v>2.1715240342232711E-3</v>
      </c>
      <c r="DN200" s="279">
        <f>DN16/DM16-1</f>
        <v>-5.1772622177682859E-2</v>
      </c>
      <c r="DO200" s="878" t="s">
        <v>88</v>
      </c>
      <c r="DP200" s="260"/>
    </row>
    <row r="201" spans="1:120">
      <c r="A201" s="316" t="s">
        <v>91</v>
      </c>
      <c r="B201" s="730"/>
      <c r="C201" s="268" t="s">
        <v>88</v>
      </c>
      <c r="D201" s="874" t="s">
        <v>88</v>
      </c>
      <c r="E201" s="874" t="s">
        <v>88</v>
      </c>
      <c r="F201" s="316"/>
      <c r="G201" s="268" t="s">
        <v>88</v>
      </c>
      <c r="H201" s="279">
        <f>H19/G19-1</f>
        <v>0.27077317933910816</v>
      </c>
      <c r="I201" s="279">
        <f>I19/H19-1</f>
        <v>0.19422704704199267</v>
      </c>
      <c r="J201" s="279">
        <f>J19/I19-1</f>
        <v>9.6892396589387753E-2</v>
      </c>
      <c r="K201" s="874" t="s">
        <v>88</v>
      </c>
      <c r="L201" s="316"/>
      <c r="M201" s="279">
        <f>M19/J19-1</f>
        <v>0.21501991519979446</v>
      </c>
      <c r="N201" s="279">
        <f>N19/M19-1</f>
        <v>0.14328768571881767</v>
      </c>
      <c r="O201" s="279">
        <f>O19/N19-1</f>
        <v>0.17624751422096852</v>
      </c>
      <c r="P201" s="279">
        <f>P19/O19-1</f>
        <v>0.18160729731854985</v>
      </c>
      <c r="Q201" s="876" t="s">
        <v>88</v>
      </c>
      <c r="R201" s="260"/>
      <c r="S201" s="279">
        <f>S19/P19-1</f>
        <v>0.15925198815426067</v>
      </c>
      <c r="T201" s="279">
        <f>T19/S19-1</f>
        <v>0.16481529320589017</v>
      </c>
      <c r="U201" s="279">
        <f>U19/T19-1</f>
        <v>0.14243118700869872</v>
      </c>
      <c r="V201" s="279">
        <f>V19/U19-1</f>
        <v>0.17758460775220519</v>
      </c>
      <c r="W201" s="876" t="s">
        <v>88</v>
      </c>
      <c r="X201" s="260"/>
      <c r="Y201" s="279">
        <f>Y19/V19-1</f>
        <v>0.17553210975565081</v>
      </c>
      <c r="Z201" s="279">
        <f>Z19/Y19-1</f>
        <v>0.12100908425136758</v>
      </c>
      <c r="AA201" s="279">
        <f>AA19/Z19-1</f>
        <v>0.1491458515769426</v>
      </c>
      <c r="AB201" s="279">
        <f>AB19/AA19-1</f>
        <v>0.10149625633519999</v>
      </c>
      <c r="AC201" s="876" t="s">
        <v>88</v>
      </c>
      <c r="AD201" s="876"/>
      <c r="AE201" s="279">
        <f>AE19/AB19-1</f>
        <v>0.14958710357550742</v>
      </c>
      <c r="AF201" s="279">
        <f>AF19/AE19-1</f>
        <v>0.12848900521559714</v>
      </c>
      <c r="AG201" s="279">
        <f>AG19/AF19-1</f>
        <v>0.10086594377713998</v>
      </c>
      <c r="AH201" s="279">
        <f>AH19/AG19-1</f>
        <v>0.10894789047542175</v>
      </c>
      <c r="AI201" s="877" t="s">
        <v>88</v>
      </c>
      <c r="AJ201" s="876"/>
      <c r="AK201" s="279">
        <f>AK19/AH19-1</f>
        <v>0.12612500173343877</v>
      </c>
      <c r="AL201" s="279">
        <f>AL19/AK19-1</f>
        <v>8.7228776198802871E-2</v>
      </c>
      <c r="AM201" s="279">
        <f>AM19/AL19-1</f>
        <v>9.1879555326511264E-2</v>
      </c>
      <c r="AN201" s="279">
        <f>AN19/AM19-1</f>
        <v>0.12501361493337759</v>
      </c>
      <c r="AO201" s="877" t="s">
        <v>88</v>
      </c>
      <c r="AP201" s="876"/>
      <c r="AQ201" s="279">
        <f>AQ19/AN19-1</f>
        <v>0.14160972956027029</v>
      </c>
      <c r="AR201" s="279">
        <f>AR19/AQ19-1</f>
        <v>6.2413678913828319E-2</v>
      </c>
      <c r="AS201" s="279">
        <f>AS19/AR19-1</f>
        <v>5.0973669305944602E-2</v>
      </c>
      <c r="AT201" s="279">
        <f>AT19/AS19-1</f>
        <v>4.7365698929787259E-2</v>
      </c>
      <c r="AU201" s="877" t="s">
        <v>88</v>
      </c>
      <c r="AV201" s="876"/>
      <c r="AW201" s="279">
        <f>AW19/AT19-1</f>
        <v>5.2976176087684568E-2</v>
      </c>
      <c r="AX201" s="279">
        <f>AX19/AW19-1</f>
        <v>3.6523855124555693E-2</v>
      </c>
      <c r="AY201" s="279">
        <f>AY19/AX19-1</f>
        <v>4.5839252549349618E-2</v>
      </c>
      <c r="AZ201" s="279">
        <f>AZ19/AY19-1</f>
        <v>7.1093846903182323E-2</v>
      </c>
      <c r="BA201" s="877" t="s">
        <v>88</v>
      </c>
      <c r="BB201" s="876"/>
      <c r="BC201" s="279">
        <f>BC19/AZ19-1</f>
        <v>6.4296184991343042E-2</v>
      </c>
      <c r="BD201" s="279">
        <f>BD19/BC19-1</f>
        <v>4.6598710766348361E-2</v>
      </c>
      <c r="BE201" s="279">
        <f>BE19/BD19-1</f>
        <v>8.8026026188471773E-2</v>
      </c>
      <c r="BF201" s="279">
        <f>BF19/BE19-1</f>
        <v>6.4742115235371767E-2</v>
      </c>
      <c r="BG201" s="878" t="s">
        <v>88</v>
      </c>
      <c r="BH201" s="876"/>
      <c r="BI201" s="279">
        <f>BI19/BF19-1</f>
        <v>0.10396242232422148</v>
      </c>
      <c r="BJ201" s="279">
        <f>BJ19/BI19-1</f>
        <v>8.2555455980204639E-2</v>
      </c>
      <c r="BK201" s="279">
        <f>BK19/BJ19-1</f>
        <v>7.0069340405346514E-2</v>
      </c>
      <c r="BL201" s="279">
        <f>BL19/BK19-1</f>
        <v>8.1561291205969999E-2</v>
      </c>
      <c r="BM201" s="878" t="s">
        <v>88</v>
      </c>
      <c r="BN201" s="876"/>
      <c r="BO201" s="279">
        <f>BO19/BL19-1</f>
        <v>0.10057397141695135</v>
      </c>
      <c r="BP201" s="279">
        <f>BP19/BO19-1</f>
        <v>5.20254735307355E-2</v>
      </c>
      <c r="BQ201" s="279">
        <f>BQ19/BP19-1</f>
        <v>7.7563148449598218E-2</v>
      </c>
      <c r="BR201" s="279">
        <f>BR19/BQ19-1</f>
        <v>5.8705121017557094E-2</v>
      </c>
      <c r="BS201" s="878" t="s">
        <v>88</v>
      </c>
      <c r="BT201" s="876"/>
      <c r="BU201" s="279">
        <f>BU19/BR19-1</f>
        <v>6.9430117613795028E-2</v>
      </c>
      <c r="BV201" s="279">
        <f>BV19/BU19-1</f>
        <v>7.2214448715205437E-2</v>
      </c>
      <c r="BW201" s="279">
        <f>BW19/BV19-1</f>
        <v>0.12427201507897867</v>
      </c>
      <c r="BX201" s="279">
        <f>BX19/BW19-1</f>
        <v>6.4317670259489867E-2</v>
      </c>
      <c r="BY201" s="878" t="s">
        <v>88</v>
      </c>
      <c r="BZ201" s="876"/>
      <c r="CA201" s="279">
        <f>CA19/BX19-1</f>
        <v>7.1190193862956441E-2</v>
      </c>
      <c r="CB201" s="279">
        <f>CB19/CA19-1</f>
        <v>7.4813412761295606E-2</v>
      </c>
      <c r="CC201" s="279">
        <f>CC19/CB19-1</f>
        <v>4.9375412858509105E-2</v>
      </c>
      <c r="CD201" s="279">
        <f>CD19/CC19-1</f>
        <v>4.4052166183044195E-2</v>
      </c>
      <c r="CE201" s="878" t="s">
        <v>88</v>
      </c>
      <c r="CF201" s="876"/>
      <c r="CG201" s="279">
        <f>CG19/CD19-1</f>
        <v>4.6074090687577618E-2</v>
      </c>
      <c r="CH201" s="279">
        <f>CH19/CG19-1</f>
        <v>8.1736168140251975E-2</v>
      </c>
      <c r="CI201" s="279">
        <f>CI19/CH19-1</f>
        <v>4.7277027241962477E-2</v>
      </c>
      <c r="CJ201" s="279">
        <f>CJ19/CI19-1</f>
        <v>5.6911727854567218E-2</v>
      </c>
      <c r="CK201" s="878" t="s">
        <v>88</v>
      </c>
      <c r="CL201" s="876"/>
      <c r="CM201" s="279">
        <f>CM19/CJ19-1</f>
        <v>5.924898778488763E-2</v>
      </c>
      <c r="CN201" s="279">
        <f>CN19/CM19-1</f>
        <v>6.2618601765728199E-2</v>
      </c>
      <c r="CO201" s="279">
        <f>CO19/CN19-1</f>
        <v>5.310617896925196E-2</v>
      </c>
      <c r="CP201" s="279">
        <f>CP19/CO19-1</f>
        <v>6.9570467764683785E-2</v>
      </c>
      <c r="CQ201" s="878" t="s">
        <v>88</v>
      </c>
      <c r="CR201" s="876"/>
      <c r="CS201" s="279">
        <f>CS19/CP19-1</f>
        <v>4.0798382554747326E-2</v>
      </c>
      <c r="CT201" s="279">
        <f>CT19/CS19-1</f>
        <v>7.2881358061869461E-2</v>
      </c>
      <c r="CU201" s="279">
        <f>CU19/CT19-1</f>
        <v>4.6163533650402044E-2</v>
      </c>
      <c r="CV201" s="279">
        <f>CV19/CU19-1</f>
        <v>6.3870207224981046E-2</v>
      </c>
      <c r="CW201" s="878" t="s">
        <v>88</v>
      </c>
      <c r="CX201" s="876"/>
      <c r="CY201" s="279">
        <f>CY19/CV19-1</f>
        <v>3.2696781995615654E-2</v>
      </c>
      <c r="CZ201" s="279">
        <f>CZ19/CY19-1</f>
        <v>5.8604473491025155E-2</v>
      </c>
      <c r="DA201" s="279">
        <f>DA19/CZ19-1</f>
        <v>3.8085344007156685E-2</v>
      </c>
      <c r="DB201" s="279">
        <f>DB19/DA19-1</f>
        <v>5.4925060404826365E-2</v>
      </c>
      <c r="DC201" s="878" t="s">
        <v>88</v>
      </c>
      <c r="DD201" s="876"/>
      <c r="DE201" s="279">
        <f>DE19/DB19-1</f>
        <v>3.6915394805699719E-2</v>
      </c>
      <c r="DF201" s="279">
        <f>DF19/DE19-1</f>
        <v>5.9415199339206692E-2</v>
      </c>
      <c r="DG201" s="279">
        <f>DG19/DF19-1</f>
        <v>3.8138553684254672E-2</v>
      </c>
      <c r="DH201" s="279">
        <f>DH19/DG19-1</f>
        <v>4.8634538111683945E-2</v>
      </c>
      <c r="DI201" s="878" t="s">
        <v>88</v>
      </c>
      <c r="DJ201" s="876"/>
      <c r="DK201" s="279">
        <f>DK19/DH19-1</f>
        <v>3.7814495062437725E-2</v>
      </c>
      <c r="DL201" s="279">
        <f>DL19/DK19-1</f>
        <v>5.6996175676125027E-2</v>
      </c>
      <c r="DM201" s="279">
        <f>DM19/DL19-1</f>
        <v>3.7065013054596641E-2</v>
      </c>
      <c r="DN201" s="279">
        <f>DN19/DM19-1</f>
        <v>4.7917852789349125E-2</v>
      </c>
      <c r="DO201" s="878" t="s">
        <v>88</v>
      </c>
      <c r="DP201" s="316"/>
    </row>
    <row r="202" spans="1:120" ht="5.25" customHeight="1">
      <c r="A202" s="255"/>
      <c r="B202" s="668"/>
      <c r="C202" s="669"/>
      <c r="D202" s="669"/>
      <c r="E202" s="669"/>
      <c r="F202" s="669"/>
      <c r="G202" s="669"/>
      <c r="H202" s="669"/>
      <c r="I202" s="669"/>
      <c r="J202" s="669"/>
      <c r="K202" s="669"/>
      <c r="L202" s="669"/>
      <c r="M202" s="669"/>
      <c r="N202" s="669"/>
      <c r="O202" s="669"/>
      <c r="P202" s="669"/>
      <c r="Q202" s="669"/>
      <c r="R202" s="669"/>
      <c r="S202" s="669"/>
      <c r="T202" s="669"/>
      <c r="U202" s="669"/>
      <c r="V202" s="669"/>
      <c r="W202" s="669"/>
      <c r="X202" s="669"/>
      <c r="Y202" s="669"/>
      <c r="Z202" s="669"/>
      <c r="AA202" s="669"/>
      <c r="AB202" s="669"/>
      <c r="AC202" s="669"/>
      <c r="AD202" s="669"/>
      <c r="AE202" s="669"/>
      <c r="AF202" s="669"/>
      <c r="AG202" s="669"/>
      <c r="AH202" s="669"/>
      <c r="AI202" s="670"/>
      <c r="AJ202" s="669"/>
      <c r="AK202" s="669"/>
      <c r="AL202" s="669"/>
      <c r="AM202" s="669"/>
      <c r="AN202" s="669"/>
      <c r="AO202" s="670"/>
      <c r="AP202" s="669"/>
      <c r="AQ202" s="669"/>
      <c r="AR202" s="669"/>
      <c r="AS202" s="669"/>
      <c r="AT202" s="669"/>
      <c r="AU202" s="670"/>
      <c r="AV202" s="669"/>
      <c r="AW202" s="669"/>
      <c r="AX202" s="669"/>
      <c r="AY202" s="669"/>
      <c r="AZ202" s="669"/>
      <c r="BA202" s="670"/>
      <c r="BB202" s="669"/>
      <c r="BC202" s="669"/>
      <c r="BD202" s="669"/>
      <c r="BE202" s="669"/>
      <c r="BF202" s="669"/>
      <c r="BG202" s="860"/>
      <c r="BH202" s="669"/>
      <c r="BI202" s="669"/>
      <c r="BJ202" s="669"/>
      <c r="BK202" s="669"/>
      <c r="BL202" s="669"/>
      <c r="BM202" s="860"/>
      <c r="BN202" s="669"/>
      <c r="BO202" s="669"/>
      <c r="BP202" s="669"/>
      <c r="BQ202" s="669"/>
      <c r="BR202" s="669"/>
      <c r="BS202" s="860"/>
      <c r="BT202" s="669"/>
      <c r="BU202" s="669"/>
      <c r="BV202" s="669"/>
      <c r="BW202" s="669"/>
      <c r="BX202" s="669"/>
      <c r="BY202" s="860"/>
      <c r="BZ202" s="669"/>
      <c r="CA202" s="669"/>
      <c r="CB202" s="669"/>
      <c r="CC202" s="669"/>
      <c r="CD202" s="669"/>
      <c r="CE202" s="860"/>
      <c r="CF202" s="669"/>
      <c r="CG202" s="669"/>
      <c r="CH202" s="669"/>
      <c r="CI202" s="669"/>
      <c r="CJ202" s="669"/>
      <c r="CK202" s="860"/>
      <c r="CL202" s="669"/>
      <c r="CM202" s="669"/>
      <c r="CN202" s="669"/>
      <c r="CO202" s="669"/>
      <c r="CP202" s="669"/>
      <c r="CQ202" s="860"/>
      <c r="CR202" s="669"/>
      <c r="CS202" s="669"/>
      <c r="CT202" s="669"/>
      <c r="CU202" s="669"/>
      <c r="CV202" s="669"/>
      <c r="CW202" s="860"/>
      <c r="CX202" s="669"/>
      <c r="CY202" s="669"/>
      <c r="CZ202" s="669"/>
      <c r="DA202" s="669"/>
      <c r="DB202" s="669"/>
      <c r="DC202" s="860"/>
      <c r="DD202" s="669"/>
      <c r="DE202" s="669"/>
      <c r="DF202" s="669"/>
      <c r="DG202" s="669"/>
      <c r="DH202" s="669"/>
      <c r="DI202" s="860"/>
      <c r="DJ202" s="669"/>
      <c r="DK202" s="669"/>
      <c r="DL202" s="669"/>
      <c r="DM202" s="669"/>
      <c r="DN202" s="669"/>
      <c r="DO202" s="860"/>
      <c r="DP202" s="669"/>
    </row>
    <row r="203" spans="1:120">
      <c r="A203" s="260" t="s">
        <v>256</v>
      </c>
      <c r="B203" s="730"/>
      <c r="C203" s="268" t="s">
        <v>88</v>
      </c>
      <c r="D203" s="876" t="s">
        <v>88</v>
      </c>
      <c r="E203" s="876" t="s">
        <v>88</v>
      </c>
      <c r="F203" s="260"/>
      <c r="G203" s="268" t="s">
        <v>88</v>
      </c>
      <c r="H203" s="875">
        <f t="shared" ref="H203:J204" si="44">H24/G24-1</f>
        <v>4.5485871812543044E-2</v>
      </c>
      <c r="I203" s="875">
        <f t="shared" si="44"/>
        <v>0.55042847725774546</v>
      </c>
      <c r="J203" s="875">
        <f t="shared" si="44"/>
        <v>-0.20110544217687065</v>
      </c>
      <c r="K203" s="876" t="s">
        <v>88</v>
      </c>
      <c r="L203" s="260"/>
      <c r="M203" s="279">
        <f>M24/J24-1</f>
        <v>-0.15007982969664713</v>
      </c>
      <c r="N203" s="875">
        <f t="shared" ref="N203:P204" si="45">N24/M24-1</f>
        <v>0.13901064495929871</v>
      </c>
      <c r="O203" s="875">
        <f t="shared" si="45"/>
        <v>0.17811984606926878</v>
      </c>
      <c r="P203" s="875">
        <f t="shared" si="45"/>
        <v>3.7330844610359293E-2</v>
      </c>
      <c r="Q203" s="876" t="s">
        <v>88</v>
      </c>
      <c r="R203" s="260"/>
      <c r="S203" s="279">
        <f>S24/P24-1</f>
        <v>2.6540710751237206E-2</v>
      </c>
      <c r="T203" s="875">
        <f t="shared" ref="T203:V204" si="46">T24/S24-1</f>
        <v>0.18273444347063972</v>
      </c>
      <c r="U203" s="875">
        <f t="shared" si="46"/>
        <v>0.31381993330863289</v>
      </c>
      <c r="V203" s="875">
        <f t="shared" si="46"/>
        <v>0.18443316412859567</v>
      </c>
      <c r="W203" s="876" t="s">
        <v>88</v>
      </c>
      <c r="X203" s="260"/>
      <c r="Y203" s="279">
        <f>Y24/V24-1</f>
        <v>0.27047619047619054</v>
      </c>
      <c r="Z203" s="875">
        <f t="shared" ref="Z203:AB204" si="47">Z24/Y24-1</f>
        <v>0.50168665667166401</v>
      </c>
      <c r="AA203" s="875">
        <f t="shared" si="47"/>
        <v>0.25658305253962332</v>
      </c>
      <c r="AB203" s="875">
        <f t="shared" si="47"/>
        <v>9.633528652299117E-2</v>
      </c>
      <c r="AC203" s="876" t="s">
        <v>88</v>
      </c>
      <c r="AD203" s="876"/>
      <c r="AE203" s="279">
        <f>AE24/AB24-1</f>
        <v>9.7834948817827616E-2</v>
      </c>
      <c r="AF203" s="875">
        <f t="shared" ref="AF203:AH204" si="48">AF24/AE24-1</f>
        <v>0.26182028220150189</v>
      </c>
      <c r="AG203" s="875">
        <f t="shared" si="48"/>
        <v>8.7365942976719957E-2</v>
      </c>
      <c r="AH203" s="875">
        <f t="shared" si="48"/>
        <v>-2.1469809959105079E-2</v>
      </c>
      <c r="AI203" s="877" t="s">
        <v>88</v>
      </c>
      <c r="AJ203" s="876"/>
      <c r="AK203" s="279">
        <f>AK24/AH24-1</f>
        <v>0.20975969516317372</v>
      </c>
      <c r="AL203" s="875">
        <f t="shared" ref="AL203:AN204" si="49">AL24/AK24-1</f>
        <v>6.0505994716520961E-2</v>
      </c>
      <c r="AM203" s="875">
        <f t="shared" si="49"/>
        <v>7.2431137724551009E-2</v>
      </c>
      <c r="AN203" s="875">
        <f t="shared" si="49"/>
        <v>5.0699066422477346E-2</v>
      </c>
      <c r="AO203" s="877" t="s">
        <v>88</v>
      </c>
      <c r="AP203" s="876"/>
      <c r="AQ203" s="279">
        <f>AQ24/AN24-1</f>
        <v>0.16529206700110533</v>
      </c>
      <c r="AR203" s="875">
        <f t="shared" ref="AR203:AT204" si="50">AR24/AQ24-1</f>
        <v>7.1433783290769659E-2</v>
      </c>
      <c r="AS203" s="875">
        <f t="shared" si="50"/>
        <v>1.8932171070553006E-2</v>
      </c>
      <c r="AT203" s="875">
        <f t="shared" si="50"/>
        <v>8.2074588958695571E-2</v>
      </c>
      <c r="AU203" s="877" t="s">
        <v>88</v>
      </c>
      <c r="AV203" s="876"/>
      <c r="AW203" s="279">
        <f>AW24/AT24-1</f>
        <v>7.251389746757253E-2</v>
      </c>
      <c r="AX203" s="875">
        <f t="shared" ref="AX203:AZ204" si="51">AX24/AW24-1</f>
        <v>5.8828610919142932E-2</v>
      </c>
      <c r="AY203" s="875">
        <f t="shared" si="51"/>
        <v>4.824454053466054E-2</v>
      </c>
      <c r="AZ203" s="875">
        <f t="shared" si="51"/>
        <v>2.5295109612141875E-2</v>
      </c>
      <c r="BA203" s="877" t="s">
        <v>88</v>
      </c>
      <c r="BB203" s="876"/>
      <c r="BC203" s="279">
        <f>BC24/AZ24-1</f>
        <v>5.1442307692307621E-2</v>
      </c>
      <c r="BD203" s="875">
        <f t="shared" ref="BD203:BF204" si="52">BD24/BC24-1</f>
        <v>0.10208649195003971</v>
      </c>
      <c r="BE203" s="875">
        <f t="shared" si="52"/>
        <v>0.12964297412381254</v>
      </c>
      <c r="BF203" s="875">
        <f t="shared" si="52"/>
        <v>7.0807237299930437E-2</v>
      </c>
      <c r="BG203" s="878" t="s">
        <v>88</v>
      </c>
      <c r="BH203" s="876"/>
      <c r="BI203" s="279">
        <f>BI24/BF24-1</f>
        <v>0.19411499232782736</v>
      </c>
      <c r="BJ203" s="875">
        <f t="shared" ref="BJ203:BL204" si="53">BJ24/BI24-1</f>
        <v>0.10012396444336957</v>
      </c>
      <c r="BK203" s="875">
        <f t="shared" si="53"/>
        <v>8.3357381374448369E-2</v>
      </c>
      <c r="BL203" s="875">
        <f t="shared" si="53"/>
        <v>5.1955300176313113E-2</v>
      </c>
      <c r="BM203" s="878" t="s">
        <v>88</v>
      </c>
      <c r="BN203" s="876"/>
      <c r="BO203" s="279">
        <f>BO24/BL24-1</f>
        <v>0.10084043746156546</v>
      </c>
      <c r="BP203" s="875">
        <f t="shared" ref="BP203:BR204" si="54">BP24/BO24-1</f>
        <v>0.1046595688748686</v>
      </c>
      <c r="BQ203" s="875">
        <f t="shared" si="54"/>
        <v>9.9999008438190984E-2</v>
      </c>
      <c r="BR203" s="875">
        <f t="shared" si="54"/>
        <v>2.6312468450277793E-2</v>
      </c>
      <c r="BS203" s="878" t="s">
        <v>88</v>
      </c>
      <c r="BT203" s="876"/>
      <c r="BU203" s="279">
        <f>BU24/BR24-1</f>
        <v>0.16152123314742428</v>
      </c>
      <c r="BV203" s="875">
        <f t="shared" ref="BV203:BX204" si="55">BV24/BU24-1</f>
        <v>4.6224810011720407E-2</v>
      </c>
      <c r="BW203" s="875">
        <f t="shared" si="55"/>
        <v>0.19230546842249829</v>
      </c>
      <c r="BX203" s="875">
        <f t="shared" si="55"/>
        <v>1.2069226805685895E-2</v>
      </c>
      <c r="BY203" s="878" t="s">
        <v>88</v>
      </c>
      <c r="BZ203" s="876"/>
      <c r="CA203" s="279">
        <f>CA24/BX24-1</f>
        <v>7.9775509715134696E-2</v>
      </c>
      <c r="CB203" s="875">
        <f t="shared" ref="CB203:CD204" si="56">CB24/CA24-1</f>
        <v>9.6363888503674833E-2</v>
      </c>
      <c r="CC203" s="875">
        <f t="shared" si="56"/>
        <v>0.10497503124256902</v>
      </c>
      <c r="CD203" s="875">
        <f t="shared" si="56"/>
        <v>8.9864694704548942E-2</v>
      </c>
      <c r="CE203" s="878" t="s">
        <v>88</v>
      </c>
      <c r="CF203" s="876"/>
      <c r="CG203" s="279">
        <f>CG24/CD24-1</f>
        <v>6.9447653778448082E-2</v>
      </c>
      <c r="CH203" s="875">
        <f t="shared" ref="CH203:CJ204" si="57">CH24/CG24-1</f>
        <v>6.8147443930685947E-2</v>
      </c>
      <c r="CI203" s="875">
        <f t="shared" si="57"/>
        <v>3.9908347983435011E-2</v>
      </c>
      <c r="CJ203" s="875">
        <f t="shared" si="57"/>
        <v>5.6948035183148171E-2</v>
      </c>
      <c r="CK203" s="878" t="s">
        <v>88</v>
      </c>
      <c r="CL203" s="876"/>
      <c r="CM203" s="279">
        <f>CM24/CJ24-1</f>
        <v>4.9395852782824878E-2</v>
      </c>
      <c r="CN203" s="875">
        <f t="shared" ref="CN203:CP204" si="58">CN24/CM24-1</f>
        <v>6.946778354213623E-2</v>
      </c>
      <c r="CO203" s="875">
        <f t="shared" si="58"/>
        <v>0.11705759408942762</v>
      </c>
      <c r="CP203" s="875">
        <f t="shared" si="58"/>
        <v>8.0993434046869206E-2</v>
      </c>
      <c r="CQ203" s="878" t="s">
        <v>88</v>
      </c>
      <c r="CR203" s="876"/>
      <c r="CS203" s="279">
        <f>CS24/CP24-1</f>
        <v>3.5382279231120473E-2</v>
      </c>
      <c r="CT203" s="875">
        <f t="shared" ref="CT203:CV204" si="59">CT24/CS24-1</f>
        <v>3.5675533881025956E-2</v>
      </c>
      <c r="CU203" s="875">
        <f t="shared" si="59"/>
        <v>8.6415915449176151E-2</v>
      </c>
      <c r="CV203" s="875">
        <f t="shared" si="59"/>
        <v>4.5376993588724712E-2</v>
      </c>
      <c r="CW203" s="878" t="s">
        <v>88</v>
      </c>
      <c r="CX203" s="876"/>
      <c r="CY203" s="279">
        <f>CY24/CV24-1</f>
        <v>2.1022494079874665E-2</v>
      </c>
      <c r="CZ203" s="875">
        <f t="shared" ref="CZ203:DB204" si="60">CZ24/CY24-1</f>
        <v>2.0521473260487699E-2</v>
      </c>
      <c r="DA203" s="875">
        <f t="shared" si="60"/>
        <v>7.910354764189198E-2</v>
      </c>
      <c r="DB203" s="875">
        <f t="shared" si="60"/>
        <v>3.7330885749932596E-2</v>
      </c>
      <c r="DC203" s="878" t="s">
        <v>88</v>
      </c>
      <c r="DD203" s="876"/>
      <c r="DE203" s="279">
        <f>DE24/DB24-1</f>
        <v>3.0681586345826961E-2</v>
      </c>
      <c r="DF203" s="875">
        <f t="shared" ref="DF203:DF204" si="61">DF24/DE24-1</f>
        <v>1.9684487617678714E-2</v>
      </c>
      <c r="DG203" s="875">
        <f t="shared" ref="DG203:DG204" si="62">DG24/DF24-1</f>
        <v>7.9819846654983762E-2</v>
      </c>
      <c r="DH203" s="875">
        <f t="shared" ref="DH203:DH204" si="63">DH24/DG24-1</f>
        <v>3.1790892223547029E-2</v>
      </c>
      <c r="DI203" s="878" t="s">
        <v>88</v>
      </c>
      <c r="DJ203" s="876"/>
      <c r="DK203" s="279">
        <f>DK24/DH24-1</f>
        <v>3.1297395179729959E-2</v>
      </c>
      <c r="DL203" s="875">
        <f t="shared" ref="DL203:DL204" si="64">DL24/DK24-1</f>
        <v>1.5914013073783595E-2</v>
      </c>
      <c r="DM203" s="875">
        <f t="shared" ref="DM203:DM204" si="65">DM24/DL24-1</f>
        <v>7.9071341784406446E-2</v>
      </c>
      <c r="DN203" s="875">
        <f t="shared" ref="DN203:DN204" si="66">DN24/DM24-1</f>
        <v>3.1753896069235843E-2</v>
      </c>
      <c r="DO203" s="878" t="s">
        <v>88</v>
      </c>
      <c r="DP203" s="260"/>
    </row>
    <row r="204" spans="1:120">
      <c r="A204" s="260" t="s">
        <v>2</v>
      </c>
      <c r="B204" s="730"/>
      <c r="C204" s="268" t="s">
        <v>88</v>
      </c>
      <c r="D204" s="876" t="s">
        <v>88</v>
      </c>
      <c r="E204" s="876" t="s">
        <v>88</v>
      </c>
      <c r="F204" s="260"/>
      <c r="G204" s="268" t="s">
        <v>88</v>
      </c>
      <c r="H204" s="875">
        <f t="shared" si="44"/>
        <v>1.1746575342465757</v>
      </c>
      <c r="I204" s="875">
        <f t="shared" si="44"/>
        <v>0.35275590551181102</v>
      </c>
      <c r="J204" s="875">
        <f t="shared" si="44"/>
        <v>0.60419091967403937</v>
      </c>
      <c r="K204" s="876" t="s">
        <v>88</v>
      </c>
      <c r="L204" s="260"/>
      <c r="M204" s="279">
        <f>M25/J25-1</f>
        <v>0.27576197387518153</v>
      </c>
      <c r="N204" s="875">
        <f t="shared" si="45"/>
        <v>0.14277588168373145</v>
      </c>
      <c r="O204" s="875">
        <f t="shared" si="45"/>
        <v>0.25684420109507222</v>
      </c>
      <c r="P204" s="875">
        <f t="shared" si="45"/>
        <v>0.26693069306930695</v>
      </c>
      <c r="Q204" s="876" t="s">
        <v>88</v>
      </c>
      <c r="R204" s="260"/>
      <c r="S204" s="279">
        <f>S25/P25-1</f>
        <v>0.27571115973741822</v>
      </c>
      <c r="T204" s="875">
        <f t="shared" si="46"/>
        <v>0.34354324920362633</v>
      </c>
      <c r="U204" s="875">
        <f t="shared" si="46"/>
        <v>-2.2615356556629496E-2</v>
      </c>
      <c r="V204" s="875">
        <f t="shared" si="46"/>
        <v>8.3037880201530134E-2</v>
      </c>
      <c r="W204" s="876" t="s">
        <v>88</v>
      </c>
      <c r="X204" s="260"/>
      <c r="Y204" s="279">
        <f>Y25/V25-1</f>
        <v>0.14214334941419704</v>
      </c>
      <c r="Z204" s="875">
        <f t="shared" si="47"/>
        <v>0.24060944335495571</v>
      </c>
      <c r="AA204" s="875">
        <f t="shared" si="47"/>
        <v>0.1569795719844358</v>
      </c>
      <c r="AB204" s="875">
        <f t="shared" si="47"/>
        <v>8.2606410930110341E-2</v>
      </c>
      <c r="AC204" s="876" t="s">
        <v>88</v>
      </c>
      <c r="AD204" s="876"/>
      <c r="AE204" s="279">
        <f>AE25/AB25-1</f>
        <v>8.8049703912241428E-2</v>
      </c>
      <c r="AF204" s="875">
        <f t="shared" si="48"/>
        <v>6.2990720913633114E-2</v>
      </c>
      <c r="AG204" s="875">
        <f t="shared" si="48"/>
        <v>0.12707738794695311</v>
      </c>
      <c r="AH204" s="875">
        <f t="shared" si="48"/>
        <v>0.18692284778075652</v>
      </c>
      <c r="AI204" s="877" t="s">
        <v>88</v>
      </c>
      <c r="AJ204" s="876"/>
      <c r="AK204" s="279">
        <f>AK25/AH25-1</f>
        <v>7.9746517756305701E-2</v>
      </c>
      <c r="AL204" s="875">
        <f t="shared" si="49"/>
        <v>-7.9609506653495199E-3</v>
      </c>
      <c r="AM204" s="875">
        <f t="shared" si="49"/>
        <v>7.6616682286785309E-2</v>
      </c>
      <c r="AN204" s="875">
        <f t="shared" si="49"/>
        <v>7.3775843307943401E-2</v>
      </c>
      <c r="AO204" s="877" t="s">
        <v>88</v>
      </c>
      <c r="AP204" s="876"/>
      <c r="AQ204" s="279">
        <f>AQ25/AN25-1</f>
        <v>8.9683826509932008E-3</v>
      </c>
      <c r="AR204" s="875">
        <f t="shared" si="50"/>
        <v>4.2836338070606939E-2</v>
      </c>
      <c r="AS204" s="875">
        <f t="shared" si="50"/>
        <v>1.6421072907637502E-2</v>
      </c>
      <c r="AT204" s="875">
        <f t="shared" si="50"/>
        <v>-2.629459421045155E-2</v>
      </c>
      <c r="AU204" s="877" t="s">
        <v>88</v>
      </c>
      <c r="AV204" s="876"/>
      <c r="AW204" s="279">
        <f>AW25/AT25-1</f>
        <v>0.12475671467497085</v>
      </c>
      <c r="AX204" s="875">
        <f t="shared" si="51"/>
        <v>-0.11948433985118534</v>
      </c>
      <c r="AY204" s="875">
        <f t="shared" si="51"/>
        <v>7.2516458681340268E-2</v>
      </c>
      <c r="AZ204" s="875">
        <f t="shared" si="51"/>
        <v>2.5332111772789823E-2</v>
      </c>
      <c r="BA204" s="877" t="s">
        <v>88</v>
      </c>
      <c r="BB204" s="876"/>
      <c r="BC204" s="279">
        <f>BC25/AZ25-1</f>
        <v>9.2346870392708835E-2</v>
      </c>
      <c r="BD204" s="875">
        <f t="shared" si="52"/>
        <v>1.9141104294478462E-2</v>
      </c>
      <c r="BE204" s="875">
        <f t="shared" si="52"/>
        <v>-4.1897423549241419E-2</v>
      </c>
      <c r="BF204" s="875">
        <f t="shared" si="52"/>
        <v>0.15833123900477486</v>
      </c>
      <c r="BG204" s="878" t="s">
        <v>88</v>
      </c>
      <c r="BH204" s="876"/>
      <c r="BI204" s="279">
        <f>BI25/BF25-1</f>
        <v>-0.12591306863383234</v>
      </c>
      <c r="BJ204" s="875">
        <f t="shared" si="53"/>
        <v>0.13300512990236646</v>
      </c>
      <c r="BK204" s="875">
        <f t="shared" si="53"/>
        <v>2.6801036988352234E-2</v>
      </c>
      <c r="BL204" s="875">
        <f t="shared" si="53"/>
        <v>0.10227232317485146</v>
      </c>
      <c r="BM204" s="878" t="s">
        <v>88</v>
      </c>
      <c r="BN204" s="876"/>
      <c r="BO204" s="279">
        <f>BO25/BL25-1</f>
        <v>0.14701422718327595</v>
      </c>
      <c r="BP204" s="875">
        <f t="shared" si="54"/>
        <v>1.3528716881363589E-2</v>
      </c>
      <c r="BQ204" s="875">
        <f t="shared" si="54"/>
        <v>0.18576384071042029</v>
      </c>
      <c r="BR204" s="875">
        <f t="shared" si="54"/>
        <v>-3.304547262982982E-2</v>
      </c>
      <c r="BS204" s="878" t="s">
        <v>88</v>
      </c>
      <c r="BT204" s="876"/>
      <c r="BU204" s="279">
        <f>BU25/BR25-1</f>
        <v>8.3476535082411818E-2</v>
      </c>
      <c r="BV204" s="875">
        <f t="shared" si="55"/>
        <v>4.6061743287316048E-2</v>
      </c>
      <c r="BW204" s="875">
        <f t="shared" si="55"/>
        <v>0.2227513453489367</v>
      </c>
      <c r="BX204" s="875">
        <f t="shared" si="55"/>
        <v>8.4318622399972121E-2</v>
      </c>
      <c r="BY204" s="878" t="s">
        <v>88</v>
      </c>
      <c r="BZ204" s="876"/>
      <c r="CA204" s="279">
        <f>CA25/BX25-1</f>
        <v>0.15238294651054152</v>
      </c>
      <c r="CB204" s="875">
        <f t="shared" si="56"/>
        <v>6.1329457147649036E-2</v>
      </c>
      <c r="CC204" s="875">
        <f t="shared" si="56"/>
        <v>5.808839022334622E-2</v>
      </c>
      <c r="CD204" s="875">
        <f t="shared" si="56"/>
        <v>3.288237270837735E-2</v>
      </c>
      <c r="CE204" s="878" t="s">
        <v>88</v>
      </c>
      <c r="CF204" s="876"/>
      <c r="CG204" s="279">
        <f>CG25/CD25-1</f>
        <v>0.11074961741917599</v>
      </c>
      <c r="CH204" s="875">
        <f t="shared" si="57"/>
        <v>4.4771100021696597E-2</v>
      </c>
      <c r="CI204" s="875">
        <f t="shared" si="57"/>
        <v>7.0763288234500177E-2</v>
      </c>
      <c r="CJ204" s="875">
        <f t="shared" si="57"/>
        <v>1.3644033280967971E-2</v>
      </c>
      <c r="CK204" s="878" t="s">
        <v>88</v>
      </c>
      <c r="CL204" s="876"/>
      <c r="CM204" s="279">
        <f>CM25/CJ25-1</f>
        <v>0.28690602607888738</v>
      </c>
      <c r="CN204" s="875">
        <f t="shared" si="58"/>
        <v>4.9227246708643202E-2</v>
      </c>
      <c r="CO204" s="875">
        <f t="shared" si="58"/>
        <v>4.4175682473554634E-2</v>
      </c>
      <c r="CP204" s="875">
        <f t="shared" si="58"/>
        <v>-1.2417218543046005E-3</v>
      </c>
      <c r="CQ204" s="878" t="s">
        <v>88</v>
      </c>
      <c r="CR204" s="876"/>
      <c r="CS204" s="279">
        <f>CS25/CP25-1</f>
        <v>6.0675439728791636E-2</v>
      </c>
      <c r="CT204" s="875">
        <f t="shared" si="59"/>
        <v>2.922676846609118E-2</v>
      </c>
      <c r="CU204" s="875">
        <f t="shared" si="59"/>
        <v>5.5337395059961159E-2</v>
      </c>
      <c r="CV204" s="875">
        <f t="shared" si="59"/>
        <v>1.9837361937504072E-2</v>
      </c>
      <c r="CW204" s="878" t="s">
        <v>88</v>
      </c>
      <c r="CX204" s="876"/>
      <c r="CY204" s="279">
        <f>CY25/CV25-1</f>
        <v>0.1378351333287684</v>
      </c>
      <c r="CZ204" s="875">
        <f t="shared" si="60"/>
        <v>1.9198128721528374E-2</v>
      </c>
      <c r="DA204" s="875">
        <f t="shared" si="60"/>
        <v>2.2033642855197932E-2</v>
      </c>
      <c r="DB204" s="875">
        <f t="shared" si="60"/>
        <v>-6.4807530810663261E-3</v>
      </c>
      <c r="DC204" s="878" t="s">
        <v>88</v>
      </c>
      <c r="DD204" s="876"/>
      <c r="DE204" s="279">
        <f>DE25/DB25-1</f>
        <v>0.14695417993252957</v>
      </c>
      <c r="DF204" s="875">
        <f t="shared" si="61"/>
        <v>2.8370834236242981E-2</v>
      </c>
      <c r="DG204" s="875">
        <f t="shared" si="62"/>
        <v>2.4299797567734593E-2</v>
      </c>
      <c r="DH204" s="875">
        <f t="shared" si="63"/>
        <v>-2.7824174469657792E-2</v>
      </c>
      <c r="DI204" s="878" t="s">
        <v>88</v>
      </c>
      <c r="DJ204" s="876"/>
      <c r="DK204" s="279">
        <f>DK25/DH25-1</f>
        <v>0.15578028737638228</v>
      </c>
      <c r="DL204" s="875">
        <f t="shared" si="64"/>
        <v>3.1994803450379861E-2</v>
      </c>
      <c r="DM204" s="875">
        <f t="shared" si="65"/>
        <v>2.950189483358745E-2</v>
      </c>
      <c r="DN204" s="875">
        <f t="shared" si="66"/>
        <v>-4.4275473728590642E-2</v>
      </c>
      <c r="DO204" s="878" t="s">
        <v>88</v>
      </c>
      <c r="DP204" s="260"/>
    </row>
    <row r="205" spans="1:120">
      <c r="A205" s="260" t="s">
        <v>3</v>
      </c>
      <c r="B205" s="730"/>
      <c r="C205" s="268"/>
      <c r="D205" s="876"/>
      <c r="E205" s="876"/>
      <c r="F205" s="260"/>
      <c r="G205" s="268"/>
      <c r="H205" s="268"/>
      <c r="I205" s="268"/>
      <c r="J205" s="268"/>
      <c r="K205" s="876"/>
      <c r="L205" s="260"/>
      <c r="M205" s="279"/>
      <c r="N205" s="279"/>
      <c r="O205" s="279"/>
      <c r="P205" s="279"/>
      <c r="Q205" s="876"/>
      <c r="R205" s="260"/>
      <c r="S205" s="279"/>
      <c r="T205" s="279"/>
      <c r="U205" s="279"/>
      <c r="V205" s="279"/>
      <c r="W205" s="876"/>
      <c r="X205" s="260"/>
      <c r="Y205" s="279"/>
      <c r="Z205" s="279"/>
      <c r="AA205" s="279"/>
      <c r="AB205" s="279"/>
      <c r="AC205" s="876"/>
      <c r="AD205" s="876"/>
      <c r="AE205" s="279"/>
      <c r="AF205" s="279"/>
      <c r="AG205" s="279"/>
      <c r="AH205" s="279"/>
      <c r="AI205" s="877"/>
      <c r="AJ205" s="876"/>
      <c r="AK205" s="279"/>
      <c r="AL205" s="279"/>
      <c r="AM205" s="279"/>
      <c r="AN205" s="279"/>
      <c r="AO205" s="877"/>
      <c r="AP205" s="876"/>
      <c r="AQ205" s="279"/>
      <c r="AR205" s="279"/>
      <c r="AS205" s="279"/>
      <c r="AT205" s="279"/>
      <c r="AU205" s="877"/>
      <c r="AV205" s="876"/>
      <c r="AW205" s="279"/>
      <c r="AX205" s="279"/>
      <c r="AY205" s="279"/>
      <c r="AZ205" s="279"/>
      <c r="BA205" s="877"/>
      <c r="BB205" s="876"/>
      <c r="BC205" s="279"/>
      <c r="BD205" s="279"/>
      <c r="BE205" s="279"/>
      <c r="BF205" s="279"/>
      <c r="BG205" s="878"/>
      <c r="BH205" s="876"/>
      <c r="BI205" s="279"/>
      <c r="BJ205" s="279"/>
      <c r="BK205" s="279"/>
      <c r="BL205" s="279"/>
      <c r="BM205" s="878"/>
      <c r="BN205" s="876"/>
      <c r="BO205" s="279"/>
      <c r="BP205" s="279"/>
      <c r="BQ205" s="279"/>
      <c r="BR205" s="279"/>
      <c r="BS205" s="878"/>
      <c r="BT205" s="876"/>
      <c r="BU205" s="279"/>
      <c r="BV205" s="279"/>
      <c r="BW205" s="279"/>
      <c r="BX205" s="279"/>
      <c r="BY205" s="878"/>
      <c r="BZ205" s="876"/>
      <c r="CA205" s="279"/>
      <c r="CB205" s="279"/>
      <c r="CC205" s="279"/>
      <c r="CD205" s="279"/>
      <c r="CE205" s="878"/>
      <c r="CF205" s="876"/>
      <c r="CG205" s="279"/>
      <c r="CH205" s="279"/>
      <c r="CI205" s="279"/>
      <c r="CJ205" s="279"/>
      <c r="CK205" s="878"/>
      <c r="CL205" s="876"/>
      <c r="CM205" s="279"/>
      <c r="CN205" s="279"/>
      <c r="CO205" s="279"/>
      <c r="CP205" s="279"/>
      <c r="CQ205" s="878"/>
      <c r="CR205" s="876"/>
      <c r="CS205" s="279"/>
      <c r="CT205" s="279"/>
      <c r="CU205" s="279"/>
      <c r="CV205" s="279"/>
      <c r="CW205" s="878"/>
      <c r="CX205" s="876"/>
      <c r="CY205" s="279"/>
      <c r="CZ205" s="279"/>
      <c r="DA205" s="279"/>
      <c r="DB205" s="279"/>
      <c r="DC205" s="878"/>
      <c r="DD205" s="876"/>
      <c r="DE205" s="279"/>
      <c r="DF205" s="279"/>
      <c r="DG205" s="279"/>
      <c r="DH205" s="279"/>
      <c r="DI205" s="878"/>
      <c r="DJ205" s="876"/>
      <c r="DK205" s="279"/>
      <c r="DL205" s="279"/>
      <c r="DM205" s="279"/>
      <c r="DN205" s="279"/>
      <c r="DO205" s="878"/>
      <c r="DP205" s="260"/>
    </row>
    <row r="206" spans="1:120">
      <c r="A206" s="260" t="s">
        <v>92</v>
      </c>
      <c r="B206" s="730"/>
      <c r="C206" s="268" t="s">
        <v>88</v>
      </c>
      <c r="D206" s="876" t="s">
        <v>88</v>
      </c>
      <c r="E206" s="876" t="s">
        <v>88</v>
      </c>
      <c r="F206" s="260"/>
      <c r="G206" s="268" t="s">
        <v>88</v>
      </c>
      <c r="H206" s="268" t="s">
        <v>88</v>
      </c>
      <c r="I206" s="268" t="s">
        <v>88</v>
      </c>
      <c r="J206" s="268" t="s">
        <v>88</v>
      </c>
      <c r="K206" s="876" t="s">
        <v>88</v>
      </c>
      <c r="L206" s="260"/>
      <c r="M206" s="279">
        <f>M37/J37-1</f>
        <v>5.557206537890047E-2</v>
      </c>
      <c r="N206" s="279">
        <f>N37/M37-1</f>
        <v>0.14536411411411398</v>
      </c>
      <c r="O206" s="279">
        <f>O37/N37-1</f>
        <v>0.19598525194592376</v>
      </c>
      <c r="P206" s="279">
        <f>P37/O37-1</f>
        <v>0.17435089401931902</v>
      </c>
      <c r="Q206" s="876" t="s">
        <v>88</v>
      </c>
      <c r="R206" s="260"/>
      <c r="S206" s="279">
        <f>S37/P37-1</f>
        <v>0.19093454672733645</v>
      </c>
      <c r="T206" s="279">
        <f>T37/S37-1</f>
        <v>0.10335537594905708</v>
      </c>
      <c r="U206" s="279">
        <f>U37/T37-1</f>
        <v>0.10721420643729207</v>
      </c>
      <c r="V206" s="279">
        <f>V37/U37-1</f>
        <v>0.13997594226142751</v>
      </c>
      <c r="W206" s="876" t="s">
        <v>88</v>
      </c>
      <c r="X206" s="260"/>
      <c r="Y206" s="279">
        <f>Y37/V37-1</f>
        <v>0.21353452217649749</v>
      </c>
      <c r="Z206" s="279">
        <f>Z37/Y37-1</f>
        <v>5.3909918265608869E-3</v>
      </c>
      <c r="AA206" s="279">
        <f>AA37/Z37-1</f>
        <v>9.2741005535055265E-2</v>
      </c>
      <c r="AB206" s="279">
        <f>AB37/AA37-1</f>
        <v>0.12130325814536347</v>
      </c>
      <c r="AC206" s="876" t="s">
        <v>88</v>
      </c>
      <c r="AD206" s="876"/>
      <c r="AE206" s="279">
        <f>AE37/AB37-1</f>
        <v>0.14166058866432962</v>
      </c>
      <c r="AF206" s="279">
        <f>AF37/AE37-1</f>
        <v>0.13418102382326258</v>
      </c>
      <c r="AG206" s="279">
        <f>AG37/AF37-1</f>
        <v>0.12110475152175892</v>
      </c>
      <c r="AH206" s="279">
        <f>AH37/AG37-1</f>
        <v>0.12181523500810365</v>
      </c>
      <c r="AI206" s="877" t="s">
        <v>88</v>
      </c>
      <c r="AJ206" s="876"/>
      <c r="AK206" s="279">
        <f>AK37/AH37-1</f>
        <v>0.13132801664355065</v>
      </c>
      <c r="AL206" s="279">
        <f>AL37/AK37-1</f>
        <v>7.2088984241309717E-2</v>
      </c>
      <c r="AM206" s="279">
        <f>AM37/AL37-1</f>
        <v>7.0898500315660362E-2</v>
      </c>
      <c r="AN206" s="279">
        <f>AN37/AM37-1</f>
        <v>0.10004115546755954</v>
      </c>
      <c r="AO206" s="877" t="s">
        <v>88</v>
      </c>
      <c r="AP206" s="876"/>
      <c r="AQ206" s="279">
        <f>AQ37/AN37-1</f>
        <v>0.15860946236994033</v>
      </c>
      <c r="AR206" s="279">
        <f>AR37/AQ37-1</f>
        <v>6.4948552577607455E-2</v>
      </c>
      <c r="AS206" s="279">
        <f>AS37/AR37-1</f>
        <v>4.254865806187258E-2</v>
      </c>
      <c r="AT206" s="279">
        <f>AT37/AS37-1</f>
        <v>5.7720273233923258E-2</v>
      </c>
      <c r="AU206" s="877" t="s">
        <v>88</v>
      </c>
      <c r="AV206" s="876"/>
      <c r="AW206" s="279">
        <f>AW37/AT37-1</f>
        <v>-4.6336206896551824E-2</v>
      </c>
      <c r="AX206" s="279">
        <f>AX37/AW37-1</f>
        <v>6.6799142801480693E-2</v>
      </c>
      <c r="AY206" s="279">
        <f>AY37/AX37-1</f>
        <v>4.5391790908493324E-2</v>
      </c>
      <c r="AZ206" s="279">
        <f>AZ37/AY37-1</f>
        <v>9.8056753149653231E-2</v>
      </c>
      <c r="BA206" s="877" t="s">
        <v>88</v>
      </c>
      <c r="BB206" s="876"/>
      <c r="BC206" s="279">
        <f>BC37/AZ37-1</f>
        <v>4.1446062210456436E-2</v>
      </c>
      <c r="BD206" s="279">
        <f>BD37/BC37-1</f>
        <v>3.178599143330274E-2</v>
      </c>
      <c r="BE206" s="279">
        <f>BE37/BD37-1</f>
        <v>0.11076104915935781</v>
      </c>
      <c r="BF206" s="279">
        <f>BF37/BE37-1</f>
        <v>0.13091137863746383</v>
      </c>
      <c r="BG206" s="878" t="s">
        <v>88</v>
      </c>
      <c r="BH206" s="876"/>
      <c r="BI206" s="279">
        <f>BI37/BF37-1</f>
        <v>8.1691150125402956E-2</v>
      </c>
      <c r="BJ206" s="279">
        <f>BJ37/BI37-1</f>
        <v>0.10519778246543798</v>
      </c>
      <c r="BK206" s="279">
        <f>BK37/BJ37-1</f>
        <v>8.2474633351868221E-2</v>
      </c>
      <c r="BL206" s="279">
        <f>BL37/BK37-1</f>
        <v>5.3243228474106896E-2</v>
      </c>
      <c r="BM206" s="878" t="s">
        <v>88</v>
      </c>
      <c r="BN206" s="876"/>
      <c r="BO206" s="279">
        <f>BO37/BL37-1</f>
        <v>0.12197779391926922</v>
      </c>
      <c r="BP206" s="279">
        <f>BP37/BO37-1</f>
        <v>2.6503275529865311E-2</v>
      </c>
      <c r="BQ206" s="279">
        <f>BQ37/BP37-1</f>
        <v>0.111829222877599</v>
      </c>
      <c r="BR206" s="279">
        <f>BR37/BQ37-1</f>
        <v>1.6361072694269119E-2</v>
      </c>
      <c r="BS206" s="878" t="s">
        <v>88</v>
      </c>
      <c r="BT206" s="876"/>
      <c r="BU206" s="279">
        <f>BU37/BR37-1</f>
        <v>7.4317302964665988E-2</v>
      </c>
      <c r="BV206" s="279">
        <f>BV37/BU37-1</f>
        <v>3.9047270352375429E-2</v>
      </c>
      <c r="BW206" s="279">
        <f>BW37/BV37-1</f>
        <v>0.17311410150186202</v>
      </c>
      <c r="BX206" s="279">
        <f>BX37/BW37-1</f>
        <v>0.12724822516550893</v>
      </c>
      <c r="BY206" s="878" t="s">
        <v>88</v>
      </c>
      <c r="BZ206" s="876"/>
      <c r="CA206" s="279">
        <f>CA37/BX37-1</f>
        <v>3.3074070073098039E-3</v>
      </c>
      <c r="CB206" s="279">
        <f>CB37/CA37-1</f>
        <v>5.3059898754075796E-2</v>
      </c>
      <c r="CC206" s="279">
        <f>CC37/CB37-1</f>
        <v>5.9355003621181845E-2</v>
      </c>
      <c r="CD206" s="279">
        <f>CD37/CC37-1</f>
        <v>2.9950647946774378E-2</v>
      </c>
      <c r="CE206" s="878" t="s">
        <v>88</v>
      </c>
      <c r="CF206" s="876"/>
      <c r="CG206" s="279">
        <f>CG37/CD37-1</f>
        <v>9.530279957830512E-3</v>
      </c>
      <c r="CH206" s="279">
        <f>CH37/CG37-1</f>
        <v>8.7546431881085018E-2</v>
      </c>
      <c r="CI206" s="279">
        <f>CI37/CH37-1</f>
        <v>3.887533518738473E-2</v>
      </c>
      <c r="CJ206" s="279">
        <f>CJ37/CI37-1</f>
        <v>8.7077378531630334E-2</v>
      </c>
      <c r="CK206" s="878" t="s">
        <v>88</v>
      </c>
      <c r="CL206" s="876"/>
      <c r="CM206" s="279">
        <f>CM37/CJ37-1</f>
        <v>-1.1191797300616591E-2</v>
      </c>
      <c r="CN206" s="279">
        <f>CN37/CM37-1</f>
        <v>5.1537579617834561E-2</v>
      </c>
      <c r="CO206" s="279">
        <f>CO37/CN37-1</f>
        <v>6.1485940515375148E-2</v>
      </c>
      <c r="CP206" s="279">
        <f>CP37/CO37-1</f>
        <v>7.8303057140346022E-2</v>
      </c>
      <c r="CQ206" s="878" t="s">
        <v>88</v>
      </c>
      <c r="CR206" s="876"/>
      <c r="CS206" s="279">
        <f>CS37/CP37-1</f>
        <v>1.5921534343542376E-2</v>
      </c>
      <c r="CT206" s="279">
        <f>CT37/CS37-1</f>
        <v>6.2271321770584143E-2</v>
      </c>
      <c r="CU206" s="279">
        <f>CU37/CT37-1</f>
        <v>1.7690626851150748E-2</v>
      </c>
      <c r="CV206" s="279">
        <f>CV37/CU37-1</f>
        <v>0.17784969075065971</v>
      </c>
      <c r="CW206" s="878" t="s">
        <v>88</v>
      </c>
      <c r="CX206" s="876"/>
      <c r="CY206" s="279">
        <f>CY37/CV37-1</f>
        <v>-4.6073581495945759E-2</v>
      </c>
      <c r="CZ206" s="279">
        <f>CZ37/CY37-1</f>
        <v>3.3208659101720217E-2</v>
      </c>
      <c r="DA206" s="279">
        <f>DA37/CZ37-1</f>
        <v>4.512079323872209E-3</v>
      </c>
      <c r="DB206" s="279">
        <f>DB37/DA37-1</f>
        <v>0.11133816523930928</v>
      </c>
      <c r="DC206" s="878" t="s">
        <v>88</v>
      </c>
      <c r="DD206" s="876"/>
      <c r="DE206" s="279">
        <f>DE37/DB37-1</f>
        <v>1.5861275114213313E-2</v>
      </c>
      <c r="DF206" s="279">
        <f>DF37/DE37-1</f>
        <v>3.3341509200029318E-2</v>
      </c>
      <c r="DG206" s="279">
        <f>DG37/DF37-1</f>
        <v>3.6718022339141676E-3</v>
      </c>
      <c r="DH206" s="279">
        <f>DH37/DG37-1</f>
        <v>8.3204907499981218E-2</v>
      </c>
      <c r="DI206" s="878" t="s">
        <v>88</v>
      </c>
      <c r="DJ206" s="876"/>
      <c r="DK206" s="279">
        <f>DK37/DH37-1</f>
        <v>2.4013770394054168E-2</v>
      </c>
      <c r="DL206" s="279">
        <f>DL37/DK37-1</f>
        <v>2.9930235867706712E-2</v>
      </c>
      <c r="DM206" s="279">
        <f>DM37/DL37-1</f>
        <v>4.0740098730536189E-3</v>
      </c>
      <c r="DN206" s="279">
        <f>DN37/DM37-1</f>
        <v>8.6840515892953496E-2</v>
      </c>
      <c r="DO206" s="878" t="s">
        <v>88</v>
      </c>
      <c r="DP206" s="260"/>
    </row>
    <row r="207" spans="1:120">
      <c r="A207" s="260" t="s">
        <v>93</v>
      </c>
      <c r="B207" s="730"/>
      <c r="C207" s="268" t="s">
        <v>88</v>
      </c>
      <c r="D207" s="876" t="s">
        <v>88</v>
      </c>
      <c r="E207" s="876" t="s">
        <v>88</v>
      </c>
      <c r="F207" s="260"/>
      <c r="G207" s="268" t="s">
        <v>88</v>
      </c>
      <c r="H207" s="268" t="s">
        <v>88</v>
      </c>
      <c r="I207" s="268" t="s">
        <v>88</v>
      </c>
      <c r="J207" s="268" t="s">
        <v>88</v>
      </c>
      <c r="K207" s="876" t="s">
        <v>88</v>
      </c>
      <c r="L207" s="260"/>
      <c r="M207" s="279">
        <f>M41/J41-1</f>
        <v>-4.2471042471042386E-2</v>
      </c>
      <c r="N207" s="279">
        <f>N41/M41-1</f>
        <v>0.3588709677419355</v>
      </c>
      <c r="O207" s="279">
        <f>O41/N41-1</f>
        <v>0.11572700296735894</v>
      </c>
      <c r="P207" s="279">
        <f>P41/O41-1</f>
        <v>0.14734042553191506</v>
      </c>
      <c r="Q207" s="876" t="s">
        <v>88</v>
      </c>
      <c r="R207" s="260"/>
      <c r="S207" s="279">
        <f>S41/P41-1</f>
        <v>-1.3908205841446586E-2</v>
      </c>
      <c r="T207" s="279">
        <f>T41/S41-1</f>
        <v>-2.4917724494593285E-2</v>
      </c>
      <c r="U207" s="279">
        <f>U41/T41-1</f>
        <v>0.18707810993249785</v>
      </c>
      <c r="V207" s="279">
        <f>V41/U41-1</f>
        <v>0.28310316815597059</v>
      </c>
      <c r="W207" s="876" t="s">
        <v>88</v>
      </c>
      <c r="X207" s="260"/>
      <c r="Y207" s="279">
        <f>Y41/V41-1</f>
        <v>0.36182336182336172</v>
      </c>
      <c r="Z207" s="279">
        <f>Z41/Y41-1</f>
        <v>0.27150162715016268</v>
      </c>
      <c r="AA207" s="279">
        <f>AA41/Z41-1</f>
        <v>0.206946983546618</v>
      </c>
      <c r="AB207" s="279">
        <f>AB41/AA41-1</f>
        <v>5.3620115116631339E-2</v>
      </c>
      <c r="AC207" s="876" t="s">
        <v>88</v>
      </c>
      <c r="AD207" s="876"/>
      <c r="AE207" s="279">
        <f>AE41/AB41-1</f>
        <v>0.16518113858539363</v>
      </c>
      <c r="AF207" s="279">
        <f>AF41/AE41-1</f>
        <v>0.19950647748303529</v>
      </c>
      <c r="AG207" s="279">
        <f>AG41/AF41-1</f>
        <v>5.4824110265377479E-2</v>
      </c>
      <c r="AH207" s="279">
        <f>AH41/AG41-1</f>
        <v>0.17103851779619705</v>
      </c>
      <c r="AI207" s="877" t="s">
        <v>88</v>
      </c>
      <c r="AJ207" s="876"/>
      <c r="AK207" s="279">
        <f>AK41/AH41-1</f>
        <v>6.9531184944624957E-2</v>
      </c>
      <c r="AL207" s="279">
        <f>AL41/AK41-1</f>
        <v>5.7770165057614342E-2</v>
      </c>
      <c r="AM207" s="279">
        <f>AM41/AL41-1</f>
        <v>0.11931399970557921</v>
      </c>
      <c r="AN207" s="279">
        <f>AN41/AM41-1</f>
        <v>4.1559807983165609E-2</v>
      </c>
      <c r="AO207" s="877" t="s">
        <v>88</v>
      </c>
      <c r="AP207" s="876"/>
      <c r="AQ207" s="279">
        <f>AQ41/AN41-1</f>
        <v>0.11547446177157661</v>
      </c>
      <c r="AR207" s="279">
        <f>AR41/AQ41-1</f>
        <v>0.23239755490151692</v>
      </c>
      <c r="AS207" s="279">
        <f>AS41/AR41-1</f>
        <v>9.1944520988334721E-2</v>
      </c>
      <c r="AT207" s="279">
        <f>AT41/AS41-1</f>
        <v>0.1128869448183043</v>
      </c>
      <c r="AU207" s="877" t="s">
        <v>88</v>
      </c>
      <c r="AV207" s="876"/>
      <c r="AW207" s="279">
        <f>AW41/AT41-1</f>
        <v>7.7097505668934252E-2</v>
      </c>
      <c r="AX207" s="279">
        <f>AX41/AW41-1</f>
        <v>-1.2175438596491173E-2</v>
      </c>
      <c r="AY207" s="279">
        <f>AY41/AX41-1</f>
        <v>6.7594927716406517E-2</v>
      </c>
      <c r="AZ207" s="279">
        <f>AZ41/AY41-1</f>
        <v>6.6642267766835461E-2</v>
      </c>
      <c r="BA207" s="877" t="s">
        <v>88</v>
      </c>
      <c r="BB207" s="876"/>
      <c r="BC207" s="279">
        <f>BC41/AZ41-1</f>
        <v>0.12355344832964188</v>
      </c>
      <c r="BD207" s="279">
        <f>BD41/BC41-1</f>
        <v>7.9650194336479796E-2</v>
      </c>
      <c r="BE207" s="279">
        <f>BE41/BD41-1</f>
        <v>0.11417110236827899</v>
      </c>
      <c r="BF207" s="279">
        <f>BF41/BE41-1</f>
        <v>0.17131713171317142</v>
      </c>
      <c r="BG207" s="878" t="s">
        <v>88</v>
      </c>
      <c r="BH207" s="876"/>
      <c r="BI207" s="279">
        <f>BI41/BF41-1</f>
        <v>0.13203420554854972</v>
      </c>
      <c r="BJ207" s="279">
        <f>BJ41/BI41-1</f>
        <v>8.2711085582998223E-2</v>
      </c>
      <c r="BK207" s="279">
        <f>BK41/BJ41-1</f>
        <v>2.6476971304557617E-2</v>
      </c>
      <c r="BL207" s="279">
        <f>BL41/BK41-1</f>
        <v>3.2747603833865657E-2</v>
      </c>
      <c r="BM207" s="878" t="s">
        <v>88</v>
      </c>
      <c r="BN207" s="876"/>
      <c r="BO207" s="279">
        <f>BO41/BL41-1</f>
        <v>0.19965727977192427</v>
      </c>
      <c r="BP207" s="279">
        <f>BP41/BO41-1</f>
        <v>5.3647499020339051E-2</v>
      </c>
      <c r="BQ207" s="279">
        <f>BQ41/BP41-1</f>
        <v>0.10481926265401387</v>
      </c>
      <c r="BR207" s="279">
        <f>BR41/BQ41-1</f>
        <v>7.062656097296105E-2</v>
      </c>
      <c r="BS207" s="878" t="s">
        <v>88</v>
      </c>
      <c r="BT207" s="876"/>
      <c r="BU207" s="279">
        <f>BU41/BR41-1</f>
        <v>9.0431466417834727E-2</v>
      </c>
      <c r="BV207" s="279">
        <f>BV41/BU41-1</f>
        <v>0.1352153288066229</v>
      </c>
      <c r="BW207" s="279">
        <f>BW41/BV41-1</f>
        <v>0.16967233934467862</v>
      </c>
      <c r="BX207" s="279">
        <f>BX41/BW41-1</f>
        <v>9.1835662498687132E-3</v>
      </c>
      <c r="BY207" s="878" t="s">
        <v>88</v>
      </c>
      <c r="BZ207" s="876"/>
      <c r="CA207" s="279">
        <f>CA41/BX41-1</f>
        <v>0.1180570016520206</v>
      </c>
      <c r="CB207" s="279">
        <f>CB41/CA41-1</f>
        <v>5.5396898320026811E-2</v>
      </c>
      <c r="CC207" s="279">
        <f>CC41/CB41-1</f>
        <v>-8.2648517326776583E-3</v>
      </c>
      <c r="CD207" s="279">
        <f>CD41/CC41-1</f>
        <v>2.0576302552908654E-2</v>
      </c>
      <c r="CE207" s="878" t="s">
        <v>88</v>
      </c>
      <c r="CF207" s="876"/>
      <c r="CG207" s="279">
        <f>CG41/CD41-1</f>
        <v>0.10940887243477593</v>
      </c>
      <c r="CH207" s="279">
        <f>CH41/CG41-1</f>
        <v>4.9673627191098246E-2</v>
      </c>
      <c r="CI207" s="279">
        <f>CI41/CH41-1</f>
        <v>3.6482871516409832E-2</v>
      </c>
      <c r="CJ207" s="279">
        <f>CJ41/CI41-1</f>
        <v>4.9384142759464345E-2</v>
      </c>
      <c r="CK207" s="878" t="s">
        <v>88</v>
      </c>
      <c r="CL207" s="876"/>
      <c r="CM207" s="279">
        <f>CM41/CJ41-1</f>
        <v>3.6102673286407816E-2</v>
      </c>
      <c r="CN207" s="279">
        <f>CN41/CM41-1</f>
        <v>0.1199280785821204</v>
      </c>
      <c r="CO207" s="279">
        <f>CO41/CN41-1</f>
        <v>3.2445962939236628E-2</v>
      </c>
      <c r="CP207" s="279">
        <f>CP41/CO41-1</f>
        <v>7.5767847499109697E-2</v>
      </c>
      <c r="CQ207" s="878" t="s">
        <v>88</v>
      </c>
      <c r="CR207" s="876"/>
      <c r="CS207" s="279">
        <f>CS41/CP41-1</f>
        <v>0.11142917160669197</v>
      </c>
      <c r="CT207" s="279">
        <f>CT41/CS41-1</f>
        <v>2.4464547708590967E-2</v>
      </c>
      <c r="CU207" s="279">
        <f>CU41/CT41-1</f>
        <v>2.3667695424995916E-2</v>
      </c>
      <c r="CV207" s="279">
        <f>CV41/CU41-1</f>
        <v>1.9922290238627793E-2</v>
      </c>
      <c r="CW207" s="878" t="s">
        <v>88</v>
      </c>
      <c r="CX207" s="876"/>
      <c r="CY207" s="279">
        <f>CY41/CV41-1</f>
        <v>9.3411326113739479E-2</v>
      </c>
      <c r="CZ207" s="279">
        <f>CZ41/CY41-1</f>
        <v>7.3816763866205726E-3</v>
      </c>
      <c r="DA207" s="279">
        <f>DA41/CZ41-1</f>
        <v>1.1693343735788231E-2</v>
      </c>
      <c r="DB207" s="279">
        <f>DB41/DA41-1</f>
        <v>0.10079136737894911</v>
      </c>
      <c r="DC207" s="878" t="s">
        <v>88</v>
      </c>
      <c r="DD207" s="876"/>
      <c r="DE207" s="279">
        <f>DE41/DB41-1</f>
        <v>2.8274433182318814E-2</v>
      </c>
      <c r="DF207" s="279">
        <f>DF41/DE41-1</f>
        <v>5.9993069355490647E-3</v>
      </c>
      <c r="DG207" s="279">
        <f>DG41/DF41-1</f>
        <v>1.0577353143964796E-2</v>
      </c>
      <c r="DH207" s="279">
        <f>DH41/DG41-1</f>
        <v>9.629974438948774E-2</v>
      </c>
      <c r="DI207" s="878" t="s">
        <v>88</v>
      </c>
      <c r="DJ207" s="876"/>
      <c r="DK207" s="279">
        <f>DK41/DH41-1</f>
        <v>2.879002119232954E-2</v>
      </c>
      <c r="DL207" s="279">
        <f>DL41/DK41-1</f>
        <v>1.3647980089603884E-3</v>
      </c>
      <c r="DM207" s="279">
        <f>DM41/DL41-1</f>
        <v>8.2576515808581163E-3</v>
      </c>
      <c r="DN207" s="279">
        <f>DN41/DM41-1</f>
        <v>4.7917852789349125E-2</v>
      </c>
      <c r="DO207" s="878" t="s">
        <v>88</v>
      </c>
      <c r="DP207" s="260"/>
    </row>
    <row r="208" spans="1:120">
      <c r="A208" s="260" t="s">
        <v>94</v>
      </c>
      <c r="B208" s="730"/>
      <c r="C208" s="268" t="s">
        <v>88</v>
      </c>
      <c r="D208" s="876" t="s">
        <v>88</v>
      </c>
      <c r="E208" s="876" t="s">
        <v>88</v>
      </c>
      <c r="F208" s="260"/>
      <c r="G208" s="268" t="s">
        <v>88</v>
      </c>
      <c r="H208" s="268" t="s">
        <v>88</v>
      </c>
      <c r="I208" s="268" t="s">
        <v>88</v>
      </c>
      <c r="J208" s="268" t="s">
        <v>88</v>
      </c>
      <c r="K208" s="876" t="s">
        <v>88</v>
      </c>
      <c r="L208" s="260"/>
      <c r="M208" s="279">
        <f>M45/J45-1</f>
        <v>3.3749290981281987E-2</v>
      </c>
      <c r="N208" s="279">
        <f>N45/M45-1</f>
        <v>3.4567901234567877E-2</v>
      </c>
      <c r="O208" s="279">
        <f>O45/N45-1</f>
        <v>0.14558472553699287</v>
      </c>
      <c r="P208" s="279">
        <f>P45/O45-1</f>
        <v>0.19884259259259252</v>
      </c>
      <c r="Q208" s="876" t="s">
        <v>88</v>
      </c>
      <c r="R208" s="260"/>
      <c r="S208" s="279">
        <f>S45/P45-1</f>
        <v>7.6076462637574949E-2</v>
      </c>
      <c r="T208" s="279">
        <f>T45/S45-1</f>
        <v>0.19056163646151081</v>
      </c>
      <c r="U208" s="279">
        <f>U45/T45-1</f>
        <v>0.24807837226827445</v>
      </c>
      <c r="V208" s="279">
        <f>V45/U45-1</f>
        <v>0.18089602704987318</v>
      </c>
      <c r="W208" s="876" t="s">
        <v>88</v>
      </c>
      <c r="X208" s="260"/>
      <c r="Y208" s="279">
        <f>Y45/V45-1</f>
        <v>-3.6404540341548164E-2</v>
      </c>
      <c r="Z208" s="279">
        <f>Z45/Y45-1</f>
        <v>0.20503024514485846</v>
      </c>
      <c r="AA208" s="279">
        <f>AA45/Z45-1</f>
        <v>7.3976221928665709E-2</v>
      </c>
      <c r="AB208" s="279">
        <f>AB45/AA45-1</f>
        <v>0.23107831078310781</v>
      </c>
      <c r="AC208" s="876" t="s">
        <v>88</v>
      </c>
      <c r="AD208" s="876"/>
      <c r="AE208" s="279">
        <f>AE45/AB45-1</f>
        <v>0.1426763471657897</v>
      </c>
      <c r="AF208" s="279">
        <f>AF45/AE45-1</f>
        <v>-2.5415330807344816E-2</v>
      </c>
      <c r="AG208" s="279">
        <f>AG45/AF45-1</f>
        <v>7.2133500807464612E-2</v>
      </c>
      <c r="AH208" s="279">
        <f>AH45/AG45-1</f>
        <v>0.21004184100418399</v>
      </c>
      <c r="AI208" s="877" t="s">
        <v>88</v>
      </c>
      <c r="AJ208" s="876"/>
      <c r="AK208" s="279">
        <f>AK45/AH45-1</f>
        <v>2.443522360535022E-3</v>
      </c>
      <c r="AL208" s="279">
        <f>AL45/AK45-1</f>
        <v>4.9395207653037732E-2</v>
      </c>
      <c r="AM208" s="279">
        <f>AM45/AL45-1</f>
        <v>0.10137178419599424</v>
      </c>
      <c r="AN208" s="279">
        <f>AN45/AM45-1</f>
        <v>0.24536410664544372</v>
      </c>
      <c r="AO208" s="877" t="s">
        <v>88</v>
      </c>
      <c r="AP208" s="876"/>
      <c r="AQ208" s="279">
        <f>AQ45/AN45-1</f>
        <v>6.2819529652351713E-2</v>
      </c>
      <c r="AR208" s="279">
        <f>AR45/AQ45-1</f>
        <v>-1.2025735073056265E-2</v>
      </c>
      <c r="AS208" s="279">
        <f>AS45/AR45-1</f>
        <v>0.1123486093360111</v>
      </c>
      <c r="AT208" s="279">
        <f>AT45/AS45-1</f>
        <v>-2.8834053728730158E-2</v>
      </c>
      <c r="AU208" s="877" t="s">
        <v>88</v>
      </c>
      <c r="AV208" s="876"/>
      <c r="AW208" s="279">
        <f>AW45/AT45-1</f>
        <v>6.1098591549295644E-2</v>
      </c>
      <c r="AX208" s="279">
        <f>AX45/AW45-1</f>
        <v>9.6923199447821906E-2</v>
      </c>
      <c r="AY208" s="279">
        <f>AY45/AX45-1</f>
        <v>7.1127783155856772E-2</v>
      </c>
      <c r="AZ208" s="279">
        <f>AZ45/AY45-1</f>
        <v>9.742651212182829E-2</v>
      </c>
      <c r="BA208" s="877" t="s">
        <v>88</v>
      </c>
      <c r="BB208" s="876"/>
      <c r="BC208" s="279">
        <f>BC45/AZ45-1</f>
        <v>1.1117745156574932E-2</v>
      </c>
      <c r="BD208" s="279">
        <f>BD45/BC45-1</f>
        <v>0.10969029341695369</v>
      </c>
      <c r="BE208" s="279">
        <f>BE45/BD45-1</f>
        <v>3.8955558002128576E-2</v>
      </c>
      <c r="BF208" s="279">
        <f>BF45/BE45-1</f>
        <v>0.10842267003408623</v>
      </c>
      <c r="BG208" s="878" t="s">
        <v>88</v>
      </c>
      <c r="BH208" s="876"/>
      <c r="BI208" s="279">
        <f>BI45/BF45-1</f>
        <v>0.14813575525812595</v>
      </c>
      <c r="BJ208" s="279">
        <f>BJ45/BI45-1</f>
        <v>6.6058814549594391E-3</v>
      </c>
      <c r="BK208" s="279">
        <f>BK45/BJ45-1</f>
        <v>1.5868639102201598E-2</v>
      </c>
      <c r="BL208" s="279">
        <f>BL45/BK45-1</f>
        <v>7.6543075837359531E-2</v>
      </c>
      <c r="BM208" s="878" t="s">
        <v>88</v>
      </c>
      <c r="BN208" s="876"/>
      <c r="BO208" s="279">
        <f>BO45/BL45-1</f>
        <v>7.4592809238061442E-2</v>
      </c>
      <c r="BP208" s="279">
        <f>BP45/BO45-1</f>
        <v>1.373752067666989E-2</v>
      </c>
      <c r="BQ208" s="279">
        <f>BQ45/BP45-1</f>
        <v>0.10249733833263908</v>
      </c>
      <c r="BR208" s="279">
        <f>BR45/BQ45-1</f>
        <v>1.7361366236656073E-2</v>
      </c>
      <c r="BS208" s="878" t="s">
        <v>88</v>
      </c>
      <c r="BT208" s="876"/>
      <c r="BU208" s="279">
        <f>BU45/BR45-1</f>
        <v>0.13419931285659747</v>
      </c>
      <c r="BV208" s="279">
        <f>BV45/BU45-1</f>
        <v>0.20261984899481478</v>
      </c>
      <c r="BW208" s="279">
        <f>BW45/BV45-1</f>
        <v>-4.9400925841880716E-2</v>
      </c>
      <c r="BX208" s="279">
        <f>BX45/BW45-1</f>
        <v>9.1968839766696009E-2</v>
      </c>
      <c r="BY208" s="878" t="s">
        <v>88</v>
      </c>
      <c r="BZ208" s="876"/>
      <c r="CA208" s="279">
        <f>CA45/BX45-1</f>
        <v>-7.2869832618005503E-6</v>
      </c>
      <c r="CB208" s="279">
        <f>CB45/CA45-1</f>
        <v>4.3867958901115056E-2</v>
      </c>
      <c r="CC208" s="279">
        <f>CC45/CB45-1</f>
        <v>-1.0115183246073189E-2</v>
      </c>
      <c r="CD208" s="279">
        <f>CD45/CC45-1</f>
        <v>8.8179914104977941E-2</v>
      </c>
      <c r="CE208" s="878" t="s">
        <v>88</v>
      </c>
      <c r="CF208" s="876"/>
      <c r="CG208" s="279">
        <f>CG45/CD45-1</f>
        <v>-2.5255176436278726E-2</v>
      </c>
      <c r="CH208" s="279">
        <f>CH45/CG45-1</f>
        <v>3.5197595872559884E-2</v>
      </c>
      <c r="CI208" s="279">
        <f>CI45/CH45-1</f>
        <v>3.4745860682586116E-2</v>
      </c>
      <c r="CJ208" s="279">
        <f>CJ45/CI45-1</f>
        <v>8.8789165301156769E-2</v>
      </c>
      <c r="CK208" s="878" t="s">
        <v>88</v>
      </c>
      <c r="CL208" s="876"/>
      <c r="CM208" s="279">
        <f>CM45/CJ45-1</f>
        <v>2.1354828779422741E-2</v>
      </c>
      <c r="CN208" s="279">
        <f>CN45/CM45-1</f>
        <v>0.21779050361960883</v>
      </c>
      <c r="CO208" s="279">
        <f>CO45/CN45-1</f>
        <v>-2.4273201853489912E-2</v>
      </c>
      <c r="CP208" s="279">
        <f>CP45/CO45-1</f>
        <v>3.7376636431533994E-2</v>
      </c>
      <c r="CQ208" s="878" t="s">
        <v>88</v>
      </c>
      <c r="CR208" s="876"/>
      <c r="CS208" s="279">
        <f>CS45/CP45-1</f>
        <v>1.0545905707196379E-2</v>
      </c>
      <c r="CT208" s="279">
        <f>CT45/CS45-1</f>
        <v>0.10158486913739551</v>
      </c>
      <c r="CU208" s="279">
        <f>CU45/CT45-1</f>
        <v>-3.8215290997543172E-2</v>
      </c>
      <c r="CV208" s="279">
        <f>CV45/CU45-1</f>
        <v>3.2882355180186895E-2</v>
      </c>
      <c r="CW208" s="878" t="s">
        <v>88</v>
      </c>
      <c r="CX208" s="876"/>
      <c r="CY208" s="279">
        <f>CY45/CV45-1</f>
        <v>2.4710257806713987E-2</v>
      </c>
      <c r="CZ208" s="279">
        <f>CZ45/CY45-1</f>
        <v>5.8604473491025155E-2</v>
      </c>
      <c r="DA208" s="279">
        <f>DA45/CZ45-1</f>
        <v>1.4470377480804153E-3</v>
      </c>
      <c r="DB208" s="279">
        <f>DB45/DA45-1</f>
        <v>0.13211469897103312</v>
      </c>
      <c r="DC208" s="878" t="s">
        <v>88</v>
      </c>
      <c r="DD208" s="876"/>
      <c r="DE208" s="279">
        <f>DE45/DB45-1</f>
        <v>-2.7891817369656513E-2</v>
      </c>
      <c r="DF208" s="279">
        <f>DF45/DE45-1</f>
        <v>2.7311708450139749E-2</v>
      </c>
      <c r="DG208" s="279">
        <f>DG45/DF45-1</f>
        <v>3.1650187723728074E-2</v>
      </c>
      <c r="DH208" s="279">
        <f>DH45/DG45-1</f>
        <v>9.4800838531694964E-2</v>
      </c>
      <c r="DI208" s="878" t="s">
        <v>88</v>
      </c>
      <c r="DJ208" s="876"/>
      <c r="DK208" s="279">
        <f>DK45/DH45-1</f>
        <v>3.1562600513868944E-2</v>
      </c>
      <c r="DL208" s="279">
        <f>DL45/DK45-1</f>
        <v>2.4965988534424222E-2</v>
      </c>
      <c r="DM208" s="279">
        <f>DM45/DL45-1</f>
        <v>3.0583356723005384E-2</v>
      </c>
      <c r="DN208" s="279">
        <f>DN45/DM45-1</f>
        <v>9.4052601025358173E-2</v>
      </c>
      <c r="DO208" s="878" t="s">
        <v>88</v>
      </c>
      <c r="DP208" s="260"/>
    </row>
    <row r="209" spans="1:120">
      <c r="A209" s="260" t="s">
        <v>761</v>
      </c>
      <c r="B209" s="730"/>
      <c r="C209" s="268" t="s">
        <v>88</v>
      </c>
      <c r="D209" s="876" t="s">
        <v>88</v>
      </c>
      <c r="E209" s="876" t="s">
        <v>88</v>
      </c>
      <c r="F209" s="260"/>
      <c r="G209" s="268" t="s">
        <v>88</v>
      </c>
      <c r="H209" s="268" t="s">
        <v>88</v>
      </c>
      <c r="I209" s="268" t="s">
        <v>88</v>
      </c>
      <c r="J209" s="268" t="s">
        <v>88</v>
      </c>
      <c r="K209" s="876" t="s">
        <v>88</v>
      </c>
      <c r="L209" s="260"/>
      <c r="M209" s="279">
        <f>M58/J58-1</f>
        <v>4.1901314025207803E-2</v>
      </c>
      <c r="N209" s="279">
        <f>N58/M58-1</f>
        <v>0.13641335821375722</v>
      </c>
      <c r="O209" s="279">
        <f>O58/N58-1</f>
        <v>0.17756638921918344</v>
      </c>
      <c r="P209" s="279">
        <f>P58/O58-1</f>
        <v>0.17699668221378095</v>
      </c>
      <c r="Q209" s="876" t="s">
        <v>88</v>
      </c>
      <c r="R209" s="260"/>
      <c r="S209" s="279">
        <f>S58/P58-1</f>
        <v>0.14858240052291838</v>
      </c>
      <c r="T209" s="279">
        <f>T58/S58-1</f>
        <v>0.1109372221234215</v>
      </c>
      <c r="U209" s="279">
        <f>U58/T58-1</f>
        <v>0.14244092975603517</v>
      </c>
      <c r="V209" s="279">
        <f>V58/U58-1</f>
        <v>0.15934758848751507</v>
      </c>
      <c r="W209" s="876" t="s">
        <v>88</v>
      </c>
      <c r="X209" s="260"/>
      <c r="Y209" s="279">
        <f>Y58/V58-1</f>
        <v>0.16577630592956094</v>
      </c>
      <c r="Z209" s="279">
        <f>Z58/Y58-1</f>
        <v>6.8136106330478841E-2</v>
      </c>
      <c r="AA209" s="279">
        <f>AA58/Z58-1</f>
        <v>0.10073185409508278</v>
      </c>
      <c r="AB209" s="279">
        <f>AB58/AA58-1</f>
        <v>0.13703220344961387</v>
      </c>
      <c r="AC209" s="876" t="s">
        <v>88</v>
      </c>
      <c r="AD209" s="876"/>
      <c r="AE209" s="279">
        <f>AE58/AB58-1</f>
        <v>0.14443479339868448</v>
      </c>
      <c r="AF209" s="279">
        <f>AF58/AE58-1</f>
        <v>0.10425024395532922</v>
      </c>
      <c r="AG209" s="279">
        <f>AG58/AF58-1</f>
        <v>0.10314693897589478</v>
      </c>
      <c r="AH209" s="279">
        <f>AH58/AG58-1</f>
        <v>0.14502670226969294</v>
      </c>
      <c r="AI209" s="877" t="s">
        <v>88</v>
      </c>
      <c r="AJ209" s="876"/>
      <c r="AK209" s="279">
        <f>AK58/AH58-1</f>
        <v>9.6953796822620619E-2</v>
      </c>
      <c r="AL209" s="279">
        <f>AL58/AK58-1</f>
        <v>6.6089128643937123E-2</v>
      </c>
      <c r="AM209" s="279">
        <f>AM58/AL58-1</f>
        <v>8.2141017332203248E-2</v>
      </c>
      <c r="AN209" s="279">
        <f>AN58/AM58-1</f>
        <v>0.1212530712530715</v>
      </c>
      <c r="AO209" s="877" t="s">
        <v>88</v>
      </c>
      <c r="AP209" s="876"/>
      <c r="AQ209" s="279">
        <f>AQ58/AN58-1</f>
        <v>0.13340226799605559</v>
      </c>
      <c r="AR209" s="279">
        <f>AR58/AQ58-1</f>
        <v>6.7354225952040103E-2</v>
      </c>
      <c r="AS209" s="279">
        <f>AS58/AR58-1</f>
        <v>6.1620844442180189E-2</v>
      </c>
      <c r="AT209" s="279">
        <f>AT58/AS58-1</f>
        <v>4.7844007102219699E-2</v>
      </c>
      <c r="AU209" s="877" t="s">
        <v>88</v>
      </c>
      <c r="AV209" s="876"/>
      <c r="AW209" s="279">
        <f>AW58/AT58-1</f>
        <v>-1.0309383268878647E-2</v>
      </c>
      <c r="AX209" s="279">
        <f>AX58/AW58-1</f>
        <v>6.1061009594126414E-2</v>
      </c>
      <c r="AY209" s="279">
        <f>AY58/AX58-1</f>
        <v>5.357367834472071E-2</v>
      </c>
      <c r="AZ209" s="279">
        <f>AZ58/AY58-1</f>
        <v>9.3585863696154181E-2</v>
      </c>
      <c r="BA209" s="877" t="s">
        <v>88</v>
      </c>
      <c r="BB209" s="876"/>
      <c r="BC209" s="279">
        <f>BC58/AZ58-1</f>
        <v>4.6321296693498715E-2</v>
      </c>
      <c r="BD209" s="279">
        <f>BD58/BC58-1</f>
        <v>5.4094248918758359E-2</v>
      </c>
      <c r="BE209" s="279">
        <f>BE58/BD58-1</f>
        <v>9.6344653493285026E-2</v>
      </c>
      <c r="BF209" s="279">
        <f>BF58/BE58-1</f>
        <v>0.13257185787028014</v>
      </c>
      <c r="BG209" s="878" t="s">
        <v>88</v>
      </c>
      <c r="BH209" s="876"/>
      <c r="BI209" s="279">
        <f>BI58/BF58-1</f>
        <v>0.1023437787905217</v>
      </c>
      <c r="BJ209" s="279">
        <f>BJ58/BI58-1</f>
        <v>8.1807139633490733E-2</v>
      </c>
      <c r="BK209" s="279">
        <f>BK58/BJ58-1</f>
        <v>6.1063198040786304E-2</v>
      </c>
      <c r="BL209" s="279">
        <f>BL58/BK58-1</f>
        <v>5.4233783380376543E-2</v>
      </c>
      <c r="BM209" s="878" t="s">
        <v>88</v>
      </c>
      <c r="BN209" s="876"/>
      <c r="BO209" s="279">
        <f>BO58/BL58-1</f>
        <v>0.12511712176289236</v>
      </c>
      <c r="BP209" s="279">
        <f>BP58/BO58-1</f>
        <v>2.8670520231214303E-2</v>
      </c>
      <c r="BQ209" s="279">
        <f>BQ58/BP58-1</f>
        <v>0.10906298919713464</v>
      </c>
      <c r="BR209" s="279">
        <f>BR58/BQ58-1</f>
        <v>2.5494693911224831E-2</v>
      </c>
      <c r="BS209" s="878" t="s">
        <v>88</v>
      </c>
      <c r="BT209" s="876"/>
      <c r="BU209" s="279">
        <f>BU58/BR58-1</f>
        <v>8.7246538016237052E-2</v>
      </c>
      <c r="BV209" s="279">
        <f>BV58/BU58-1</f>
        <v>8.4603035703944673E-2</v>
      </c>
      <c r="BW209" s="279">
        <f>BW58/BV58-1</f>
        <v>0.12886217989122972</v>
      </c>
      <c r="BX209" s="279">
        <f>BX58/BW58-1</f>
        <v>9.9280036786441483E-2</v>
      </c>
      <c r="BY209" s="878" t="s">
        <v>88</v>
      </c>
      <c r="BZ209" s="876"/>
      <c r="CA209" s="279">
        <f>CA58/BX58-1</f>
        <v>2.2521354293028484E-2</v>
      </c>
      <c r="CB209" s="279">
        <f>CB58/CA58-1</f>
        <v>5.2025513084397179E-2</v>
      </c>
      <c r="CC209" s="279">
        <f>CC58/CB58-1</f>
        <v>3.5527157827373923E-2</v>
      </c>
      <c r="CD209" s="279">
        <f>CD58/CC58-1</f>
        <v>3.7113928559550091E-2</v>
      </c>
      <c r="CE209" s="878" t="s">
        <v>88</v>
      </c>
      <c r="CF209" s="876"/>
      <c r="CG209" s="279">
        <f>CG58/CD58-1</f>
        <v>2.1755750066467128E-2</v>
      </c>
      <c r="CH209" s="279">
        <f>CH58/CG58-1</f>
        <v>7.2254829796561948E-2</v>
      </c>
      <c r="CI209" s="279">
        <f>CI58/CH58-1</f>
        <v>3.7815558503732083E-2</v>
      </c>
      <c r="CJ209" s="279">
        <f>CJ58/CI58-1</f>
        <v>8.0205953508515559E-2</v>
      </c>
      <c r="CK209" s="878" t="s">
        <v>88</v>
      </c>
      <c r="CL209" s="876"/>
      <c r="CM209" s="279">
        <f>CM58/CJ58-1</f>
        <v>2.2986162818514622E-3</v>
      </c>
      <c r="CN209" s="279">
        <f>CN58/CM58-1</f>
        <v>8.954633119461497E-2</v>
      </c>
      <c r="CO209" s="279">
        <f>CO58/CN58-1</f>
        <v>4.1389964844406713E-2</v>
      </c>
      <c r="CP209" s="279">
        <f>CP58/CO58-1</f>
        <v>7.1359850687128024E-2</v>
      </c>
      <c r="CQ209" s="878" t="s">
        <v>88</v>
      </c>
      <c r="CR209" s="876"/>
      <c r="CS209" s="279">
        <f>CS58/CP58-1</f>
        <v>3.3645251338717097E-2</v>
      </c>
      <c r="CT209" s="279">
        <f>CT58/CS58-1</f>
        <v>6.0246000041465964E-2</v>
      </c>
      <c r="CU209" s="279">
        <f>CU58/CT58-1</f>
        <v>1.0226565225262663E-2</v>
      </c>
      <c r="CV209" s="279">
        <f>CV58/CU58-1</f>
        <v>0.12416335986063021</v>
      </c>
      <c r="CW209" s="878" t="s">
        <v>88</v>
      </c>
      <c r="CX209" s="876"/>
      <c r="CY209" s="279">
        <f>CY58/CV58-1</f>
        <v>-1.0602384294924438E-2</v>
      </c>
      <c r="CZ209" s="279">
        <f>CZ58/CY58-1</f>
        <v>3.1483201856130849E-2</v>
      </c>
      <c r="DA209" s="279">
        <f>DA58/CZ58-1</f>
        <v>5.5076020832680594E-3</v>
      </c>
      <c r="DB209" s="279">
        <f>DB58/DA58-1</f>
        <v>0.11219769941104296</v>
      </c>
      <c r="DC209" s="878" t="s">
        <v>88</v>
      </c>
      <c r="DD209" s="876"/>
      <c r="DE209" s="279">
        <f>DE58/DB58-1</f>
        <v>1.1939857887621974E-2</v>
      </c>
      <c r="DF209" s="279">
        <f>DF58/DE58-1</f>
        <v>2.6956520891367131E-2</v>
      </c>
      <c r="DG209" s="279">
        <f>DG58/DF58-1</f>
        <v>8.9722378652061785E-3</v>
      </c>
      <c r="DH209" s="279">
        <f>DH58/DG58-1</f>
        <v>8.7472854338042527E-2</v>
      </c>
      <c r="DI209" s="878" t="s">
        <v>88</v>
      </c>
      <c r="DJ209" s="876"/>
      <c r="DK209" s="279">
        <f>DK58/DH58-1</f>
        <v>2.6062240327410224E-2</v>
      </c>
      <c r="DL209" s="279">
        <f>DL58/DK58-1</f>
        <v>2.3470305786838175E-2</v>
      </c>
      <c r="DM209" s="279">
        <f>DM58/DL58-1</f>
        <v>8.7556860376378776E-3</v>
      </c>
      <c r="DN209" s="279">
        <f>DN58/DM58-1</f>
        <v>8.026704749659741E-2</v>
      </c>
      <c r="DO209" s="878" t="s">
        <v>88</v>
      </c>
      <c r="DP209" s="260"/>
    </row>
    <row r="210" spans="1:120" ht="5.25" customHeight="1">
      <c r="A210" s="255"/>
      <c r="B210" s="668"/>
      <c r="C210" s="669"/>
      <c r="D210" s="669"/>
      <c r="E210" s="669"/>
      <c r="F210" s="669"/>
      <c r="G210" s="669"/>
      <c r="H210" s="669"/>
      <c r="I210" s="669"/>
      <c r="J210" s="669"/>
      <c r="K210" s="669"/>
      <c r="L210" s="669"/>
      <c r="M210" s="669"/>
      <c r="N210" s="669"/>
      <c r="O210" s="669"/>
      <c r="P210" s="669"/>
      <c r="Q210" s="669"/>
      <c r="R210" s="669"/>
      <c r="S210" s="669"/>
      <c r="T210" s="669"/>
      <c r="U210" s="669"/>
      <c r="V210" s="669"/>
      <c r="W210" s="669"/>
      <c r="X210" s="669"/>
      <c r="Y210" s="669"/>
      <c r="Z210" s="669"/>
      <c r="AA210" s="669"/>
      <c r="AB210" s="669"/>
      <c r="AC210" s="669"/>
      <c r="AD210" s="669"/>
      <c r="AE210" s="669"/>
      <c r="AF210" s="669"/>
      <c r="AG210" s="669"/>
      <c r="AH210" s="669"/>
      <c r="AI210" s="670"/>
      <c r="AJ210" s="669"/>
      <c r="AK210" s="669"/>
      <c r="AL210" s="669"/>
      <c r="AM210" s="669"/>
      <c r="AN210" s="669"/>
      <c r="AO210" s="670"/>
      <c r="AP210" s="669"/>
      <c r="AQ210" s="669"/>
      <c r="AR210" s="669"/>
      <c r="AS210" s="669"/>
      <c r="AT210" s="669"/>
      <c r="AU210" s="670"/>
      <c r="AV210" s="669"/>
      <c r="AW210" s="669"/>
      <c r="AX210" s="669"/>
      <c r="AY210" s="669"/>
      <c r="AZ210" s="669"/>
      <c r="BA210" s="670"/>
      <c r="BB210" s="669"/>
      <c r="BC210" s="669"/>
      <c r="BD210" s="669"/>
      <c r="BE210" s="669"/>
      <c r="BF210" s="669"/>
      <c r="BG210" s="860"/>
      <c r="BH210" s="669"/>
      <c r="BI210" s="669"/>
      <c r="BJ210" s="669"/>
      <c r="BK210" s="669"/>
      <c r="BL210" s="669"/>
      <c r="BM210" s="860"/>
      <c r="BN210" s="669"/>
      <c r="BO210" s="669"/>
      <c r="BP210" s="669"/>
      <c r="BQ210" s="669"/>
      <c r="BR210" s="669"/>
      <c r="BS210" s="860"/>
      <c r="BT210" s="669"/>
      <c r="BU210" s="669"/>
      <c r="BV210" s="669"/>
      <c r="BW210" s="669"/>
      <c r="BX210" s="669"/>
      <c r="BY210" s="860"/>
      <c r="BZ210" s="669"/>
      <c r="CA210" s="669"/>
      <c r="CB210" s="669"/>
      <c r="CC210" s="669"/>
      <c r="CD210" s="669"/>
      <c r="CE210" s="860"/>
      <c r="CF210" s="669"/>
      <c r="CG210" s="669"/>
      <c r="CH210" s="669"/>
      <c r="CI210" s="669"/>
      <c r="CJ210" s="669"/>
      <c r="CK210" s="860"/>
      <c r="CL210" s="669"/>
      <c r="CM210" s="669"/>
      <c r="CN210" s="669"/>
      <c r="CO210" s="669"/>
      <c r="CP210" s="669"/>
      <c r="CQ210" s="860"/>
      <c r="CR210" s="669"/>
      <c r="CS210" s="669"/>
      <c r="CT210" s="669"/>
      <c r="CU210" s="669"/>
      <c r="CV210" s="669"/>
      <c r="CW210" s="860"/>
      <c r="CX210" s="669"/>
      <c r="CY210" s="669"/>
      <c r="CZ210" s="669"/>
      <c r="DA210" s="669"/>
      <c r="DB210" s="669"/>
      <c r="DC210" s="860"/>
      <c r="DD210" s="669"/>
      <c r="DE210" s="669"/>
      <c r="DF210" s="669"/>
      <c r="DG210" s="669"/>
      <c r="DH210" s="669"/>
      <c r="DI210" s="860"/>
      <c r="DJ210" s="669"/>
      <c r="DK210" s="669"/>
      <c r="DL210" s="669"/>
      <c r="DM210" s="669"/>
      <c r="DN210" s="669"/>
      <c r="DO210" s="860"/>
      <c r="DP210" s="669"/>
    </row>
    <row r="211" spans="1:120">
      <c r="A211" s="260" t="s">
        <v>949</v>
      </c>
      <c r="B211" s="730"/>
      <c r="C211" s="268" t="s">
        <v>88</v>
      </c>
      <c r="D211" s="876" t="s">
        <v>88</v>
      </c>
      <c r="E211" s="876" t="s">
        <v>88</v>
      </c>
      <c r="F211" s="260"/>
      <c r="G211" s="268" t="s">
        <v>88</v>
      </c>
      <c r="H211" s="268" t="s">
        <v>88</v>
      </c>
      <c r="I211" s="268" t="s">
        <v>88</v>
      </c>
      <c r="J211" s="268" t="s">
        <v>88</v>
      </c>
      <c r="K211" s="876" t="s">
        <v>88</v>
      </c>
      <c r="L211" s="260"/>
      <c r="M211" s="268" t="s">
        <v>88</v>
      </c>
      <c r="N211" s="268" t="s">
        <v>88</v>
      </c>
      <c r="O211" s="268" t="s">
        <v>88</v>
      </c>
      <c r="P211" s="268" t="s">
        <v>88</v>
      </c>
      <c r="Q211" s="876" t="s">
        <v>88</v>
      </c>
      <c r="R211" s="260"/>
      <c r="S211" s="268" t="s">
        <v>88</v>
      </c>
      <c r="T211" s="268" t="s">
        <v>88</v>
      </c>
      <c r="U211" s="268" t="s">
        <v>88</v>
      </c>
      <c r="V211" s="268" t="s">
        <v>88</v>
      </c>
      <c r="W211" s="876" t="s">
        <v>88</v>
      </c>
      <c r="X211" s="260"/>
      <c r="Y211" s="279">
        <f>Y64/V64-1</f>
        <v>0.2371934181931088</v>
      </c>
      <c r="Z211" s="279">
        <f>Z64/Y64-1</f>
        <v>5.2195734002508987E-2</v>
      </c>
      <c r="AA211" s="279">
        <f>AA64/Z64-1</f>
        <v>0.52325304078225354</v>
      </c>
      <c r="AB211" s="279">
        <f>AB64/AA64-1</f>
        <v>-0.1777047126976683</v>
      </c>
      <c r="AC211" s="876" t="s">
        <v>88</v>
      </c>
      <c r="AD211" s="876"/>
      <c r="AE211" s="279">
        <f>AE64/AB64-1</f>
        <v>0.44230769230769806</v>
      </c>
      <c r="AF211" s="279">
        <f>AF64/AE64-1</f>
        <v>0.24818481848184759</v>
      </c>
      <c r="AG211" s="279">
        <f>AG64/AF64-1</f>
        <v>7.0015864621895352E-2</v>
      </c>
      <c r="AH211" s="279">
        <f>AH64/AG64-1</f>
        <v>-0.10072155777404401</v>
      </c>
      <c r="AI211" s="877" t="s">
        <v>88</v>
      </c>
      <c r="AJ211" s="876"/>
      <c r="AK211" s="279">
        <f>AK64/AH64-1</f>
        <v>0.3877775335238498</v>
      </c>
      <c r="AL211" s="279">
        <f>AL64/AK64-1</f>
        <v>0.44764771107239132</v>
      </c>
      <c r="AM211" s="279">
        <f>AM64/AL64-1</f>
        <v>0.19247182405077123</v>
      </c>
      <c r="AN211" s="279">
        <f>AN64/AM64-1</f>
        <v>0.26702147182969171</v>
      </c>
      <c r="AO211" s="877" t="s">
        <v>88</v>
      </c>
      <c r="AP211" s="876"/>
      <c r="AQ211" s="279">
        <f>AQ64/AN64-1</f>
        <v>0.25963209733487913</v>
      </c>
      <c r="AR211" s="279">
        <f>AR64/AQ64-1</f>
        <v>4.3005806933824164E-2</v>
      </c>
      <c r="AS211" s="279">
        <f>AS64/AR64-1</f>
        <v>4.484317292321216E-2</v>
      </c>
      <c r="AT211" s="279">
        <f>AT64/AS64-1</f>
        <v>5.8614049434171589E-2</v>
      </c>
      <c r="AU211" s="877" t="s">
        <v>88</v>
      </c>
      <c r="AV211" s="876"/>
      <c r="AW211" s="279">
        <f>AW64/AT64-1</f>
        <v>0.31035857566469782</v>
      </c>
      <c r="AX211" s="279">
        <f>AX64/AW64-1</f>
        <v>-3.8032936522991445E-4</v>
      </c>
      <c r="AY211" s="279">
        <f>AY64/AX64-1</f>
        <v>3.4623140432976651E-3</v>
      </c>
      <c r="AZ211" s="279">
        <f>AZ64/AY64-1</f>
        <v>3.0787897171457246E-2</v>
      </c>
      <c r="BA211" s="877" t="s">
        <v>88</v>
      </c>
      <c r="BB211" s="876"/>
      <c r="BC211" s="279">
        <f>BC64/AZ64-1</f>
        <v>0.14069741778856826</v>
      </c>
      <c r="BD211" s="279">
        <f>BD64/BC64-1</f>
        <v>-9.819096449647513E-3</v>
      </c>
      <c r="BE211" s="279">
        <f>BE64/BD64-1</f>
        <v>7.4186247211502243E-2</v>
      </c>
      <c r="BF211" s="279">
        <f>BF64/BE64-1</f>
        <v>-0.2695053737361488</v>
      </c>
      <c r="BG211" s="878" t="s">
        <v>88</v>
      </c>
      <c r="BH211" s="876"/>
      <c r="BI211" s="279">
        <f>BI64/BF64-1</f>
        <v>0.14318323303590019</v>
      </c>
      <c r="BJ211" s="279">
        <f>BJ64/BI64-1</f>
        <v>4.4200399346523866E-2</v>
      </c>
      <c r="BK211" s="279">
        <f>BK64/BJ64-1</f>
        <v>0.13465449804432716</v>
      </c>
      <c r="BL211" s="279">
        <f>BL64/BK64-1</f>
        <v>0.28090576213019736</v>
      </c>
      <c r="BM211" s="878" t="s">
        <v>88</v>
      </c>
      <c r="BN211" s="876"/>
      <c r="BO211" s="279">
        <f>BO64/BL64-1</f>
        <v>-4.4422649092170419E-2</v>
      </c>
      <c r="BP211" s="279">
        <f>BP64/BO64-1</f>
        <v>0.15188003805136807</v>
      </c>
      <c r="BQ211" s="279">
        <f>BQ64/BP64-1</f>
        <v>-0.16147610457914086</v>
      </c>
      <c r="BR211" s="279">
        <f>BR64/BQ64-1</f>
        <v>0.39604229842158678</v>
      </c>
      <c r="BS211" s="878" t="s">
        <v>88</v>
      </c>
      <c r="BT211" s="876"/>
      <c r="BU211" s="279">
        <f>BU64/BR64-1</f>
        <v>-0.12785095658470136</v>
      </c>
      <c r="BV211" s="279">
        <f>BV64/BU64-1</f>
        <v>3.9285182110397221E-2</v>
      </c>
      <c r="BW211" s="279">
        <f>BW64/BV64-1</f>
        <v>-5.1052281222800366E-2</v>
      </c>
      <c r="BX211" s="279">
        <f>BX64/BW64-1</f>
        <v>-0.14221886466652178</v>
      </c>
      <c r="BY211" s="878" t="s">
        <v>88</v>
      </c>
      <c r="BZ211" s="876"/>
      <c r="CA211" s="279">
        <f>CA64/BX64-1</f>
        <v>0.50207594172265657</v>
      </c>
      <c r="CB211" s="279">
        <f>CB64/CA64-1</f>
        <v>0.21365631386739037</v>
      </c>
      <c r="CC211" s="279">
        <f>CC64/CB64-1</f>
        <v>5.4991166077737352E-2</v>
      </c>
      <c r="CD211" s="279">
        <f>CD64/CC64-1</f>
        <v>2.6775434373036422E-2</v>
      </c>
      <c r="CE211" s="878" t="s">
        <v>88</v>
      </c>
      <c r="CF211" s="876"/>
      <c r="CG211" s="279">
        <f>CG64/CD64-1</f>
        <v>0.12620016947317003</v>
      </c>
      <c r="CH211" s="279">
        <f>CH64/CG64-1</f>
        <v>0.1735581138800073</v>
      </c>
      <c r="CI211" s="279">
        <f>CI64/CH64-1</f>
        <v>9.4333892520392038E-2</v>
      </c>
      <c r="CJ211" s="279">
        <f>CJ64/CI64-1</f>
        <v>-3.6257835454355236E-2</v>
      </c>
      <c r="CK211" s="878" t="s">
        <v>88</v>
      </c>
      <c r="CL211" s="876"/>
      <c r="CM211" s="279">
        <f>CM64/CJ64-1</f>
        <v>0.27298406633086536</v>
      </c>
      <c r="CN211" s="279">
        <f>CN64/CM64-1</f>
        <v>-5.3679274414195954E-2</v>
      </c>
      <c r="CO211" s="279">
        <f>CO64/CN64-1</f>
        <v>3.4140751870570307E-2</v>
      </c>
      <c r="CP211" s="279">
        <f>CP64/CO64-1</f>
        <v>8.3293585858214447E-2</v>
      </c>
      <c r="CQ211" s="878" t="s">
        <v>88</v>
      </c>
      <c r="CR211" s="876"/>
      <c r="CS211" s="279">
        <f>CS64/CP64-1</f>
        <v>7.3363454087301605E-2</v>
      </c>
      <c r="CT211" s="279">
        <f>CT64/CS64-1</f>
        <v>0.20322986775717289</v>
      </c>
      <c r="CU211" s="279">
        <f>CU64/CT64-1</f>
        <v>0.14585496847824997</v>
      </c>
      <c r="CV211" s="279">
        <f>CV64/CU64-1</f>
        <v>-0.12005941291979272</v>
      </c>
      <c r="CW211" s="878" t="s">
        <v>88</v>
      </c>
      <c r="CX211" s="876"/>
      <c r="CY211" s="279">
        <f>CY64/CV64-1</f>
        <v>0.20312963115501903</v>
      </c>
      <c r="CZ211" s="279">
        <f>CZ64/CY64-1</f>
        <v>0.22126296096437903</v>
      </c>
      <c r="DA211" s="279">
        <f>DA64/CZ64-1</f>
        <v>0.11242065116305877</v>
      </c>
      <c r="DB211" s="279">
        <f>DB64/DA64-1</f>
        <v>-7.7885274307356922E-2</v>
      </c>
      <c r="DC211" s="878" t="s">
        <v>88</v>
      </c>
      <c r="DD211" s="876"/>
      <c r="DE211" s="279">
        <f>DE64/DB64-1</f>
        <v>9.2989773921344776E-2</v>
      </c>
      <c r="DF211" s="279">
        <f>DF64/DE64-1</f>
        <v>0.21461218095422963</v>
      </c>
      <c r="DG211" s="279">
        <f>DG64/DF64-1</f>
        <v>9.0655242379865886E-2</v>
      </c>
      <c r="DH211" s="279">
        <f>DH64/DG64-1</f>
        <v>-1.5565016343044746E-2</v>
      </c>
      <c r="DI211" s="878" t="s">
        <v>88</v>
      </c>
      <c r="DJ211" s="876"/>
      <c r="DK211" s="279">
        <f>DK64/DH64-1</f>
        <v>4.2303819526999797E-2</v>
      </c>
      <c r="DL211" s="279">
        <f>DL64/DK64-1</f>
        <v>0.19178799967539595</v>
      </c>
      <c r="DM211" s="279">
        <f>DM64/DL64-1</f>
        <v>7.8157507601633203E-2</v>
      </c>
      <c r="DN211" s="279">
        <f>DN64/DM64-1</f>
        <v>1.094599558885001E-2</v>
      </c>
      <c r="DO211" s="878" t="s">
        <v>88</v>
      </c>
      <c r="DP211" s="260"/>
    </row>
    <row r="212" spans="1:120">
      <c r="A212" s="260" t="s">
        <v>962</v>
      </c>
      <c r="B212" s="730"/>
      <c r="C212" s="268" t="s">
        <v>88</v>
      </c>
      <c r="D212" s="876" t="s">
        <v>88</v>
      </c>
      <c r="E212" s="876" t="s">
        <v>88</v>
      </c>
      <c r="F212" s="260"/>
      <c r="G212" s="268" t="s">
        <v>88</v>
      </c>
      <c r="H212" s="268" t="s">
        <v>88</v>
      </c>
      <c r="I212" s="268" t="s">
        <v>88</v>
      </c>
      <c r="J212" s="268" t="s">
        <v>88</v>
      </c>
      <c r="K212" s="876" t="s">
        <v>88</v>
      </c>
      <c r="L212" s="260"/>
      <c r="M212" s="268" t="s">
        <v>88</v>
      </c>
      <c r="N212" s="268" t="s">
        <v>88</v>
      </c>
      <c r="O212" s="268" t="s">
        <v>88</v>
      </c>
      <c r="P212" s="268" t="s">
        <v>88</v>
      </c>
      <c r="Q212" s="876" t="s">
        <v>88</v>
      </c>
      <c r="R212" s="260"/>
      <c r="S212" s="268" t="s">
        <v>88</v>
      </c>
      <c r="T212" s="268" t="s">
        <v>88</v>
      </c>
      <c r="U212" s="268" t="s">
        <v>88</v>
      </c>
      <c r="V212" s="268" t="s">
        <v>88</v>
      </c>
      <c r="W212" s="876" t="s">
        <v>88</v>
      </c>
      <c r="X212" s="260"/>
      <c r="Y212" s="279">
        <f>Y84/V84-1</f>
        <v>0.15783602900167426</v>
      </c>
      <c r="Z212" s="279">
        <f>Z84/Y84-1</f>
        <v>0.2138728323699417</v>
      </c>
      <c r="AA212" s="279">
        <f>AA84/Z84-1</f>
        <v>0.25555555555555332</v>
      </c>
      <c r="AB212" s="279">
        <f>AB84/AA84-1</f>
        <v>-5.8628318584071692E-2</v>
      </c>
      <c r="AC212" s="876" t="s">
        <v>88</v>
      </c>
      <c r="AD212" s="876"/>
      <c r="AE212" s="279">
        <f>AE84/AB84-1</f>
        <v>-0.16216216216215917</v>
      </c>
      <c r="AF212" s="279">
        <f>AF84/AE84-1</f>
        <v>0.31416549789621251</v>
      </c>
      <c r="AG212" s="279">
        <f>AG84/AF84-1</f>
        <v>0.13418659533437971</v>
      </c>
      <c r="AH212" s="279">
        <f>AH84/AG84-1</f>
        <v>1.699929179076487E-2</v>
      </c>
      <c r="AI212" s="877" t="s">
        <v>88</v>
      </c>
      <c r="AJ212" s="876"/>
      <c r="AK212" s="279">
        <f>AK84/AH84-1</f>
        <v>0.19925877795817204</v>
      </c>
      <c r="AL212" s="279">
        <f>AL84/AK84-1</f>
        <v>0.37121270569044862</v>
      </c>
      <c r="AM212" s="279">
        <f>AM84/AL84-1</f>
        <v>0.23179529223584594</v>
      </c>
      <c r="AN212" s="279">
        <f>AN84/AM84-1</f>
        <v>0.11646693790191698</v>
      </c>
      <c r="AO212" s="877" t="s">
        <v>88</v>
      </c>
      <c r="AP212" s="876"/>
      <c r="AQ212" s="279">
        <f>AQ84/AN84-1</f>
        <v>0.14983225987445858</v>
      </c>
      <c r="AR212" s="279">
        <f>AR84/AQ84-1</f>
        <v>4.2321103622149803E-2</v>
      </c>
      <c r="AS212" s="279">
        <f>AS84/AR84-1</f>
        <v>0.11981890307369869</v>
      </c>
      <c r="AT212" s="279">
        <f>AT84/AS84-1</f>
        <v>0.2671363572877985</v>
      </c>
      <c r="AU212" s="877" t="s">
        <v>88</v>
      </c>
      <c r="AV212" s="876"/>
      <c r="AW212" s="279">
        <f>AW84/AT84-1</f>
        <v>0.12260809594263011</v>
      </c>
      <c r="AX212" s="279">
        <f>AX84/AW84-1</f>
        <v>8.1141117569299537E-2</v>
      </c>
      <c r="AY212" s="279">
        <f>AY84/AX84-1</f>
        <v>-4.2076404321302441E-2</v>
      </c>
      <c r="AZ212" s="279">
        <f>AZ84/AY84-1</f>
        <v>0.10460978547024613</v>
      </c>
      <c r="BA212" s="877" t="s">
        <v>88</v>
      </c>
      <c r="BB212" s="876"/>
      <c r="BC212" s="279">
        <f>BC84/AZ84-1</f>
        <v>6.9063498341640273E-2</v>
      </c>
      <c r="BD212" s="279">
        <f>BD84/BC84-1</f>
        <v>-3.0413777566398292E-2</v>
      </c>
      <c r="BE212" s="279">
        <f>BE84/BD84-1</f>
        <v>0.14506634997676437</v>
      </c>
      <c r="BF212" s="279">
        <f>BF84/BE84-1</f>
        <v>-2.8927017338173266E-2</v>
      </c>
      <c r="BG212" s="878" t="s">
        <v>88</v>
      </c>
      <c r="BH212" s="876"/>
      <c r="BI212" s="279">
        <f>BI84/BF84-1</f>
        <v>-7.3833294636637348E-2</v>
      </c>
      <c r="BJ212" s="279">
        <f>BJ84/BI84-1</f>
        <v>8.0020055151667213E-2</v>
      </c>
      <c r="BK212" s="279">
        <f>BK84/BJ84-1</f>
        <v>0.13738916484842667</v>
      </c>
      <c r="BL212" s="279">
        <f>BL84/BK84-1</f>
        <v>0.25772943409318372</v>
      </c>
      <c r="BM212" s="878" t="s">
        <v>88</v>
      </c>
      <c r="BN212" s="876"/>
      <c r="BO212" s="279">
        <f>BO84/BL84-1</f>
        <v>-0.11627454161934103</v>
      </c>
      <c r="BP212" s="279">
        <f>BP84/BO84-1</f>
        <v>0.11479142185663727</v>
      </c>
      <c r="BQ212" s="279">
        <f>BQ84/BP84-1</f>
        <v>-0.18240661440147643</v>
      </c>
      <c r="BR212" s="279">
        <f>BR84/BQ84-1</f>
        <v>0.56588304022884728</v>
      </c>
      <c r="BS212" s="878" t="s">
        <v>88</v>
      </c>
      <c r="BT212" s="876"/>
      <c r="BU212" s="279">
        <f>BU84/BR84-1</f>
        <v>-0.21571553542942556</v>
      </c>
      <c r="BV212" s="279">
        <f>BV84/BU84-1</f>
        <v>-7.6586182009050319E-2</v>
      </c>
      <c r="BW212" s="279">
        <f>BW84/BV84-1</f>
        <v>2.3323563371518308E-2</v>
      </c>
      <c r="BX212" s="279">
        <f>BX84/BW84-1</f>
        <v>-0.18438411331759308</v>
      </c>
      <c r="BY212" s="878" t="s">
        <v>88</v>
      </c>
      <c r="BZ212" s="876"/>
      <c r="CA212" s="279">
        <f>CA84/BX84-1</f>
        <v>0.47950453326523146</v>
      </c>
      <c r="CB212" s="279">
        <f>CB84/CA84-1</f>
        <v>0.23259393520916083</v>
      </c>
      <c r="CC212" s="279">
        <f>CC84/CB84-1</f>
        <v>9.2431580790100831E-2</v>
      </c>
      <c r="CD212" s="279">
        <f>CD84/CC84-1</f>
        <v>-8.8243149404425569E-3</v>
      </c>
      <c r="CE212" s="878" t="s">
        <v>88</v>
      </c>
      <c r="CF212" s="876"/>
      <c r="CG212" s="279">
        <f>CG84/CD84-1</f>
        <v>0.16766725228769852</v>
      </c>
      <c r="CH212" s="279">
        <f>CH84/CG84-1</f>
        <v>0.18394793926246766</v>
      </c>
      <c r="CI212" s="279">
        <f>CI84/CH84-1</f>
        <v>9.5584852997358638E-2</v>
      </c>
      <c r="CJ212" s="279">
        <f>CJ84/CI84-1</f>
        <v>-7.7289838674092781E-2</v>
      </c>
      <c r="CK212" s="878" t="s">
        <v>88</v>
      </c>
      <c r="CL212" s="876"/>
      <c r="CM212" s="279">
        <f>CM84/CJ84-1</f>
        <v>0.29207477904088641</v>
      </c>
      <c r="CN212" s="279">
        <f>CN84/CM84-1</f>
        <v>1.7268239690090059E-2</v>
      </c>
      <c r="CO212" s="279">
        <f>CO84/CN84-1</f>
        <v>3.0101040920991196E-3</v>
      </c>
      <c r="CP212" s="279">
        <f>CP84/CO84-1</f>
        <v>0.148514967327525</v>
      </c>
      <c r="CQ212" s="878" t="s">
        <v>88</v>
      </c>
      <c r="CR212" s="876"/>
      <c r="CS212" s="279">
        <f>CS84/CP84-1</f>
        <v>3.2894267697606727E-2</v>
      </c>
      <c r="CT212" s="279">
        <f>CT84/CS84-1</f>
        <v>0.18795368470885232</v>
      </c>
      <c r="CU212" s="279">
        <f>CU84/CT84-1</f>
        <v>0.18054529302858535</v>
      </c>
      <c r="CV212" s="279">
        <f>CV84/CU84-1</f>
        <v>-7.4288567500378266E-2</v>
      </c>
      <c r="CW212" s="878" t="s">
        <v>88</v>
      </c>
      <c r="CX212" s="876"/>
      <c r="CY212" s="279">
        <f>CY84/CV84-1</f>
        <v>0.35418071873124934</v>
      </c>
      <c r="CZ212" s="279">
        <f>CZ84/CY84-1</f>
        <v>0.22590982294847506</v>
      </c>
      <c r="DA212" s="279">
        <f>DA84/CZ84-1</f>
        <v>0.11430041339614694</v>
      </c>
      <c r="DB212" s="279">
        <f>DB84/DA84-1</f>
        <v>-7.8752283286650404E-2</v>
      </c>
      <c r="DC212" s="878" t="s">
        <v>88</v>
      </c>
      <c r="DD212" s="876"/>
      <c r="DE212" s="279">
        <f>DE84/DB84-1</f>
        <v>0.11219881206001414</v>
      </c>
      <c r="DF212" s="279">
        <f>DF84/DE84-1</f>
        <v>0.21384795669028334</v>
      </c>
      <c r="DG212" s="279">
        <f>DG84/DF84-1</f>
        <v>9.0836200447684368E-2</v>
      </c>
      <c r="DH212" s="279">
        <f>DH84/DG84-1</f>
        <v>-1.5335930368022388E-2</v>
      </c>
      <c r="DI212" s="878" t="s">
        <v>88</v>
      </c>
      <c r="DJ212" s="876"/>
      <c r="DK212" s="279">
        <f>DK84/DH84-1</f>
        <v>4.2950471754703345E-2</v>
      </c>
      <c r="DL212" s="279">
        <f>DL84/DK84-1</f>
        <v>0.19103064787407464</v>
      </c>
      <c r="DM212" s="279">
        <f>DM84/DL84-1</f>
        <v>7.8314534490418586E-2</v>
      </c>
      <c r="DN212" s="279">
        <f>DN84/DM84-1</f>
        <v>1.1114218372207274E-2</v>
      </c>
      <c r="DO212" s="878" t="s">
        <v>88</v>
      </c>
      <c r="DP212" s="260"/>
    </row>
    <row r="213" spans="1:120">
      <c r="A213" s="260" t="s">
        <v>762</v>
      </c>
      <c r="B213" s="730"/>
      <c r="C213" s="268" t="s">
        <v>88</v>
      </c>
      <c r="D213" s="876" t="s">
        <v>88</v>
      </c>
      <c r="E213" s="876" t="s">
        <v>88</v>
      </c>
      <c r="F213" s="260"/>
      <c r="G213" s="268" t="s">
        <v>88</v>
      </c>
      <c r="H213" s="268" t="s">
        <v>88</v>
      </c>
      <c r="I213" s="268" t="s">
        <v>88</v>
      </c>
      <c r="J213" s="268" t="s">
        <v>88</v>
      </c>
      <c r="K213" s="876" t="s">
        <v>88</v>
      </c>
      <c r="L213" s="260"/>
      <c r="M213" s="268" t="s">
        <v>88</v>
      </c>
      <c r="N213" s="268" t="s">
        <v>88</v>
      </c>
      <c r="O213" s="268" t="s">
        <v>88</v>
      </c>
      <c r="P213" s="268" t="s">
        <v>88</v>
      </c>
      <c r="Q213" s="876" t="s">
        <v>88</v>
      </c>
      <c r="R213" s="260"/>
      <c r="S213" s="268" t="s">
        <v>88</v>
      </c>
      <c r="T213" s="876" t="s">
        <v>88</v>
      </c>
      <c r="U213" s="876" t="s">
        <v>88</v>
      </c>
      <c r="V213" s="876" t="s">
        <v>88</v>
      </c>
      <c r="W213" s="876" t="s">
        <v>88</v>
      </c>
      <c r="X213" s="260"/>
      <c r="Y213" s="714">
        <f>Y86/V86-1</f>
        <v>0.16222391980224238</v>
      </c>
      <c r="Z213" s="714">
        <f>Z86/Y86-1</f>
        <v>0.19733788702928634</v>
      </c>
      <c r="AA213" s="714">
        <f>AA86/Z86-1</f>
        <v>0.24834951001736827</v>
      </c>
      <c r="AB213" s="714">
        <f>AB86/AA86-1</f>
        <v>-7.6742543511014283E-2</v>
      </c>
      <c r="AC213" s="876" t="s">
        <v>88</v>
      </c>
      <c r="AD213" s="876"/>
      <c r="AE213" s="714">
        <f>AE86/AB86-1</f>
        <v>-0.15436867942123411</v>
      </c>
      <c r="AF213" s="714">
        <f>AF86/AE86-1</f>
        <v>0.32570073555079482</v>
      </c>
      <c r="AG213" s="714">
        <f>AG86/AF86-1</f>
        <v>0.12047591176022143</v>
      </c>
      <c r="AH213" s="714">
        <f>AH86/AG86-1</f>
        <v>8.7800313156252141E-3</v>
      </c>
      <c r="AI213" s="877" t="s">
        <v>88</v>
      </c>
      <c r="AJ213" s="876"/>
      <c r="AK213" s="714">
        <f>AK86/AH86-1</f>
        <v>0.20546209770323687</v>
      </c>
      <c r="AL213" s="714">
        <f>AL86/AK86-1</f>
        <v>0.36332444389380658</v>
      </c>
      <c r="AM213" s="714">
        <f>AM86/AL86-1</f>
        <v>0.22336614192513582</v>
      </c>
      <c r="AN213" s="714">
        <f>AN86/AM86-1</f>
        <v>0.10282704832260103</v>
      </c>
      <c r="AO213" s="877" t="s">
        <v>88</v>
      </c>
      <c r="AP213" s="876"/>
      <c r="AQ213" s="714">
        <f>AQ86/AN86-1</f>
        <v>0.14304864324973909</v>
      </c>
      <c r="AR213" s="714">
        <f>AR86/AQ86-1</f>
        <v>3.2265118574547724E-2</v>
      </c>
      <c r="AS213" s="714">
        <f>AS86/AR86-1</f>
        <v>0.12423077459612175</v>
      </c>
      <c r="AT213" s="714">
        <f>AT86/AS86-1</f>
        <v>0.2732414203182616</v>
      </c>
      <c r="AU213" s="877" t="s">
        <v>88</v>
      </c>
      <c r="AV213" s="876"/>
      <c r="AW213" s="714">
        <f>AW86/AT86-1</f>
        <v>0.11530011417740482</v>
      </c>
      <c r="AX213" s="714">
        <f>AX86/AW86-1</f>
        <v>7.0745365628953616E-2</v>
      </c>
      <c r="AY213" s="714">
        <f>AY86/AX86-1</f>
        <v>-5.7198063620407802E-2</v>
      </c>
      <c r="AZ213" s="714">
        <f>AZ86/AY86-1</f>
        <v>8.6935961284073882E-2</v>
      </c>
      <c r="BA213" s="877" t="s">
        <v>88</v>
      </c>
      <c r="BB213" s="876"/>
      <c r="BC213" s="714">
        <f>BC86/AZ86-1</f>
        <v>5.6420756045503895E-2</v>
      </c>
      <c r="BD213" s="714">
        <f>BD86/BC86-1</f>
        <v>-4.4324264376145672E-2</v>
      </c>
      <c r="BE213" s="714">
        <f>BE86/BD86-1</f>
        <v>0.12110287626223926</v>
      </c>
      <c r="BF213" s="714">
        <f>BF86/BE86-1</f>
        <v>-5.0779778486955029E-2</v>
      </c>
      <c r="BG213" s="878" t="s">
        <v>88</v>
      </c>
      <c r="BH213" s="876"/>
      <c r="BI213" s="714">
        <f>BI86/BF86-1</f>
        <v>-7.9499468848888699E-2</v>
      </c>
      <c r="BJ213" s="714">
        <f>BJ86/BI86-1</f>
        <v>6.1996633252039191E-2</v>
      </c>
      <c r="BK213" s="714">
        <f>BK86/BJ86-1</f>
        <v>0.14766935614503574</v>
      </c>
      <c r="BL213" s="714">
        <f>BL86/BK86-1</f>
        <v>0.26078004452228432</v>
      </c>
      <c r="BM213" s="878" t="s">
        <v>88</v>
      </c>
      <c r="BN213" s="876"/>
      <c r="BO213" s="714">
        <f>BO86/BL86-1</f>
        <v>-0.14183312277386861</v>
      </c>
      <c r="BP213" s="714">
        <f>BP86/BO86-1</f>
        <v>0.11370098604309176</v>
      </c>
      <c r="BQ213" s="714">
        <f>BQ86/BP86-1</f>
        <v>-0.20328978034347034</v>
      </c>
      <c r="BR213" s="714">
        <f>BR86/BQ86-1</f>
        <v>0.53338099678454554</v>
      </c>
      <c r="BS213" s="878" t="s">
        <v>88</v>
      </c>
      <c r="BT213" s="876"/>
      <c r="BU213" s="714">
        <f>BU86/BR86-1</f>
        <v>-0.22812574943992214</v>
      </c>
      <c r="BV213" s="714">
        <f>BV86/BU86-1</f>
        <v>-7.9511689721781798E-2</v>
      </c>
      <c r="BW213" s="714">
        <f>BW86/BV86-1</f>
        <v>-1.3151688785718596E-3</v>
      </c>
      <c r="BX213" s="714">
        <f>BX86/BW86-1</f>
        <v>-0.19729872649796931</v>
      </c>
      <c r="BY213" s="878" t="s">
        <v>88</v>
      </c>
      <c r="BZ213" s="876"/>
      <c r="CA213" s="714">
        <f>CA86/BX86-1</f>
        <v>0.48490426817444798</v>
      </c>
      <c r="CB213" s="714">
        <f>CB86/CA86-1</f>
        <v>0.23299351644134103</v>
      </c>
      <c r="CC213" s="714">
        <f>CC86/CB86-1</f>
        <v>7.4602002800171485E-2</v>
      </c>
      <c r="CD213" s="714">
        <f>CD86/CC86-1</f>
        <v>8.4056403008112568E-3</v>
      </c>
      <c r="CE213" s="878" t="s">
        <v>88</v>
      </c>
      <c r="CF213" s="876"/>
      <c r="CG213" s="714">
        <f>CG86/CD86-1</f>
        <v>0.13774392236199273</v>
      </c>
      <c r="CH213" s="714">
        <f>CH86/CG86-1</f>
        <v>0.16930848082436478</v>
      </c>
      <c r="CI213" s="714">
        <f>CI86/CH86-1</f>
        <v>8.7335595173674285E-2</v>
      </c>
      <c r="CJ213" s="714">
        <f>CJ86/CI86-1</f>
        <v>-8.436251105780368E-2</v>
      </c>
      <c r="CK213" s="878" t="s">
        <v>88</v>
      </c>
      <c r="CL213" s="876"/>
      <c r="CM213" s="714">
        <f>CM86/CJ86-1</f>
        <v>0.28486187584381883</v>
      </c>
      <c r="CN213" s="714">
        <f>CN86/CM86-1</f>
        <v>3.8662837241283388E-3</v>
      </c>
      <c r="CO213" s="714">
        <f>CO86/CN86-1</f>
        <v>-9.423905462761617E-3</v>
      </c>
      <c r="CP213" s="714">
        <f>CP86/CO86-1</f>
        <v>0.13801979397665098</v>
      </c>
      <c r="CQ213" s="878" t="s">
        <v>88</v>
      </c>
      <c r="CR213" s="876"/>
      <c r="CS213" s="714">
        <f>CS86/CP86-1</f>
        <v>4.0249997690853689E-2</v>
      </c>
      <c r="CT213" s="714">
        <f>CT86/CS86-1</f>
        <v>0.15014821417684066</v>
      </c>
      <c r="CU213" s="714">
        <f>CU86/CT86-1</f>
        <v>0.16659830580018009</v>
      </c>
      <c r="CV213" s="714">
        <f>CV86/CU86-1</f>
        <v>-8.8317567492813831E-2</v>
      </c>
      <c r="CW213" s="878" t="s">
        <v>88</v>
      </c>
      <c r="CX213" s="876"/>
      <c r="CY213" s="714">
        <f>CY86/CV86-1</f>
        <v>0.3409884799279066</v>
      </c>
      <c r="CZ213" s="714">
        <f>CZ86/CY86-1</f>
        <v>0.21427784096687286</v>
      </c>
      <c r="DA213" s="714">
        <f>DA86/CZ86-1</f>
        <v>0.11211718585950603</v>
      </c>
      <c r="DB213" s="714">
        <f>DB86/DA86-1</f>
        <v>-8.0553736805051956E-2</v>
      </c>
      <c r="DC213" s="878" t="s">
        <v>88</v>
      </c>
      <c r="DD213" s="876"/>
      <c r="DE213" s="714">
        <f>DE86/DB86-1</f>
        <v>0.10571231779006141</v>
      </c>
      <c r="DF213" s="714">
        <f>DF86/DE86-1</f>
        <v>0.20216266393712834</v>
      </c>
      <c r="DG213" s="714">
        <f>DG86/DF86-1</f>
        <v>8.0435225726060988E-2</v>
      </c>
      <c r="DH213" s="714">
        <f>DH86/DG86-1</f>
        <v>-2.4635894379824386E-2</v>
      </c>
      <c r="DI213" s="878" t="s">
        <v>88</v>
      </c>
      <c r="DJ213" s="876"/>
      <c r="DK213" s="714">
        <f>DK86/DH86-1</f>
        <v>3.3192169114864889E-2</v>
      </c>
      <c r="DL213" s="714">
        <f>DL86/DK86-1</f>
        <v>0.1799901418975165</v>
      </c>
      <c r="DM213" s="714">
        <f>DM86/DL86-1</f>
        <v>6.8410679777230365E-2</v>
      </c>
      <c r="DN213" s="714">
        <f>DN86/DM86-1</f>
        <v>1.9120872406743761E-3</v>
      </c>
      <c r="DO213" s="878" t="s">
        <v>88</v>
      </c>
      <c r="DP213" s="260"/>
    </row>
    <row r="214" spans="1:120" ht="5.25" customHeight="1">
      <c r="A214" s="255"/>
      <c r="B214" s="668"/>
      <c r="C214" s="669"/>
      <c r="D214" s="669"/>
      <c r="E214" s="669"/>
      <c r="F214" s="669"/>
      <c r="G214" s="669"/>
      <c r="H214" s="669"/>
      <c r="I214" s="669"/>
      <c r="J214" s="669"/>
      <c r="K214" s="669"/>
      <c r="L214" s="669"/>
      <c r="M214" s="669"/>
      <c r="N214" s="669"/>
      <c r="O214" s="669"/>
      <c r="P214" s="669"/>
      <c r="Q214" s="669"/>
      <c r="R214" s="669"/>
      <c r="S214" s="669"/>
      <c r="T214" s="669"/>
      <c r="U214" s="669"/>
      <c r="V214" s="669"/>
      <c r="W214" s="669"/>
      <c r="X214" s="669"/>
      <c r="Y214" s="669"/>
      <c r="Z214" s="669"/>
      <c r="AA214" s="669"/>
      <c r="AB214" s="669"/>
      <c r="AC214" s="669"/>
      <c r="AD214" s="669"/>
      <c r="AE214" s="669"/>
      <c r="AF214" s="669"/>
      <c r="AG214" s="669"/>
      <c r="AH214" s="669"/>
      <c r="AI214" s="670"/>
      <c r="AJ214" s="669"/>
      <c r="AK214" s="669"/>
      <c r="AL214" s="669"/>
      <c r="AM214" s="669"/>
      <c r="AN214" s="669"/>
      <c r="AO214" s="670"/>
      <c r="AP214" s="669"/>
      <c r="AQ214" s="669"/>
      <c r="AR214" s="669"/>
      <c r="AS214" s="669"/>
      <c r="AT214" s="669"/>
      <c r="AU214" s="670"/>
      <c r="AV214" s="669"/>
      <c r="AW214" s="669"/>
      <c r="AX214" s="669"/>
      <c r="AY214" s="669"/>
      <c r="AZ214" s="669"/>
      <c r="BA214" s="670"/>
      <c r="BB214" s="669"/>
      <c r="BC214" s="669"/>
      <c r="BD214" s="669"/>
      <c r="BE214" s="669"/>
      <c r="BF214" s="669"/>
      <c r="BG214" s="860"/>
      <c r="BH214" s="669"/>
      <c r="BI214" s="669"/>
      <c r="BJ214" s="669"/>
      <c r="BK214" s="669"/>
      <c r="BL214" s="669"/>
      <c r="BM214" s="860"/>
      <c r="BN214" s="669"/>
      <c r="BO214" s="669"/>
      <c r="BP214" s="669"/>
      <c r="BQ214" s="669"/>
      <c r="BR214" s="669"/>
      <c r="BS214" s="860"/>
      <c r="BT214" s="669"/>
      <c r="BU214" s="669"/>
      <c r="BV214" s="669"/>
      <c r="BW214" s="669"/>
      <c r="BX214" s="669"/>
      <c r="BY214" s="860"/>
      <c r="BZ214" s="669"/>
      <c r="CA214" s="669"/>
      <c r="CB214" s="669"/>
      <c r="CC214" s="669"/>
      <c r="CD214" s="669"/>
      <c r="CE214" s="860"/>
      <c r="CF214" s="669"/>
      <c r="CG214" s="669"/>
      <c r="CH214" s="669"/>
      <c r="CI214" s="669"/>
      <c r="CJ214" s="669"/>
      <c r="CK214" s="860"/>
      <c r="CL214" s="669"/>
      <c r="CM214" s="669"/>
      <c r="CN214" s="669"/>
      <c r="CO214" s="669"/>
      <c r="CP214" s="669"/>
      <c r="CQ214" s="860"/>
      <c r="CR214" s="669"/>
      <c r="CS214" s="669"/>
      <c r="CT214" s="669"/>
      <c r="CU214" s="669"/>
      <c r="CV214" s="669"/>
      <c r="CW214" s="860"/>
      <c r="CX214" s="669"/>
      <c r="CY214" s="669"/>
      <c r="CZ214" s="669"/>
      <c r="DA214" s="669"/>
      <c r="DB214" s="669"/>
      <c r="DC214" s="860"/>
      <c r="DD214" s="669"/>
      <c r="DE214" s="669"/>
      <c r="DF214" s="669"/>
      <c r="DG214" s="669"/>
      <c r="DH214" s="669"/>
      <c r="DI214" s="860"/>
      <c r="DJ214" s="669"/>
      <c r="DK214" s="669"/>
      <c r="DL214" s="669"/>
      <c r="DM214" s="669"/>
      <c r="DN214" s="669"/>
      <c r="DO214" s="860"/>
      <c r="DP214" s="669"/>
    </row>
    <row r="215" spans="1:120">
      <c r="A215" s="378" t="s">
        <v>87</v>
      </c>
      <c r="B215" s="378"/>
      <c r="C215" s="378"/>
      <c r="D215" s="378"/>
      <c r="E215" s="378"/>
      <c r="F215" s="378"/>
      <c r="G215" s="378"/>
      <c r="H215" s="378"/>
      <c r="I215" s="378"/>
      <c r="J215" s="378"/>
      <c r="K215" s="378"/>
      <c r="L215" s="378"/>
      <c r="M215" s="378"/>
      <c r="N215" s="378"/>
      <c r="O215" s="378"/>
      <c r="P215" s="378"/>
      <c r="Q215" s="378"/>
      <c r="R215" s="378"/>
      <c r="S215" s="378"/>
      <c r="T215" s="378"/>
      <c r="U215" s="378"/>
      <c r="V215" s="378"/>
      <c r="W215" s="378"/>
      <c r="X215" s="378"/>
      <c r="Y215" s="378"/>
      <c r="Z215" s="378"/>
      <c r="AA215" s="378"/>
      <c r="AB215" s="378"/>
      <c r="AC215" s="378"/>
      <c r="AD215" s="378"/>
      <c r="AE215" s="378"/>
      <c r="AF215" s="378"/>
      <c r="AG215" s="378"/>
      <c r="AH215" s="378"/>
      <c r="AI215" s="379"/>
      <c r="AJ215" s="378"/>
      <c r="AK215" s="378"/>
      <c r="AL215" s="378"/>
      <c r="AM215" s="378"/>
      <c r="AN215" s="378"/>
      <c r="AO215" s="379"/>
      <c r="AP215" s="378"/>
      <c r="AQ215" s="378"/>
      <c r="AR215" s="378"/>
      <c r="AS215" s="378"/>
      <c r="AT215" s="378"/>
      <c r="AU215" s="379"/>
      <c r="AV215" s="378"/>
      <c r="AW215" s="378"/>
      <c r="AX215" s="378"/>
      <c r="AY215" s="378"/>
      <c r="AZ215" s="378"/>
      <c r="BA215" s="379"/>
      <c r="BB215" s="378"/>
      <c r="BC215" s="378"/>
      <c r="BD215" s="378"/>
      <c r="BE215" s="378"/>
      <c r="BF215" s="378"/>
      <c r="BG215" s="380"/>
      <c r="BH215" s="378"/>
      <c r="BI215" s="378"/>
      <c r="BJ215" s="378"/>
      <c r="BK215" s="378"/>
      <c r="BL215" s="378"/>
      <c r="BM215" s="380"/>
      <c r="BN215" s="378"/>
      <c r="BO215" s="378"/>
      <c r="BP215" s="378"/>
      <c r="BQ215" s="378"/>
      <c r="BR215" s="378"/>
      <c r="BS215" s="380"/>
      <c r="BT215" s="378"/>
      <c r="BU215" s="378"/>
      <c r="BV215" s="378"/>
      <c r="BW215" s="378"/>
      <c r="BX215" s="378"/>
      <c r="BY215" s="380"/>
      <c r="BZ215" s="378"/>
      <c r="CA215" s="378"/>
      <c r="CB215" s="378"/>
      <c r="CC215" s="378"/>
      <c r="CD215" s="378"/>
      <c r="CE215" s="380"/>
      <c r="CF215" s="378"/>
      <c r="CG215" s="378"/>
      <c r="CH215" s="378"/>
      <c r="CI215" s="378"/>
      <c r="CJ215" s="378"/>
      <c r="CK215" s="380"/>
      <c r="CL215" s="378"/>
      <c r="CM215" s="378"/>
      <c r="CN215" s="378"/>
      <c r="CO215" s="378"/>
      <c r="CP215" s="378"/>
      <c r="CQ215" s="380"/>
      <c r="CR215" s="378"/>
      <c r="CS215" s="378"/>
      <c r="CT215" s="378"/>
      <c r="CU215" s="378"/>
      <c r="CV215" s="378"/>
      <c r="CW215" s="380"/>
      <c r="CX215" s="378"/>
      <c r="CY215" s="378"/>
      <c r="CZ215" s="378"/>
      <c r="DA215" s="378"/>
      <c r="DB215" s="378"/>
      <c r="DC215" s="380"/>
      <c r="DD215" s="378"/>
      <c r="DE215" s="378"/>
      <c r="DF215" s="378"/>
      <c r="DG215" s="378"/>
      <c r="DH215" s="378"/>
      <c r="DI215" s="380"/>
      <c r="DJ215" s="378"/>
      <c r="DK215" s="378"/>
      <c r="DL215" s="378"/>
      <c r="DM215" s="378"/>
      <c r="DN215" s="378"/>
      <c r="DO215" s="380"/>
      <c r="DP215" s="316"/>
    </row>
    <row r="216" spans="1:120">
      <c r="A216" s="260" t="s">
        <v>230</v>
      </c>
      <c r="B216" s="869"/>
      <c r="C216" s="268" t="s">
        <v>88</v>
      </c>
      <c r="D216" s="279">
        <f>D13/D$19</f>
        <v>0.92401103955841757</v>
      </c>
      <c r="E216" s="279">
        <f>E13/E$19</f>
        <v>0.96001606497389436</v>
      </c>
      <c r="F216" s="260"/>
      <c r="G216" s="279">
        <f>G13/G$19</f>
        <v>0.94214522510961396</v>
      </c>
      <c r="H216" s="279">
        <f>H13/H$19</f>
        <v>0.94883446941008154</v>
      </c>
      <c r="I216" s="279">
        <f>I13/I$19</f>
        <v>0.91163413431047846</v>
      </c>
      <c r="J216" s="279">
        <f>J13/J$19</f>
        <v>0.94012591545676472</v>
      </c>
      <c r="K216" s="279">
        <f>K13/K$19</f>
        <v>0.93459630130807392</v>
      </c>
      <c r="L216" s="260"/>
      <c r="M216" s="279">
        <f>M13/M$19</f>
        <v>0.89472849362872098</v>
      </c>
      <c r="N216" s="279">
        <f>N13/N$19</f>
        <v>0.90607223789483426</v>
      </c>
      <c r="O216" s="279">
        <f>O13/O$19</f>
        <v>0.8838562554061492</v>
      </c>
      <c r="P216" s="279">
        <f>P13/P$19</f>
        <v>0.89182444348317969</v>
      </c>
      <c r="Q216" s="279">
        <f>Q13/Q$19</f>
        <v>0.89349426699853152</v>
      </c>
      <c r="R216" s="260"/>
      <c r="S216" s="279">
        <f>S13/S$19</f>
        <v>0.89313700163609755</v>
      </c>
      <c r="T216" s="279">
        <f>T13/T$19</f>
        <v>0.88753357482565731</v>
      </c>
      <c r="U216" s="279">
        <f>U13/U$19</f>
        <v>0.89439399495265415</v>
      </c>
      <c r="V216" s="279">
        <f>V13/V$19</f>
        <v>0.90447668241931356</v>
      </c>
      <c r="W216" s="279">
        <f>W13/W$19</f>
        <v>0.89568816442239552</v>
      </c>
      <c r="X216" s="260"/>
      <c r="Y216" s="279">
        <f>Y13/Y$19</f>
        <v>0.90671112703928203</v>
      </c>
      <c r="Z216" s="279">
        <f>Z13/Z$19</f>
        <v>0.91236117481895385</v>
      </c>
      <c r="AA216" s="279">
        <f>AA13/AA$19</f>
        <v>0.89976171180433751</v>
      </c>
      <c r="AB216" s="279">
        <f>AB13/AB$19</f>
        <v>0.90513265395765619</v>
      </c>
      <c r="AC216" s="279">
        <f>AC13/AC$19</f>
        <v>0.90570488967491447</v>
      </c>
      <c r="AD216" s="279"/>
      <c r="AE216" s="279">
        <f>AE13/AE$19</f>
        <v>0.90263263473625888</v>
      </c>
      <c r="AF216" s="279">
        <f>AF13/AF$19</f>
        <v>0.90287547508401256</v>
      </c>
      <c r="AG216" s="279">
        <f>AG13/AG$19</f>
        <v>0.91065181118467098</v>
      </c>
      <c r="AH216" s="279">
        <f>AH13/AH$19</f>
        <v>0.91574794414167038</v>
      </c>
      <c r="AI216" s="871">
        <f>AI13/AI$19</f>
        <v>0.90859347653782552</v>
      </c>
      <c r="AJ216" s="279"/>
      <c r="AK216" s="279">
        <f>AK13/AK$19</f>
        <v>0.90935398862153038</v>
      </c>
      <c r="AL216" s="279">
        <f>AL13/AL$19</f>
        <v>0.90609868670679983</v>
      </c>
      <c r="AM216" s="279">
        <f>AM13/AM$19</f>
        <v>0.91479904358334674</v>
      </c>
      <c r="AN216" s="279">
        <f>AN13/AN$19</f>
        <v>0.90600075608789055</v>
      </c>
      <c r="AO216" s="871">
        <f>AO13/AO$19</f>
        <v>0.909016962735408</v>
      </c>
      <c r="AP216" s="279"/>
      <c r="AQ216" s="279">
        <f>AQ13/AQ$19</f>
        <v>0.910020111298673</v>
      </c>
      <c r="AR216" s="279">
        <f>AR13/AR$19</f>
        <v>0.91121610783154738</v>
      </c>
      <c r="AS216" s="279">
        <f>AS13/AS$19</f>
        <v>0.91650963698112398</v>
      </c>
      <c r="AT216" s="279">
        <f>AT13/AT$19</f>
        <v>0.91894206496928343</v>
      </c>
      <c r="AU216" s="871">
        <f>AU13/AU$19</f>
        <v>0.9143781070963225</v>
      </c>
      <c r="AV216" s="279"/>
      <c r="AW216" s="279">
        <f>AW13/AW$19</f>
        <v>0.92405976571211179</v>
      </c>
      <c r="AX216" s="279">
        <f>AX13/AX$19</f>
        <v>0.92842837300394554</v>
      </c>
      <c r="AY216" s="279">
        <f>AY13/AY$19</f>
        <v>0.92836462975232126</v>
      </c>
      <c r="AZ216" s="279">
        <f>AZ13/AZ$19</f>
        <v>0.9247138108002001</v>
      </c>
      <c r="BA216" s="871">
        <f>BA13/BA$19</f>
        <v>0.92638461131923433</v>
      </c>
      <c r="BB216" s="279"/>
      <c r="BC216" s="279">
        <f>BC13/BC$19</f>
        <v>0.93073221996056399</v>
      </c>
      <c r="BD216" s="279">
        <f>BD13/BD$19</f>
        <v>0.93554055561753879</v>
      </c>
      <c r="BE216" s="279">
        <f>BE13/BE$19</f>
        <v>0.93908228401233318</v>
      </c>
      <c r="BF216" s="279">
        <f>BF13/BF$19</f>
        <v>0.93798413980436324</v>
      </c>
      <c r="BG216" s="872">
        <f>BG13/BG$19</f>
        <v>0.93603795457110117</v>
      </c>
      <c r="BH216" s="279"/>
      <c r="BI216" s="279">
        <f>BI13/BI$19</f>
        <v>0.93881403113624284</v>
      </c>
      <c r="BJ216" s="279">
        <f>BJ13/BJ$19</f>
        <v>0.9327420046080418</v>
      </c>
      <c r="BK216" s="279">
        <f>BK13/BK$19</f>
        <v>0.93996166090439193</v>
      </c>
      <c r="BL216" s="279">
        <f>BL13/BL$19</f>
        <v>0.94042850835478931</v>
      </c>
      <c r="BM216" s="872">
        <f>BM13/BM$19</f>
        <v>0.93809724871268496</v>
      </c>
      <c r="BN216" s="279"/>
      <c r="BO216" s="279">
        <f>BO13/BO$19</f>
        <v>0.94212953310509351</v>
      </c>
      <c r="BP216" s="279">
        <f>BP13/BP$19</f>
        <v>0.93964865666460295</v>
      </c>
      <c r="BQ216" s="279">
        <f>BQ13/BQ$19</f>
        <v>0.93937326071349747</v>
      </c>
      <c r="BR216" s="279">
        <f>BR13/BR$19</f>
        <v>0.94107209820278637</v>
      </c>
      <c r="BS216" s="872">
        <f>BS13/BS$19</f>
        <v>0.94053265446963219</v>
      </c>
      <c r="BT216" s="279"/>
      <c r="BU216" s="279">
        <f>BU13/BU$19</f>
        <v>0.94352438236094782</v>
      </c>
      <c r="BV216" s="279">
        <f>BV13/BV$19</f>
        <v>0.94331800220250051</v>
      </c>
      <c r="BW216" s="279">
        <f>BW13/BW$19</f>
        <v>0.93349838388006323</v>
      </c>
      <c r="BX216" s="279">
        <f>BX13/BX$19</f>
        <v>0.93866711140527503</v>
      </c>
      <c r="BY216" s="872">
        <f>BY13/BY$19</f>
        <v>0.93945939121145328</v>
      </c>
      <c r="BZ216" s="279"/>
      <c r="CA216" s="279">
        <f>CA13/CA$19</f>
        <v>0.93522349711274799</v>
      </c>
      <c r="CB216" s="279">
        <f>CB13/CB$19</f>
        <v>0.93480419035744544</v>
      </c>
      <c r="CC216" s="279">
        <f>CC13/CC$19</f>
        <v>0.93123863968980702</v>
      </c>
      <c r="CD216" s="279">
        <f>CD13/CD$19</f>
        <v>0.93129624091795149</v>
      </c>
      <c r="CE216" s="872">
        <f>CE13/CE$19</f>
        <v>0.93303875661429814</v>
      </c>
      <c r="CF216" s="279"/>
      <c r="CG216" s="279">
        <f>CG13/CG$19</f>
        <v>0.92993494431786827</v>
      </c>
      <c r="CH216" s="279">
        <f>CH13/CH$19</f>
        <v>0.93065020517726971</v>
      </c>
      <c r="CI216" s="279">
        <f>CI13/CI$19</f>
        <v>0.93245547373284643</v>
      </c>
      <c r="CJ216" s="279">
        <f>CJ13/CJ$19</f>
        <v>0.92995570902587488</v>
      </c>
      <c r="CK216" s="872">
        <f>CK13/CK$19</f>
        <v>0.93076315511601837</v>
      </c>
      <c r="CL216" s="279"/>
      <c r="CM216" s="279">
        <f>CM13/CM$19</f>
        <v>0.92637494567210832</v>
      </c>
      <c r="CN216" s="279">
        <f>CN13/CN$19</f>
        <v>0.92608432214583192</v>
      </c>
      <c r="CO216" s="279">
        <f>CO13/CO$19</f>
        <v>0.92502989824107418</v>
      </c>
      <c r="CP216" s="279">
        <f>CP13/CP$19</f>
        <v>0.92007935525382001</v>
      </c>
      <c r="CQ216" s="872">
        <f>CQ13/CQ$19</f>
        <v>0.92423972686315892</v>
      </c>
      <c r="CR216" s="279"/>
      <c r="CS216" s="279">
        <f>CS13/CS$19</f>
        <v>0.92181578075531745</v>
      </c>
      <c r="CT216" s="279">
        <f>CT13/CT$19</f>
        <v>0.92462100672668401</v>
      </c>
      <c r="CU216" s="279">
        <f>CU13/CU$19</f>
        <v>0.92771586075442536</v>
      </c>
      <c r="CV216" s="279">
        <f>CV13/CV$19</f>
        <v>0.93125121229265628</v>
      </c>
      <c r="CW216" s="872">
        <f>CW13/CW$19</f>
        <v>0.92657699246909253</v>
      </c>
      <c r="CX216" s="279"/>
      <c r="CY216" s="279">
        <f>CY13/CY$19</f>
        <v>0.92195305926664195</v>
      </c>
      <c r="CZ216" s="279">
        <f>CZ13/CZ$19</f>
        <v>0.92449046678388913</v>
      </c>
      <c r="DA216" s="279">
        <f>DA13/DA$19</f>
        <v>0.92763162413163436</v>
      </c>
      <c r="DB216" s="279">
        <f>DB13/DB$19</f>
        <v>0.93237873970236052</v>
      </c>
      <c r="DC216" s="872">
        <f>DC13/DC$19</f>
        <v>0.92682070722107224</v>
      </c>
      <c r="DD216" s="279"/>
      <c r="DE216" s="279">
        <f>DE13/DE$19</f>
        <v>0.92293266682493069</v>
      </c>
      <c r="DF216" s="279">
        <f>DF13/DF$19</f>
        <v>0.92482474825418115</v>
      </c>
      <c r="DG216" s="279">
        <f>DG13/DG$19</f>
        <v>0.92779594866979886</v>
      </c>
      <c r="DH216" s="279">
        <f>DH13/DH$19</f>
        <v>0.93358564100878494</v>
      </c>
      <c r="DI216" s="872">
        <f>DI13/DI$19</f>
        <v>0.92748668515325261</v>
      </c>
      <c r="DJ216" s="279"/>
      <c r="DK216" s="279">
        <f>DK13/DK$19</f>
        <v>0.92379177254544298</v>
      </c>
      <c r="DL216" s="279">
        <f>DL13/DL$19</f>
        <v>0.92523007184535777</v>
      </c>
      <c r="DM216" s="279">
        <f>DM13/DM$19</f>
        <v>0.92774580965762243</v>
      </c>
      <c r="DN216" s="279">
        <f>DN13/DN$19</f>
        <v>0.93461949210746031</v>
      </c>
      <c r="DO216" s="872">
        <f>DO13/DO$19</f>
        <v>0.92804396766570074</v>
      </c>
      <c r="DP216" s="260"/>
    </row>
    <row r="217" spans="1:120">
      <c r="A217" s="260" t="s">
        <v>86</v>
      </c>
      <c r="B217" s="869"/>
      <c r="C217" s="268" t="s">
        <v>88</v>
      </c>
      <c r="D217" s="279">
        <f>D16/D$19</f>
        <v>7.5988960441582321E-2</v>
      </c>
      <c r="E217" s="279">
        <f>E16/E$19</f>
        <v>3.9983935026105581E-2</v>
      </c>
      <c r="F217" s="260"/>
      <c r="G217" s="279">
        <f>G16/G$19</f>
        <v>5.7854774890386054E-2</v>
      </c>
      <c r="H217" s="279">
        <f>H16/H$19</f>
        <v>5.1165530589918365E-2</v>
      </c>
      <c r="I217" s="279">
        <f>I16/I$19</f>
        <v>8.8365865689521539E-2</v>
      </c>
      <c r="J217" s="279">
        <f>J16/J$19</f>
        <v>5.9874084543235256E-2</v>
      </c>
      <c r="K217" s="279">
        <f>K16/K$19</f>
        <v>6.5403698691926027E-2</v>
      </c>
      <c r="L217" s="260"/>
      <c r="M217" s="279">
        <f>M16/M$19</f>
        <v>0.10527150637127902</v>
      </c>
      <c r="N217" s="279">
        <f>N16/N$19</f>
        <v>9.3927762105165818E-2</v>
      </c>
      <c r="O217" s="279">
        <f>O16/O$19</f>
        <v>0.11614374459385075</v>
      </c>
      <c r="P217" s="279">
        <f>P16/P$19</f>
        <v>0.10817555651682027</v>
      </c>
      <c r="Q217" s="279">
        <f>Q16/Q$19</f>
        <v>0.1065057330014684</v>
      </c>
      <c r="R217" s="260"/>
      <c r="S217" s="279">
        <f>S16/S$19</f>
        <v>0.10686299836390252</v>
      </c>
      <c r="T217" s="279">
        <f>T16/T$19</f>
        <v>0.11246642517434266</v>
      </c>
      <c r="U217" s="279">
        <f>U16/U$19</f>
        <v>0.10560600504734582</v>
      </c>
      <c r="V217" s="279">
        <f>V16/V$19</f>
        <v>9.5523317580686537E-2</v>
      </c>
      <c r="W217" s="279">
        <f>W16/W$19</f>
        <v>0.10431183557760454</v>
      </c>
      <c r="X217" s="260"/>
      <c r="Y217" s="279">
        <f>Y16/Y$19</f>
        <v>9.3288872960718028E-2</v>
      </c>
      <c r="Z217" s="279">
        <f>Z16/Z$19</f>
        <v>8.7638825181046084E-2</v>
      </c>
      <c r="AA217" s="279">
        <f>AA16/AA$19</f>
        <v>0.10023828819566244</v>
      </c>
      <c r="AB217" s="279">
        <f>AB16/AB$19</f>
        <v>9.4867346042343842E-2</v>
      </c>
      <c r="AC217" s="279">
        <f>AC16/AC$19</f>
        <v>9.4295110325085432E-2</v>
      </c>
      <c r="AD217" s="279"/>
      <c r="AE217" s="279">
        <f>AE16/AE$19</f>
        <v>9.7367365263741096E-2</v>
      </c>
      <c r="AF217" s="279">
        <f>AF16/AF$19</f>
        <v>9.7124524915987373E-2</v>
      </c>
      <c r="AG217" s="279">
        <f>AG16/AG$19</f>
        <v>8.9348188815329133E-2</v>
      </c>
      <c r="AH217" s="279">
        <f>AH16/AH$19</f>
        <v>8.4252055858329511E-2</v>
      </c>
      <c r="AI217" s="871">
        <f>AI16/AI$19</f>
        <v>9.1406523462174469E-2</v>
      </c>
      <c r="AJ217" s="279"/>
      <c r="AK217" s="279">
        <f>AK16/AK$19</f>
        <v>9.064601137846956E-2</v>
      </c>
      <c r="AL217" s="279">
        <f>AL16/AL$19</f>
        <v>9.3901313293200214E-2</v>
      </c>
      <c r="AM217" s="279">
        <f>AM16/AM$19</f>
        <v>8.5200956416653262E-2</v>
      </c>
      <c r="AN217" s="279">
        <f>AN16/AN$19</f>
        <v>9.3999243912109384E-2</v>
      </c>
      <c r="AO217" s="871">
        <f>AO16/AO$19</f>
        <v>9.0983037264591962E-2</v>
      </c>
      <c r="AP217" s="279"/>
      <c r="AQ217" s="279">
        <f>AQ16/AQ$19</f>
        <v>8.9979888701327018E-2</v>
      </c>
      <c r="AR217" s="279">
        <f>AR16/AR$19</f>
        <v>8.8783892168452574E-2</v>
      </c>
      <c r="AS217" s="279">
        <f>AS16/AS$19</f>
        <v>8.3490363018876121E-2</v>
      </c>
      <c r="AT217" s="279">
        <f>AT16/AT$19</f>
        <v>8.1057935030716566E-2</v>
      </c>
      <c r="AU217" s="871">
        <f>AU16/AU$19</f>
        <v>8.5621892903677568E-2</v>
      </c>
      <c r="AV217" s="279"/>
      <c r="AW217" s="279">
        <f>AW16/AW$19</f>
        <v>7.5940234287888125E-2</v>
      </c>
      <c r="AX217" s="279">
        <f>AX16/AX$19</f>
        <v>7.1571626996054558E-2</v>
      </c>
      <c r="AY217" s="279">
        <f>AY16/AY$19</f>
        <v>7.1635370247678867E-2</v>
      </c>
      <c r="AZ217" s="279">
        <f>AZ16/AZ$19</f>
        <v>7.5286189199800041E-2</v>
      </c>
      <c r="BA217" s="871">
        <f>BA16/BA$19</f>
        <v>7.36153886807656E-2</v>
      </c>
      <c r="BB217" s="279"/>
      <c r="BC217" s="279">
        <f>BC16/BC$19</f>
        <v>6.9267780039436011E-2</v>
      </c>
      <c r="BD217" s="279">
        <f>BD16/BD$19</f>
        <v>6.445944438246122E-2</v>
      </c>
      <c r="BE217" s="279">
        <f>BE16/BE$19</f>
        <v>6.0917715987666834E-2</v>
      </c>
      <c r="BF217" s="279">
        <f>BF16/BF$19</f>
        <v>6.2015860195636804E-2</v>
      </c>
      <c r="BG217" s="872">
        <f>BG16/BG$19</f>
        <v>6.3962045428898842E-2</v>
      </c>
      <c r="BH217" s="279"/>
      <c r="BI217" s="279">
        <f>BI16/BI$19</f>
        <v>6.1185968863757122E-2</v>
      </c>
      <c r="BJ217" s="279">
        <f>BJ16/BJ$19</f>
        <v>6.7257995391958272E-2</v>
      </c>
      <c r="BK217" s="279">
        <f>BK16/BK$19</f>
        <v>6.0038339095608129E-2</v>
      </c>
      <c r="BL217" s="279">
        <f>BL16/BL$19</f>
        <v>5.9571491645210653E-2</v>
      </c>
      <c r="BM217" s="872">
        <f>BM16/BM$19</f>
        <v>6.190275128731515E-2</v>
      </c>
      <c r="BN217" s="279"/>
      <c r="BO217" s="279">
        <f>BO16/BO$19</f>
        <v>5.7870466894906589E-2</v>
      </c>
      <c r="BP217" s="279">
        <f>BP16/BP$19</f>
        <v>6.0351343335397163E-2</v>
      </c>
      <c r="BQ217" s="279">
        <f>BQ16/BQ$19</f>
        <v>6.0626739286502501E-2</v>
      </c>
      <c r="BR217" s="279">
        <f>BR16/BR$19</f>
        <v>5.8927901797213543E-2</v>
      </c>
      <c r="BS217" s="872">
        <f>BS16/BS$19</f>
        <v>5.9467345530367727E-2</v>
      </c>
      <c r="BT217" s="279"/>
      <c r="BU217" s="279">
        <f>BU16/BU$19</f>
        <v>5.6475617639052102E-2</v>
      </c>
      <c r="BV217" s="279">
        <f>BV16/BV$19</f>
        <v>5.6681997797499509E-2</v>
      </c>
      <c r="BW217" s="279">
        <f>BW16/BW$19</f>
        <v>6.6501616119936727E-2</v>
      </c>
      <c r="BX217" s="279">
        <f>BX16/BX$19</f>
        <v>6.1332888594724959E-2</v>
      </c>
      <c r="BY217" s="872">
        <f>BY16/BY$19</f>
        <v>6.0540608788546696E-2</v>
      </c>
      <c r="BZ217" s="279"/>
      <c r="CA217" s="279">
        <f>CA16/CA$19</f>
        <v>6.4776502887252077E-2</v>
      </c>
      <c r="CB217" s="279">
        <f>CB16/CB$19</f>
        <v>6.51958096425546E-2</v>
      </c>
      <c r="CC217" s="279">
        <f>CC16/CC$19</f>
        <v>6.8761360310192934E-2</v>
      </c>
      <c r="CD217" s="279">
        <f>CD16/CD$19</f>
        <v>6.8703759082048552E-2</v>
      </c>
      <c r="CE217" s="872">
        <f>CE16/CE$19</f>
        <v>6.6961243385701835E-2</v>
      </c>
      <c r="CF217" s="279"/>
      <c r="CG217" s="279">
        <f>CG16/CG$19</f>
        <v>7.0065055682131755E-2</v>
      </c>
      <c r="CH217" s="279">
        <f>CH16/CH$19</f>
        <v>6.9349794822730265E-2</v>
      </c>
      <c r="CI217" s="279">
        <f>CI16/CI$19</f>
        <v>6.7544526267153515E-2</v>
      </c>
      <c r="CJ217" s="279">
        <f>CJ16/CJ$19</f>
        <v>7.0044290974125095E-2</v>
      </c>
      <c r="CK217" s="872">
        <f>CK16/CK$19</f>
        <v>6.923684488398156E-2</v>
      </c>
      <c r="CL217" s="279"/>
      <c r="CM217" s="279">
        <f>CM16/CM$19</f>
        <v>7.3625054327891598E-2</v>
      </c>
      <c r="CN217" s="279">
        <f>CN16/CN$19</f>
        <v>7.3915677854168041E-2</v>
      </c>
      <c r="CO217" s="279">
        <f>CO16/CO$19</f>
        <v>7.4970101758925767E-2</v>
      </c>
      <c r="CP217" s="279">
        <f>CP16/CP$19</f>
        <v>7.992064474618002E-2</v>
      </c>
      <c r="CQ217" s="872">
        <f>CQ16/CQ$19</f>
        <v>7.5760273136841055E-2</v>
      </c>
      <c r="CR217" s="279"/>
      <c r="CS217" s="279">
        <f>CS16/CS$19</f>
        <v>7.8184219244682593E-2</v>
      </c>
      <c r="CT217" s="279">
        <f>CT16/CT$19</f>
        <v>7.5378993273315903E-2</v>
      </c>
      <c r="CU217" s="279">
        <f>CU16/CU$19</f>
        <v>7.2284139245574655E-2</v>
      </c>
      <c r="CV217" s="279">
        <f>CV16/CV$19</f>
        <v>6.8748787707343689E-2</v>
      </c>
      <c r="CW217" s="872">
        <f>CW16/CW$19</f>
        <v>7.3423007530907414E-2</v>
      </c>
      <c r="CX217" s="279"/>
      <c r="CY217" s="279">
        <f>CY16/CY$19</f>
        <v>7.804694073335805E-2</v>
      </c>
      <c r="CZ217" s="279">
        <f>CZ16/CZ$19</f>
        <v>7.5509533216110855E-2</v>
      </c>
      <c r="DA217" s="279">
        <f>DA16/DA$19</f>
        <v>7.2368375868365642E-2</v>
      </c>
      <c r="DB217" s="279">
        <f>DB16/DB$19</f>
        <v>6.7621260297639499E-2</v>
      </c>
      <c r="DC217" s="872">
        <f>DC16/DC$19</f>
        <v>7.3179292778927735E-2</v>
      </c>
      <c r="DD217" s="279"/>
      <c r="DE217" s="279">
        <f>DE16/DE$19</f>
        <v>7.7067333175069364E-2</v>
      </c>
      <c r="DF217" s="279">
        <f>DF16/DF$19</f>
        <v>7.5175251745818836E-2</v>
      </c>
      <c r="DG217" s="279">
        <f>DG16/DG$19</f>
        <v>7.2204051330201191E-2</v>
      </c>
      <c r="DH217" s="279">
        <f>DH16/DH$19</f>
        <v>6.6414358991215103E-2</v>
      </c>
      <c r="DI217" s="872">
        <f>DI16/DI$19</f>
        <v>7.2513314846747362E-2</v>
      </c>
      <c r="DJ217" s="279"/>
      <c r="DK217" s="279">
        <f>DK16/DK$19</f>
        <v>7.6208227454556979E-2</v>
      </c>
      <c r="DL217" s="279">
        <f>DL16/DL$19</f>
        <v>7.4769928154642187E-2</v>
      </c>
      <c r="DM217" s="279">
        <f>DM16/DM$19</f>
        <v>7.2254190342377594E-2</v>
      </c>
      <c r="DN217" s="279">
        <f>DN16/DN$19</f>
        <v>6.5380507892539699E-2</v>
      </c>
      <c r="DO217" s="872">
        <f>DO16/DO$19</f>
        <v>7.1956032334299258E-2</v>
      </c>
      <c r="DP217" s="260"/>
    </row>
    <row r="218" spans="1:120" ht="5.25" customHeight="1">
      <c r="A218" s="255"/>
      <c r="B218" s="744"/>
      <c r="C218" s="744"/>
      <c r="D218" s="744"/>
      <c r="E218" s="744"/>
      <c r="F218" s="669"/>
      <c r="G218" s="744"/>
      <c r="H218" s="744"/>
      <c r="I218" s="744"/>
      <c r="J218" s="744"/>
      <c r="K218" s="744"/>
      <c r="L218" s="669"/>
      <c r="M218" s="744"/>
      <c r="N218" s="744"/>
      <c r="O218" s="744"/>
      <c r="P218" s="744"/>
      <c r="Q218" s="744"/>
      <c r="R218" s="669"/>
      <c r="S218" s="744"/>
      <c r="T218" s="744"/>
      <c r="U218" s="744"/>
      <c r="V218" s="744"/>
      <c r="W218" s="744"/>
      <c r="X218" s="669"/>
      <c r="Y218" s="744"/>
      <c r="Z218" s="744"/>
      <c r="AA218" s="744"/>
      <c r="AB218" s="744"/>
      <c r="AC218" s="744"/>
      <c r="AD218" s="744"/>
      <c r="AE218" s="744"/>
      <c r="AF218" s="744"/>
      <c r="AG218" s="744"/>
      <c r="AH218" s="744"/>
      <c r="AI218" s="879"/>
      <c r="AJ218" s="744"/>
      <c r="AK218" s="744"/>
      <c r="AL218" s="744"/>
      <c r="AM218" s="744"/>
      <c r="AN218" s="744"/>
      <c r="AO218" s="879"/>
      <c r="AP218" s="744"/>
      <c r="AQ218" s="744"/>
      <c r="AR218" s="744"/>
      <c r="AS218" s="744"/>
      <c r="AT218" s="744"/>
      <c r="AU218" s="879"/>
      <c r="AV218" s="744"/>
      <c r="AW218" s="744"/>
      <c r="AX218" s="744"/>
      <c r="AY218" s="744"/>
      <c r="AZ218" s="744"/>
      <c r="BA218" s="879"/>
      <c r="BB218" s="744"/>
      <c r="BC218" s="744"/>
      <c r="BD218" s="744"/>
      <c r="BE218" s="744"/>
      <c r="BF218" s="744"/>
      <c r="BG218" s="880"/>
      <c r="BH218" s="744"/>
      <c r="BI218" s="744"/>
      <c r="BJ218" s="744"/>
      <c r="BK218" s="744"/>
      <c r="BL218" s="744"/>
      <c r="BM218" s="880"/>
      <c r="BN218" s="744"/>
      <c r="BO218" s="744"/>
      <c r="BP218" s="744"/>
      <c r="BQ218" s="744"/>
      <c r="BR218" s="744"/>
      <c r="BS218" s="880"/>
      <c r="BT218" s="744"/>
      <c r="BU218" s="744"/>
      <c r="BV218" s="744"/>
      <c r="BW218" s="744"/>
      <c r="BX218" s="744"/>
      <c r="BY218" s="880"/>
      <c r="BZ218" s="744"/>
      <c r="CA218" s="744"/>
      <c r="CB218" s="744"/>
      <c r="CC218" s="744"/>
      <c r="CD218" s="744"/>
      <c r="CE218" s="880"/>
      <c r="CF218" s="744"/>
      <c r="CG218" s="744"/>
      <c r="CH218" s="744"/>
      <c r="CI218" s="744"/>
      <c r="CJ218" s="744"/>
      <c r="CK218" s="880"/>
      <c r="CL218" s="744"/>
      <c r="CM218" s="744"/>
      <c r="CN218" s="744"/>
      <c r="CO218" s="744"/>
      <c r="CP218" s="744"/>
      <c r="CQ218" s="880"/>
      <c r="CR218" s="744"/>
      <c r="CS218" s="744"/>
      <c r="CT218" s="744"/>
      <c r="CU218" s="744"/>
      <c r="CV218" s="744"/>
      <c r="CW218" s="880"/>
      <c r="CX218" s="744"/>
      <c r="CY218" s="744"/>
      <c r="CZ218" s="744"/>
      <c r="DA218" s="744"/>
      <c r="DB218" s="744"/>
      <c r="DC218" s="880"/>
      <c r="DD218" s="744"/>
      <c r="DE218" s="744"/>
      <c r="DF218" s="744"/>
      <c r="DG218" s="744"/>
      <c r="DH218" s="744"/>
      <c r="DI218" s="880"/>
      <c r="DJ218" s="744"/>
      <c r="DK218" s="744"/>
      <c r="DL218" s="744"/>
      <c r="DM218" s="744"/>
      <c r="DN218" s="744"/>
      <c r="DO218" s="880"/>
      <c r="DP218" s="669"/>
    </row>
    <row r="219" spans="1:120">
      <c r="A219" s="260" t="s">
        <v>256</v>
      </c>
      <c r="B219" s="869"/>
      <c r="C219" s="268" t="s">
        <v>88</v>
      </c>
      <c r="D219" s="875">
        <f>D24/D19</f>
        <v>0.31830726770929157</v>
      </c>
      <c r="E219" s="875">
        <f>E24/E19</f>
        <v>0.16591548038734436</v>
      </c>
      <c r="F219" s="260"/>
      <c r="G219" s="875">
        <f>G24/G19</f>
        <v>0.15517056999251416</v>
      </c>
      <c r="H219" s="875">
        <f>H24/H19</f>
        <v>0.12766136497517461</v>
      </c>
      <c r="I219" s="875">
        <f>I24/I19</f>
        <v>0.16573884856599252</v>
      </c>
      <c r="J219" s="875">
        <f>J24/J19</f>
        <v>0.12071180778620069</v>
      </c>
      <c r="K219" s="875">
        <f>K24/K19</f>
        <v>0.14118177717636446</v>
      </c>
      <c r="L219" s="260"/>
      <c r="M219" s="875">
        <f>M24/M19</f>
        <v>8.4439274573044995E-2</v>
      </c>
      <c r="N219" s="875">
        <f>N24/N19</f>
        <v>8.4123387134070207E-2</v>
      </c>
      <c r="O219" s="875">
        <f>O24/O19</f>
        <v>8.4257293386805057E-2</v>
      </c>
      <c r="P219" s="875">
        <f>P24/P19</f>
        <v>7.3969320866469235E-2</v>
      </c>
      <c r="Q219" s="875">
        <f>Q24/Q19</f>
        <v>8.1043083427928722E-2</v>
      </c>
      <c r="R219" s="260"/>
      <c r="S219" s="875">
        <f>S24/S19</f>
        <v>6.5501306007635124E-2</v>
      </c>
      <c r="T219" s="875">
        <f>T24/T19</f>
        <v>6.6508957393854262E-2</v>
      </c>
      <c r="U219" s="875">
        <f>U24/U19</f>
        <v>7.6486702185026192E-2</v>
      </c>
      <c r="V219" s="875">
        <f>V24/V19</f>
        <v>7.6931530937465673E-2</v>
      </c>
      <c r="W219" s="875">
        <f>W24/W19</f>
        <v>7.215875265768959E-2</v>
      </c>
      <c r="X219" s="260"/>
      <c r="Y219" s="875">
        <f>Y24/Y19</f>
        <v>8.3145051965657496E-2</v>
      </c>
      <c r="Z219" s="875">
        <f>Z24/Z19</f>
        <v>0.11137984237521369</v>
      </c>
      <c r="AA219" s="875">
        <f>AA24/AA19</f>
        <v>0.12179308843274105</v>
      </c>
      <c r="AB219" s="875">
        <f>AB24/AB19</f>
        <v>0.12122243696740755</v>
      </c>
      <c r="AC219" s="875">
        <f>AC24/AC19</f>
        <v>0.11120290972932674</v>
      </c>
      <c r="AD219" s="279"/>
      <c r="AE219" s="875">
        <f>AE24/AE19</f>
        <v>0.11576524081539079</v>
      </c>
      <c r="AF219" s="875">
        <f>AF24/AF19</f>
        <v>0.12944293489761888</v>
      </c>
      <c r="AG219" s="875">
        <f>AG24/AG19</f>
        <v>0.12785556657670336</v>
      </c>
      <c r="AH219" s="875">
        <f>AH24/AH19</f>
        <v>0.11281912606953169</v>
      </c>
      <c r="AI219" s="676">
        <f>AI24/AI19</f>
        <v>0.12132416545630843</v>
      </c>
      <c r="AJ219" s="279"/>
      <c r="AK219" s="875">
        <f>AK24/AK19</f>
        <v>0.12119794103883949</v>
      </c>
      <c r="AL219" s="875">
        <f>AL24/AL19</f>
        <v>0.11821904076928741</v>
      </c>
      <c r="AM219" s="875">
        <f>AM24/AM19</f>
        <v>0.11611333848539701</v>
      </c>
      <c r="AN219" s="875">
        <f>AN24/AN19</f>
        <v>0.10844328879791244</v>
      </c>
      <c r="AO219" s="676">
        <f>AO24/AO19</f>
        <v>0.11549085080806731</v>
      </c>
      <c r="AP219" s="279"/>
      <c r="AQ219" s="875">
        <f>AQ24/AQ19</f>
        <v>0.11069291096913844</v>
      </c>
      <c r="AR219" s="875">
        <f>AR24/AR19</f>
        <v>0.11163271589686669</v>
      </c>
      <c r="AS219" s="875">
        <f>AS24/AS19</f>
        <v>0.10822932000419551</v>
      </c>
      <c r="AT219" s="875">
        <f>AT24/AT19</f>
        <v>0.11181595604714364</v>
      </c>
      <c r="AU219" s="676">
        <f>AU24/AU19</f>
        <v>0.11059196540762224</v>
      </c>
      <c r="AV219" s="279"/>
      <c r="AW219" s="875">
        <f>AW24/AW19</f>
        <v>0.11389067439755482</v>
      </c>
      <c r="AX219" s="875">
        <f>AX24/AX19</f>
        <v>0.11634146572971672</v>
      </c>
      <c r="AY219" s="875">
        <f>AY24/AY19</f>
        <v>0.11660903527162386</v>
      </c>
      <c r="AZ219" s="875">
        <f>AZ24/AZ19</f>
        <v>0.11162296744235969</v>
      </c>
      <c r="BA219" s="676">
        <f>BA24/BA19</f>
        <v>0.11455725143479961</v>
      </c>
      <c r="BB219" s="279"/>
      <c r="BC219" s="875">
        <f>BC24/BC19</f>
        <v>0.11027485782072276</v>
      </c>
      <c r="BD219" s="875">
        <f>BD24/BD19</f>
        <v>0.11612132707190166</v>
      </c>
      <c r="BE219" s="875">
        <f>BE24/BE19</f>
        <v>0.12056296275580476</v>
      </c>
      <c r="BF219" s="875">
        <f>BF24/BF19</f>
        <v>0.12124972913342395</v>
      </c>
      <c r="BG219" s="881">
        <f>BG24/BG19</f>
        <v>0.11735587660419557</v>
      </c>
      <c r="BH219" s="279"/>
      <c r="BI219" s="875">
        <f>BI24/BI19</f>
        <v>0.13115131135449792</v>
      </c>
      <c r="BJ219" s="875">
        <f>BJ24/BJ19</f>
        <v>0.13327973157607484</v>
      </c>
      <c r="BK219" s="875">
        <f>BK24/BK19</f>
        <v>0.13493478930613081</v>
      </c>
      <c r="BL219" s="875">
        <f>BL24/BL19</f>
        <v>0.13124116769238803</v>
      </c>
      <c r="BM219" s="881">
        <f>BM24/BM19</f>
        <v>0.13266438389103383</v>
      </c>
      <c r="BN219" s="279"/>
      <c r="BO219" s="875">
        <f>BO24/BO19</f>
        <v>0.13127294321657246</v>
      </c>
      <c r="BP219" s="875">
        <f>BP24/BP19</f>
        <v>0.13784068590266643</v>
      </c>
      <c r="BQ219" s="875">
        <f>BQ24/BQ19</f>
        <v>0.14071065629288759</v>
      </c>
      <c r="BR219" s="875">
        <f>BR24/BR19</f>
        <v>0.13640540517874494</v>
      </c>
      <c r="BS219" s="881">
        <f>BS24/BS19</f>
        <v>0.13669224426635018</v>
      </c>
      <c r="BT219" s="279"/>
      <c r="BU219" s="875">
        <f>BU24/BU19</f>
        <v>0.14815159197564956</v>
      </c>
      <c r="BV219" s="875">
        <f>BV24/BV19</f>
        <v>0.14456051338739975</v>
      </c>
      <c r="BW219" s="875">
        <f>BW24/BW19</f>
        <v>0.15330835271004448</v>
      </c>
      <c r="BX219" s="875">
        <f>BX24/BX19</f>
        <v>0.14578228880882818</v>
      </c>
      <c r="BY219" s="881">
        <f>BY24/BY19</f>
        <v>0.14800382117134275</v>
      </c>
      <c r="BZ219" s="279"/>
      <c r="CA219" s="875">
        <f>CA24/CA19</f>
        <v>0.14695069662496374</v>
      </c>
      <c r="CB219" s="875">
        <f>CB24/CB19</f>
        <v>0.14989712191640672</v>
      </c>
      <c r="CC219" s="875">
        <f>CC24/CC19</f>
        <v>0.15783920124597534</v>
      </c>
      <c r="CD219" s="875">
        <f>CD24/CD19</f>
        <v>0.16476511275031011</v>
      </c>
      <c r="CE219" s="881">
        <f>CE24/CE19</f>
        <v>0.15526652034600358</v>
      </c>
      <c r="CF219" s="279"/>
      <c r="CG219" s="875">
        <f>CG24/CG19</f>
        <v>0.1684466375986241</v>
      </c>
      <c r="CH219" s="875">
        <f>CH24/CH19</f>
        <v>0.16633061802770446</v>
      </c>
      <c r="CI219" s="875">
        <f>CI24/CI19</f>
        <v>0.16516030974896129</v>
      </c>
      <c r="CJ219" s="875">
        <f>CJ24/CJ19</f>
        <v>0.1651659833823183</v>
      </c>
      <c r="CK219" s="881">
        <f>CK24/CK19</f>
        <v>0.16619365564277502</v>
      </c>
      <c r="CL219" s="279"/>
      <c r="CM219" s="875">
        <f>CM24/CM19</f>
        <v>0.16362960926180331</v>
      </c>
      <c r="CN219" s="875">
        <f>CN24/CN19</f>
        <v>0.16468429523847869</v>
      </c>
      <c r="CO219" s="875">
        <f>CO24/CO19</f>
        <v>0.17468499026704432</v>
      </c>
      <c r="CP219" s="875">
        <f>CP24/CP19</f>
        <v>0.17655061839905006</v>
      </c>
      <c r="CQ219" s="881">
        <f>CQ24/CQ19</f>
        <v>0.17024305575415777</v>
      </c>
      <c r="CR219" s="279"/>
      <c r="CS219" s="875">
        <f>CS24/CS19</f>
        <v>0.17563188485072118</v>
      </c>
      <c r="CT219" s="875">
        <f>CT24/CT19</f>
        <v>0.16954124959156211</v>
      </c>
      <c r="CU219" s="875">
        <f>CU24/CU19</f>
        <v>0.17606455009830807</v>
      </c>
      <c r="CV219" s="875">
        <f>CV24/CV19</f>
        <v>0.17300402700382989</v>
      </c>
      <c r="CW219" s="881">
        <f>CW24/CW19</f>
        <v>0.17353892342871366</v>
      </c>
      <c r="CX219" s="279"/>
      <c r="CY219" s="875">
        <f>CY24/CY19</f>
        <v>0.17104827497957897</v>
      </c>
      <c r="CZ219" s="875">
        <f>CZ24/CZ19</f>
        <v>0.16489486106663886</v>
      </c>
      <c r="DA219" s="875">
        <f>DA24/DA19</f>
        <v>0.17141040531220539</v>
      </c>
      <c r="DB219" s="875">
        <f>DB24/DB19</f>
        <v>0.16855160071847269</v>
      </c>
      <c r="DC219" s="881">
        <f>DC24/DC19</f>
        <v>0.16896098575993912</v>
      </c>
      <c r="DD219" s="279"/>
      <c r="DE219" s="875">
        <f>DE24/DE19</f>
        <v>0.16753828912164681</v>
      </c>
      <c r="DF219" s="875">
        <f>DF24/DF19</f>
        <v>0.1612551855079154</v>
      </c>
      <c r="DG219" s="875">
        <f>DG24/DG19</f>
        <v>0.16772958587225148</v>
      </c>
      <c r="DH219" s="875">
        <f>DH24/DH19</f>
        <v>0.16503543681772628</v>
      </c>
      <c r="DI219" s="881">
        <f>DI24/DI19</f>
        <v>0.16537423336093396</v>
      </c>
      <c r="DJ219" s="279"/>
      <c r="DK219" s="875">
        <f>DK24/DK19</f>
        <v>0.16399907393105961</v>
      </c>
      <c r="DL219" s="875">
        <f>DL24/DL19</f>
        <v>0.15762493864380611</v>
      </c>
      <c r="DM219" s="875">
        <f>DM24/DM19</f>
        <v>0.16400953836064103</v>
      </c>
      <c r="DN219" s="875">
        <f>DN24/DN19</f>
        <v>0.16147971880208442</v>
      </c>
      <c r="DO219" s="881">
        <f>DO24/DO19</f>
        <v>0.16176284894090506</v>
      </c>
      <c r="DP219" s="260"/>
    </row>
    <row r="220" spans="1:120">
      <c r="A220" s="260" t="s">
        <v>2</v>
      </c>
      <c r="B220" s="869"/>
      <c r="C220" s="268" t="s">
        <v>88</v>
      </c>
      <c r="D220" s="875">
        <f>D25/D19</f>
        <v>0.31131554737810485</v>
      </c>
      <c r="E220" s="875">
        <f>E25/E19</f>
        <v>0.10393145611138381</v>
      </c>
      <c r="F220" s="260"/>
      <c r="G220" s="875">
        <f>G25/G19</f>
        <v>3.1226606780023522E-2</v>
      </c>
      <c r="H220" s="875">
        <f>H25/H19</f>
        <v>5.3437684086510139E-2</v>
      </c>
      <c r="I220" s="875">
        <f>I25/I19</f>
        <v>6.0531322669297442E-2</v>
      </c>
      <c r="J220" s="875">
        <f>J25/J19</f>
        <v>8.8526275215212627E-2</v>
      </c>
      <c r="K220" s="875">
        <f>K25/K19</f>
        <v>6.205016571551842E-2</v>
      </c>
      <c r="L220" s="260"/>
      <c r="M220" s="875">
        <f>M25/M19</f>
        <v>9.2951937820546712E-2</v>
      </c>
      <c r="N220" s="875">
        <f>N25/N19</f>
        <v>9.2910326966655882E-2</v>
      </c>
      <c r="O220" s="875">
        <f>O25/O19</f>
        <v>9.9276558936856163E-2</v>
      </c>
      <c r="P220" s="875">
        <f>P25/P19</f>
        <v>0.10644528000532393</v>
      </c>
      <c r="Q220" s="875">
        <f>Q25/Q19</f>
        <v>9.8840902700394695E-2</v>
      </c>
      <c r="R220" s="260"/>
      <c r="S220" s="875">
        <f>S25/S19</f>
        <v>0.11713883865782601</v>
      </c>
      <c r="T220" s="875">
        <f>T25/T19</f>
        <v>0.13511249106724821</v>
      </c>
      <c r="U220" s="875">
        <f>U25/U19</f>
        <v>0.11559284743642284</v>
      </c>
      <c r="V220" s="875">
        <f>V25/V19</f>
        <v>0.10631204894310732</v>
      </c>
      <c r="W220" s="875">
        <f>W25/W19</f>
        <v>0.11751665485471297</v>
      </c>
      <c r="X220" s="260"/>
      <c r="Y220" s="875">
        <f>Y25/Y19</f>
        <v>0.10329245679916481</v>
      </c>
      <c r="Z220" s="875">
        <f>Z25/Z19</f>
        <v>0.11431271979205758</v>
      </c>
      <c r="AA220" s="875">
        <f>AA25/AA19</f>
        <v>0.1150919889202037</v>
      </c>
      <c r="AB220" s="875">
        <f>AB25/AB19</f>
        <v>0.11311824650795047</v>
      </c>
      <c r="AC220" s="875">
        <f>AC25/AC19</f>
        <v>0.11188709630571522</v>
      </c>
      <c r="AD220" s="279"/>
      <c r="AE220" s="875">
        <f>AE25/AE19</f>
        <v>0.10706302657470913</v>
      </c>
      <c r="AF220" s="875">
        <f>AF25/AF19</f>
        <v>0.1008490142800308</v>
      </c>
      <c r="AG220" s="875">
        <f>AG25/AG19</f>
        <v>0.10325021337454729</v>
      </c>
      <c r="AH220" s="875">
        <f>AH25/AH19</f>
        <v>0.11051018568595636</v>
      </c>
      <c r="AI220" s="676">
        <f>AI25/AI19</f>
        <v>0.10558883761350882</v>
      </c>
      <c r="AJ220" s="279"/>
      <c r="AK220" s="875">
        <f>AK25/AK19</f>
        <v>0.10595891929167794</v>
      </c>
      <c r="AL220" s="875">
        <f>AL25/AL19</f>
        <v>9.668193839584549E-2</v>
      </c>
      <c r="AM220" s="875">
        <f>AM25/AM19</f>
        <v>9.5330466849582213E-2</v>
      </c>
      <c r="AN220" s="875">
        <f>AN25/AN19</f>
        <v>9.0988723225729096E-2</v>
      </c>
      <c r="AO220" s="676">
        <f>AO25/AO19</f>
        <v>9.6696941365032721E-2</v>
      </c>
      <c r="AP220" s="279"/>
      <c r="AQ220" s="875">
        <f>AQ25/AQ19</f>
        <v>8.0416925798192401E-2</v>
      </c>
      <c r="AR220" s="875">
        <f>AR25/AR19</f>
        <v>7.8935064638869984E-2</v>
      </c>
      <c r="AS220" s="875">
        <f>AS25/AS19</f>
        <v>7.6339936416540383E-2</v>
      </c>
      <c r="AT220" s="875">
        <f>AT25/AT19</f>
        <v>7.0971016945055462E-2</v>
      </c>
      <c r="AU220" s="676">
        <f>AU25/AU19</f>
        <v>7.6467654622300596E-2</v>
      </c>
      <c r="AV220" s="279"/>
      <c r="AW220" s="875">
        <f>AW25/AW19</f>
        <v>7.5809054059372175E-2</v>
      </c>
      <c r="AX220" s="875">
        <f>AX25/AX19</f>
        <v>6.4398960960067836E-2</v>
      </c>
      <c r="AY220" s="875">
        <f>AY25/AY19</f>
        <v>6.6041645867934859E-2</v>
      </c>
      <c r="AZ220" s="875">
        <f>AZ25/AZ19</f>
        <v>6.3220062759674511E-2</v>
      </c>
      <c r="BA220" s="676">
        <f>BA25/BA19</f>
        <v>6.7160035018838313E-2</v>
      </c>
      <c r="BB220" s="279"/>
      <c r="BC220" s="875">
        <f>BC25/BC19</f>
        <v>6.4886296385740422E-2</v>
      </c>
      <c r="BD220" s="875">
        <f>BD25/BD19</f>
        <v>6.3183998864016711E-2</v>
      </c>
      <c r="BE220" s="875">
        <f>BE25/BE19</f>
        <v>5.5639066203357367E-2</v>
      </c>
      <c r="BF220" s="875">
        <f>BF25/BF19</f>
        <v>6.0529650861191553E-2</v>
      </c>
      <c r="BG220" s="881">
        <f>BG25/BG19</f>
        <v>6.08856589579993E-2</v>
      </c>
      <c r="BH220" s="279"/>
      <c r="BI220" s="875">
        <f>BI25/BI19</f>
        <v>4.7925704451546897E-2</v>
      </c>
      <c r="BJ220" s="875">
        <f>BJ25/BJ19</f>
        <v>5.0159156926165113E-2</v>
      </c>
      <c r="BK220" s="875">
        <f>BK25/BK19</f>
        <v>4.8130969089104171E-2</v>
      </c>
      <c r="BL220" s="875">
        <f>BL25/BL19</f>
        <v>4.9052638575246908E-2</v>
      </c>
      <c r="BM220" s="881">
        <f>BM25/BM19</f>
        <v>4.8830838560465981E-2</v>
      </c>
      <c r="BN220" s="279"/>
      <c r="BO220" s="875">
        <f>BO25/BO19</f>
        <v>5.1122483165987748E-2</v>
      </c>
      <c r="BP220" s="875">
        <f>BP25/BP19</f>
        <v>4.925175869850161E-2</v>
      </c>
      <c r="BQ220" s="875">
        <f>BQ25/BQ19</f>
        <v>5.4197245553641686E-2</v>
      </c>
      <c r="BR220" s="875">
        <f>BR25/BR19</f>
        <v>4.9500348037154314E-2</v>
      </c>
      <c r="BS220" s="881">
        <f>BS25/BS19</f>
        <v>5.1024606623510951E-2</v>
      </c>
      <c r="BT220" s="279"/>
      <c r="BU220" s="875">
        <f>BU25/BU19</f>
        <v>5.0150509783976172E-2</v>
      </c>
      <c r="BV220" s="875">
        <f>BV25/BV19</f>
        <v>4.8927273601130084E-2</v>
      </c>
      <c r="BW220" s="875">
        <f>BW25/BW19</f>
        <v>5.3213002563116028E-2</v>
      </c>
      <c r="BX220" s="875">
        <f>BX25/BX19</f>
        <v>5.4212996030533291E-2</v>
      </c>
      <c r="BY220" s="881">
        <f>BY25/BY19</f>
        <v>5.1815240617607006E-2</v>
      </c>
      <c r="BZ220" s="279"/>
      <c r="CA220" s="875">
        <f>CA25/CA19</f>
        <v>5.8322165814022497E-2</v>
      </c>
      <c r="CB220" s="875">
        <f>CB25/CB19</f>
        <v>5.7590491380310659E-2</v>
      </c>
      <c r="CC220" s="875">
        <f>CC25/CC19</f>
        <v>5.806866596080671E-2</v>
      </c>
      <c r="CD220" s="875">
        <f>CD25/CD19</f>
        <v>5.7447418261563001E-2</v>
      </c>
      <c r="CE220" s="881">
        <f>CE25/CE19</f>
        <v>5.7842193276519627E-2</v>
      </c>
      <c r="CF220" s="279"/>
      <c r="CG220" s="875">
        <f>CG25/CG19</f>
        <v>6.0999214514345541E-2</v>
      </c>
      <c r="CH220" s="875">
        <f>CH25/CH19</f>
        <v>5.8914750496120355E-2</v>
      </c>
      <c r="CI220" s="875">
        <f>CI25/CI19</f>
        <v>6.0235974174735848E-2</v>
      </c>
      <c r="CJ220" s="875">
        <f>CJ25/CJ19</f>
        <v>5.777004285403211E-2</v>
      </c>
      <c r="CK220" s="881">
        <f>CK25/CK19</f>
        <v>5.9415804137739052E-2</v>
      </c>
      <c r="CL220" s="279"/>
      <c r="CM220" s="875">
        <f>CM25/CM19</f>
        <v>7.0186157488013948E-2</v>
      </c>
      <c r="CN220" s="875">
        <f>CN25/CN19</f>
        <v>6.9301655980650273E-2</v>
      </c>
      <c r="CO220" s="875">
        <f>CO25/CO19</f>
        <v>6.8713967665605932E-2</v>
      </c>
      <c r="CP220" s="875">
        <f>CP25/CP19</f>
        <v>6.4164677408948961E-2</v>
      </c>
      <c r="CQ220" s="881">
        <f>CQ25/CQ19</f>
        <v>6.7949247758336995E-2</v>
      </c>
      <c r="CR220" s="279"/>
      <c r="CS220" s="875">
        <f>CS25/CS19</f>
        <v>6.5390087615949055E-2</v>
      </c>
      <c r="CT220" s="875">
        <f>CT25/CT19</f>
        <v>6.2729423026098255E-2</v>
      </c>
      <c r="CU220" s="875">
        <f>CU25/CU19</f>
        <v>6.3279500537531896E-2</v>
      </c>
      <c r="CV220" s="875">
        <f>CV25/CV19</f>
        <v>6.066040617986021E-2</v>
      </c>
      <c r="CW220" s="881">
        <f>CW25/CW19</f>
        <v>6.2913382160249456E-2</v>
      </c>
      <c r="CX220" s="279"/>
      <c r="CY220" s="875">
        <f>CY25/CY19</f>
        <v>6.6836212290754995E-2</v>
      </c>
      <c r="CZ220" s="875">
        <f>CZ25/CZ19</f>
        <v>6.434824734202281E-2</v>
      </c>
      <c r="DA220" s="875">
        <f>DA25/DA19</f>
        <v>6.3353243567092959E-2</v>
      </c>
      <c r="DB220" s="875">
        <f>DB25/DB19</f>
        <v>5.966553379108825E-2</v>
      </c>
      <c r="DC220" s="881">
        <f>DC25/DC19</f>
        <v>6.3413750215097098E-2</v>
      </c>
      <c r="DD220" s="279"/>
      <c r="DE220" s="875">
        <f>DE25/DE19</f>
        <v>6.5997316388978447E-2</v>
      </c>
      <c r="DF220" s="875">
        <f>DF25/DF19</f>
        <v>6.4063376997630095E-2</v>
      </c>
      <c r="DG220" s="875">
        <f>DG25/DG19</f>
        <v>6.3209389399226615E-2</v>
      </c>
      <c r="DH220" s="875">
        <f>DH25/DH19</f>
        <v>5.8600625944591235E-2</v>
      </c>
      <c r="DI220" s="881">
        <f>DI25/DI19</f>
        <v>6.2833121027915537E-2</v>
      </c>
      <c r="DJ220" s="279"/>
      <c r="DK220" s="875">
        <f>DK25/DK19</f>
        <v>6.5261613339290231E-2</v>
      </c>
      <c r="DL220" s="875">
        <f>DL25/DL19</f>
        <v>6.371796547688946E-2</v>
      </c>
      <c r="DM220" s="875">
        <f>DM25/DM19</f>
        <v>6.3253282453513235E-2</v>
      </c>
      <c r="DN220" s="875">
        <f>DN25/DN19</f>
        <v>5.7688408730782161E-2</v>
      </c>
      <c r="DO220" s="881">
        <f>DO25/DO19</f>
        <v>6.234835700097173E-2</v>
      </c>
      <c r="DP220" s="260"/>
    </row>
    <row r="221" spans="1:120">
      <c r="A221" s="260" t="s">
        <v>3</v>
      </c>
      <c r="B221" s="869"/>
      <c r="C221" s="268" t="s">
        <v>88</v>
      </c>
      <c r="D221" s="279">
        <f>SUM(D24:D25)/D19</f>
        <v>0.62962281508739637</v>
      </c>
      <c r="E221" s="279">
        <f>SUM(E24:E25)/E19</f>
        <v>0.26984693649872821</v>
      </c>
      <c r="F221" s="260"/>
      <c r="G221" s="279">
        <f>SUM(G24:G25)/G19</f>
        <v>0.1863971767725377</v>
      </c>
      <c r="H221" s="279">
        <f>SUM(H24:H25)/H19</f>
        <v>0.18109904906168475</v>
      </c>
      <c r="I221" s="279">
        <f>SUM(I24:I25)/I19</f>
        <v>0.22627017123528997</v>
      </c>
      <c r="J221" s="279">
        <f>SUM(J24:J25)/J19</f>
        <v>0.20923808300141331</v>
      </c>
      <c r="K221" s="279">
        <f>SUM(K24:K25)/K19</f>
        <v>0.20323194289188287</v>
      </c>
      <c r="L221" s="260"/>
      <c r="M221" s="279">
        <f>SUM(M24:M25)/M19</f>
        <v>0.17739121239359171</v>
      </c>
      <c r="N221" s="279">
        <f>SUM(N24:N25)/N19</f>
        <v>0.1770337141007261</v>
      </c>
      <c r="O221" s="279">
        <f>SUM(O24:O25)/O19</f>
        <v>0.18353385232366121</v>
      </c>
      <c r="P221" s="279">
        <f>SUM(P24:P25)/P19</f>
        <v>0.18041460087179315</v>
      </c>
      <c r="Q221" s="279">
        <f>SUM(Q24:Q25)/Q19</f>
        <v>0.17988398612832343</v>
      </c>
      <c r="R221" s="260"/>
      <c r="S221" s="279">
        <f>SUM(S24:S25)/S19</f>
        <v>0.18264014466546113</v>
      </c>
      <c r="T221" s="279">
        <f>SUM(T24:T25)/T19</f>
        <v>0.20162144846110244</v>
      </c>
      <c r="U221" s="279">
        <f>SUM(U24:U25)/U19</f>
        <v>0.19207954962144902</v>
      </c>
      <c r="V221" s="279">
        <f>SUM(V24:V25)/V19</f>
        <v>0.18324357988057299</v>
      </c>
      <c r="W221" s="279">
        <f>SUM(W24:W25)/W19</f>
        <v>0.18967540751240256</v>
      </c>
      <c r="X221" s="260"/>
      <c r="Y221" s="279">
        <f>SUM(Y24:Y25)/Y19</f>
        <v>0.18643750876482232</v>
      </c>
      <c r="Z221" s="279">
        <f>SUM(Z24:Z25)/Z19</f>
        <v>0.22569256216727129</v>
      </c>
      <c r="AA221" s="279">
        <f>SUM(AA24:AA25)/AA19</f>
        <v>0.23688507735294476</v>
      </c>
      <c r="AB221" s="279">
        <f>SUM(AB24:AB25)/AB19</f>
        <v>0.234340683475358</v>
      </c>
      <c r="AC221" s="279">
        <f>SUM(AC24:AC25)/AC19</f>
        <v>0.22309000603504198</v>
      </c>
      <c r="AD221" s="279"/>
      <c r="AE221" s="279">
        <f>SUM(AE24:AE25)/AE19</f>
        <v>0.22282826739009992</v>
      </c>
      <c r="AF221" s="279">
        <f>SUM(AF24:AF25)/AF19</f>
        <v>0.23029194917764967</v>
      </c>
      <c r="AG221" s="279">
        <f>SUM(AG24:AG25)/AG19</f>
        <v>0.23110577995125062</v>
      </c>
      <c r="AH221" s="279">
        <f>SUM(AH24:AH25)/AH19</f>
        <v>0.22332931175548806</v>
      </c>
      <c r="AI221" s="871">
        <f>SUM(AI24:AI25)/AI19</f>
        <v>0.22691300306981724</v>
      </c>
      <c r="AJ221" s="279"/>
      <c r="AK221" s="279">
        <f>SUM(AK24:AK25)/AK19</f>
        <v>0.22715686033051743</v>
      </c>
      <c r="AL221" s="279">
        <f>SUM(AL24:AL25)/AL19</f>
        <v>0.21490097916513293</v>
      </c>
      <c r="AM221" s="279">
        <f>SUM(AM24:AM25)/AM19</f>
        <v>0.2114438053349792</v>
      </c>
      <c r="AN221" s="279">
        <f>SUM(AN24:AN25)/AN19</f>
        <v>0.19943201202364155</v>
      </c>
      <c r="AO221" s="871">
        <f>SUM(AO24:AO25)/AO19</f>
        <v>0.21218779217310002</v>
      </c>
      <c r="AP221" s="279"/>
      <c r="AQ221" s="279">
        <f>SUM(AQ24:AQ25)/AQ19</f>
        <v>0.19110983676733084</v>
      </c>
      <c r="AR221" s="279">
        <f>SUM(AR24:AR25)/AR19</f>
        <v>0.1905677805357367</v>
      </c>
      <c r="AS221" s="279">
        <f>SUM(AS24:AS25)/AS19</f>
        <v>0.18456925642073591</v>
      </c>
      <c r="AT221" s="279">
        <f>SUM(AT24:AT25)/AT19</f>
        <v>0.18278697299219912</v>
      </c>
      <c r="AU221" s="871">
        <f>SUM(AU24:AU25)/AU19</f>
        <v>0.18705962002992285</v>
      </c>
      <c r="AV221" s="279"/>
      <c r="AW221" s="279">
        <f>SUM(AW24:AW25)/AW19</f>
        <v>0.18969972845692698</v>
      </c>
      <c r="AX221" s="279">
        <f>SUM(AX24:AX25)/AX19</f>
        <v>0.18074042668978454</v>
      </c>
      <c r="AY221" s="279">
        <f>SUM(AY24:AY25)/AY19</f>
        <v>0.18265068113955873</v>
      </c>
      <c r="AZ221" s="279">
        <f>SUM(AZ24:AZ25)/AZ19</f>
        <v>0.17484303020203421</v>
      </c>
      <c r="BA221" s="871">
        <f>SUM(BA24:BA25)/BA19</f>
        <v>0.18171728645363794</v>
      </c>
      <c r="BB221" s="279"/>
      <c r="BC221" s="279">
        <f>SUM(BC24:BC25)/BC19</f>
        <v>0.17516115420646319</v>
      </c>
      <c r="BD221" s="279">
        <f>SUM(BD24:BD25)/BD19</f>
        <v>0.17930532593591836</v>
      </c>
      <c r="BE221" s="279">
        <f>SUM(BE24:BE25)/BE19</f>
        <v>0.17620202895916212</v>
      </c>
      <c r="BF221" s="279">
        <f>SUM(BF24:BF25)/BF19</f>
        <v>0.18177937999461549</v>
      </c>
      <c r="BG221" s="872">
        <f>SUM(BG24:BG25)/BG19</f>
        <v>0.17824153556219488</v>
      </c>
      <c r="BH221" s="279"/>
      <c r="BI221" s="279">
        <f>SUM(BI24:BI25)/BI19</f>
        <v>0.17907701580604482</v>
      </c>
      <c r="BJ221" s="279">
        <f>SUM(BJ24:BJ25)/BJ19</f>
        <v>0.18343888850223994</v>
      </c>
      <c r="BK221" s="279">
        <f>SUM(BK24:BK25)/BK19</f>
        <v>0.18306575839523501</v>
      </c>
      <c r="BL221" s="279">
        <f>SUM(BL24:BL25)/BL19</f>
        <v>0.18029380626763492</v>
      </c>
      <c r="BM221" s="872">
        <f>SUM(BM24:BM25)/BM19</f>
        <v>0.18149522245149982</v>
      </c>
      <c r="BN221" s="279"/>
      <c r="BO221" s="279">
        <f>SUM(BO24:BO25)/BO19</f>
        <v>0.18239542638256021</v>
      </c>
      <c r="BP221" s="279">
        <f>SUM(BP24:BP25)/BP19</f>
        <v>0.18709244460116803</v>
      </c>
      <c r="BQ221" s="279">
        <f>SUM(BQ24:BQ25)/BQ19</f>
        <v>0.19490790184652929</v>
      </c>
      <c r="BR221" s="279">
        <f>SUM(BR24:BR25)/BR19</f>
        <v>0.18590575321589928</v>
      </c>
      <c r="BS221" s="872">
        <f>SUM(BS24:BS25)/BS19</f>
        <v>0.18771685088986112</v>
      </c>
      <c r="BT221" s="279"/>
      <c r="BU221" s="279">
        <f>SUM(BU24:BU25)/BU19</f>
        <v>0.19830210175962576</v>
      </c>
      <c r="BV221" s="279">
        <f>SUM(BV24:BV25)/BV19</f>
        <v>0.19348778698852984</v>
      </c>
      <c r="BW221" s="279">
        <f>SUM(BW24:BW25)/BW19</f>
        <v>0.20652135527316048</v>
      </c>
      <c r="BX221" s="279">
        <f>SUM(BX24:BX25)/BX19</f>
        <v>0.19999528483936146</v>
      </c>
      <c r="BY221" s="872">
        <f>SUM(BY24:BY25)/BY19</f>
        <v>0.19981906178894976</v>
      </c>
      <c r="BZ221" s="279"/>
      <c r="CA221" s="279">
        <f>SUM(CA24:CA25)/CA19</f>
        <v>0.20527286243898624</v>
      </c>
      <c r="CB221" s="279">
        <f>SUM(CB24:CB25)/CB19</f>
        <v>0.20748761329671736</v>
      </c>
      <c r="CC221" s="279">
        <f>SUM(CC24:CC25)/CC19</f>
        <v>0.21590786720678207</v>
      </c>
      <c r="CD221" s="279">
        <f>SUM(CD24:CD25)/CD19</f>
        <v>0.22221253101187313</v>
      </c>
      <c r="CE221" s="872">
        <f>SUM(CE24:CE25)/CE19</f>
        <v>0.21310871362252318</v>
      </c>
      <c r="CF221" s="279"/>
      <c r="CG221" s="279">
        <f>SUM(CG24:CG25)/CG19</f>
        <v>0.22944585211296967</v>
      </c>
      <c r="CH221" s="279">
        <f>SUM(CH24:CH25)/CH19</f>
        <v>0.22524536852382482</v>
      </c>
      <c r="CI221" s="279">
        <f>SUM(CI24:CI25)/CI19</f>
        <v>0.22539628392369715</v>
      </c>
      <c r="CJ221" s="279">
        <f>SUM(CJ24:CJ25)/CJ19</f>
        <v>0.22293602623635042</v>
      </c>
      <c r="CK221" s="872">
        <f>SUM(CK24:CK25)/CK19</f>
        <v>0.22560945978051405</v>
      </c>
      <c r="CL221" s="279"/>
      <c r="CM221" s="279">
        <f>SUM(CM24:CM25)/CM19</f>
        <v>0.23381576674981724</v>
      </c>
      <c r="CN221" s="279">
        <f>SUM(CN24:CN25)/CN19</f>
        <v>0.23398595121912896</v>
      </c>
      <c r="CO221" s="279">
        <f>SUM(CO24:CO25)/CO19</f>
        <v>0.24339895793265023</v>
      </c>
      <c r="CP221" s="279">
        <f>SUM(CP24:CP25)/CP19</f>
        <v>0.240715295807999</v>
      </c>
      <c r="CQ221" s="872">
        <f>SUM(CQ24:CQ25)/CQ19</f>
        <v>0.23819230351249476</v>
      </c>
      <c r="CR221" s="279"/>
      <c r="CS221" s="279">
        <f>SUM(CS24:CS25)/CS19</f>
        <v>0.24102197246667023</v>
      </c>
      <c r="CT221" s="279">
        <f>SUM(CT24:CT25)/CT19</f>
        <v>0.23227067261766035</v>
      </c>
      <c r="CU221" s="279">
        <f>SUM(CU24:CU25)/CU19</f>
        <v>0.23934405063583997</v>
      </c>
      <c r="CV221" s="279">
        <f>SUM(CV24:CV25)/CV19</f>
        <v>0.23366443318369007</v>
      </c>
      <c r="CW221" s="872">
        <f>SUM(CW24:CW25)/CW19</f>
        <v>0.2364523055889631</v>
      </c>
      <c r="CX221" s="279"/>
      <c r="CY221" s="279">
        <f>SUM(CY24:CY25)/CY19</f>
        <v>0.23788448727033396</v>
      </c>
      <c r="CZ221" s="279">
        <f>SUM(CZ24:CZ25)/CZ19</f>
        <v>0.22924310840866169</v>
      </c>
      <c r="DA221" s="279">
        <f>SUM(DA24:DA25)/DA19</f>
        <v>0.23476364887929835</v>
      </c>
      <c r="DB221" s="279">
        <f>SUM(DB24:DB25)/DB19</f>
        <v>0.22821713450956096</v>
      </c>
      <c r="DC221" s="872">
        <f>SUM(DC24:DC25)/DC19</f>
        <v>0.23237473597503625</v>
      </c>
      <c r="DD221" s="279"/>
      <c r="DE221" s="279">
        <f>SUM(DE24:DE25)/DE19</f>
        <v>0.23353560551062527</v>
      </c>
      <c r="DF221" s="279">
        <f>SUM(DF24:DF25)/DF19</f>
        <v>0.22531856250554547</v>
      </c>
      <c r="DG221" s="279">
        <f>SUM(DG24:DG25)/DG19</f>
        <v>0.23093897527147808</v>
      </c>
      <c r="DH221" s="279">
        <f>SUM(DH24:DH25)/DH19</f>
        <v>0.22363606276231754</v>
      </c>
      <c r="DI221" s="872">
        <f>SUM(DI24:DI25)/DI19</f>
        <v>0.22820735438884951</v>
      </c>
      <c r="DJ221" s="279"/>
      <c r="DK221" s="279">
        <f>SUM(DK24:DK25)/DK19</f>
        <v>0.22926068727034984</v>
      </c>
      <c r="DL221" s="279">
        <f>SUM(DL24:DL25)/DL19</f>
        <v>0.22134290412069557</v>
      </c>
      <c r="DM221" s="279">
        <f>SUM(DM24:DM25)/DM19</f>
        <v>0.22726282081415428</v>
      </c>
      <c r="DN221" s="279">
        <f>SUM(DN24:DN25)/DN19</f>
        <v>0.21916812753286657</v>
      </c>
      <c r="DO221" s="872">
        <f>SUM(DO24:DO25)/DO19</f>
        <v>0.22411120594187681</v>
      </c>
      <c r="DP221" s="260"/>
    </row>
    <row r="222" spans="1:120">
      <c r="A222" s="260" t="s">
        <v>92</v>
      </c>
      <c r="B222" s="869"/>
      <c r="C222" s="268" t="s">
        <v>88</v>
      </c>
      <c r="D222" s="279">
        <f>D37/D19</f>
        <v>4.6719411223551051</v>
      </c>
      <c r="E222" s="279">
        <f>E37/E19</f>
        <v>1.0979963407559461</v>
      </c>
      <c r="F222" s="260"/>
      <c r="G222" s="279">
        <f>G37/G19</f>
        <v>0.63896909421452242</v>
      </c>
      <c r="H222" s="279">
        <f>H37/H19</f>
        <v>0.62383236556425148</v>
      </c>
      <c r="I222" s="279">
        <f>I37/I19</f>
        <v>0.70742019589880911</v>
      </c>
      <c r="J222" s="279">
        <f>J37/J19</f>
        <v>0.6485288449184119</v>
      </c>
      <c r="K222" s="279">
        <f>K37/K19</f>
        <v>0.65741013119962344</v>
      </c>
      <c r="L222" s="260"/>
      <c r="M222" s="279">
        <f>M37/M19</f>
        <v>0.56342198487812623</v>
      </c>
      <c r="N222" s="279">
        <f>N37/N19</f>
        <v>0.56444526661425343</v>
      </c>
      <c r="O222" s="279">
        <f>O37/O19</f>
        <v>0.57391680427773839</v>
      </c>
      <c r="P222" s="279">
        <f>P37/P19</f>
        <v>0.57039230692443343</v>
      </c>
      <c r="Q222" s="279">
        <f>Q37/Q19</f>
        <v>0.56861376961769572</v>
      </c>
      <c r="R222" s="260"/>
      <c r="S222" s="279">
        <f>S37/S19</f>
        <v>0.5859812279342117</v>
      </c>
      <c r="T222" s="279">
        <f>T37/T19</f>
        <v>0.55506271407801677</v>
      </c>
      <c r="U222" s="279">
        <f>U37/U19</f>
        <v>0.53795215806388985</v>
      </c>
      <c r="V222" s="279">
        <f>V37/V19</f>
        <v>0.52077151335311578</v>
      </c>
      <c r="W222" s="279">
        <f>W37/W19</f>
        <v>0.54605811481218991</v>
      </c>
      <c r="X222" s="260"/>
      <c r="Y222" s="279">
        <f>Y37/Y19</f>
        <v>0.53760693083191813</v>
      </c>
      <c r="Z222" s="279">
        <f>Z37/Z19</f>
        <v>0.48215948737194719</v>
      </c>
      <c r="AA222" s="279">
        <f>AA37/AA19</f>
        <v>0.45849309931900378</v>
      </c>
      <c r="AB222" s="279">
        <f>AB37/AB19</f>
        <v>0.46673767899499258</v>
      </c>
      <c r="AC222" s="279">
        <f>AC37/AC19</f>
        <v>0.4827969030875533</v>
      </c>
      <c r="AD222" s="279"/>
      <c r="AE222" s="279">
        <f>AE37/AE19</f>
        <v>0.46351947729400306</v>
      </c>
      <c r="AF222" s="279">
        <f>AF37/AF19</f>
        <v>0.46585743670484264</v>
      </c>
      <c r="AG222" s="279">
        <f>AG37/AG19</f>
        <v>0.4744219664290712</v>
      </c>
      <c r="AH222" s="279">
        <f>AH37/AH19</f>
        <v>0.47992677954819646</v>
      </c>
      <c r="AI222" s="871">
        <f>AI37/AI19</f>
        <v>0.47168767526725108</v>
      </c>
      <c r="AJ222" s="279"/>
      <c r="AK222" s="279">
        <f>AK37/AK19</f>
        <v>0.48214417653867936</v>
      </c>
      <c r="AL222" s="279">
        <f>AL37/AL19</f>
        <v>0.47543026067652439</v>
      </c>
      <c r="AM222" s="279">
        <f>AM37/AM19</f>
        <v>0.46629461159836721</v>
      </c>
      <c r="AN222" s="279">
        <f>AN37/AN19</f>
        <v>0.45594404949609507</v>
      </c>
      <c r="AO222" s="871">
        <f>AO37/AO19</f>
        <v>0.46888874048350482</v>
      </c>
      <c r="AP222" s="279"/>
      <c r="AQ222" s="279">
        <f>AQ37/AQ19</f>
        <v>0.46273352125416961</v>
      </c>
      <c r="AR222" s="279">
        <f>AR37/AR19</f>
        <v>0.4638375836732212</v>
      </c>
      <c r="AS222" s="279">
        <f>AS37/AS19</f>
        <v>0.46011928228090293</v>
      </c>
      <c r="AT222" s="279">
        <f>AT37/AT19</f>
        <v>0.46466816076910589</v>
      </c>
      <c r="AU222" s="871">
        <f>AU37/AU19</f>
        <v>0.46285229236725794</v>
      </c>
      <c r="AV222" s="279"/>
      <c r="AW222" s="279">
        <f>AW37/AW19</f>
        <v>0.42084257060775798</v>
      </c>
      <c r="AX222" s="279">
        <f>AX37/AX19</f>
        <v>0.43313474297683041</v>
      </c>
      <c r="AY222" s="279">
        <f>AY37/AY19</f>
        <v>0.43294942656005614</v>
      </c>
      <c r="AZ222" s="279">
        <f>AZ37/AZ19</f>
        <v>0.44384816790896181</v>
      </c>
      <c r="BA222" s="871">
        <f>BA37/BA19</f>
        <v>0.43312221436706816</v>
      </c>
      <c r="BB222" s="279"/>
      <c r="BC222" s="279">
        <f>BC37/BC19</f>
        <v>0.43431887965648741</v>
      </c>
      <c r="BD222" s="279">
        <f>BD37/BD19</f>
        <v>0.42817187832807602</v>
      </c>
      <c r="BE222" s="279">
        <f>BE37/BE19</f>
        <v>0.43711881273494657</v>
      </c>
      <c r="BF222" s="279">
        <f>BF37/BF19</f>
        <v>0.46428391632575788</v>
      </c>
      <c r="BG222" s="872">
        <f>BG37/BG19</f>
        <v>0.44184223532244427</v>
      </c>
      <c r="BH222" s="279"/>
      <c r="BI222" s="279">
        <f>BI37/BI19</f>
        <v>0.45491748023253042</v>
      </c>
      <c r="BJ222" s="279">
        <f>BJ37/BJ19</f>
        <v>0.4644323647166127</v>
      </c>
      <c r="BK222" s="279">
        <f>BK37/BK19</f>
        <v>0.46981652004244695</v>
      </c>
      <c r="BL222" s="279">
        <f>BL37/BL19</f>
        <v>0.45751551242022243</v>
      </c>
      <c r="BM222" s="872">
        <f>BM37/BM19</f>
        <v>0.46177453818354769</v>
      </c>
      <c r="BN222" s="279"/>
      <c r="BO222" s="279">
        <f>BO37/BO19</f>
        <v>0.46641321586789874</v>
      </c>
      <c r="BP222" s="279">
        <f>BP37/BP19</f>
        <v>0.45509800464430356</v>
      </c>
      <c r="BQ222" s="279">
        <f>BQ37/BQ19</f>
        <v>0.46956993802622526</v>
      </c>
      <c r="BR222" s="279">
        <f>BR37/BR19</f>
        <v>0.45078898405498624</v>
      </c>
      <c r="BS222" s="872">
        <f>BS37/BS19</f>
        <v>0.46023942731530265</v>
      </c>
      <c r="BT222" s="279"/>
      <c r="BU222" s="279">
        <f>BU37/BU19</f>
        <v>0.45284904322381092</v>
      </c>
      <c r="BV222" s="279">
        <f>BV37/BV19</f>
        <v>0.43884090799858738</v>
      </c>
      <c r="BW222" s="279">
        <f>BW37/BW19</f>
        <v>0.45790560521321816</v>
      </c>
      <c r="BX222" s="279">
        <f>BX37/BX19</f>
        <v>0.48498046701046588</v>
      </c>
      <c r="BY222" s="872">
        <f>BY37/BY19</f>
        <v>0.45993137317756821</v>
      </c>
      <c r="BZ222" s="279"/>
      <c r="CA222" s="279">
        <f>CA37/CA19</f>
        <v>0.45424659186874167</v>
      </c>
      <c r="CB222" s="279">
        <f>CB37/CB19</f>
        <v>0.44505294069019702</v>
      </c>
      <c r="CC222" s="279">
        <f>CC37/CC19</f>
        <v>0.44928540712822196</v>
      </c>
      <c r="CD222" s="279">
        <f>CD37/CD19</f>
        <v>0.44321712187666135</v>
      </c>
      <c r="CE222" s="872">
        <f>CE37/CE19</f>
        <v>0.44774811457376879</v>
      </c>
      <c r="CF222" s="279"/>
      <c r="CG222" s="279">
        <f>CG37/CG19</f>
        <v>0.4277336654386974</v>
      </c>
      <c r="CH222" s="279">
        <f>CH37/CH19</f>
        <v>0.43003112528170584</v>
      </c>
      <c r="CI222" s="279">
        <f>CI37/CI19</f>
        <v>0.42658123667103393</v>
      </c>
      <c r="CJ222" s="279">
        <f>CJ37/CJ19</f>
        <v>0.43875642617047211</v>
      </c>
      <c r="CK222" s="872">
        <f>CK37/CK19</f>
        <v>0.43099248621913561</v>
      </c>
      <c r="CL222" s="279"/>
      <c r="CM222" s="279">
        <f>CM37/CM19</f>
        <v>0.40957882253132233</v>
      </c>
      <c r="CN222" s="279">
        <f>CN37/CN19</f>
        <v>0.40530772093735795</v>
      </c>
      <c r="CO222" s="279">
        <f>CO37/CO19</f>
        <v>0.40853282978401001</v>
      </c>
      <c r="CP222" s="279">
        <f>CP37/CP19</f>
        <v>0.41186832712289689</v>
      </c>
      <c r="CQ222" s="872">
        <f>CQ37/CQ19</f>
        <v>0.40890080343337165</v>
      </c>
      <c r="CR222" s="279"/>
      <c r="CS222" s="279">
        <f>CS37/CS19</f>
        <v>0.40202397491350028</v>
      </c>
      <c r="CT222" s="279">
        <f>CT37/CT19</f>
        <v>0.39804824271184797</v>
      </c>
      <c r="CU222" s="279">
        <f>CU37/CU19</f>
        <v>0.38721476386099024</v>
      </c>
      <c r="CV222" s="279">
        <f>CV37/CV19</f>
        <v>0.42869965412172484</v>
      </c>
      <c r="CW222" s="872">
        <f>CW37/CW19</f>
        <v>0.40452224673025189</v>
      </c>
      <c r="CX222" s="279"/>
      <c r="CY222" s="279">
        <f>CY37/CY19</f>
        <v>0.39600000000000002</v>
      </c>
      <c r="CZ222" s="279">
        <f>CZ37/CZ19</f>
        <v>0.38650000000000001</v>
      </c>
      <c r="DA222" s="279">
        <f>DA37/DA19</f>
        <v>0.374</v>
      </c>
      <c r="DB222" s="279">
        <f>DB37/DB19</f>
        <v>0.39400000000000002</v>
      </c>
      <c r="DC222" s="872">
        <f>DC37/DC19</f>
        <v>0.3875327261028102</v>
      </c>
      <c r="DD222" s="279"/>
      <c r="DE222" s="279">
        <f>DE37/DE19</f>
        <v>0.38600000000000001</v>
      </c>
      <c r="DF222" s="279">
        <f>DF37/DF19</f>
        <v>0.3765</v>
      </c>
      <c r="DG222" s="279">
        <f>DG37/DG19</f>
        <v>0.36399999999999999</v>
      </c>
      <c r="DH222" s="279">
        <f>DH37/DH19</f>
        <v>0.376</v>
      </c>
      <c r="DI222" s="872">
        <f>DI37/DI19</f>
        <v>0.37538130959728061</v>
      </c>
      <c r="DJ222" s="279"/>
      <c r="DK222" s="279">
        <f>DK37/DK19</f>
        <v>0.371</v>
      </c>
      <c r="DL222" s="279">
        <f>DL37/DL19</f>
        <v>0.36149999999999999</v>
      </c>
      <c r="DM222" s="279">
        <f>DM37/DM19</f>
        <v>0.35</v>
      </c>
      <c r="DN222" s="279">
        <f>DN37/DN19</f>
        <v>0.36299999999999999</v>
      </c>
      <c r="DO222" s="872">
        <f>DO37/DO19</f>
        <v>0.36117852396818978</v>
      </c>
      <c r="DP222" s="260"/>
    </row>
    <row r="223" spans="1:120">
      <c r="A223" s="260" t="s">
        <v>93</v>
      </c>
      <c r="B223" s="869"/>
      <c r="C223" s="268" t="s">
        <v>88</v>
      </c>
      <c r="D223" s="279">
        <f>D41/D19</f>
        <v>0.61931922723091071</v>
      </c>
      <c r="E223" s="279">
        <f>E41/E19</f>
        <v>0.23686911508768796</v>
      </c>
      <c r="F223" s="260"/>
      <c r="G223" s="279">
        <f>G41/G19</f>
        <v>0.11496096674152495</v>
      </c>
      <c r="H223" s="279">
        <f>H41/H19</f>
        <v>9.8712446351931327E-2</v>
      </c>
      <c r="I223" s="279">
        <f>I41/I19</f>
        <v>7.7866253259107884E-2</v>
      </c>
      <c r="J223" s="279">
        <f>J41/J19</f>
        <v>8.3194141076705627E-2</v>
      </c>
      <c r="K223" s="279">
        <f>K41/K19</f>
        <v>9.1153340785628825E-2</v>
      </c>
      <c r="L223" s="260"/>
      <c r="M223" s="279">
        <f>M41/M19</f>
        <v>6.5563369111193356E-2</v>
      </c>
      <c r="N223" s="279">
        <f>N41/N19</f>
        <v>7.7926282199509797E-2</v>
      </c>
      <c r="O223" s="279">
        <f>O41/O19</f>
        <v>7.391680427773846E-2</v>
      </c>
      <c r="P223" s="279">
        <f>P41/P19</f>
        <v>7.1773200678800789E-2</v>
      </c>
      <c r="Q223" s="882">
        <f>Q41/Q19</f>
        <v>7.250346271205857E-2</v>
      </c>
      <c r="R223" s="883"/>
      <c r="S223" s="882">
        <f>S41/S19</f>
        <v>6.105226900886937E-2</v>
      </c>
      <c r="T223" s="882">
        <f>T41/T19</f>
        <v>5.1107661220768333E-2</v>
      </c>
      <c r="U223" s="882">
        <f>U41/U19</f>
        <v>5.3104980479282152E-2</v>
      </c>
      <c r="V223" s="882">
        <f>V41/V19</f>
        <v>5.7863501483679525E-2</v>
      </c>
      <c r="W223" s="882">
        <f>W41/W19</f>
        <v>5.5688164422395457E-2</v>
      </c>
      <c r="X223" s="883"/>
      <c r="Y223" s="882">
        <f>Y41/Y19</f>
        <v>6.7033360861367783E-2</v>
      </c>
      <c r="Z223" s="882">
        <f>Z41/Z19</f>
        <v>7.6032414550407948E-2</v>
      </c>
      <c r="AA223" s="882">
        <f>AA41/AA19</f>
        <v>7.985678516565263E-2</v>
      </c>
      <c r="AB223" s="882">
        <f>AB41/AB19</f>
        <v>7.6385838531142947E-2</v>
      </c>
      <c r="AC223" s="882">
        <f>AC41/AC19</f>
        <v>7.5292796354447356E-2</v>
      </c>
      <c r="AD223" s="882"/>
      <c r="AE223" s="882">
        <f>AE41/AE19</f>
        <v>7.7422004852606835E-2</v>
      </c>
      <c r="AF223" s="882">
        <f>AF41/AF19</f>
        <v>8.2294285448250751E-2</v>
      </c>
      <c r="AG223" s="882">
        <f>AG41/AG19</f>
        <v>7.885246784003444E-2</v>
      </c>
      <c r="AH223" s="882">
        <f>AH41/AH19</f>
        <v>8.3267462661729824E-2</v>
      </c>
      <c r="AI223" s="884">
        <f>AI41/AI19</f>
        <v>8.0650093140587964E-2</v>
      </c>
      <c r="AJ223" s="882"/>
      <c r="AK223" s="882">
        <f>AK41/AK19</f>
        <v>7.9082826392138511E-2</v>
      </c>
      <c r="AL223" s="882">
        <f>AL41/AL19</f>
        <v>7.6940066485822217E-2</v>
      </c>
      <c r="AM223" s="882">
        <f>AM41/AM19</f>
        <v>7.8873254046876853E-2</v>
      </c>
      <c r="AN223" s="882">
        <f>AN41/AN19</f>
        <v>7.3022415239781285E-2</v>
      </c>
      <c r="AO223" s="884">
        <f>AO41/AO19</f>
        <v>7.6767730733271006E-2</v>
      </c>
      <c r="AP223" s="882"/>
      <c r="AQ223" s="882">
        <f>AQ41/AQ19</f>
        <v>7.1350687741799992E-2</v>
      </c>
      <c r="AR223" s="882">
        <f>AR41/AR19</f>
        <v>8.2766642465894019E-2</v>
      </c>
      <c r="AS223" s="882">
        <f>AS41/AS19</f>
        <v>8.5993193170022464E-2</v>
      </c>
      <c r="AT223" s="882">
        <f>AT41/AT19</f>
        <v>9.1372767047789405E-2</v>
      </c>
      <c r="AU223" s="884">
        <f>AU41/AU19</f>
        <v>8.3284344181528261E-2</v>
      </c>
      <c r="AV223" s="882"/>
      <c r="AW223" s="882">
        <f>AW41/AW19</f>
        <v>9.3465912817620136E-2</v>
      </c>
      <c r="AX223" s="882">
        <f>AX41/AX19</f>
        <v>8.907457737588631E-2</v>
      </c>
      <c r="AY223" s="882">
        <f>AY41/AY19</f>
        <v>9.0927517554129644E-2</v>
      </c>
      <c r="AZ223" s="882">
        <f>AZ41/AZ19</f>
        <v>9.0549613189134862E-2</v>
      </c>
      <c r="BA223" s="884">
        <f>BA41/BA19</f>
        <v>9.096932175127892E-2</v>
      </c>
      <c r="BB223" s="882"/>
      <c r="BC223" s="882">
        <f>BC41/BC19</f>
        <v>9.5591181832898539E-2</v>
      </c>
      <c r="BD223" s="882">
        <f>BD41/BD19</f>
        <v>9.8609941882283725E-2</v>
      </c>
      <c r="BE223" s="882">
        <f>BE41/BE19</f>
        <v>0.10097952163547252</v>
      </c>
      <c r="BF223" s="882">
        <f>BF41/BF19</f>
        <v>0.11108703408212894</v>
      </c>
      <c r="BG223" s="885">
        <f>BG41/BG19</f>
        <v>0.10197696149810005</v>
      </c>
      <c r="BH223" s="882"/>
      <c r="BI223" s="882">
        <f>BI41/BI19</f>
        <v>0.11391177800160202</v>
      </c>
      <c r="BJ223" s="882">
        <f>BJ41/BJ19</f>
        <v>0.11392815410932561</v>
      </c>
      <c r="BK223" s="882">
        <f>BK41/BK19</f>
        <v>0.1092869612843597</v>
      </c>
      <c r="BL223" s="882">
        <f>BL41/BL19</f>
        <v>0.10435455513654569</v>
      </c>
      <c r="BM223" s="885">
        <f>BM41/BM19</f>
        <v>0.11005899302857791</v>
      </c>
      <c r="BN223" s="882"/>
      <c r="BO223" s="882">
        <f>BO41/BO19</f>
        <v>0.11374946618603039</v>
      </c>
      <c r="BP223" s="882">
        <f>BP41/BP19</f>
        <v>0.11392484647693087</v>
      </c>
      <c r="BQ223" s="882">
        <f>BQ41/BQ19</f>
        <v>0.11680648606414527</v>
      </c>
      <c r="BR223" s="882">
        <f>BR41/BR19</f>
        <v>0.11812177346794762</v>
      </c>
      <c r="BS223" s="885">
        <f>BS41/BS19</f>
        <v>0.11577817155952322</v>
      </c>
      <c r="BT223" s="882"/>
      <c r="BU223" s="882">
        <f>BU41/BU19</f>
        <v>0.12044143561799753</v>
      </c>
      <c r="BV223" s="882">
        <f>BV41/BV19</f>
        <v>0.12751830018786034</v>
      </c>
      <c r="BW223" s="882">
        <f>BW41/BW19</f>
        <v>0.13266774098216225</v>
      </c>
      <c r="BX223" s="882">
        <f>BX41/BX19</f>
        <v>0.12579524676880521</v>
      </c>
      <c r="BY223" s="885">
        <f>BY41/BY19</f>
        <v>0.12684294263600396</v>
      </c>
      <c r="BZ223" s="882"/>
      <c r="CA223" s="882">
        <f>CA41/CA19</f>
        <v>0.13129905149449125</v>
      </c>
      <c r="CB223" s="882">
        <f>CB41/CB19</f>
        <v>0.12892713289057459</v>
      </c>
      <c r="CC223" s="882">
        <f>CC41/CC19</f>
        <v>0.12184540221370213</v>
      </c>
      <c r="CD223" s="882">
        <f>CD41/CD19</f>
        <v>0.11910566741981217</v>
      </c>
      <c r="CE223" s="885">
        <f>CE41/CE19</f>
        <v>0.12500479195829378</v>
      </c>
      <c r="CF223" s="882"/>
      <c r="CG223" s="882">
        <f>CG41/CG19</f>
        <v>0.12631694577766719</v>
      </c>
      <c r="CH223" s="882">
        <f>CH41/CH19</f>
        <v>0.12257292540943693</v>
      </c>
      <c r="CI223" s="882">
        <f>CI41/CI19</f>
        <v>0.12130958131786418</v>
      </c>
      <c r="CJ223" s="882">
        <f>CJ41/CJ19</f>
        <v>0.1204455846640706</v>
      </c>
      <c r="CK223" s="885">
        <f>CK41/CK19</f>
        <v>0.12251980436812006</v>
      </c>
      <c r="CL223" s="882"/>
      <c r="CM223" s="882">
        <f>CM41/CM19</f>
        <v>0.11781365259263395</v>
      </c>
      <c r="CN223" s="882">
        <f>CN41/CN19</f>
        <v>0.12416761513450239</v>
      </c>
      <c r="CO223" s="882">
        <f>CO41/CO19</f>
        <v>0.12173165017309506</v>
      </c>
      <c r="CP223" s="882">
        <f>CP41/CP19</f>
        <v>0.12243699618306637</v>
      </c>
      <c r="CQ223" s="885">
        <f>CQ41/CQ19</f>
        <v>0.12162082291863283</v>
      </c>
      <c r="CR223" s="882"/>
      <c r="CS223" s="882">
        <f>CS41/CS19</f>
        <v>0.13074583081858235</v>
      </c>
      <c r="CT223" s="882">
        <f>CT41/CT19</f>
        <v>0.1248455548489629</v>
      </c>
      <c r="CU223" s="882">
        <f>CU41/CU19</f>
        <v>0.12216097895360209</v>
      </c>
      <c r="CV223" s="882">
        <f>CV41/CV19</f>
        <v>0.11711457336242719</v>
      </c>
      <c r="CW223" s="885">
        <f>CW41/CW19</f>
        <v>0.1234001449616661</v>
      </c>
      <c r="CX223" s="882"/>
      <c r="CY223" s="882">
        <f>CY41/CY19</f>
        <v>0.12400000000000001</v>
      </c>
      <c r="CZ223" s="882">
        <f>CZ41/CZ19</f>
        <v>0.11799999999999999</v>
      </c>
      <c r="DA223" s="882">
        <f>DA41/DA19</f>
        <v>0.115</v>
      </c>
      <c r="DB223" s="882">
        <f>DB41/DB19</f>
        <v>0.12</v>
      </c>
      <c r="DC223" s="885">
        <f>DC41/DC19</f>
        <v>0.11916331251397215</v>
      </c>
      <c r="DD223" s="882"/>
      <c r="DE223" s="882">
        <f>DE41/DE19</f>
        <v>0.11899999999999999</v>
      </c>
      <c r="DF223" s="882">
        <f>DF41/DF19</f>
        <v>0.11299999999999999</v>
      </c>
      <c r="DG223" s="882">
        <f>DG41/DG19</f>
        <v>0.11</v>
      </c>
      <c r="DH223" s="882">
        <f>DH41/DH19</f>
        <v>0.11499999999999999</v>
      </c>
      <c r="DI223" s="885">
        <f>DI41/DI19</f>
        <v>0.11416106844274006</v>
      </c>
      <c r="DJ223" s="882"/>
      <c r="DK223" s="882">
        <f>DK41/DK19</f>
        <v>0.11399999999999999</v>
      </c>
      <c r="DL223" s="882">
        <f>DL41/DL19</f>
        <v>0.10799999999999998</v>
      </c>
      <c r="DM223" s="882">
        <f>DM41/DM19</f>
        <v>0.105</v>
      </c>
      <c r="DN223" s="882">
        <f>DN41/DN19</f>
        <v>0.105</v>
      </c>
      <c r="DO223" s="885">
        <f>DO41/DO19</f>
        <v>0.10782923207851415</v>
      </c>
      <c r="DP223" s="260"/>
    </row>
    <row r="224" spans="1:120">
      <c r="A224" s="260" t="s">
        <v>94</v>
      </c>
      <c r="B224" s="869"/>
      <c r="C224" s="268" t="s">
        <v>88</v>
      </c>
      <c r="D224" s="279">
        <f>D45/D19</f>
        <v>1.2612695492180312</v>
      </c>
      <c r="E224" s="279">
        <f>E45/E19</f>
        <v>0.3711455218885269</v>
      </c>
      <c r="F224" s="260"/>
      <c r="G224" s="279">
        <f>G45/G19</f>
        <v>0.23441343171853277</v>
      </c>
      <c r="H224" s="279">
        <f>H45/H19</f>
        <v>0.21299335184717663</v>
      </c>
      <c r="I224" s="279">
        <f>I45/I19</f>
        <v>0.33183003311958281</v>
      </c>
      <c r="J224" s="279">
        <f>J45/J19</f>
        <v>0.22651933701657456</v>
      </c>
      <c r="K224" s="279">
        <f>K45/K19</f>
        <v>0.2541232766566649</v>
      </c>
      <c r="L224" s="260"/>
      <c r="M224" s="279">
        <f>M45/M19</f>
        <v>0.19272458097604822</v>
      </c>
      <c r="N224" s="279">
        <f>N45/N19</f>
        <v>0.17439763215095039</v>
      </c>
      <c r="O224" s="279">
        <f>O45/O19</f>
        <v>0.16985138004246286</v>
      </c>
      <c r="P224" s="279">
        <f>P45/P19</f>
        <v>0.17232888563537752</v>
      </c>
      <c r="Q224" s="279">
        <f>Q45/Q19</f>
        <v>0.17615571269383376</v>
      </c>
      <c r="R224" s="260"/>
      <c r="S224" s="279">
        <f>S45/S19</f>
        <v>0.15996440770400988</v>
      </c>
      <c r="T224" s="279">
        <f>T45/T19</f>
        <v>0.16350016017348018</v>
      </c>
      <c r="U224" s="279">
        <f>U45/U19</f>
        <v>0.17861996074286576</v>
      </c>
      <c r="V224" s="279">
        <f>V45/V19</f>
        <v>0.1791222478660659</v>
      </c>
      <c r="W224" s="279">
        <f>W45/W19</f>
        <v>0.17161162296243798</v>
      </c>
      <c r="X224" s="260"/>
      <c r="Y224" s="279">
        <f>Y45/Y19</f>
        <v>0.14682830297458593</v>
      </c>
      <c r="Z224" s="279">
        <f>Z45/Z19</f>
        <v>0.15783328468370791</v>
      </c>
      <c r="AA224" s="279">
        <f>AA45/AA19</f>
        <v>0.14750886020829049</v>
      </c>
      <c r="AB224" s="279">
        <f>AB45/AB19</f>
        <v>0.16486207502415884</v>
      </c>
      <c r="AC224" s="279">
        <f>AC45/AC19</f>
        <v>0.15486498610649427</v>
      </c>
      <c r="AD224" s="279"/>
      <c r="AE224" s="279">
        <f>AE45/AE19</f>
        <v>0.16387100471887361</v>
      </c>
      <c r="AF224" s="279">
        <f>AF45/AF19</f>
        <v>0.14152213108509612</v>
      </c>
      <c r="AG224" s="279">
        <f>AG45/AG19</f>
        <v>0.13782842379645222</v>
      </c>
      <c r="AH224" s="279">
        <f>AH45/AH19</f>
        <v>0.15039314390314928</v>
      </c>
      <c r="AI224" s="871">
        <f>AI45/AI19</f>
        <v>0.14783604037835599</v>
      </c>
      <c r="AJ224" s="279"/>
      <c r="AK224" s="279">
        <f>AK45/AK19</f>
        <v>0.13387557569637712</v>
      </c>
      <c r="AL224" s="279">
        <f>AL45/AL19</f>
        <v>0.12921695105306974</v>
      </c>
      <c r="AM224" s="279">
        <f>AM45/AM19</f>
        <v>0.13034029553482052</v>
      </c>
      <c r="AN224" s="279">
        <f>AN45/AN19</f>
        <v>0.1442836989294902</v>
      </c>
      <c r="AO224" s="871">
        <f>AO45/AO19</f>
        <v>0.13488179511152665</v>
      </c>
      <c r="AP224" s="279"/>
      <c r="AQ224" s="279">
        <f>AQ45/AQ19</f>
        <v>0.1343257061165809</v>
      </c>
      <c r="AR224" s="279">
        <f>AR45/AR19</f>
        <v>0.12491399856315832</v>
      </c>
      <c r="AS224" s="279">
        <f>AS45/AS19</f>
        <v>0.13220874760838666</v>
      </c>
      <c r="AT224" s="279">
        <f>AT45/AT19</f>
        <v>0.12259006916842494</v>
      </c>
      <c r="AU224" s="871">
        <f>AU45/AU19</f>
        <v>0.12832650271320961</v>
      </c>
      <c r="AV224" s="279"/>
      <c r="AW224" s="279">
        <f>AW45/AW19</f>
        <v>0.12353570069919062</v>
      </c>
      <c r="AX224" s="279">
        <f>AX45/AX19</f>
        <v>0.13073425699469407</v>
      </c>
      <c r="AY224" s="279">
        <f>AY45/AY19</f>
        <v>0.13389542851438063</v>
      </c>
      <c r="AZ224" s="279">
        <f>AZ45/AZ19</f>
        <v>0.13718722549703571</v>
      </c>
      <c r="BA224" s="871">
        <f>BA45/BA19</f>
        <v>0.13160327608432401</v>
      </c>
      <c r="BB224" s="279"/>
      <c r="BC224" s="279">
        <f>BC45/BC19</f>
        <v>0.13033255222086287</v>
      </c>
      <c r="BD224" s="279">
        <f>BD45/BD19</f>
        <v>0.13818932378566431</v>
      </c>
      <c r="BE224" s="279">
        <f>BE45/BE19</f>
        <v>0.13195692248891253</v>
      </c>
      <c r="BF224" s="279">
        <f>BF45/BF19</f>
        <v>0.13737039444739937</v>
      </c>
      <c r="BG224" s="872">
        <f>BG45/BG19</f>
        <v>0.13456324424203403</v>
      </c>
      <c r="BH224" s="279"/>
      <c r="BI224" s="279">
        <f>BI45/BI19</f>
        <v>0.14286705633233138</v>
      </c>
      <c r="BJ224" s="279">
        <f>BJ45/BJ19</f>
        <v>0.13284383573686545</v>
      </c>
      <c r="BK224" s="279">
        <f>BK45/BK19</f>
        <v>0.12611508574949509</v>
      </c>
      <c r="BL224" s="279">
        <f>BL45/BL19</f>
        <v>0.12552993845671792</v>
      </c>
      <c r="BM224" s="872">
        <f>BM45/BM19</f>
        <v>0.13130063060904751</v>
      </c>
      <c r="BN224" s="279"/>
      <c r="BO224" s="279">
        <f>BO45/BO19</f>
        <v>0.12256656318703833</v>
      </c>
      <c r="BP224" s="279">
        <f>BP45/BP19</f>
        <v>0.11810581303329876</v>
      </c>
      <c r="BQ224" s="279">
        <f>BQ45/BQ19</f>
        <v>0.12083871344168809</v>
      </c>
      <c r="BR224" s="279">
        <f>BR45/BR19</f>
        <v>0.11611981104158355</v>
      </c>
      <c r="BS224" s="872">
        <f>BS45/BS19</f>
        <v>0.11928581615273778</v>
      </c>
      <c r="BT224" s="279"/>
      <c r="BU224" s="279">
        <f>BU45/BU19</f>
        <v>0.12315251620766877</v>
      </c>
      <c r="BV224" s="279">
        <f>BV45/BV19</f>
        <v>0.13813063293678574</v>
      </c>
      <c r="BW224" s="279">
        <f>BW45/BW19</f>
        <v>0.11679277792337416</v>
      </c>
      <c r="BX224" s="279">
        <f>BX45/BX19</f>
        <v>0.11982707584947111</v>
      </c>
      <c r="BY224" s="872">
        <f>BY45/BY19</f>
        <v>0.12405738831437853</v>
      </c>
      <c r="BZ224" s="279"/>
      <c r="CA224" s="279">
        <f>CA45/CA19</f>
        <v>0.11186267700925681</v>
      </c>
      <c r="CB224" s="279">
        <f>CB45/CB19</f>
        <v>0.10864198654432025</v>
      </c>
      <c r="CC224" s="279">
        <f>CC45/CC19</f>
        <v>0.10248291662300213</v>
      </c>
      <c r="CD224" s="279">
        <f>CD45/CD19</f>
        <v>0.10681444377990432</v>
      </c>
      <c r="CE224" s="872">
        <f>CE45/CE19</f>
        <v>0.10730004135041292</v>
      </c>
      <c r="CF224" s="279"/>
      <c r="CG224" s="279">
        <f>CG45/CG19</f>
        <v>9.953102469813066E-2</v>
      </c>
      <c r="CH224" s="279">
        <f>CH45/CH19</f>
        <v>9.5248990018866025E-2</v>
      </c>
      <c r="CI224" s="279">
        <f>CI45/CI19</f>
        <v>9.4109290658055914E-2</v>
      </c>
      <c r="CJ224" s="279">
        <f>CJ45/CJ19</f>
        <v>9.6947714101596222E-2</v>
      </c>
      <c r="CK224" s="872">
        <f>CK45/CK19</f>
        <v>9.6387907636410752E-2</v>
      </c>
      <c r="CL224" s="279"/>
      <c r="CM224" s="279">
        <f>CM45/CM19</f>
        <v>9.3479452969655166E-2</v>
      </c>
      <c r="CN224" s="279">
        <f>CN45/CN19</f>
        <v>0.10713005580820753</v>
      </c>
      <c r="CO224" s="279">
        <f>CO45/CO19</f>
        <v>9.9258430371484185E-2</v>
      </c>
      <c r="CP224" s="279">
        <f>CP45/CP19</f>
        <v>9.6270773866297468E-2</v>
      </c>
      <c r="CQ224" s="872">
        <f>CQ45/CQ19</f>
        <v>9.9032243150129914E-2</v>
      </c>
      <c r="CR224" s="279"/>
      <c r="CS224" s="279">
        <f>CS45/CS19</f>
        <v>9.3472509181895161E-2</v>
      </c>
      <c r="CT224" s="279">
        <f>CT45/CT19</f>
        <v>9.5973241609016907E-2</v>
      </c>
      <c r="CU224" s="279">
        <f>CU45/CU19</f>
        <v>8.8232473493763244E-2</v>
      </c>
      <c r="CV224" s="279">
        <f>CV45/CV19</f>
        <v>8.5662484395842453E-2</v>
      </c>
      <c r="CW224" s="872">
        <f>CW45/CW19</f>
        <v>9.0619171046750727E-2</v>
      </c>
      <c r="CX224" s="279"/>
      <c r="CY224" s="279">
        <f>CY45/CY19</f>
        <v>8.5000000000000006E-2</v>
      </c>
      <c r="CZ224" s="279">
        <f>CZ45/CZ19</f>
        <v>8.5000000000000006E-2</v>
      </c>
      <c r="DA224" s="279">
        <f>DA45/DA19</f>
        <v>8.2000000000000003E-2</v>
      </c>
      <c r="DB224" s="279">
        <f>DB45/DB19</f>
        <v>8.7999999999999995E-2</v>
      </c>
      <c r="DC224" s="872">
        <f>DC45/DC19</f>
        <v>8.5041946527193282E-2</v>
      </c>
      <c r="DD224" s="279"/>
      <c r="DE224" s="279">
        <f>DE45/DE19</f>
        <v>8.2500000000000004E-2</v>
      </c>
      <c r="DF224" s="279">
        <f>DF45/DF19</f>
        <v>0.08</v>
      </c>
      <c r="DG224" s="279">
        <f>DG45/DG19</f>
        <v>7.9500000000000001E-2</v>
      </c>
      <c r="DH224" s="279">
        <f>DH45/DH19</f>
        <v>8.299999999999999E-2</v>
      </c>
      <c r="DI224" s="872">
        <f>DI45/DI19</f>
        <v>8.1254483930330204E-2</v>
      </c>
      <c r="DJ224" s="279"/>
      <c r="DK224" s="279">
        <f>DK45/DK19</f>
        <v>8.2500000000000004E-2</v>
      </c>
      <c r="DL224" s="279">
        <f>DL45/DL19</f>
        <v>0.08</v>
      </c>
      <c r="DM224" s="279">
        <f>DM45/DM19</f>
        <v>7.9500000000000001E-2</v>
      </c>
      <c r="DN224" s="279">
        <f>DN45/DN19</f>
        <v>8.299999999999999E-2</v>
      </c>
      <c r="DO224" s="872">
        <f>DO45/DO19</f>
        <v>8.1254806233668667E-2</v>
      </c>
      <c r="DP224" s="260"/>
    </row>
    <row r="225" spans="1:120">
      <c r="A225" s="260" t="s">
        <v>761</v>
      </c>
      <c r="B225" s="869"/>
      <c r="C225" s="268" t="s">
        <v>88</v>
      </c>
      <c r="D225" s="279">
        <f>D58/D$19</f>
        <v>10.28269234408598</v>
      </c>
      <c r="E225" s="279">
        <f>E58/E$19</f>
        <v>1.7060109777321613</v>
      </c>
      <c r="F225" s="260"/>
      <c r="G225" s="279">
        <f>G58/G$19</f>
        <v>0.98834349267458022</v>
      </c>
      <c r="H225" s="279">
        <f>H58/H$19</f>
        <v>0.93553816376335941</v>
      </c>
      <c r="I225" s="279">
        <f>I58/I$19</f>
        <v>1.1171164822774999</v>
      </c>
      <c r="J225" s="279">
        <f>J58/J$19</f>
        <v>0.9582423230116921</v>
      </c>
      <c r="K225" s="279">
        <f>K58/K$19</f>
        <v>1.0026867486419173</v>
      </c>
      <c r="L225" s="260"/>
      <c r="M225" s="279">
        <f>M58/M$19</f>
        <v>0.82170993496536771</v>
      </c>
      <c r="N225" s="279">
        <f>N58/N$19</f>
        <v>0.81676918096471363</v>
      </c>
      <c r="O225" s="279">
        <f>O58/O$19</f>
        <v>0.81768498859793981</v>
      </c>
      <c r="P225" s="279">
        <f>P58/P$19</f>
        <v>0.81449439323861184</v>
      </c>
      <c r="Q225" s="279">
        <f>Q58/Q$19</f>
        <v>0.81727294502358816</v>
      </c>
      <c r="R225" s="260"/>
      <c r="S225" s="279">
        <f>S58/S$19</f>
        <v>0.80699790464709087</v>
      </c>
      <c r="T225" s="279">
        <f>T58/T$19</f>
        <v>0.76967053547226516</v>
      </c>
      <c r="U225" s="279">
        <f>U58/U$19</f>
        <v>0.76967709928603778</v>
      </c>
      <c r="V225" s="279">
        <f>V58/V$19</f>
        <v>0.75775726270286115</v>
      </c>
      <c r="W225" s="279">
        <f>W58/W$19</f>
        <v>0.77335790219702327</v>
      </c>
      <c r="X225" s="260"/>
      <c r="Y225" s="279">
        <f>Y58/Y$19</f>
        <v>0.75146859466787186</v>
      </c>
      <c r="Z225" s="279">
        <f>Z58/Z$19</f>
        <v>0.71602518660606307</v>
      </c>
      <c r="AA225" s="279">
        <f>AA58/AA$19</f>
        <v>0.68585874469294694</v>
      </c>
      <c r="AB225" s="279">
        <f>AB58/AB$19</f>
        <v>0.70798559255029447</v>
      </c>
      <c r="AC225" s="279">
        <f>AC58/AC$19</f>
        <v>0.71295468554849495</v>
      </c>
      <c r="AD225" s="279"/>
      <c r="AE225" s="279">
        <f>AE58/AE$19</f>
        <v>0.70481248686548337</v>
      </c>
      <c r="AF225" s="279">
        <f>AF58/AF$19</f>
        <v>0.68967385323818953</v>
      </c>
      <c r="AG225" s="279">
        <f>AG58/AG$19</f>
        <v>0.69110285806555782</v>
      </c>
      <c r="AH225" s="279">
        <f>AH58/AH$19</f>
        <v>0.71358738611307559</v>
      </c>
      <c r="AI225" s="871">
        <f>AI58/AI$19</f>
        <v>0.70017380878619506</v>
      </c>
      <c r="AJ225" s="279"/>
      <c r="AK225" s="279">
        <f>AK58/AK$19</f>
        <v>0.69510257862719504</v>
      </c>
      <c r="AL225" s="279">
        <f>AL58/AL$19</f>
        <v>0.68158727821541631</v>
      </c>
      <c r="AM225" s="279">
        <f>AM58/AM$19</f>
        <v>0.67550816118006451</v>
      </c>
      <c r="AN225" s="279">
        <f>AN58/AN$19</f>
        <v>0.67325016366536661</v>
      </c>
      <c r="AO225" s="871">
        <f>AO58/AO$19</f>
        <v>0.6805382663283025</v>
      </c>
      <c r="AP225" s="279"/>
      <c r="AQ225" s="279">
        <f>AQ58/AQ$19</f>
        <v>0.66840991511255055</v>
      </c>
      <c r="AR225" s="279">
        <f>AR58/AR$19</f>
        <v>0.67151822470227351</v>
      </c>
      <c r="AS225" s="279">
        <f>AS58/AS$19</f>
        <v>0.67832122305931208</v>
      </c>
      <c r="AT225" s="279">
        <f>AT58/AT$19</f>
        <v>0.67863099698532026</v>
      </c>
      <c r="AU225" s="871">
        <f>AU58/AU$19</f>
        <v>0.67446313926199586</v>
      </c>
      <c r="AV225" s="279"/>
      <c r="AW225" s="279">
        <f>AW58/AW$19</f>
        <v>0.63784418412456867</v>
      </c>
      <c r="AX225" s="279">
        <f>AX58/AX$19</f>
        <v>0.65294357734741071</v>
      </c>
      <c r="AY225" s="279">
        <f>AY58/AY$19</f>
        <v>0.65777237262856647</v>
      </c>
      <c r="AZ225" s="279">
        <f>AZ58/AZ$19</f>
        <v>0.67158500659513232</v>
      </c>
      <c r="BA225" s="871">
        <f>BA58/BA$19</f>
        <v>0.65569481220267112</v>
      </c>
      <c r="BB225" s="279"/>
      <c r="BC225" s="279">
        <f>BC58/BC$19</f>
        <v>0.66024261371024873</v>
      </c>
      <c r="BD225" s="279">
        <f>BD58/BD$19</f>
        <v>0.66497114399602397</v>
      </c>
      <c r="BE225" s="279">
        <f>BE58/BE$19</f>
        <v>0.67005525685933154</v>
      </c>
      <c r="BF225" s="279">
        <f>BF58/BF$19</f>
        <v>0.71274134485528617</v>
      </c>
      <c r="BG225" s="872">
        <f>BG58/BG$19</f>
        <v>0.67838244106257839</v>
      </c>
      <c r="BH225" s="279"/>
      <c r="BI225" s="279">
        <f>BI58/BI$19</f>
        <v>0.71169631456646376</v>
      </c>
      <c r="BJ225" s="279">
        <f>BJ58/BJ$19</f>
        <v>0.71120435456280384</v>
      </c>
      <c r="BK225" s="279">
        <f>BK58/BK$19</f>
        <v>0.70521856707630182</v>
      </c>
      <c r="BL225" s="279">
        <f>BL58/BL$19</f>
        <v>0.68740000601348605</v>
      </c>
      <c r="BM225" s="872">
        <f>BM58/BM$19</f>
        <v>0.70313416182117316</v>
      </c>
      <c r="BN225" s="279"/>
      <c r="BO225" s="279">
        <f>BO58/BO$19</f>
        <v>0.70272924524096747</v>
      </c>
      <c r="BP225" s="279">
        <f>BP58/BP$19</f>
        <v>0.68712866415453322</v>
      </c>
      <c r="BQ225" s="279">
        <f>BQ58/BQ$19</f>
        <v>0.70721513753205867</v>
      </c>
      <c r="BR225" s="279">
        <f>BR58/BR$19</f>
        <v>0.68503056856451738</v>
      </c>
      <c r="BS225" s="872">
        <f>BS58/BS$19</f>
        <v>0.69530341502756365</v>
      </c>
      <c r="BT225" s="279"/>
      <c r="BU225" s="279">
        <f>BU58/BU$19</f>
        <v>0.69644299504947715</v>
      </c>
      <c r="BV225" s="279">
        <f>BV58/BV$19</f>
        <v>0.70448984112323332</v>
      </c>
      <c r="BW225" s="279">
        <f>BW58/BW$19</f>
        <v>0.70736612411875466</v>
      </c>
      <c r="BX225" s="279">
        <f>BX58/BX$19</f>
        <v>0.73060278962874226</v>
      </c>
      <c r="BY225" s="872">
        <f>BY58/BY$19</f>
        <v>0.71083170412795071</v>
      </c>
      <c r="BZ225" s="279"/>
      <c r="CA225" s="279">
        <f>CA58/CA$19</f>
        <v>0.69740832037248968</v>
      </c>
      <c r="CB225" s="279">
        <f>CB58/CB$19</f>
        <v>0.68262206012509186</v>
      </c>
      <c r="CC225" s="279">
        <f>CC58/CC$19</f>
        <v>0.67361372596492619</v>
      </c>
      <c r="CD225" s="279">
        <f>CD58/CD$19</f>
        <v>0.66913723307637785</v>
      </c>
      <c r="CE225" s="872">
        <f>CE58/CE$19</f>
        <v>0.6800529478824755</v>
      </c>
      <c r="CF225" s="279"/>
      <c r="CG225" s="279">
        <f>CG58/CG$19</f>
        <v>0.65358163591449525</v>
      </c>
      <c r="CH225" s="279">
        <f>CH58/CH$19</f>
        <v>0.64785304071000882</v>
      </c>
      <c r="CI225" s="279">
        <f>CI58/CI$19</f>
        <v>0.64200010864695412</v>
      </c>
      <c r="CJ225" s="279">
        <f>CJ58/CJ$19</f>
        <v>0.65614972493613888</v>
      </c>
      <c r="CK225" s="872">
        <f>CK58/CK$19</f>
        <v>0.64990019822366629</v>
      </c>
      <c r="CL225" s="279"/>
      <c r="CM225" s="279">
        <f>CM58/CM$19</f>
        <v>0.62087192809361147</v>
      </c>
      <c r="CN225" s="279">
        <f>CN58/CN$19</f>
        <v>0.63660539188006793</v>
      </c>
      <c r="CO225" s="279">
        <f>CO58/CO$19</f>
        <v>0.62952291032858931</v>
      </c>
      <c r="CP225" s="279">
        <f>CP58/CP$19</f>
        <v>0.63057609717226082</v>
      </c>
      <c r="CQ225" s="872">
        <f>CQ58/CQ$19</f>
        <v>0.62955386950213443</v>
      </c>
      <c r="CR225" s="279"/>
      <c r="CS225" s="279">
        <f>CS58/CS$19</f>
        <v>0.62624231491397775</v>
      </c>
      <c r="CT225" s="279">
        <f>CT58/CT$19</f>
        <v>0.61886703916982777</v>
      </c>
      <c r="CU225" s="279">
        <f>CU58/CU$19</f>
        <v>0.59760821630835559</v>
      </c>
      <c r="CV225" s="279">
        <f>CV58/CV$19</f>
        <v>0.63147671187999443</v>
      </c>
      <c r="CW225" s="872">
        <f>CW58/CW$19</f>
        <v>0.61854156273866867</v>
      </c>
      <c r="CX225" s="279"/>
      <c r="CY225" s="279">
        <f>CY58/CY$19</f>
        <v>0.60500000000000009</v>
      </c>
      <c r="CZ225" s="279">
        <f>CZ58/CZ$19</f>
        <v>0.58949999999999991</v>
      </c>
      <c r="DA225" s="279">
        <f>DA58/DA$19</f>
        <v>0.57099999999999995</v>
      </c>
      <c r="DB225" s="279">
        <f>DB58/DB$19</f>
        <v>0.60199999999999998</v>
      </c>
      <c r="DC225" s="872">
        <f>DC58/DC$19</f>
        <v>0.59173798514397569</v>
      </c>
      <c r="DD225" s="279"/>
      <c r="DE225" s="279">
        <f>DE58/DE$19</f>
        <v>0.58750000000000002</v>
      </c>
      <c r="DF225" s="279">
        <f>DF58/DF$19</f>
        <v>0.56950000000000001</v>
      </c>
      <c r="DG225" s="279">
        <f>DG58/DG$19</f>
        <v>0.55349999999999999</v>
      </c>
      <c r="DH225" s="279">
        <f>DH58/DH$19</f>
        <v>0.57399999999999995</v>
      </c>
      <c r="DI225" s="872">
        <f>DI58/DI$19</f>
        <v>0.57079686197035095</v>
      </c>
      <c r="DJ225" s="279"/>
      <c r="DK225" s="279">
        <f>DK58/DK$19</f>
        <v>0.5675</v>
      </c>
      <c r="DL225" s="279">
        <f>DL58/DL$19</f>
        <v>0.54949999999999999</v>
      </c>
      <c r="DM225" s="279">
        <f>DM58/DM$19</f>
        <v>0.53449999999999998</v>
      </c>
      <c r="DN225" s="279">
        <f>DN58/DN$19</f>
        <v>0.55099999999999993</v>
      </c>
      <c r="DO225" s="872">
        <f>DO58/DO$19</f>
        <v>0.55026256228037251</v>
      </c>
      <c r="DP225" s="260"/>
    </row>
    <row r="226" spans="1:120" ht="5.25" customHeight="1">
      <c r="A226" s="255"/>
      <c r="B226" s="744"/>
      <c r="C226" s="744"/>
      <c r="D226" s="744"/>
      <c r="E226" s="744"/>
      <c r="F226" s="669"/>
      <c r="G226" s="744"/>
      <c r="H226" s="744"/>
      <c r="I226" s="744"/>
      <c r="J226" s="744"/>
      <c r="K226" s="744"/>
      <c r="L226" s="669"/>
      <c r="M226" s="744"/>
      <c r="N226" s="744"/>
      <c r="O226" s="744"/>
      <c r="P226" s="744"/>
      <c r="Q226" s="744"/>
      <c r="R226" s="669"/>
      <c r="S226" s="744"/>
      <c r="T226" s="744"/>
      <c r="U226" s="744"/>
      <c r="V226" s="744"/>
      <c r="W226" s="744"/>
      <c r="X226" s="669"/>
      <c r="Y226" s="744"/>
      <c r="Z226" s="744"/>
      <c r="AA226" s="744"/>
      <c r="AB226" s="744"/>
      <c r="AC226" s="744"/>
      <c r="AD226" s="744"/>
      <c r="AE226" s="744"/>
      <c r="AF226" s="744"/>
      <c r="AG226" s="744"/>
      <c r="AH226" s="744"/>
      <c r="AI226" s="879"/>
      <c r="AJ226" s="744"/>
      <c r="AK226" s="744"/>
      <c r="AL226" s="744"/>
      <c r="AM226" s="744"/>
      <c r="AN226" s="744"/>
      <c r="AO226" s="879"/>
      <c r="AP226" s="744"/>
      <c r="AQ226" s="744"/>
      <c r="AR226" s="744"/>
      <c r="AS226" s="744"/>
      <c r="AT226" s="744"/>
      <c r="AU226" s="879"/>
      <c r="AV226" s="744"/>
      <c r="AW226" s="744"/>
      <c r="AX226" s="744"/>
      <c r="AY226" s="744"/>
      <c r="AZ226" s="744"/>
      <c r="BA226" s="879"/>
      <c r="BB226" s="744"/>
      <c r="BC226" s="744"/>
      <c r="BD226" s="744"/>
      <c r="BE226" s="744"/>
      <c r="BF226" s="744"/>
      <c r="BG226" s="880"/>
      <c r="BH226" s="744"/>
      <c r="BI226" s="744"/>
      <c r="BJ226" s="744"/>
      <c r="BK226" s="744"/>
      <c r="BL226" s="744"/>
      <c r="BM226" s="880"/>
      <c r="BN226" s="744"/>
      <c r="BO226" s="744"/>
      <c r="BP226" s="744"/>
      <c r="BQ226" s="744"/>
      <c r="BR226" s="744"/>
      <c r="BS226" s="880"/>
      <c r="BT226" s="744"/>
      <c r="BU226" s="744"/>
      <c r="BV226" s="744"/>
      <c r="BW226" s="744"/>
      <c r="BX226" s="744"/>
      <c r="BY226" s="880"/>
      <c r="BZ226" s="744"/>
      <c r="CA226" s="744"/>
      <c r="CB226" s="744"/>
      <c r="CC226" s="744"/>
      <c r="CD226" s="744"/>
      <c r="CE226" s="880"/>
      <c r="CF226" s="744"/>
      <c r="CG226" s="744"/>
      <c r="CH226" s="744"/>
      <c r="CI226" s="744"/>
      <c r="CJ226" s="744"/>
      <c r="CK226" s="880"/>
      <c r="CL226" s="744"/>
      <c r="CM226" s="744"/>
      <c r="CN226" s="744"/>
      <c r="CO226" s="744"/>
      <c r="CP226" s="744"/>
      <c r="CQ226" s="880"/>
      <c r="CR226" s="744"/>
      <c r="CS226" s="744"/>
      <c r="CT226" s="744"/>
      <c r="CU226" s="744"/>
      <c r="CV226" s="744"/>
      <c r="CW226" s="880"/>
      <c r="CX226" s="744"/>
      <c r="CY226" s="744"/>
      <c r="CZ226" s="744"/>
      <c r="DA226" s="744"/>
      <c r="DB226" s="744"/>
      <c r="DC226" s="880"/>
      <c r="DD226" s="744"/>
      <c r="DE226" s="744"/>
      <c r="DF226" s="744"/>
      <c r="DG226" s="744"/>
      <c r="DH226" s="744"/>
      <c r="DI226" s="880"/>
      <c r="DJ226" s="744"/>
      <c r="DK226" s="744"/>
      <c r="DL226" s="744"/>
      <c r="DM226" s="744"/>
      <c r="DN226" s="744"/>
      <c r="DO226" s="880"/>
      <c r="DP226" s="669"/>
    </row>
    <row r="227" spans="1:120">
      <c r="A227" s="260" t="s">
        <v>949</v>
      </c>
      <c r="B227" s="869"/>
      <c r="C227" s="268" t="s">
        <v>88</v>
      </c>
      <c r="D227" s="279">
        <f>D64/D19</f>
        <v>-9.912315159173378</v>
      </c>
      <c r="E227" s="279">
        <f>E64/E19</f>
        <v>-0.97585791423088941</v>
      </c>
      <c r="F227" s="260"/>
      <c r="G227" s="279">
        <f>G64/G19</f>
        <v>-0.17474066944711808</v>
      </c>
      <c r="H227" s="279">
        <f>H64/H19</f>
        <v>-0.11663721282504411</v>
      </c>
      <c r="I227" s="279">
        <f>I64/I19</f>
        <v>-0.34338665351278991</v>
      </c>
      <c r="J227" s="279">
        <f>J64/J19</f>
        <v>-0.16748040601310543</v>
      </c>
      <c r="K227" s="279">
        <f>K64/K19</f>
        <v>-0.20591869153380007</v>
      </c>
      <c r="L227" s="260"/>
      <c r="M227" s="279">
        <f>M64/M19</f>
        <v>8.9885264104061946E-4</v>
      </c>
      <c r="N227" s="279">
        <f>N64/N19</f>
        <v>6.1971049345604379E-3</v>
      </c>
      <c r="O227" s="279">
        <f>O64/O19</f>
        <v>-1.2188409216010992E-3</v>
      </c>
      <c r="P227" s="279">
        <f>P64/P19</f>
        <v>5.0910058895950053E-3</v>
      </c>
      <c r="Q227" s="279">
        <f>Q64/Q19</f>
        <v>2.8430688480884573E-3</v>
      </c>
      <c r="R227" s="260"/>
      <c r="S227" s="279">
        <f>S64/S19</f>
        <v>1.0361950687447994E-2</v>
      </c>
      <c r="T227" s="279">
        <f>T64/T19</f>
        <v>2.8708016066632494E-2</v>
      </c>
      <c r="U227" s="279">
        <f>U64/U19</f>
        <v>3.8243351092513173E-2</v>
      </c>
      <c r="V227" s="279">
        <f>V64/V19</f>
        <v>5.8999157416565869E-2</v>
      </c>
      <c r="W227" s="279">
        <f>W64/W19</f>
        <v>3.6966690290574138E-2</v>
      </c>
      <c r="X227" s="260"/>
      <c r="Y227" s="279">
        <f>Y64/Y19</f>
        <v>6.2093896567306045E-2</v>
      </c>
      <c r="Z227" s="279">
        <f>Z64/Z19</f>
        <v>5.8282251226665513E-2</v>
      </c>
      <c r="AA227" s="279">
        <f>AA64/AA19</f>
        <v>7.7256177954108191E-2</v>
      </c>
      <c r="AB227" s="279">
        <f>AB64/AB19</f>
        <v>5.7673723974347509E-2</v>
      </c>
      <c r="AC227" s="279">
        <f>AC64/AC19</f>
        <v>6.3955308416462964E-2</v>
      </c>
      <c r="AD227" s="279"/>
      <c r="AE227" s="279">
        <f>AE64/AE19</f>
        <v>7.235924574441667E-2</v>
      </c>
      <c r="AF227" s="279">
        <f>AF64/AF19</f>
        <v>8.0034197584160749E-2</v>
      </c>
      <c r="AG227" s="279">
        <f>AG64/AG19</f>
        <v>7.7791361983191615E-2</v>
      </c>
      <c r="AH227" s="279">
        <f>AH64/AH19</f>
        <v>6.3083302131436342E-2</v>
      </c>
      <c r="AI227" s="871">
        <f>AI64/AI19</f>
        <v>7.2913188143987784E-2</v>
      </c>
      <c r="AJ227" s="279"/>
      <c r="AK227" s="279">
        <f>AK64/AK19</f>
        <v>7.7740561042287548E-2</v>
      </c>
      <c r="AL227" s="279">
        <f>AL64/AL19</f>
        <v>0.10351174261945091</v>
      </c>
      <c r="AM227" s="279">
        <f>AM64/AM19</f>
        <v>0.11304803348495626</v>
      </c>
      <c r="AN227" s="279">
        <f>AN64/AN19</f>
        <v>0.12731782431099178</v>
      </c>
      <c r="AO227" s="871">
        <f>AO64/AO19</f>
        <v>0.10727394149859762</v>
      </c>
      <c r="AP227" s="279"/>
      <c r="AQ227" s="279">
        <f>AQ64/AQ19</f>
        <v>0.14048024812011856</v>
      </c>
      <c r="AR227" s="279">
        <f>AR64/AR19</f>
        <v>0.13791399476198987</v>
      </c>
      <c r="AS227" s="279">
        <f>AS64/AS19</f>
        <v>0.13710952051995209</v>
      </c>
      <c r="AT227" s="279">
        <f>AT64/AT19</f>
        <v>0.1385820300224806</v>
      </c>
      <c r="AU227" s="871">
        <f>AU64/AU19</f>
        <v>0.13847724070808132</v>
      </c>
      <c r="AV227" s="279"/>
      <c r="AW227" s="279">
        <f>AW64/AW19</f>
        <v>0.17245608741850424</v>
      </c>
      <c r="AX227" s="279">
        <f>AX64/AX19</f>
        <v>0.16631599596280466</v>
      </c>
      <c r="AY227" s="279">
        <f>AY64/AY19</f>
        <v>0.15957694623187482</v>
      </c>
      <c r="AZ227" s="279">
        <f>AZ64/AZ19</f>
        <v>0.15357196320283356</v>
      </c>
      <c r="BA227" s="871">
        <f>BA64/BA19</f>
        <v>0.16258790134369089</v>
      </c>
      <c r="BB227" s="279"/>
      <c r="BC227" s="279">
        <f>BC64/BC19</f>
        <v>0.16459623208328814</v>
      </c>
      <c r="BD227" s="279">
        <f>BD64/BD19</f>
        <v>0.15572353006805759</v>
      </c>
      <c r="BE227" s="279">
        <f>BE64/BE19</f>
        <v>0.15374271418150631</v>
      </c>
      <c r="BF227" s="279">
        <f>BF64/BF19</f>
        <v>0.10547927515009839</v>
      </c>
      <c r="BG227" s="872">
        <f>BG64/BG19</f>
        <v>0.14337602337522687</v>
      </c>
      <c r="BH227" s="279"/>
      <c r="BI227" s="279">
        <f>BI64/BI19</f>
        <v>0.10922666962749131</v>
      </c>
      <c r="BJ227" s="279">
        <f>BJ64/BJ19</f>
        <v>0.10535675693495636</v>
      </c>
      <c r="BK227" s="279">
        <f>BK64/BK19</f>
        <v>0.11171567452846329</v>
      </c>
      <c r="BL227" s="279">
        <f>BL64/BL19</f>
        <v>0.13230618771887911</v>
      </c>
      <c r="BM227" s="872">
        <f>BM64/BM19</f>
        <v>0.11537061572732701</v>
      </c>
      <c r="BN227" s="279"/>
      <c r="BO227" s="279">
        <f>BO64/BO19</f>
        <v>0.1148753283764723</v>
      </c>
      <c r="BP227" s="279">
        <f>BP64/BP19</f>
        <v>0.12577889124429878</v>
      </c>
      <c r="BQ227" s="279">
        <f>BQ64/BQ19</f>
        <v>9.7876960621411949E-2</v>
      </c>
      <c r="BR227" s="279">
        <f>BR64/BR19</f>
        <v>0.12906367821958339</v>
      </c>
      <c r="BS227" s="872">
        <f>BS64/BS19</f>
        <v>0.11697973408257506</v>
      </c>
      <c r="BT227" s="279"/>
      <c r="BU227" s="279">
        <f>BU64/BU19</f>
        <v>0.10525490319089699</v>
      </c>
      <c r="BV227" s="279">
        <f>BV64/BV19</f>
        <v>0.1020223718882369</v>
      </c>
      <c r="BW227" s="279">
        <f>BW64/BW19</f>
        <v>8.6112520608084733E-2</v>
      </c>
      <c r="BX227" s="279">
        <f>BX64/BX19</f>
        <v>6.9401925531896294E-2</v>
      </c>
      <c r="BY227" s="872">
        <f>BY64/BY19</f>
        <v>8.9349234083099402E-2</v>
      </c>
      <c r="BZ227" s="279"/>
      <c r="CA227" s="279">
        <f>CA64/CA19</f>
        <v>9.7318817188524157E-2</v>
      </c>
      <c r="CB227" s="279">
        <f>CB64/CB19</f>
        <v>0.10989032657819091</v>
      </c>
      <c r="CC227" s="279">
        <f>CC64/CC19</f>
        <v>0.11047840682829176</v>
      </c>
      <c r="CD227" s="279">
        <f>CD64/CD19</f>
        <v>0.10865023591174899</v>
      </c>
      <c r="CE227" s="872">
        <f>CE64/CE19</f>
        <v>0.10683833849500134</v>
      </c>
      <c r="CF227" s="279"/>
      <c r="CG227" s="279">
        <f>CG64/CG19</f>
        <v>0.11697251197253528</v>
      </c>
      <c r="CH227" s="279">
        <f>CH64/CH19</f>
        <v>0.12690159076616628</v>
      </c>
      <c r="CI227" s="279">
        <f>CI64/CI19</f>
        <v>0.13260360742934876</v>
      </c>
      <c r="CJ227" s="279">
        <f>CJ64/CJ19</f>
        <v>0.12091424882751078</v>
      </c>
      <c r="CK227" s="872">
        <f>CK64/CK19</f>
        <v>0.12449034199581957</v>
      </c>
      <c r="CL227" s="279"/>
      <c r="CM227" s="279">
        <f>CM64/CM19</f>
        <v>0.1453123051565712</v>
      </c>
      <c r="CN227" s="279">
        <f>CN64/CN19</f>
        <v>0.12940865690080311</v>
      </c>
      <c r="CO227" s="279">
        <f>CO64/CO19</f>
        <v>0.1270781317387604</v>
      </c>
      <c r="CP227" s="279">
        <f>CP64/CP19</f>
        <v>0.12870860701974016</v>
      </c>
      <c r="CQ227" s="872">
        <f>CQ64/CQ19</f>
        <v>0.13225382698537069</v>
      </c>
      <c r="CR227" s="279"/>
      <c r="CS227" s="279">
        <f>CS64/CS19</f>
        <v>0.13273571261935205</v>
      </c>
      <c r="CT227" s="279">
        <f>CT64/CT19</f>
        <v>0.1488622882125118</v>
      </c>
      <c r="CU227" s="279">
        <f>CU64/CU19</f>
        <v>0.16304773305580444</v>
      </c>
      <c r="CV227" s="279">
        <f>CV64/CV19</f>
        <v>0.13485885493631536</v>
      </c>
      <c r="CW227" s="872">
        <f>CW64/CW19</f>
        <v>0.14500613167236831</v>
      </c>
      <c r="CX227" s="279"/>
      <c r="CY227" s="279">
        <f>CY64/CY19</f>
        <v>0.15711551272966606</v>
      </c>
      <c r="CZ227" s="279">
        <f>CZ64/CZ19</f>
        <v>0.18125689159133837</v>
      </c>
      <c r="DA227" s="279">
        <f>DA64/DA19</f>
        <v>0.19423635112070178</v>
      </c>
      <c r="DB227" s="279">
        <f>DB64/DB19</f>
        <v>0.16978286549043894</v>
      </c>
      <c r="DC227" s="872">
        <f>DC64/DC19</f>
        <v>0.17588727888098801</v>
      </c>
      <c r="DD227" s="279"/>
      <c r="DE227" s="279">
        <f>DE64/DE19</f>
        <v>0.17896439448937471</v>
      </c>
      <c r="DF227" s="279">
        <f>DF64/DF19</f>
        <v>0.20518143749445455</v>
      </c>
      <c r="DG227" s="279">
        <f>DG64/DG19</f>
        <v>0.21556102472852195</v>
      </c>
      <c r="DH227" s="279">
        <f>DH64/DH19</f>
        <v>0.20236393723768259</v>
      </c>
      <c r="DI227" s="872">
        <f>DI64/DI19</f>
        <v>0.20099578364079962</v>
      </c>
      <c r="DJ227" s="279"/>
      <c r="DK227" s="279">
        <f>DK64/DK19</f>
        <v>0.20323931272965004</v>
      </c>
      <c r="DL227" s="279">
        <f>DL64/DL19</f>
        <v>0.22915709587930444</v>
      </c>
      <c r="DM227" s="279">
        <f>DM64/DM19</f>
        <v>0.23823717918584569</v>
      </c>
      <c r="DN227" s="279">
        <f>DN64/DN19</f>
        <v>0.22983187246713346</v>
      </c>
      <c r="DO227" s="872">
        <f>DO64/DO19</f>
        <v>0.22562623177775049</v>
      </c>
      <c r="DP227" s="260"/>
    </row>
    <row r="228" spans="1:120">
      <c r="A228" s="260" t="s">
        <v>962</v>
      </c>
      <c r="B228" s="869"/>
      <c r="C228" s="268" t="s">
        <v>88</v>
      </c>
      <c r="D228" s="279">
        <f>D84/D19</f>
        <v>-9.5573933560455036</v>
      </c>
      <c r="E228" s="279">
        <f>E84/E19</f>
        <v>-0.9349814806550939</v>
      </c>
      <c r="F228" s="260"/>
      <c r="G228" s="279">
        <f>G84/G19</f>
        <v>-0.16704095818629036</v>
      </c>
      <c r="H228" s="279">
        <f>H84/H19</f>
        <v>-9.4757216191197438E-2</v>
      </c>
      <c r="I228" s="279">
        <f>I84/I19</f>
        <v>-0.34113170319216413</v>
      </c>
      <c r="J228" s="279">
        <f>J84/J19</f>
        <v>-0.14049852242066035</v>
      </c>
      <c r="K228" s="279">
        <f>K84/K19</f>
        <v>-0.1905434292326097</v>
      </c>
      <c r="L228" s="260"/>
      <c r="M228" s="279">
        <f>M84/M19</f>
        <v>1.9457515994289708E-2</v>
      </c>
      <c r="N228" s="279">
        <f>N84/N19</f>
        <v>5.6421403135550278E-3</v>
      </c>
      <c r="O228" s="279">
        <f>O84/O19</f>
        <v>-3.9146986239471182E-3</v>
      </c>
      <c r="P228" s="279">
        <f>P84/P19</f>
        <v>4.3922403753368609E-3</v>
      </c>
      <c r="Q228" s="279">
        <f>Q84/Q19</f>
        <v>5.4407126959012874E-3</v>
      </c>
      <c r="R228" s="260"/>
      <c r="S228" s="279">
        <f>S84/S19</f>
        <v>1.2543413990068621E-2</v>
      </c>
      <c r="T228" s="279">
        <f>T84/T19</f>
        <v>2.8831226436017186E-2</v>
      </c>
      <c r="U228" s="279">
        <f>U84/U19</f>
        <v>4.6439895601906839E-2</v>
      </c>
      <c r="V228" s="279">
        <f>V84/V19</f>
        <v>6.5684873795655144E-2</v>
      </c>
      <c r="W228" s="279">
        <f>W84/W19</f>
        <v>4.1649893692416798E-2</v>
      </c>
      <c r="X228" s="260"/>
      <c r="Y228" s="279">
        <f>Y84/Y19</f>
        <v>6.4696074917805435E-2</v>
      </c>
      <c r="Z228" s="279">
        <f>Z84/Z19</f>
        <v>7.0055460572953546E-2</v>
      </c>
      <c r="AA228" s="279">
        <f>AA84/AA19</f>
        <v>7.6542522951870445E-2</v>
      </c>
      <c r="AB228" s="279">
        <f>AB84/AB19</f>
        <v>6.5415531933584958E-2</v>
      </c>
      <c r="AC228" s="279">
        <f>AC84/AC19</f>
        <v>6.9312618401391496E-2</v>
      </c>
      <c r="AD228" s="279"/>
      <c r="AE228" s="279">
        <f>AE84/AE19</f>
        <v>4.7675906998070436E-2</v>
      </c>
      <c r="AF228" s="279">
        <f>AF84/AF19</f>
        <v>5.5520285769911193E-2</v>
      </c>
      <c r="AG228" s="279">
        <f>AG84/AG19</f>
        <v>5.720075568266933E-2</v>
      </c>
      <c r="AH228" s="279">
        <f>AH84/AH19</f>
        <v>5.2457945516476548E-2</v>
      </c>
      <c r="AI228" s="871">
        <f>AI84/AI19</f>
        <v>5.3419486091425598E-2</v>
      </c>
      <c r="AJ228" s="279"/>
      <c r="AK228" s="279">
        <f>AK84/AK19</f>
        <v>5.5864714429968237E-2</v>
      </c>
      <c r="AL228" s="279">
        <f>AL84/AL19</f>
        <v>7.045656618284174E-2</v>
      </c>
      <c r="AM228" s="279">
        <f>AM84/AM19</f>
        <v>7.9485018386643402E-2</v>
      </c>
      <c r="AN228" s="279">
        <f>AN84/AN19</f>
        <v>7.8881174333582257E-2</v>
      </c>
      <c r="AO228" s="871">
        <f>AO84/AO19</f>
        <v>7.2056898624282106E-2</v>
      </c>
      <c r="AP228" s="279"/>
      <c r="AQ228" s="279">
        <f>AQ84/AQ19</f>
        <v>7.9449321950392143E-2</v>
      </c>
      <c r="AR228" s="279">
        <f>AR84/AR19</f>
        <v>7.7946760834280482E-2</v>
      </c>
      <c r="AS228" s="279">
        <f>AS84/AS19</f>
        <v>8.3052752666234853E-2</v>
      </c>
      <c r="AT228" s="279">
        <f>AT84/AT19</f>
        <v>0.10047986351257461</v>
      </c>
      <c r="AU228" s="871">
        <f>AU84/AU19</f>
        <v>8.5663375099014893E-2</v>
      </c>
      <c r="AV228" s="279"/>
      <c r="AW228" s="279">
        <f>AW84/AW19</f>
        <v>0.10712446380081592</v>
      </c>
      <c r="AX228" s="279">
        <f>AX84/AX19</f>
        <v>0.11173564596707598</v>
      </c>
      <c r="AY228" s="279">
        <f>AY84/AY19</f>
        <v>0.10234289016151916</v>
      </c>
      <c r="AZ228" s="279">
        <f>AZ84/AZ19</f>
        <v>0.10554533412041839</v>
      </c>
      <c r="BA228" s="871">
        <f>BA84/BA19</f>
        <v>0.10660192419784875</v>
      </c>
      <c r="BB228" s="279"/>
      <c r="BC228" s="279">
        <f>BC84/BC19</f>
        <v>0.10601810447091808</v>
      </c>
      <c r="BD228" s="279">
        <f>BD84/BD19</f>
        <v>9.8216911951152744E-2</v>
      </c>
      <c r="BE228" s="279">
        <f>BE84/BE19</f>
        <v>0.10336598405451576</v>
      </c>
      <c r="BF228" s="279">
        <f>BF84/BF19</f>
        <v>9.4272512569303551E-2</v>
      </c>
      <c r="BG228" s="872">
        <f>BG84/BG19</f>
        <v>0.10023661261970182</v>
      </c>
      <c r="BH228" s="279"/>
      <c r="BI228" s="279">
        <f>BI84/BI19</f>
        <v>7.9089705054286238E-2</v>
      </c>
      <c r="BJ228" s="279">
        <f>BJ84/BJ19</f>
        <v>7.8904472877388804E-2</v>
      </c>
      <c r="BK228" s="279">
        <f>BK84/BK19</f>
        <v>8.3868483209529943E-2</v>
      </c>
      <c r="BL228" s="279">
        <f>BL84/BL19</f>
        <v>9.7529248488320466E-2</v>
      </c>
      <c r="BM228" s="872">
        <f>BM84/BM19</f>
        <v>8.5417899272856118E-2</v>
      </c>
      <c r="BN228" s="279"/>
      <c r="BO228" s="279">
        <f>BO84/BO19</f>
        <v>7.8312845900668268E-2</v>
      </c>
      <c r="BP228" s="279">
        <f>BP84/BP19</f>
        <v>8.2985147249569069E-2</v>
      </c>
      <c r="BQ228" s="279">
        <f>BQ84/BQ19</f>
        <v>6.29643910816617E-2</v>
      </c>
      <c r="BR228" s="279">
        <f>BR84/BR19</f>
        <v>9.3127793731976743E-2</v>
      </c>
      <c r="BS228" s="872">
        <f>BS84/BS19</f>
        <v>7.9520489673611042E-2</v>
      </c>
      <c r="BT228" s="279"/>
      <c r="BU228" s="279">
        <f>BU84/BU19</f>
        <v>6.829682523500695E-2</v>
      </c>
      <c r="BV228" s="279">
        <f>BV84/BV19</f>
        <v>5.8818674027838656E-2</v>
      </c>
      <c r="BW228" s="279">
        <f>BW84/BW19</f>
        <v>5.3537341756858835E-2</v>
      </c>
      <c r="BX228" s="279">
        <f>BX84/BX19</f>
        <v>4.1027136622652657E-2</v>
      </c>
      <c r="BY228" s="872">
        <f>BY84/BY19</f>
        <v>5.4495906782677385E-2</v>
      </c>
      <c r="BZ228" s="279"/>
      <c r="CA228" s="279">
        <f>CA84/CA19</f>
        <v>5.6665786307480231E-2</v>
      </c>
      <c r="CB228" s="279">
        <f>CB84/CB19</f>
        <v>6.498421373158883E-2</v>
      </c>
      <c r="CC228" s="279">
        <f>CC84/CC19</f>
        <v>6.7650534273355711E-2</v>
      </c>
      <c r="CD228" s="279">
        <f>CD84/CD19</f>
        <v>6.4224343212829965E-2</v>
      </c>
      <c r="CE228" s="872">
        <f>CE84/CE19</f>
        <v>6.3567420340904596E-2</v>
      </c>
      <c r="CF228" s="279"/>
      <c r="CG228" s="279">
        <f>CG84/CG19</f>
        <v>7.1689627949789961E-2</v>
      </c>
      <c r="CH228" s="279">
        <f>CH84/CH19</f>
        <v>7.8463482850507943E-2</v>
      </c>
      <c r="CI228" s="279">
        <f>CI84/CI19</f>
        <v>8.2082773791784483E-2</v>
      </c>
      <c r="CJ228" s="279">
        <f>CJ84/CJ19</f>
        <v>7.1660298065986797E-2</v>
      </c>
      <c r="CK228" s="872">
        <f>CK84/CK19</f>
        <v>7.6011186678217754E-2</v>
      </c>
      <c r="CL228" s="279"/>
      <c r="CM228" s="279">
        <f>CM84/CM19</f>
        <v>8.7411425318649663E-2</v>
      </c>
      <c r="CN228" s="279">
        <f>CN84/CN19</f>
        <v>8.3680886646391103E-2</v>
      </c>
      <c r="CO228" s="279">
        <f>CO84/CO19</f>
        <v>7.970020165285395E-2</v>
      </c>
      <c r="CP228" s="279">
        <f>CP84/CP19</f>
        <v>8.55828365274795E-2</v>
      </c>
      <c r="CQ228" s="872">
        <f>CQ84/CQ19</f>
        <v>8.4035431907401051E-2</v>
      </c>
      <c r="CR228" s="279"/>
      <c r="CS228" s="279">
        <f>CS84/CS19</f>
        <v>8.4932896461227023E-2</v>
      </c>
      <c r="CT228" s="279">
        <f>CT84/CT19</f>
        <v>9.4042408832954796E-2</v>
      </c>
      <c r="CU228" s="279">
        <f>CU84/CU19</f>
        <v>0.10612234084037074</v>
      </c>
      <c r="CV228" s="279">
        <f>CV84/CV19</f>
        <v>9.2340835839176558E-2</v>
      </c>
      <c r="CW228" s="872">
        <f>CW84/CW19</f>
        <v>9.4593116878110409E-2</v>
      </c>
      <c r="CX228" s="279"/>
      <c r="CY228" s="279">
        <f>CY84/CY19</f>
        <v>0.12108702343711894</v>
      </c>
      <c r="CZ228" s="279">
        <f>CZ84/CZ19</f>
        <v>0.1402240167884713</v>
      </c>
      <c r="DA228" s="279">
        <f>DA84/DA19</f>
        <v>0.15051910787248779</v>
      </c>
      <c r="DB228" s="279">
        <f>DB84/DB19</f>
        <v>0.13144572032068993</v>
      </c>
      <c r="DC228" s="872">
        <f>DC84/DC19</f>
        <v>0.13605426802185253</v>
      </c>
      <c r="DD228" s="279"/>
      <c r="DE228" s="279">
        <f>DE84/DE19</f>
        <v>0.14098910549827304</v>
      </c>
      <c r="DF228" s="279">
        <f>DF84/DF19</f>
        <v>0.16154132745255587</v>
      </c>
      <c r="DG228" s="279">
        <f>DG84/DG19</f>
        <v>0.16974143502160724</v>
      </c>
      <c r="DH228" s="279">
        <f>DH84/DH19</f>
        <v>0.15938659858993387</v>
      </c>
      <c r="DI228" s="872">
        <f>DI84/DI19</f>
        <v>0.15829065918857435</v>
      </c>
      <c r="DJ228" s="279"/>
      <c r="DK228" s="279">
        <f>DK84/DK19</f>
        <v>0.16017537718120622</v>
      </c>
      <c r="DL228" s="279">
        <f>DL84/DL19</f>
        <v>0.18048672989339318</v>
      </c>
      <c r="DM228" s="279">
        <f>DM84/DM19</f>
        <v>0.18766563491853741</v>
      </c>
      <c r="DN228" s="279">
        <f>DN84/DN19</f>
        <v>0.18107468181871361</v>
      </c>
      <c r="DO228" s="872">
        <f>DO84/DO19</f>
        <v>0.17775149030707688</v>
      </c>
      <c r="DP228" s="260"/>
    </row>
    <row r="229" spans="1:120" ht="5.25" customHeight="1">
      <c r="A229" s="255"/>
      <c r="B229" s="744"/>
      <c r="C229" s="669"/>
      <c r="D229" s="669"/>
      <c r="E229" s="669"/>
      <c r="F229" s="669"/>
      <c r="G229" s="669"/>
      <c r="H229" s="669"/>
      <c r="I229" s="669"/>
      <c r="J229" s="669"/>
      <c r="K229" s="669"/>
      <c r="L229" s="669"/>
      <c r="M229" s="669"/>
      <c r="N229" s="669"/>
      <c r="O229" s="669"/>
      <c r="P229" s="669"/>
      <c r="Q229" s="669"/>
      <c r="R229" s="669"/>
      <c r="S229" s="669"/>
      <c r="T229" s="669"/>
      <c r="U229" s="669"/>
      <c r="V229" s="669"/>
      <c r="W229" s="669"/>
      <c r="X229" s="669"/>
      <c r="Y229" s="669"/>
      <c r="Z229" s="669"/>
      <c r="AA229" s="669"/>
      <c r="AB229" s="669"/>
      <c r="AC229" s="669"/>
      <c r="AD229" s="669"/>
      <c r="AE229" s="669"/>
      <c r="AF229" s="669"/>
      <c r="AG229" s="669"/>
      <c r="AH229" s="669"/>
      <c r="AI229" s="757"/>
      <c r="AJ229" s="669"/>
      <c r="AK229" s="669"/>
      <c r="AL229" s="669"/>
      <c r="AM229" s="669"/>
      <c r="AN229" s="669"/>
      <c r="AO229" s="757"/>
      <c r="AP229" s="669"/>
      <c r="AQ229" s="669"/>
      <c r="AR229" s="669"/>
      <c r="AS229" s="669"/>
      <c r="AT229" s="669"/>
      <c r="AU229" s="757"/>
      <c r="AV229" s="669"/>
      <c r="AW229" s="669"/>
      <c r="AX229" s="669"/>
      <c r="AY229" s="669"/>
      <c r="AZ229" s="669"/>
      <c r="BA229" s="757"/>
      <c r="BB229" s="669"/>
      <c r="BC229" s="669"/>
      <c r="BD229" s="669"/>
      <c r="BE229" s="669"/>
      <c r="BF229" s="669"/>
      <c r="BG229" s="886"/>
      <c r="BH229" s="669"/>
      <c r="BI229" s="669"/>
      <c r="BJ229" s="669"/>
      <c r="BK229" s="669"/>
      <c r="BL229" s="669"/>
      <c r="BM229" s="886"/>
      <c r="BN229" s="669"/>
      <c r="BO229" s="669"/>
      <c r="BP229" s="669"/>
      <c r="BQ229" s="669"/>
      <c r="BR229" s="669"/>
      <c r="BS229" s="886"/>
      <c r="BT229" s="669"/>
      <c r="BU229" s="669"/>
      <c r="BV229" s="669"/>
      <c r="BW229" s="669"/>
      <c r="BX229" s="669"/>
      <c r="BY229" s="886"/>
      <c r="BZ229" s="669"/>
      <c r="CA229" s="669"/>
      <c r="CB229" s="669"/>
      <c r="CC229" s="669"/>
      <c r="CD229" s="669"/>
      <c r="CE229" s="886"/>
      <c r="CF229" s="669"/>
      <c r="CG229" s="669"/>
      <c r="CH229" s="669"/>
      <c r="CI229" s="669"/>
      <c r="CJ229" s="669"/>
      <c r="CK229" s="886"/>
      <c r="CL229" s="669"/>
      <c r="CM229" s="669"/>
      <c r="CN229" s="669"/>
      <c r="CO229" s="669"/>
      <c r="CP229" s="669"/>
      <c r="CQ229" s="886"/>
      <c r="CR229" s="669"/>
      <c r="CS229" s="669"/>
      <c r="CT229" s="669"/>
      <c r="CU229" s="669"/>
      <c r="CV229" s="669"/>
      <c r="CW229" s="886"/>
      <c r="CX229" s="669"/>
      <c r="CY229" s="669"/>
      <c r="CZ229" s="669"/>
      <c r="DA229" s="669"/>
      <c r="DB229" s="669"/>
      <c r="DC229" s="886"/>
      <c r="DD229" s="669"/>
      <c r="DE229" s="669"/>
      <c r="DF229" s="669"/>
      <c r="DG229" s="669"/>
      <c r="DH229" s="669"/>
      <c r="DI229" s="886"/>
      <c r="DJ229" s="669"/>
      <c r="DK229" s="669"/>
      <c r="DL229" s="669"/>
      <c r="DM229" s="669"/>
      <c r="DN229" s="669"/>
      <c r="DO229" s="886"/>
      <c r="DP229" s="669"/>
    </row>
    <row r="230" spans="1:120">
      <c r="A230" s="378" t="s">
        <v>243</v>
      </c>
      <c r="B230" s="378"/>
      <c r="C230" s="378"/>
      <c r="D230" s="378"/>
      <c r="E230" s="378"/>
      <c r="F230" s="378"/>
      <c r="G230" s="378"/>
      <c r="H230" s="378"/>
      <c r="I230" s="378"/>
      <c r="J230" s="378"/>
      <c r="K230" s="378"/>
      <c r="L230" s="378"/>
      <c r="M230" s="378"/>
      <c r="N230" s="378"/>
      <c r="O230" s="378"/>
      <c r="P230" s="378"/>
      <c r="Q230" s="378"/>
      <c r="R230" s="378"/>
      <c r="S230" s="378"/>
      <c r="T230" s="378"/>
      <c r="U230" s="378"/>
      <c r="V230" s="378"/>
      <c r="W230" s="378"/>
      <c r="X230" s="378"/>
      <c r="Y230" s="378"/>
      <c r="Z230" s="378"/>
      <c r="AA230" s="378"/>
      <c r="AB230" s="378"/>
      <c r="AC230" s="378"/>
      <c r="AD230" s="378"/>
      <c r="AE230" s="378"/>
      <c r="AF230" s="378"/>
      <c r="AG230" s="378"/>
      <c r="AH230" s="378"/>
      <c r="AI230" s="378"/>
      <c r="AJ230" s="378"/>
      <c r="AK230" s="378"/>
      <c r="AL230" s="378"/>
      <c r="AM230" s="378"/>
      <c r="AN230" s="378"/>
      <c r="AO230" s="378"/>
      <c r="AP230" s="378"/>
      <c r="AQ230" s="378"/>
      <c r="AR230" s="378"/>
      <c r="AS230" s="378"/>
      <c r="AT230" s="378"/>
      <c r="AU230" s="378"/>
      <c r="AV230" s="378"/>
      <c r="AW230" s="378"/>
      <c r="AX230" s="378"/>
      <c r="AY230" s="378"/>
      <c r="AZ230" s="378"/>
      <c r="BA230" s="378"/>
      <c r="BB230" s="378"/>
      <c r="BC230" s="378"/>
      <c r="BD230" s="378"/>
      <c r="BE230" s="378"/>
      <c r="BF230" s="378"/>
      <c r="BG230" s="378"/>
      <c r="BH230" s="378"/>
      <c r="BI230" s="378"/>
      <c r="BJ230" s="378"/>
      <c r="BK230" s="378"/>
      <c r="BL230" s="378"/>
      <c r="BM230" s="378"/>
      <c r="BN230" s="378"/>
      <c r="BO230" s="378"/>
      <c r="BP230" s="378"/>
      <c r="BQ230" s="378"/>
      <c r="BR230" s="378"/>
      <c r="BS230" s="378"/>
      <c r="BT230" s="378"/>
      <c r="BU230" s="378"/>
      <c r="BV230" s="378"/>
      <c r="BW230" s="378"/>
      <c r="BX230" s="378"/>
      <c r="BY230" s="378"/>
      <c r="BZ230" s="378"/>
      <c r="CA230" s="378"/>
      <c r="CB230" s="378"/>
      <c r="CC230" s="378"/>
      <c r="CD230" s="378"/>
      <c r="CE230" s="378"/>
      <c r="CF230" s="378"/>
      <c r="CG230" s="378"/>
      <c r="CH230" s="378"/>
      <c r="CI230" s="378"/>
      <c r="CJ230" s="378"/>
      <c r="CK230" s="378"/>
      <c r="CL230" s="378"/>
      <c r="CM230" s="378"/>
      <c r="CN230" s="378"/>
      <c r="CO230" s="378"/>
      <c r="CP230" s="378"/>
      <c r="CQ230" s="378"/>
      <c r="CR230" s="378"/>
      <c r="CS230" s="378"/>
      <c r="CT230" s="378"/>
      <c r="CU230" s="378"/>
      <c r="CV230" s="378"/>
      <c r="CW230" s="378"/>
      <c r="CX230" s="378"/>
      <c r="CY230" s="378"/>
      <c r="CZ230" s="378"/>
      <c r="DA230" s="378"/>
      <c r="DB230" s="378"/>
      <c r="DC230" s="378"/>
      <c r="DD230" s="378"/>
      <c r="DE230" s="378"/>
      <c r="DF230" s="378"/>
      <c r="DG230" s="378"/>
      <c r="DH230" s="378"/>
      <c r="DI230" s="378"/>
      <c r="DJ230" s="378"/>
      <c r="DK230" s="378"/>
      <c r="DL230" s="378"/>
      <c r="DM230" s="378"/>
      <c r="DN230" s="378"/>
      <c r="DO230" s="378"/>
      <c r="DP230" s="316"/>
    </row>
    <row r="231" spans="1:120" ht="12.75" hidden="1" customHeight="1" outlineLevel="1">
      <c r="A231" s="260" t="s">
        <v>153</v>
      </c>
      <c r="B231" s="730" t="s">
        <v>544</v>
      </c>
      <c r="C231" s="268" t="s">
        <v>88</v>
      </c>
      <c r="D231" s="268" t="s">
        <v>88</v>
      </c>
      <c r="E231" s="283">
        <f>E10+E11</f>
        <v>2.1040000000000001</v>
      </c>
      <c r="F231" s="261"/>
      <c r="G231" s="887">
        <f>G10+G11</f>
        <v>1.3086375242689887</v>
      </c>
      <c r="H231" s="887">
        <f>H10+H11</f>
        <v>1.6629814673177619</v>
      </c>
      <c r="I231" s="887">
        <f>I10+I11</f>
        <v>1.985977447000451</v>
      </c>
      <c r="J231" s="887">
        <f>J10+J11</f>
        <v>2.1784035614127979</v>
      </c>
      <c r="K231" s="283">
        <f>K10+K11</f>
        <v>7.1359999999999992</v>
      </c>
      <c r="L231" s="261"/>
      <c r="M231" s="283">
        <f>M10+M11</f>
        <v>2.867</v>
      </c>
      <c r="N231" s="887">
        <f>N10+N11</f>
        <v>3.7140000000000004</v>
      </c>
      <c r="O231" s="887">
        <f>O10+O11</f>
        <v>4.7880000000000003</v>
      </c>
      <c r="P231" s="887">
        <f>P10+P11</f>
        <v>5.6959999999999997</v>
      </c>
      <c r="Q231" s="283">
        <f>Q10+Q11</f>
        <v>17.064999999999998</v>
      </c>
      <c r="R231" s="261"/>
      <c r="S231" s="283">
        <f>S10+S11</f>
        <v>6.5030000000000001</v>
      </c>
      <c r="T231" s="283">
        <f>T10+T11</f>
        <v>8.0749999999999993</v>
      </c>
      <c r="U231" s="283">
        <f>U10+U11</f>
        <v>9.2110000000000003</v>
      </c>
      <c r="V231" s="283">
        <f>V10+V11</f>
        <v>11.715</v>
      </c>
      <c r="W231" s="283">
        <f>W10+W11</f>
        <v>35.504000000000005</v>
      </c>
      <c r="X231" s="261"/>
      <c r="Y231" s="283">
        <f>Y10+Y11</f>
        <v>13.264999999999997</v>
      </c>
      <c r="Z231" s="283">
        <f>Z10+Z11</f>
        <v>14.254000000000001</v>
      </c>
      <c r="AA231" s="283">
        <f>AA10+AA11</f>
        <v>16.652000000000001</v>
      </c>
      <c r="AB231" s="283">
        <f>AB10+AB11</f>
        <v>18.677</v>
      </c>
      <c r="AC231" s="283">
        <f>AC10+AC11</f>
        <v>62.847999999999999</v>
      </c>
      <c r="AD231" s="870"/>
      <c r="AE231" s="283">
        <f>AE10+AE11</f>
        <v>21.661000000000001</v>
      </c>
      <c r="AF231" s="283">
        <f>AF10+AF11</f>
        <v>25.584</v>
      </c>
      <c r="AG231" s="283">
        <f>AG10+AG11</f>
        <v>28.813000000000002</v>
      </c>
      <c r="AH231" s="283">
        <f>AH10+AH11</f>
        <v>33.47</v>
      </c>
      <c r="AI231" s="283">
        <f>AI10+AI11</f>
        <v>109.52799999999999</v>
      </c>
      <c r="AJ231" s="870"/>
      <c r="AK231" s="283">
        <f>AK10+AK11</f>
        <v>37.96</v>
      </c>
      <c r="AL231" s="283">
        <f>AL10+AL11</f>
        <v>43.236000000000004</v>
      </c>
      <c r="AM231" s="283">
        <f>AM10+AM11</f>
        <v>51.121000000000002</v>
      </c>
      <c r="AN231" s="283">
        <f>AN10+AN11</f>
        <v>58.406999999999996</v>
      </c>
      <c r="AO231" s="283">
        <f>AO10+AO11</f>
        <v>190.72399999999999</v>
      </c>
      <c r="AP231" s="870"/>
      <c r="AQ231" s="283">
        <f>AQ10+AQ11</f>
        <v>69.251000000000005</v>
      </c>
      <c r="AR231" s="283">
        <f>AR10+AR11</f>
        <v>74.51400000000001</v>
      </c>
      <c r="AS231" s="283">
        <f>AS10+AS11</f>
        <v>76.343999999999994</v>
      </c>
      <c r="AT231" s="283">
        <f>AT10+AT11</f>
        <v>80.164000000000001</v>
      </c>
      <c r="AU231" s="283">
        <f>AU10+AU11</f>
        <v>306.879165</v>
      </c>
      <c r="AV231" s="870"/>
      <c r="AW231" s="283">
        <f>AW10+AW11</f>
        <v>84.274000000000001</v>
      </c>
      <c r="AX231" s="283">
        <f>AX10+AX11</f>
        <v>90.052999999999997</v>
      </c>
      <c r="AY231" s="283">
        <f>AY10+AY11</f>
        <v>97.747</v>
      </c>
      <c r="AZ231" s="283">
        <f>AZ10+AZ11</f>
        <v>109.687</v>
      </c>
      <c r="BA231" s="283">
        <f>BA10+BA11</f>
        <v>376.00790400000005</v>
      </c>
      <c r="BB231" s="870"/>
      <c r="BC231" s="283">
        <f>BC10+BC11</f>
        <v>117.529</v>
      </c>
      <c r="BD231" s="283">
        <f>BD10+BD11</f>
        <v>119.703</v>
      </c>
      <c r="BE231" s="283">
        <f>BE10+BE11</f>
        <v>136.547</v>
      </c>
      <c r="BF231" s="283">
        <f>BF10+BF11</f>
        <v>147.98099999999999</v>
      </c>
      <c r="BG231" s="283">
        <f>BG10+BG11</f>
        <v>521.76</v>
      </c>
      <c r="BH231" s="870"/>
      <c r="BI231" s="283">
        <f>BI10+BI11</f>
        <v>164.346</v>
      </c>
      <c r="BJ231" s="283">
        <f>BJ10+BJ11</f>
        <v>179.08600000000001</v>
      </c>
      <c r="BK231" s="283">
        <f>BK10+BK11</f>
        <v>187.142</v>
      </c>
      <c r="BL231" s="283">
        <f>BL10+BL11</f>
        <v>196</v>
      </c>
      <c r="BM231" s="283">
        <f>BM10+BM11</f>
        <v>726.57400000000007</v>
      </c>
      <c r="BN231" s="870"/>
      <c r="BO231" s="283">
        <f>BO10+BO11</f>
        <v>210.51400000000001</v>
      </c>
      <c r="BP231" s="283">
        <f>BP10+BP11</f>
        <v>223.67500000000001</v>
      </c>
      <c r="BQ231" s="283">
        <f>BQ10+BQ11</f>
        <v>240.999</v>
      </c>
      <c r="BR231" s="283">
        <f>BR10+BR11</f>
        <v>251.27100000000002</v>
      </c>
      <c r="BS231" s="283">
        <f>BS10+BS11</f>
        <v>926.45900000000006</v>
      </c>
      <c r="BT231" s="870"/>
      <c r="BU231" s="283">
        <f>BU10+BU11</f>
        <v>261.52499999999998</v>
      </c>
      <c r="BV231" s="283">
        <f>BV10+BV11</f>
        <v>278.55900000000003</v>
      </c>
      <c r="BW231" s="283">
        <f>BW10+BW11</f>
        <v>306.63400000000001</v>
      </c>
      <c r="BX231" s="283">
        <f>BX10+BX11</f>
        <v>324.44799999999998</v>
      </c>
      <c r="BY231" s="283">
        <f>BY10+BY11</f>
        <v>1171.1660000000002</v>
      </c>
      <c r="BZ231" s="870"/>
      <c r="CA231" s="283">
        <f>CA10+CA11</f>
        <v>350.39499999999998</v>
      </c>
      <c r="CB231" s="283">
        <f>CB10+CB11</f>
        <v>377.60500000000002</v>
      </c>
      <c r="CC231" s="283">
        <f>CC10+CC11</f>
        <v>388.32400000000001</v>
      </c>
      <c r="CD231" s="283">
        <f>CD10+CD11</f>
        <v>388.93299999999999</v>
      </c>
      <c r="CE231" s="283">
        <f>CE10+CE11</f>
        <v>1665.8116600000001</v>
      </c>
      <c r="CF231" s="870"/>
      <c r="CG231" s="283">
        <f>CG10+CG11</f>
        <v>396.04700000000003</v>
      </c>
      <c r="CH231" s="283">
        <f>CH10+CH11</f>
        <v>432.51099999999997</v>
      </c>
      <c r="CI231" s="283">
        <f>CI10+CI11</f>
        <v>453.81900000000002</v>
      </c>
      <c r="CJ231" s="283">
        <f>CJ10+CJ11</f>
        <v>474.09399999999999</v>
      </c>
      <c r="CK231" s="283">
        <f>CK10+CK11</f>
        <v>2300.1895199999999</v>
      </c>
      <c r="CL231" s="870"/>
      <c r="CM231" s="283">
        <f>CM10+CM11</f>
        <v>503.37400000000002</v>
      </c>
      <c r="CN231" s="283">
        <f>CN10+CN11</f>
        <v>541.41700000000003</v>
      </c>
      <c r="CO231" s="283">
        <f>CO10+CO11</f>
        <v>546.43100000000004</v>
      </c>
      <c r="CP231" s="283">
        <f>CP10+CP11</f>
        <v>575.79099999999994</v>
      </c>
      <c r="CQ231" s="283">
        <f>CQ10+CQ11</f>
        <v>2895.2344800000001</v>
      </c>
      <c r="CR231" s="870"/>
      <c r="CS231" s="283">
        <f>CS10+CS11</f>
        <v>632.221</v>
      </c>
      <c r="CT231" s="283">
        <f>CT10+CT11</f>
        <v>707.42</v>
      </c>
      <c r="CU231" s="283">
        <f>CU10+CU11</f>
        <v>752.43600000000004</v>
      </c>
      <c r="CV231" s="283">
        <f>CV10+CV11</f>
        <v>808.90900000000011</v>
      </c>
      <c r="CW231" s="283">
        <f>CW10+CW11</f>
        <v>2934.4033599999993</v>
      </c>
      <c r="CX231" s="870"/>
      <c r="CY231" s="283">
        <f>CY10+CY11</f>
        <v>1015.756460128147</v>
      </c>
      <c r="CZ231" s="283">
        <f>CZ10+CZ11</f>
        <v>1075.2843326690643</v>
      </c>
      <c r="DA231" s="283">
        <f>DA10+DA11</f>
        <v>1116.2369063842716</v>
      </c>
      <c r="DB231" s="283">
        <f>DB10+DB11</f>
        <v>1177.5462858935246</v>
      </c>
      <c r="DC231" s="283">
        <f>DC10+DC11</f>
        <v>4384.8239850750069</v>
      </c>
      <c r="DD231" s="870"/>
      <c r="DE231" s="283">
        <f>DE10+DE11</f>
        <v>1221.0158719392689</v>
      </c>
      <c r="DF231" s="283">
        <f>DF10+DF11</f>
        <v>1293.5627733668759</v>
      </c>
      <c r="DG231" s="283">
        <f>DG10+DG11</f>
        <v>1342.8973866428819</v>
      </c>
      <c r="DH231" s="283">
        <f>DH10+DH11</f>
        <v>1408.2085807736457</v>
      </c>
      <c r="DI231" s="283">
        <f>DI10+DI11</f>
        <v>5265.6846127226727</v>
      </c>
      <c r="DJ231" s="870"/>
      <c r="DK231" s="283">
        <f>DK10+DK11</f>
        <v>1461.4592771981929</v>
      </c>
      <c r="DL231" s="283">
        <f>DL10+DL11</f>
        <v>1544.7568669048837</v>
      </c>
      <c r="DM231" s="283">
        <f>DM10+DM11</f>
        <v>1602.0133003428914</v>
      </c>
      <c r="DN231" s="283">
        <f>DN10+DN11</f>
        <v>1678.778337835301</v>
      </c>
      <c r="DO231" s="283">
        <f>DO10+DO11</f>
        <v>6287.0077822812691</v>
      </c>
      <c r="DP231" s="260"/>
    </row>
    <row r="232" spans="1:120" ht="4.5" hidden="1" customHeight="1" outlineLevel="1">
      <c r="A232" s="255"/>
      <c r="B232" s="668"/>
      <c r="C232" s="744"/>
      <c r="D232" s="744"/>
      <c r="E232" s="744"/>
      <c r="F232" s="669"/>
      <c r="G232" s="744"/>
      <c r="H232" s="744"/>
      <c r="I232" s="744"/>
      <c r="J232" s="744"/>
      <c r="K232" s="744"/>
      <c r="L232" s="669"/>
      <c r="M232" s="744"/>
      <c r="N232" s="744"/>
      <c r="O232" s="744"/>
      <c r="P232" s="744"/>
      <c r="Q232" s="744"/>
      <c r="R232" s="669"/>
      <c r="S232" s="744"/>
      <c r="T232" s="744"/>
      <c r="U232" s="744"/>
      <c r="V232" s="744"/>
      <c r="W232" s="744"/>
      <c r="X232" s="669"/>
      <c r="Y232" s="744"/>
      <c r="Z232" s="744"/>
      <c r="AA232" s="744"/>
      <c r="AB232" s="744"/>
      <c r="AC232" s="744"/>
      <c r="AD232" s="744"/>
      <c r="AE232" s="744"/>
      <c r="AF232" s="744"/>
      <c r="AG232" s="744"/>
      <c r="AH232" s="744"/>
      <c r="AI232" s="744"/>
      <c r="AJ232" s="744"/>
      <c r="AK232" s="744"/>
      <c r="AL232" s="744"/>
      <c r="AM232" s="744"/>
      <c r="AN232" s="744"/>
      <c r="AO232" s="744"/>
      <c r="AP232" s="744"/>
      <c r="AQ232" s="744"/>
      <c r="AR232" s="744"/>
      <c r="AS232" s="744"/>
      <c r="AT232" s="744"/>
      <c r="AU232" s="744"/>
      <c r="AV232" s="744"/>
      <c r="AW232" s="744"/>
      <c r="AX232" s="744"/>
      <c r="AY232" s="744"/>
      <c r="AZ232" s="744"/>
      <c r="BA232" s="744"/>
      <c r="BB232" s="744"/>
      <c r="BC232" s="744"/>
      <c r="BD232" s="744"/>
      <c r="BE232" s="744"/>
      <c r="BF232" s="744"/>
      <c r="BG232" s="744"/>
      <c r="BH232" s="744"/>
      <c r="BI232" s="744"/>
      <c r="BJ232" s="744"/>
      <c r="BK232" s="744"/>
      <c r="BL232" s="744"/>
      <c r="BM232" s="744"/>
      <c r="BN232" s="744"/>
      <c r="BO232" s="744"/>
      <c r="BP232" s="744"/>
      <c r="BQ232" s="744"/>
      <c r="BR232" s="744"/>
      <c r="BS232" s="744"/>
      <c r="BT232" s="744"/>
      <c r="BU232" s="744"/>
      <c r="BV232" s="744"/>
      <c r="BW232" s="744"/>
      <c r="BX232" s="744"/>
      <c r="BY232" s="744"/>
      <c r="BZ232" s="744"/>
      <c r="CA232" s="744"/>
      <c r="CB232" s="744"/>
      <c r="CC232" s="744"/>
      <c r="CD232" s="744"/>
      <c r="CE232" s="744"/>
      <c r="CF232" s="744"/>
      <c r="CG232" s="744"/>
      <c r="CH232" s="744"/>
      <c r="CI232" s="744"/>
      <c r="CJ232" s="744"/>
      <c r="CK232" s="744"/>
      <c r="CL232" s="744"/>
      <c r="CM232" s="744"/>
      <c r="CN232" s="744"/>
      <c r="CO232" s="744"/>
      <c r="CP232" s="744"/>
      <c r="CQ232" s="744"/>
      <c r="CR232" s="744"/>
      <c r="CS232" s="744"/>
      <c r="CT232" s="744"/>
      <c r="CU232" s="744"/>
      <c r="CV232" s="744"/>
      <c r="CW232" s="744"/>
      <c r="CX232" s="744"/>
      <c r="CY232" s="744"/>
      <c r="CZ232" s="744"/>
      <c r="DA232" s="744"/>
      <c r="DB232" s="744"/>
      <c r="DC232" s="744"/>
      <c r="DD232" s="744"/>
      <c r="DE232" s="744"/>
      <c r="DF232" s="744"/>
      <c r="DG232" s="744"/>
      <c r="DH232" s="744"/>
      <c r="DI232" s="744"/>
      <c r="DJ232" s="744"/>
      <c r="DK232" s="744"/>
      <c r="DL232" s="744"/>
      <c r="DM232" s="744"/>
      <c r="DN232" s="744"/>
      <c r="DO232" s="744"/>
      <c r="DP232" s="669"/>
    </row>
    <row r="233" spans="1:120" ht="12.75" hidden="1" customHeight="1" outlineLevel="1">
      <c r="A233" s="255" t="s">
        <v>861</v>
      </c>
      <c r="B233" s="668" t="s">
        <v>862</v>
      </c>
      <c r="C233" s="268" t="s">
        <v>88</v>
      </c>
      <c r="D233" s="268" t="s">
        <v>88</v>
      </c>
      <c r="E233" s="268" t="s">
        <v>88</v>
      </c>
      <c r="F233" s="669"/>
      <c r="G233" s="268" t="s">
        <v>88</v>
      </c>
      <c r="H233" s="268" t="s">
        <v>88</v>
      </c>
      <c r="I233" s="268" t="s">
        <v>88</v>
      </c>
      <c r="J233" s="268" t="s">
        <v>88</v>
      </c>
      <c r="K233" s="268" t="s">
        <v>88</v>
      </c>
      <c r="L233" s="669"/>
      <c r="M233" s="268" t="s">
        <v>88</v>
      </c>
      <c r="N233" s="268" t="s">
        <v>88</v>
      </c>
      <c r="O233" s="268" t="s">
        <v>88</v>
      </c>
      <c r="P233" s="268" t="s">
        <v>88</v>
      </c>
      <c r="Q233" s="268" t="s">
        <v>88</v>
      </c>
      <c r="R233" s="669"/>
      <c r="S233" s="268" t="s">
        <v>88</v>
      </c>
      <c r="T233" s="268" t="s">
        <v>88</v>
      </c>
      <c r="U233" s="268" t="s">
        <v>88</v>
      </c>
      <c r="V233" s="268" t="s">
        <v>88</v>
      </c>
      <c r="W233" s="268" t="s">
        <v>88</v>
      </c>
      <c r="X233" s="669"/>
      <c r="Y233" s="268" t="s">
        <v>88</v>
      </c>
      <c r="Z233" s="268" t="s">
        <v>88</v>
      </c>
      <c r="AA233" s="268" t="s">
        <v>88</v>
      </c>
      <c r="AB233" s="268" t="s">
        <v>88</v>
      </c>
      <c r="AC233" s="268" t="s">
        <v>88</v>
      </c>
      <c r="AD233" s="888"/>
      <c r="AE233" s="268" t="s">
        <v>88</v>
      </c>
      <c r="AF233" s="268" t="s">
        <v>88</v>
      </c>
      <c r="AG233" s="268" t="s">
        <v>88</v>
      </c>
      <c r="AH233" s="268" t="s">
        <v>88</v>
      </c>
      <c r="AI233" s="268" t="s">
        <v>88</v>
      </c>
      <c r="AJ233" s="888"/>
      <c r="AK233" s="268" t="s">
        <v>88</v>
      </c>
      <c r="AL233" s="268" t="s">
        <v>88</v>
      </c>
      <c r="AM233" s="268" t="s">
        <v>88</v>
      </c>
      <c r="AN233" s="268" t="s">
        <v>88</v>
      </c>
      <c r="AO233" s="268" t="s">
        <v>88</v>
      </c>
      <c r="AP233" s="888"/>
      <c r="AQ233" s="268" t="s">
        <v>88</v>
      </c>
      <c r="AR233" s="268" t="s">
        <v>88</v>
      </c>
      <c r="AS233" s="268" t="s">
        <v>88</v>
      </c>
      <c r="AT233" s="268" t="s">
        <v>88</v>
      </c>
      <c r="AU233" s="268" t="s">
        <v>88</v>
      </c>
      <c r="AV233" s="888"/>
      <c r="AW233" s="268" t="s">
        <v>88</v>
      </c>
      <c r="AX233" s="268" t="s">
        <v>88</v>
      </c>
      <c r="AY233" s="268" t="s">
        <v>88</v>
      </c>
      <c r="AZ233" s="268" t="s">
        <v>88</v>
      </c>
      <c r="BA233" s="268" t="s">
        <v>88</v>
      </c>
      <c r="BB233" s="888"/>
      <c r="BC233" s="268" t="s">
        <v>88</v>
      </c>
      <c r="BD233" s="268" t="s">
        <v>88</v>
      </c>
      <c r="BE233" s="268" t="s">
        <v>88</v>
      </c>
      <c r="BF233" s="268" t="s">
        <v>88</v>
      </c>
      <c r="BG233" s="268" t="s">
        <v>88</v>
      </c>
      <c r="BH233" s="888"/>
      <c r="BI233" s="268" t="s">
        <v>88</v>
      </c>
      <c r="BJ233" s="268" t="s">
        <v>88</v>
      </c>
      <c r="BK233" s="268" t="s">
        <v>88</v>
      </c>
      <c r="BL233" s="268" t="s">
        <v>88</v>
      </c>
      <c r="BM233" s="268" t="s">
        <v>88</v>
      </c>
      <c r="BN233" s="888"/>
      <c r="BO233" s="268" t="s">
        <v>88</v>
      </c>
      <c r="BP233" s="268" t="s">
        <v>88</v>
      </c>
      <c r="BQ233" s="268" t="s">
        <v>88</v>
      </c>
      <c r="BR233" s="268" t="s">
        <v>88</v>
      </c>
      <c r="BS233" s="268" t="s">
        <v>88</v>
      </c>
      <c r="BT233" s="888"/>
      <c r="BU233" s="268" t="s">
        <v>88</v>
      </c>
      <c r="BV233" s="268" t="s">
        <v>88</v>
      </c>
      <c r="BW233" s="268" t="s">
        <v>88</v>
      </c>
      <c r="BX233" s="268" t="s">
        <v>88</v>
      </c>
      <c r="BY233" s="268" t="s">
        <v>88</v>
      </c>
      <c r="BZ233" s="888"/>
      <c r="CA233" s="268" t="s">
        <v>88</v>
      </c>
      <c r="CB233" s="268" t="s">
        <v>88</v>
      </c>
      <c r="CC233" s="268" t="s">
        <v>88</v>
      </c>
      <c r="CD233" s="268" t="s">
        <v>88</v>
      </c>
      <c r="CE233" s="268" t="s">
        <v>88</v>
      </c>
      <c r="CF233" s="888"/>
      <c r="CG233" s="268" t="s">
        <v>88</v>
      </c>
      <c r="CH233" s="268" t="s">
        <v>88</v>
      </c>
      <c r="CI233" s="268" t="s">
        <v>88</v>
      </c>
      <c r="CJ233" s="268" t="s">
        <v>88</v>
      </c>
      <c r="CK233" s="268" t="s">
        <v>88</v>
      </c>
      <c r="CL233" s="888"/>
      <c r="CM233" s="268" t="s">
        <v>88</v>
      </c>
      <c r="CN233" s="268" t="s">
        <v>88</v>
      </c>
      <c r="CO233" s="268" t="s">
        <v>88</v>
      </c>
      <c r="CP233" s="268" t="s">
        <v>88</v>
      </c>
      <c r="CQ233" s="268" t="s">
        <v>88</v>
      </c>
      <c r="CR233" s="888"/>
      <c r="CS233" s="268" t="s">
        <v>88</v>
      </c>
      <c r="CT233" s="268" t="s">
        <v>88</v>
      </c>
      <c r="CU233" s="268" t="s">
        <v>88</v>
      </c>
      <c r="CV233" s="268" t="s">
        <v>88</v>
      </c>
      <c r="CW233" s="268" t="s">
        <v>88</v>
      </c>
      <c r="CX233" s="888"/>
      <c r="CY233" s="268" t="s">
        <v>88</v>
      </c>
      <c r="CZ233" s="268" t="s">
        <v>88</v>
      </c>
      <c r="DA233" s="268" t="s">
        <v>88</v>
      </c>
      <c r="DB233" s="268" t="s">
        <v>88</v>
      </c>
      <c r="DC233" s="268" t="s">
        <v>88</v>
      </c>
      <c r="DD233" s="888"/>
      <c r="DE233" s="268" t="s">
        <v>88</v>
      </c>
      <c r="DF233" s="268" t="s">
        <v>88</v>
      </c>
      <c r="DG233" s="268" t="s">
        <v>88</v>
      </c>
      <c r="DH233" s="268" t="s">
        <v>88</v>
      </c>
      <c r="DI233" s="268" t="s">
        <v>88</v>
      </c>
      <c r="DJ233" s="888"/>
      <c r="DK233" s="268" t="s">
        <v>88</v>
      </c>
      <c r="DL233" s="268" t="s">
        <v>88</v>
      </c>
      <c r="DM233" s="268" t="s">
        <v>88</v>
      </c>
      <c r="DN233" s="268" t="s">
        <v>88</v>
      </c>
      <c r="DO233" s="268" t="s">
        <v>88</v>
      </c>
      <c r="DP233" s="669"/>
    </row>
    <row r="234" spans="1:120" ht="4.5" hidden="1" customHeight="1" outlineLevel="1">
      <c r="A234" s="255"/>
      <c r="B234" s="668"/>
      <c r="C234" s="744"/>
      <c r="D234" s="744"/>
      <c r="E234" s="744"/>
      <c r="F234" s="669"/>
      <c r="G234" s="744"/>
      <c r="H234" s="744"/>
      <c r="I234" s="744"/>
      <c r="J234" s="744"/>
      <c r="K234" s="744"/>
      <c r="L234" s="669"/>
      <c r="M234" s="744"/>
      <c r="N234" s="744"/>
      <c r="O234" s="744"/>
      <c r="P234" s="744"/>
      <c r="Q234" s="744"/>
      <c r="R234" s="669"/>
      <c r="S234" s="744"/>
      <c r="T234" s="744"/>
      <c r="U234" s="744"/>
      <c r="V234" s="744"/>
      <c r="W234" s="744"/>
      <c r="X234" s="669"/>
      <c r="Y234" s="744"/>
      <c r="Z234" s="744"/>
      <c r="AA234" s="744"/>
      <c r="AB234" s="744"/>
      <c r="AC234" s="744"/>
      <c r="AD234" s="744"/>
      <c r="AE234" s="744"/>
      <c r="AF234" s="744"/>
      <c r="AG234" s="744"/>
      <c r="AH234" s="744"/>
      <c r="AI234" s="744"/>
      <c r="AJ234" s="744"/>
      <c r="AK234" s="744"/>
      <c r="AL234" s="744"/>
      <c r="AM234" s="744"/>
      <c r="AN234" s="744"/>
      <c r="AO234" s="744"/>
      <c r="AP234" s="744"/>
      <c r="AQ234" s="744"/>
      <c r="AR234" s="744"/>
      <c r="AS234" s="744"/>
      <c r="AT234" s="744"/>
      <c r="AU234" s="744"/>
      <c r="AV234" s="744"/>
      <c r="AW234" s="744"/>
      <c r="AX234" s="744"/>
      <c r="AY234" s="744"/>
      <c r="AZ234" s="744"/>
      <c r="BA234" s="744"/>
      <c r="BB234" s="744"/>
      <c r="BC234" s="744"/>
      <c r="BD234" s="744"/>
      <c r="BE234" s="744"/>
      <c r="BF234" s="744"/>
      <c r="BG234" s="744"/>
      <c r="BH234" s="744"/>
      <c r="BI234" s="744"/>
      <c r="BJ234" s="744"/>
      <c r="BK234" s="744"/>
      <c r="BL234" s="744"/>
      <c r="BM234" s="744"/>
      <c r="BN234" s="744"/>
      <c r="BO234" s="744"/>
      <c r="BP234" s="744"/>
      <c r="BQ234" s="744"/>
      <c r="BR234" s="744"/>
      <c r="BS234" s="744"/>
      <c r="BT234" s="744"/>
      <c r="BU234" s="744"/>
      <c r="BV234" s="744"/>
      <c r="BW234" s="744"/>
      <c r="BX234" s="744"/>
      <c r="BY234" s="744"/>
      <c r="BZ234" s="744"/>
      <c r="CA234" s="744"/>
      <c r="CB234" s="744"/>
      <c r="CC234" s="744"/>
      <c r="CD234" s="744"/>
      <c r="CE234" s="744"/>
      <c r="CF234" s="744"/>
      <c r="CG234" s="744"/>
      <c r="CH234" s="744"/>
      <c r="CI234" s="744"/>
      <c r="CJ234" s="744"/>
      <c r="CK234" s="744"/>
      <c r="CL234" s="744"/>
      <c r="CM234" s="744"/>
      <c r="CN234" s="744"/>
      <c r="CO234" s="744"/>
      <c r="CP234" s="744"/>
      <c r="CQ234" s="744"/>
      <c r="CR234" s="744"/>
      <c r="CS234" s="744"/>
      <c r="CT234" s="744"/>
      <c r="CU234" s="744"/>
      <c r="CV234" s="744"/>
      <c r="CW234" s="744"/>
      <c r="CX234" s="744"/>
      <c r="CY234" s="744"/>
      <c r="CZ234" s="744"/>
      <c r="DA234" s="744"/>
      <c r="DB234" s="744"/>
      <c r="DC234" s="744"/>
      <c r="DD234" s="744"/>
      <c r="DE234" s="744"/>
      <c r="DF234" s="744"/>
      <c r="DG234" s="744"/>
      <c r="DH234" s="744"/>
      <c r="DI234" s="744"/>
      <c r="DJ234" s="744"/>
      <c r="DK234" s="744"/>
      <c r="DL234" s="744"/>
      <c r="DM234" s="744"/>
      <c r="DN234" s="744"/>
      <c r="DO234" s="744"/>
      <c r="DP234" s="669"/>
    </row>
    <row r="235" spans="1:120" ht="4.5" hidden="1" customHeight="1" outlineLevel="1">
      <c r="A235" s="255"/>
      <c r="B235" s="668"/>
      <c r="C235" s="744"/>
      <c r="D235" s="744"/>
      <c r="E235" s="744"/>
      <c r="F235" s="669"/>
      <c r="G235" s="744"/>
      <c r="H235" s="744"/>
      <c r="I235" s="744"/>
      <c r="J235" s="744"/>
      <c r="K235" s="744"/>
      <c r="L235" s="669"/>
      <c r="M235" s="744"/>
      <c r="N235" s="744"/>
      <c r="O235" s="744"/>
      <c r="P235" s="744"/>
      <c r="Q235" s="744"/>
      <c r="R235" s="669"/>
      <c r="S235" s="744"/>
      <c r="T235" s="744"/>
      <c r="U235" s="744"/>
      <c r="V235" s="744"/>
      <c r="W235" s="744"/>
      <c r="X235" s="669"/>
      <c r="Y235" s="744"/>
      <c r="Z235" s="744"/>
      <c r="AA235" s="744"/>
      <c r="AB235" s="744"/>
      <c r="AC235" s="744"/>
      <c r="AD235" s="744"/>
      <c r="AE235" s="744"/>
      <c r="AF235" s="744"/>
      <c r="AG235" s="744"/>
      <c r="AH235" s="744"/>
      <c r="AI235" s="744"/>
      <c r="AJ235" s="744"/>
      <c r="AK235" s="744"/>
      <c r="AL235" s="744"/>
      <c r="AM235" s="744"/>
      <c r="AN235" s="744"/>
      <c r="AO235" s="744"/>
      <c r="AP235" s="744"/>
      <c r="AQ235" s="744"/>
      <c r="AR235" s="744"/>
      <c r="AS235" s="744"/>
      <c r="AT235" s="744"/>
      <c r="AU235" s="744"/>
      <c r="AV235" s="744"/>
      <c r="AW235" s="744"/>
      <c r="AX235" s="744"/>
      <c r="AY235" s="744"/>
      <c r="AZ235" s="744"/>
      <c r="BA235" s="744"/>
      <c r="BB235" s="744"/>
      <c r="BC235" s="744"/>
      <c r="BD235" s="744"/>
      <c r="BE235" s="744"/>
      <c r="BF235" s="744"/>
      <c r="BG235" s="744"/>
      <c r="BH235" s="744"/>
      <c r="BI235" s="744"/>
      <c r="BJ235" s="744"/>
      <c r="BK235" s="744"/>
      <c r="BL235" s="744"/>
      <c r="BM235" s="744"/>
      <c r="BN235" s="744"/>
      <c r="BO235" s="744"/>
      <c r="BP235" s="744"/>
      <c r="BQ235" s="744"/>
      <c r="BR235" s="744"/>
      <c r="BS235" s="744"/>
      <c r="BT235" s="744"/>
      <c r="BU235" s="744"/>
      <c r="BV235" s="744"/>
      <c r="BW235" s="744"/>
      <c r="BX235" s="744"/>
      <c r="BY235" s="744"/>
      <c r="BZ235" s="744"/>
      <c r="CA235" s="744"/>
      <c r="CB235" s="744"/>
      <c r="CC235" s="744"/>
      <c r="CD235" s="744"/>
      <c r="CE235" s="744"/>
      <c r="CF235" s="744"/>
      <c r="CG235" s="744"/>
      <c r="CH235" s="744"/>
      <c r="CI235" s="744"/>
      <c r="CJ235" s="744"/>
      <c r="CK235" s="744"/>
      <c r="CL235" s="744"/>
      <c r="CM235" s="744"/>
      <c r="CN235" s="744"/>
      <c r="CO235" s="744"/>
      <c r="CP235" s="744"/>
      <c r="CQ235" s="744"/>
      <c r="CR235" s="744"/>
      <c r="CS235" s="744"/>
      <c r="CT235" s="744"/>
      <c r="CU235" s="744"/>
      <c r="CV235" s="744"/>
      <c r="CW235" s="744"/>
      <c r="CX235" s="744"/>
      <c r="CY235" s="744"/>
      <c r="CZ235" s="744"/>
      <c r="DA235" s="744"/>
      <c r="DB235" s="744"/>
      <c r="DC235" s="744"/>
      <c r="DD235" s="744"/>
      <c r="DE235" s="744"/>
      <c r="DF235" s="744"/>
      <c r="DG235" s="744"/>
      <c r="DH235" s="744"/>
      <c r="DI235" s="744"/>
      <c r="DJ235" s="744"/>
      <c r="DK235" s="744"/>
      <c r="DL235" s="744"/>
      <c r="DM235" s="744"/>
      <c r="DN235" s="744"/>
      <c r="DO235" s="744"/>
      <c r="DP235" s="669"/>
    </row>
    <row r="236" spans="1:120" ht="12.75" hidden="1" customHeight="1" outlineLevel="1">
      <c r="A236" s="260" t="s">
        <v>687</v>
      </c>
      <c r="B236" s="730" t="s">
        <v>688</v>
      </c>
      <c r="C236" s="268" t="s">
        <v>88</v>
      </c>
      <c r="D236" s="283">
        <f>D13</f>
        <v>5.0220000000000002</v>
      </c>
      <c r="E236" s="283">
        <f>E13</f>
        <v>21.513000000000002</v>
      </c>
      <c r="F236" s="263"/>
      <c r="G236" s="267" t="s">
        <v>88</v>
      </c>
      <c r="H236" s="267" t="s">
        <v>88</v>
      </c>
      <c r="I236" s="267" t="s">
        <v>88</v>
      </c>
      <c r="J236" s="283">
        <f>J13+I13+H13+G13</f>
        <v>47.655999999999999</v>
      </c>
      <c r="K236" s="283">
        <f>K13</f>
        <v>47.655999999999999</v>
      </c>
      <c r="L236" s="263"/>
      <c r="M236" s="263">
        <f>M13+J13+I13+H13</f>
        <v>55.768000000000001</v>
      </c>
      <c r="N236" s="263">
        <f>N13+M13+J13+I13</f>
        <v>64.084999999999994</v>
      </c>
      <c r="O236" s="263">
        <f>O13+N13+M13+J13</f>
        <v>73.628</v>
      </c>
      <c r="P236" s="283">
        <f>P13+O13+N13+M13</f>
        <v>85.795999999999992</v>
      </c>
      <c r="Q236" s="283">
        <f>Q13</f>
        <v>85.795999999999992</v>
      </c>
      <c r="R236" s="263"/>
      <c r="S236" s="263">
        <f>S13+P13+O13+N13</f>
        <v>99.99</v>
      </c>
      <c r="T236" s="263">
        <f>T13+S13+P13+O13</f>
        <v>116.41500000000001</v>
      </c>
      <c r="U236" s="263">
        <f>U13+T13+S13+P13</f>
        <v>135.4</v>
      </c>
      <c r="V236" s="283">
        <f>V13+U13+T13+S13</f>
        <v>157.97699999999998</v>
      </c>
      <c r="W236" s="283">
        <f>W13</f>
        <v>157.977</v>
      </c>
      <c r="X236" s="263"/>
      <c r="Y236" s="263">
        <f>Y13+V13+U13+T13</f>
        <v>185.05099999999999</v>
      </c>
      <c r="Z236" s="263">
        <f>Z13+Y13+V13+U13</f>
        <v>214.672</v>
      </c>
      <c r="AA236" s="263">
        <f>AA13+Z13+Y13+V13</f>
        <v>247.59299999999999</v>
      </c>
      <c r="AB236" s="283">
        <f>AB13+AA13+Z13+Y13</f>
        <v>280.63900000000001</v>
      </c>
      <c r="AC236" s="283">
        <f>AC13</f>
        <v>280.63900000000001</v>
      </c>
      <c r="AD236" s="283"/>
      <c r="AE236" s="263">
        <f>AE13+AB13+AA13+Z13</f>
        <v>316.94200000000001</v>
      </c>
      <c r="AF236" s="263">
        <f>AF13+AE13+AB13+AA13</f>
        <v>357.96699999999998</v>
      </c>
      <c r="AG236" s="263">
        <f>AG13+AF13+AE13+AB13</f>
        <v>402.01400000000001</v>
      </c>
      <c r="AH236" s="283">
        <f>AH13+AG13+AF13+AE13</f>
        <v>451.66</v>
      </c>
      <c r="AI236" s="283">
        <f>AI13</f>
        <v>451.65999999999997</v>
      </c>
      <c r="AJ236" s="283"/>
      <c r="AK236" s="263">
        <f>AK13+AH13+AG13+AF13</f>
        <v>504.85699999999997</v>
      </c>
      <c r="AL236" s="263">
        <f>AL13+AK13+AH13+AG13</f>
        <v>558.19200000000001</v>
      </c>
      <c r="AM236" s="263">
        <f>AM13+AL13+AK13+AH13</f>
        <v>616.13499999999999</v>
      </c>
      <c r="AN236" s="283">
        <f>AN13+AM13+AL13+AK13</f>
        <v>680.58100000000013</v>
      </c>
      <c r="AO236" s="283">
        <f>AO13</f>
        <v>680.5809999999999</v>
      </c>
      <c r="AP236" s="283"/>
      <c r="AQ236" s="263">
        <f>AQ13+AN13+AM13+AL13</f>
        <v>758.23199999999997</v>
      </c>
      <c r="AR236" s="263">
        <f>AR13+AQ13+AN13+AM13</f>
        <v>837.95399999999995</v>
      </c>
      <c r="AS236" s="263">
        <f>AS13+AR13+AQ13+AN13</f>
        <v>914.98099999999999</v>
      </c>
      <c r="AT236" s="283">
        <f>AT13+AS13+AR13+AQ13</f>
        <v>984.57400000000007</v>
      </c>
      <c r="AU236" s="283">
        <f>AU13</f>
        <v>984.57400000000007</v>
      </c>
      <c r="AV236" s="283"/>
      <c r="AW236" s="263">
        <f>AW13+AT13+AS13+AR13</f>
        <v>1041.001</v>
      </c>
      <c r="AX236" s="263">
        <f>AX13+AW13+AT13+AS13</f>
        <v>1094.721</v>
      </c>
      <c r="AY236" s="263">
        <f>AY13+AX13+AW13+AT13</f>
        <v>1148.1880000000001</v>
      </c>
      <c r="AZ236" s="263">
        <f>AZ13+AY13+AX13+AW13</f>
        <v>1209.472</v>
      </c>
      <c r="BA236" s="283">
        <f>BA13</f>
        <v>1209.472</v>
      </c>
      <c r="BB236" s="283"/>
      <c r="BC236" s="263">
        <f>BC13+AZ13+AY13+AX13</f>
        <v>1278.4159999999999</v>
      </c>
      <c r="BD236" s="263">
        <f>BD13+BC13+AZ13+AY13</f>
        <v>1353.9270000000001</v>
      </c>
      <c r="BE236" s="263">
        <f>BE13+BD13+BC13+AZ13</f>
        <v>1450.0049999999999</v>
      </c>
      <c r="BF236" s="283">
        <f>BF13+BE13+BD13+BC13</f>
        <v>1551.145</v>
      </c>
      <c r="BG236" s="283">
        <f>BG13</f>
        <v>1551.145</v>
      </c>
      <c r="BH236" s="283"/>
      <c r="BI236" s="263">
        <f>BI13+BF13+BE13+BD13</f>
        <v>1673.9369999999999</v>
      </c>
      <c r="BJ236" s="263">
        <f>BJ13+BI13+BF13+BE13</f>
        <v>1814.2649999999999</v>
      </c>
      <c r="BK236" s="263">
        <f>BK13+BJ13+BI13+BF13</f>
        <v>1960.4990000000003</v>
      </c>
      <c r="BL236" s="283">
        <f>BL13+BK13+BJ13+BI13</f>
        <v>2126.2339999999999</v>
      </c>
      <c r="BM236" s="283">
        <f>BM13</f>
        <v>2126.2340000000004</v>
      </c>
      <c r="BN236" s="283"/>
      <c r="BO236" s="263">
        <f>BO13+BL13+BK13+BJ13</f>
        <v>2307.9499999999998</v>
      </c>
      <c r="BP236" s="263">
        <f>BP13+BO13+BL13+BK13</f>
        <v>2486.1640000000002</v>
      </c>
      <c r="BQ236" s="263">
        <f>BQ13+BP13+BO13+BL13</f>
        <v>2677.5820000000003</v>
      </c>
      <c r="BR236" s="283">
        <f>BR13+BQ13+BP13+BO13</f>
        <v>2868.808</v>
      </c>
      <c r="BS236" s="283">
        <f>BS13</f>
        <v>2868.808</v>
      </c>
      <c r="BT236" s="283"/>
      <c r="BU236" s="263">
        <f>BU13+BR13+BQ13+BP13</f>
        <v>3055.8089999999997</v>
      </c>
      <c r="BV236" s="263">
        <f>BV13+BU13+BR13+BQ13</f>
        <v>3271.16</v>
      </c>
      <c r="BW236" s="263">
        <f>BW13+BV13+BU13+BR13</f>
        <v>3535.0360000000001</v>
      </c>
      <c r="BX236" s="283">
        <f>BX13+BW13+BV13+BU13</f>
        <v>3824.5419999999999</v>
      </c>
      <c r="BY236" s="283">
        <f>BY13</f>
        <v>3824.5420000000004</v>
      </c>
      <c r="BZ236" s="283"/>
      <c r="CA236" s="263">
        <f>CA13+BX13+BW13+BV13</f>
        <v>4129.6270000000004</v>
      </c>
      <c r="CB236" s="263">
        <f>CB13+CA13+BX13+BW13</f>
        <v>4459.37</v>
      </c>
      <c r="CC236" s="263">
        <f>CC13+CB13+BY13+BX13</f>
        <v>7420.643</v>
      </c>
      <c r="CD236" s="283">
        <f>CD13+CC13+CB13+CA13</f>
        <v>5013.7640000000001</v>
      </c>
      <c r="CE236" s="283">
        <f>CE13</f>
        <v>5013.7640000000001</v>
      </c>
      <c r="CF236" s="283"/>
      <c r="CG236" s="263">
        <f>CG13+CD13+CC13+CB13</f>
        <v>5271.7449999999999</v>
      </c>
      <c r="CH236" s="263">
        <f>CH13+CG13+CD13+CC13</f>
        <v>5560.4769999999999</v>
      </c>
      <c r="CI236" s="263">
        <f>CI13+CH13+CG13+CD13</f>
        <v>5868.2970000000005</v>
      </c>
      <c r="CJ236" s="283">
        <f>CJ13+CI13+CH13+CG13</f>
        <v>6205.5990000000002</v>
      </c>
      <c r="CK236" s="283">
        <f>CK13</f>
        <v>6205.5990000000002</v>
      </c>
      <c r="CL236" s="283"/>
      <c r="CM236" s="263">
        <f>CM13+CJ13+CI13+CH13</f>
        <v>6575.8050000000003</v>
      </c>
      <c r="CN236" s="263">
        <f>CN13+CM13+CJ13+CI13</f>
        <v>6940.5660000000007</v>
      </c>
      <c r="CO236" s="263">
        <f>CO13+CN13+CM13+CJ13</f>
        <v>7328.2139999999999</v>
      </c>
      <c r="CP236" s="283">
        <f>CP13+CO13+CN13+CM13</f>
        <v>7756.2049999999999</v>
      </c>
      <c r="CQ236" s="283">
        <f>CQ13</f>
        <v>7756.2049999999999</v>
      </c>
      <c r="CR236" s="283"/>
      <c r="CS236" s="263">
        <f>CS13+CP13+CO13+CN13</f>
        <v>8181.619999999999</v>
      </c>
      <c r="CT236" s="263">
        <f>CT13+CS13+CP13+CO13</f>
        <v>8664.0389999999989</v>
      </c>
      <c r="CU236" s="263">
        <f>CU13+CT13+CS13+CP13</f>
        <v>9166.1889999999985</v>
      </c>
      <c r="CV236" s="283">
        <f>CV13+CU13+CT13+CS13</f>
        <v>9710.5379999999986</v>
      </c>
      <c r="CW236" s="283">
        <f>CW13</f>
        <v>9710.5379999999986</v>
      </c>
      <c r="CX236" s="283"/>
      <c r="CY236" s="1564">
        <f>CY13+CV13+CU13+CT13</f>
        <v>10224.064133</v>
      </c>
      <c r="CZ236" s="1564">
        <f>CZ13+CY13+CV13+CU13</f>
        <v>10736.98575512935</v>
      </c>
      <c r="DA236" s="1564">
        <f>DA13+CZ13+CY13+CV13</f>
        <v>11252.17839102765</v>
      </c>
      <c r="DB236" s="1958">
        <f>DB13+DA13+CZ13+CY13</f>
        <v>11779.552657643879</v>
      </c>
      <c r="DC236" s="1958">
        <f>DC13</f>
        <v>11779.552657643881</v>
      </c>
      <c r="DD236" s="1958"/>
      <c r="DE236" s="1564">
        <f>DE13+DB13+DA13+CZ13</f>
        <v>12331.540075149613</v>
      </c>
      <c r="DF236" s="1564">
        <f>DF13+DE13+DB13+DA13</f>
        <v>12917.71036962896</v>
      </c>
      <c r="DG236" s="1564">
        <f>DG13+DF13+DE13+DB13</f>
        <v>13527.791820126391</v>
      </c>
      <c r="DH236" s="1958">
        <f>DH13+DG13+DF13+DE13</f>
        <v>14156.093815990262</v>
      </c>
      <c r="DI236" s="283">
        <f>DI13</f>
        <v>14156.093815990262</v>
      </c>
      <c r="DJ236" s="283"/>
      <c r="DK236" s="263">
        <f>DK13+DH13+DG13+DF13</f>
        <v>14802.959384863952</v>
      </c>
      <c r="DL236" s="263">
        <f>DL13+DK13+DH13+DG13</f>
        <v>15478.138053617615</v>
      </c>
      <c r="DM236" s="263">
        <f>DM13+DL13+DK13+DH13</f>
        <v>16174.736232175208</v>
      </c>
      <c r="DN236" s="283">
        <f>DN13+DM13+DL13+DK13</f>
        <v>16911.941005836081</v>
      </c>
      <c r="DO236" s="283">
        <f>DO13</f>
        <v>16911.941005836081</v>
      </c>
      <c r="DP236" s="260"/>
    </row>
    <row r="237" spans="1:120" ht="12.75" hidden="1" customHeight="1" outlineLevel="1">
      <c r="A237" s="260" t="s">
        <v>244</v>
      </c>
      <c r="B237" s="730" t="s">
        <v>792</v>
      </c>
      <c r="C237" s="268" t="s">
        <v>88</v>
      </c>
      <c r="D237" s="283">
        <f>D19</f>
        <v>5.4350000000000005</v>
      </c>
      <c r="E237" s="283">
        <f>E19</f>
        <v>22.409000000000002</v>
      </c>
      <c r="F237" s="263"/>
      <c r="G237" s="267" t="s">
        <v>88</v>
      </c>
      <c r="H237" s="267" t="s">
        <v>88</v>
      </c>
      <c r="I237" s="267" t="s">
        <v>88</v>
      </c>
      <c r="J237" s="283">
        <f>J19+I19+H19+G19</f>
        <v>50.991</v>
      </c>
      <c r="K237" s="283">
        <f>K19</f>
        <v>50.991</v>
      </c>
      <c r="L237" s="263"/>
      <c r="M237" s="263">
        <f>M19+J19+I19+H19</f>
        <v>60.553000000000004</v>
      </c>
      <c r="N237" s="263">
        <f>N19+M19+J19+I19</f>
        <v>70.293000000000006</v>
      </c>
      <c r="O237" s="263">
        <f>O19+N19+M19+J19</f>
        <v>81.536000000000001</v>
      </c>
      <c r="P237" s="283">
        <f>P19+O19+N19+M19</f>
        <v>96.022999999999996</v>
      </c>
      <c r="Q237" s="283">
        <f>Q19</f>
        <v>96.022999999999996</v>
      </c>
      <c r="R237" s="263"/>
      <c r="S237" s="263">
        <f>S19+P19+O19+N19</f>
        <v>111.94899999999998</v>
      </c>
      <c r="T237" s="263">
        <f>T19+S19+P19+O19</f>
        <v>130.90700000000001</v>
      </c>
      <c r="U237" s="263">
        <f>U19+T19+S19+P19</f>
        <v>151.834</v>
      </c>
      <c r="V237" s="283">
        <f>V19+U19+T19+S19</f>
        <v>176.375</v>
      </c>
      <c r="W237" s="283">
        <f>W19</f>
        <v>176.375</v>
      </c>
      <c r="X237" s="263"/>
      <c r="Y237" s="263">
        <f>Y19+V19+U19+T19</f>
        <v>205.71300000000002</v>
      </c>
      <c r="Z237" s="263">
        <f>Z19+Y19+V19+U19</f>
        <v>237.07499999999999</v>
      </c>
      <c r="AA237" s="263">
        <f>AA19+Z19+Y19+V19</f>
        <v>273.387</v>
      </c>
      <c r="AB237" s="283">
        <f>AB19+AA19+Z19+Y19</f>
        <v>309.85699999999997</v>
      </c>
      <c r="AC237" s="283">
        <f>AC19</f>
        <v>309.85700000000003</v>
      </c>
      <c r="AD237" s="283"/>
      <c r="AE237" s="263">
        <f>AE19+AB19+AA19+Z19</f>
        <v>350.36599999999999</v>
      </c>
      <c r="AF237" s="263">
        <f>AF19+AE19+AB19+AA19</f>
        <v>396.55999999999995</v>
      </c>
      <c r="AG237" s="263">
        <f>AG19+AF19+AE19+AB19</f>
        <v>443.93999999999994</v>
      </c>
      <c r="AH237" s="283">
        <f>AH19+AG19+AF19+AE19</f>
        <v>497.09799999999996</v>
      </c>
      <c r="AI237" s="283">
        <f>AI19</f>
        <v>497.09799999999996</v>
      </c>
      <c r="AJ237" s="283"/>
      <c r="AK237" s="263">
        <f>AK19+AH19+AG19+AF19</f>
        <v>554.82400000000007</v>
      </c>
      <c r="AL237" s="263">
        <f>AL19+AK19+AH19+AG19</f>
        <v>613.26599999999996</v>
      </c>
      <c r="AM237" s="263">
        <f>AM19+AL19+AK19+AH19</f>
        <v>676.01599999999996</v>
      </c>
      <c r="AN237" s="283">
        <f>AN19+AM19+AL19+AK19</f>
        <v>748.7</v>
      </c>
      <c r="AO237" s="283">
        <f>AO19</f>
        <v>748.69999999999993</v>
      </c>
      <c r="AP237" s="283"/>
      <c r="AQ237" s="263">
        <f>AQ19+AN19+AM19+AL19</f>
        <v>833.91</v>
      </c>
      <c r="AR237" s="263">
        <f>AR19+AQ19+AN19+AM19</f>
        <v>920.40800000000002</v>
      </c>
      <c r="AS237" s="263">
        <f>AS19+AR19+AQ19+AN19</f>
        <v>1004.0919999999999</v>
      </c>
      <c r="AT237" s="283">
        <f>AT19+AS19+AR19+AQ19</f>
        <v>1076.769</v>
      </c>
      <c r="AU237" s="283">
        <f>AU19</f>
        <v>1076.769</v>
      </c>
      <c r="AV237" s="283"/>
      <c r="AW237" s="263">
        <f>AW19+AT19+AS19+AR19</f>
        <v>1134.0709999999999</v>
      </c>
      <c r="AX237" s="263">
        <f>AX19+AW19+AT19+AS19</f>
        <v>1187.0549999999998</v>
      </c>
      <c r="AY237" s="263">
        <f>AY19+AX19+AW19+AT19</f>
        <v>1241.117</v>
      </c>
      <c r="AZ237" s="263">
        <f>AZ19+AY19+AX19+AW19</f>
        <v>1305.5829999999999</v>
      </c>
      <c r="BA237" s="283">
        <f>BA19</f>
        <v>1305.5830000000001</v>
      </c>
      <c r="BB237" s="283"/>
      <c r="BC237" s="263">
        <f>BC19+AZ19+AY19+AX19</f>
        <v>1377.472</v>
      </c>
      <c r="BD237" s="263">
        <f>BD19+BC19+AZ19+AY19</f>
        <v>1455.7829999999999</v>
      </c>
      <c r="BE237" s="263">
        <f>BE19+BD19+BC19+AZ19</f>
        <v>1554.3209999999999</v>
      </c>
      <c r="BF237" s="283">
        <f>BF19+BE19+BD19+BC19</f>
        <v>1657.1390000000001</v>
      </c>
      <c r="BG237" s="283">
        <f>BG19</f>
        <v>1657.1389999999999</v>
      </c>
      <c r="BH237" s="283"/>
      <c r="BI237" s="263">
        <f>BI19+BF19+BE19+BD19</f>
        <v>1784.69</v>
      </c>
      <c r="BJ237" s="263">
        <f>BJ19+BI19+BF19+BE19</f>
        <v>1936.32</v>
      </c>
      <c r="BK237" s="263">
        <f>BK19+BJ19+BI19+BF19</f>
        <v>2091.4929999999999</v>
      </c>
      <c r="BL237" s="283">
        <f>BL19+BK19+BJ19+BI19</f>
        <v>2266.5389999999998</v>
      </c>
      <c r="BM237" s="283">
        <f>BM19</f>
        <v>2266.5390000000002</v>
      </c>
      <c r="BN237" s="283"/>
      <c r="BO237" s="263">
        <f>BO19+BL19+BK19+BJ19</f>
        <v>2457.6419999999998</v>
      </c>
      <c r="BP237" s="263">
        <f>BP19+BO19+BL19+BK19</f>
        <v>2643.2889999999998</v>
      </c>
      <c r="BQ237" s="263">
        <f>BQ19+BP19+BO19+BL19</f>
        <v>2847.4270000000001</v>
      </c>
      <c r="BR237" s="283">
        <f>BR19+BQ19+BP19+BO19</f>
        <v>3050.1950000000002</v>
      </c>
      <c r="BS237" s="283">
        <f>BS19</f>
        <v>3050.1950000000002</v>
      </c>
      <c r="BT237" s="283"/>
      <c r="BU237" s="263">
        <f>BU19+BR19+BQ19+BP19</f>
        <v>3247.3609999999999</v>
      </c>
      <c r="BV237" s="263">
        <f>BV19+BU19+BR19+BQ19</f>
        <v>3472.8060000000005</v>
      </c>
      <c r="BW237" s="263">
        <f>BW19+BV19+BU19+BR19</f>
        <v>3760.4420000000005</v>
      </c>
      <c r="BX237" s="283">
        <f>BX19+BW19+BV19+BU19</f>
        <v>4071.0029999999997</v>
      </c>
      <c r="BY237" s="283">
        <f>BY19</f>
        <v>4071.0030000000006</v>
      </c>
      <c r="BZ237" s="283"/>
      <c r="CA237" s="263">
        <f>CA19+BX19+BW19+BV19</f>
        <v>4405.1419999999998</v>
      </c>
      <c r="CB237" s="263">
        <f>CB19+CA19+BX19+BW19</f>
        <v>4766.5990000000002</v>
      </c>
      <c r="CC237" s="263">
        <f>CC19+CB19+BY19+BX19</f>
        <v>7918.4510000000009</v>
      </c>
      <c r="CD237" s="283">
        <f>CD19+CC19+CB19+CA19</f>
        <v>5373.5860000000002</v>
      </c>
      <c r="CE237" s="283">
        <f>CE19</f>
        <v>5373.5860000000002</v>
      </c>
      <c r="CF237" s="283"/>
      <c r="CG237" s="263">
        <f>CG19+CD19+CC19+CB19</f>
        <v>5657.9809999999998</v>
      </c>
      <c r="CH237" s="263">
        <f>CH19+CG19+CD19+CC19</f>
        <v>5974.1139999999996</v>
      </c>
      <c r="CI237" s="263">
        <f>CI19+CH19+CG19+CD19</f>
        <v>6302.4259999999995</v>
      </c>
      <c r="CJ237" s="283">
        <f>CJ19+CI19+CH19+CG19</f>
        <v>6667.2160000000003</v>
      </c>
      <c r="CK237" s="283">
        <f>CK19</f>
        <v>6667.2160000000003</v>
      </c>
      <c r="CL237" s="283"/>
      <c r="CM237" s="263">
        <f>CM19+CJ19+CI19+CH19</f>
        <v>7072.652000000001</v>
      </c>
      <c r="CN237" s="263">
        <f>CN19+CM19+CJ19+CI19</f>
        <v>7474.5860000000011</v>
      </c>
      <c r="CO237" s="263">
        <f>CO19+CN19+CM19+CJ19</f>
        <v>7907.3940000000002</v>
      </c>
      <c r="CP237" s="283">
        <f>CP19+CO19+CN19+CM19</f>
        <v>8391.9840000000004</v>
      </c>
      <c r="CQ237" s="283">
        <f>CQ19</f>
        <v>8391.9840000000004</v>
      </c>
      <c r="CR237" s="283"/>
      <c r="CS237" s="263">
        <f>CS19+CP19+CO19+CN19</f>
        <v>8862.9599999999991</v>
      </c>
      <c r="CT237" s="263">
        <f>CT19+CS19+CP19+CO19</f>
        <v>9387.9309999999987</v>
      </c>
      <c r="CU237" s="263">
        <f>CU19+CT19+CS19+CP19</f>
        <v>9922.9969999999994</v>
      </c>
      <c r="CV237" s="1958">
        <f>CV19+CU19+CT19+CS19</f>
        <v>10480.011999999999</v>
      </c>
      <c r="CW237" s="283">
        <f>CW19</f>
        <v>10480.011999999999</v>
      </c>
      <c r="CX237" s="283"/>
      <c r="CY237" s="1564">
        <f>CY19+CV19+CU19+CT19</f>
        <v>11036.654623559847</v>
      </c>
      <c r="CZ237" s="1564">
        <f>CZ19+CY19+CV19+CU19</f>
        <v>11591.831805209309</v>
      </c>
      <c r="DA237" s="1564">
        <f>DA19+CZ19+CY19+CV19</f>
        <v>12147.460099076763</v>
      </c>
      <c r="DB237" s="1958">
        <f>DB19+DA19+CZ19+CY19</f>
        <v>12709.634739347846</v>
      </c>
      <c r="DC237" s="1958">
        <f>DC19</f>
        <v>12709.634739347848</v>
      </c>
      <c r="DD237" s="1958"/>
      <c r="DE237" s="1564">
        <f>DE19+DB19+DA19+CZ19</f>
        <v>13304.589556191679</v>
      </c>
      <c r="DF237" s="1564">
        <f>DF19+DE19+DB19+DA19</f>
        <v>13937.280688649103</v>
      </c>
      <c r="DG237" s="1564">
        <f>DG19+DF19+DE19+DB19</f>
        <v>14594.267587949424</v>
      </c>
      <c r="DH237" s="1958">
        <f>DH19+DG19+DF19+DE19</f>
        <v>15262.853949920789</v>
      </c>
      <c r="DI237" s="283">
        <f>DI19</f>
        <v>15262.853949920789</v>
      </c>
      <c r="DJ237" s="283"/>
      <c r="DK237" s="263">
        <f>DK19+DH19+DG19+DF19</f>
        <v>15959.791356468395</v>
      </c>
      <c r="DL237" s="263">
        <f>DL19+DK19+DH19+DG19</f>
        <v>16687.890178317695</v>
      </c>
      <c r="DM237" s="263">
        <f>DM19+DL19+DK19+DH19</f>
        <v>17438.950797738013</v>
      </c>
      <c r="DN237" s="283">
        <f>DN19+DM19+DL19+DK19</f>
        <v>18223.210963134115</v>
      </c>
      <c r="DO237" s="283">
        <f>DO19</f>
        <v>18223.210963134115</v>
      </c>
      <c r="DP237" s="260"/>
    </row>
    <row r="238" spans="1:120" ht="12.75" hidden="1" customHeight="1" outlineLevel="1">
      <c r="A238" s="260" t="s">
        <v>444</v>
      </c>
      <c r="B238" s="730"/>
      <c r="C238" s="268" t="s">
        <v>88</v>
      </c>
      <c r="D238" s="283">
        <f>D24+D25+D58</f>
        <v>59.308432890107305</v>
      </c>
      <c r="E238" s="283">
        <f>E24+E25+E58</f>
        <v>44.277000000000001</v>
      </c>
      <c r="F238" s="263"/>
      <c r="G238" s="267" t="s">
        <v>88</v>
      </c>
      <c r="H238" s="267" t="s">
        <v>88</v>
      </c>
      <c r="I238" s="267" t="s">
        <v>88</v>
      </c>
      <c r="J238" s="283">
        <f>J24+I24+H24+G24+J25+I25+H25+G25+J58+I58+H58+G58</f>
        <v>61.491</v>
      </c>
      <c r="K238" s="283">
        <f>K24+K25+K58</f>
        <v>61.491</v>
      </c>
      <c r="L238" s="263"/>
      <c r="M238" s="283">
        <f>M24+J24+I24+H24+M25+J25+I25+H25+M58+J58+I58+H58</f>
        <v>69.402000000000001</v>
      </c>
      <c r="N238" s="283">
        <f>N24+M24+J24+I24+N25+M25+J25+I25+N58+M58+J58+I58</f>
        <v>77.622</v>
      </c>
      <c r="O238" s="283">
        <f>O24+N24+M24+J24+O25+N25+M25+J25+O58+N58+M58+J58</f>
        <v>84.022999999999996</v>
      </c>
      <c r="P238" s="283">
        <f>P24+O24+N24+M24+P25+O25+N25+M25+P58+O58+N58+M58</f>
        <v>95.75</v>
      </c>
      <c r="Q238" s="283">
        <f>Q24+Q25+Q58</f>
        <v>95.75</v>
      </c>
      <c r="R238" s="263"/>
      <c r="S238" s="283">
        <f>S24+P24+O24+N24+S25+P25+O25+N25+S58+P58+O58+N58</f>
        <v>111.33199999999999</v>
      </c>
      <c r="T238" s="283">
        <f>T24+S24+P24+O24+T25+S25+P25+O25+T58+S58+P58+O58</f>
        <v>129.25899999999999</v>
      </c>
      <c r="U238" s="283">
        <f>U24+T24+S24+P24+U25+T25+S25+P25+U58+T58+S58+P58</f>
        <v>148.38200000000001</v>
      </c>
      <c r="V238" s="283">
        <f>V24+U24+T24+S24+V25+U25+T25+S25+V58+U58+T58+S58</f>
        <v>169.85500000000002</v>
      </c>
      <c r="W238" s="283">
        <f>W24+W25+W58</f>
        <v>169.85499999999999</v>
      </c>
      <c r="X238" s="263"/>
      <c r="Y238" s="283">
        <f>Y24+V24+U24+T24+Y25+V25+U25+T25+Y58+V58+U58+T58</f>
        <v>195.56899999999996</v>
      </c>
      <c r="Z238" s="283">
        <f>Z24+Y24+V24+U24+Z25+Y25+V25+U25+Z58+Y58+V58+U58</f>
        <v>223.90299999999999</v>
      </c>
      <c r="AA238" s="283">
        <f>AA24+Z24+Y24+V24+AA25+Z25+Y25+V25+AA58+Z58+Y58+V58</f>
        <v>255.601</v>
      </c>
      <c r="AB238" s="283">
        <f>AB24+AA24+Z24+Y24+AB25+AA25+Z25+Y25+AB58+AA58+Z58+Y58</f>
        <v>290.04000000000002</v>
      </c>
      <c r="AC238" s="283">
        <f>AC24+AC25+AC58</f>
        <v>290.04000000000002</v>
      </c>
      <c r="AD238" s="283"/>
      <c r="AE238" s="283">
        <f>AE24+AB24+AA24+Z24+AE25+AB25+AA25+Z25+AE58+AB58+AA58+Z58</f>
        <v>326.95900000000006</v>
      </c>
      <c r="AF238" s="283">
        <f>AF24+AE24+AB24+AA24+AF25+AE25+AB25+AA25+AF58+AE58+AB58+AA58</f>
        <v>367.89099999999996</v>
      </c>
      <c r="AG238" s="283">
        <f>AG24+AF24+AE24+AB24+AG25+AF25+AE25+AB25+AG58+AF58+AE58+AB58</f>
        <v>411.54099999999994</v>
      </c>
      <c r="AH238" s="283">
        <f>AH24+AG24+AF24+AE24+AH25+AG25+AF25+AE25+AH58+AG58+AF58+AE58</f>
        <v>460.85299999999995</v>
      </c>
      <c r="AI238" s="283">
        <f>AI24+AI25+AI58</f>
        <v>460.85299999999995</v>
      </c>
      <c r="AJ238" s="283"/>
      <c r="AK238" s="283">
        <f>AK24+AH24+AG24+AF24+AK25+AH25+AG25+AF25+AK58+AH58+AG58+AF58</f>
        <v>513.52800000000002</v>
      </c>
      <c r="AL238" s="283">
        <f>AL24+AK24+AH24+AG24+AL25+AK25+AH25+AG25+AL58+AK58+AH58+AG58</f>
        <v>563.14699999999993</v>
      </c>
      <c r="AM238" s="283">
        <f>AM24+AL24+AK24+AH24+AM25+AL25+AK25+AH25+AM58+AL58+AK58+AH58</f>
        <v>614.21799999999985</v>
      </c>
      <c r="AN238" s="283">
        <f>AN24+AM24+AL24+AK24+AN25+AM25+AL25+AK25+AN58+AM58+AL58+AK58</f>
        <v>668.38400000000001</v>
      </c>
      <c r="AO238" s="283">
        <f>AO24+AO25+AO58</f>
        <v>668.38400000000001</v>
      </c>
      <c r="AP238" s="283"/>
      <c r="AQ238" s="283">
        <f>AQ24+AN24+AM24+AL24+AQ25+AN25+AM25+AL25+AQ58+AN58+AM58+AL58</f>
        <v>731.43399999999997</v>
      </c>
      <c r="AR238" s="283">
        <f>AR24+AQ24+AN24+AM24+AR25+AQ25+AN25+AM25+AR58+AQ58+AN58+AM58</f>
        <v>799.92800000000011</v>
      </c>
      <c r="AS238" s="283">
        <f>AS24+AR24+AQ24+AN24+AS25+AR25+AQ25+AN25+AS58+AR58+AQ58+AN58</f>
        <v>867.49900000000002</v>
      </c>
      <c r="AT238" s="283">
        <f>AT24+AS24+AR24+AQ24+AT25+AS25+AR25+AQ25+AT58+AS58+AR58+AQ58</f>
        <v>927.66099999999994</v>
      </c>
      <c r="AU238" s="283">
        <f>AU24+AU25+AU58</f>
        <v>927.66099999999994</v>
      </c>
      <c r="AV238" s="283"/>
      <c r="AW238" s="283">
        <f>AW24+AT24+AS24+AR24+AW25+AT25+AS25+AR25+AW58+AT58+AS58+AR58</f>
        <v>967.16300000000001</v>
      </c>
      <c r="AX238" s="283">
        <f>AX24+AW24+AT24+AS24+AX25+AW25+AT25+AS25+AX58+AW58+AT58+AS58</f>
        <v>1003.8629999999998</v>
      </c>
      <c r="AY238" s="283">
        <f>AY24+AX24+AW24+AT24+AY25+AX25+AW25+AT25+AY58+AX58+AW58+AT58</f>
        <v>1043.0859999999998</v>
      </c>
      <c r="AZ238" s="283">
        <f>AZ24+AY24+AX24+AW24+AZ25+AY25+AX25+AW25+AZ58+AY58+AX58+AW58</f>
        <v>1093.3109999999999</v>
      </c>
      <c r="BA238" s="283">
        <f>BA24+BA25+BA58</f>
        <v>1093.3109999999999</v>
      </c>
      <c r="BB238" s="283"/>
      <c r="BC238" s="283">
        <f>BC24+AZ24+AY24+AX24+BC25+AZ25+AY25+AX25+BC58+AZ58+AY58+AX58</f>
        <v>1155.7639999999999</v>
      </c>
      <c r="BD238" s="283">
        <f>BD24+BC24+AZ24+AY24+BD25+BC25+AZ25+AY25+BD58+BC58+AZ58+AY58</f>
        <v>1225.2280000000001</v>
      </c>
      <c r="BE238" s="283">
        <f>BE24+BD24+BC24+AZ24+BE25+BD25+BC25+AZ25+BE58+BD58+BC58+AZ58</f>
        <v>1310.5450000000001</v>
      </c>
      <c r="BF238" s="283">
        <f>BF24+BE24+BD24+BC24+BF25+BE25+BD25+BC25+BF58+BE58+BD58+BC58</f>
        <v>1419.5450000000001</v>
      </c>
      <c r="BG238" s="283">
        <f>BG24+BG25+BG58</f>
        <v>1419.5450000000001</v>
      </c>
      <c r="BH238" s="283"/>
      <c r="BI238" s="283">
        <f>BI24+BF24+BE24+BD24+BI25+BF25+BE25+BD25+BI58+BF58+BE58+BD58</f>
        <v>1554.0279999999998</v>
      </c>
      <c r="BJ238" s="283">
        <f>BJ24+BI24+BF24+BE24+BJ25+BI25+BF25+BE25+BJ58+BI58+BF58+BE58</f>
        <v>1709.5459999999998</v>
      </c>
      <c r="BK238" s="283">
        <f>BK24+BJ24+BI24+BF24+BK25+BJ25+BI25+BF25+BK58+BJ58+BI58+BF58</f>
        <v>1865.4169999999999</v>
      </c>
      <c r="BL238" s="283">
        <f>BL24+BK24+BJ24+BI24+BL25+BK25+BJ25+BI25+BL58+BK58+BJ58+BI58</f>
        <v>2005.0469999999998</v>
      </c>
      <c r="BM238" s="283">
        <f>BM24+BM25+BM58</f>
        <v>2005.047</v>
      </c>
      <c r="BN238" s="283"/>
      <c r="BO238" s="283">
        <f>BO24+BL24+BK24+BJ24+BO25+BL25+BK25+BJ25+BO58+BL58+BK58+BJ58</f>
        <v>2171.348</v>
      </c>
      <c r="BP238" s="283">
        <f>BP24+BO24+BL24+BK24+BP25+BO25+BL25+BK25+BP58+BO58+BL58+BK58</f>
        <v>2322.4940000000001</v>
      </c>
      <c r="BQ238" s="283">
        <f>BQ24+BP24+BO24+BL24+BQ25+BP25+BO25+BL25+BQ58+BP58+BO58+BL58</f>
        <v>2514.7369999999996</v>
      </c>
      <c r="BR238" s="283">
        <f>BR24+BQ24+BP24+BO24+BR25+BQ25+BP25+BO25+BR58+BQ58+BP58+BO58</f>
        <v>2693.384</v>
      </c>
      <c r="BS238" s="283">
        <f>BS24+BS25+BS58</f>
        <v>2693.3839999999996</v>
      </c>
      <c r="BT238" s="283"/>
      <c r="BU238" s="283">
        <f>BU24+BR24+BQ24+BP24+BU25+BR25+BQ25+BP25+BU58+BR58+BQ58+BP58</f>
        <v>2876.4880000000003</v>
      </c>
      <c r="BV238" s="283">
        <f>BV24+BU24+BR24+BQ24+BV25+BU25+BR25+BQ25+BV58+BU58+BR58+BQ58</f>
        <v>3096.3140000000003</v>
      </c>
      <c r="BW238" s="283">
        <f>BW24+BV24+BU24+BR24+BW25+BV25+BU25+BR25+BW58+BV58+BU58+BR58</f>
        <v>3368.4560000000001</v>
      </c>
      <c r="BX238" s="283">
        <f>BX24+BW24+BV24+BU24+BX25+BW25+BV25+BU25+BX58+BW58+BV58+BU58</f>
        <v>3707.2620000000002</v>
      </c>
      <c r="BY238" s="283">
        <f>BY24+BY25+BY58</f>
        <v>3707.2620000000002</v>
      </c>
      <c r="BZ238" s="283"/>
      <c r="CA238" s="283">
        <f>CA24+BX24+BW24+BV24+CA25+BX25+BW25+BV25+CA58+BX58+BW58+BV58</f>
        <v>4015.9670000000001</v>
      </c>
      <c r="CB238" s="283">
        <f>CB24+CA24+BX24+BW24+CB25+CA25+BX25+BW25+CB58+CA58+BX58+BW58</f>
        <v>4330.1729999999998</v>
      </c>
      <c r="CC238" s="283">
        <f>CC24+CB24+BY24+BX24+CC25+CB25+BY25+BX25+CC58+CB58+BY58+BX58</f>
        <v>7177.4679999999998</v>
      </c>
      <c r="CD238" s="283">
        <f>CD24+CC24+CB24+CA24+CD25+CC25+CB25+CA25+CD58+CC58+CB58+CA58</f>
        <v>4799.4809999999998</v>
      </c>
      <c r="CE238" s="283">
        <f>CE24+CE25+CE58</f>
        <v>4799.4809999999998</v>
      </c>
      <c r="CF238" s="283"/>
      <c r="CG238" s="283">
        <f>CG24+CD24+CC24+CB24+CG25+CD25+CC25+CB25+CG58+CD58+CC58+CB58</f>
        <v>5026.4989999999998</v>
      </c>
      <c r="CH238" s="283">
        <f>CH24+CG24+CD24+CC24+CH25+CG25+CD25+CC25+CH58+CG58+CD58+CC58</f>
        <v>5280.0839999999998</v>
      </c>
      <c r="CI238" s="283">
        <f>CI24+CH24+CG24+CD24+CI25+CH25+CG25+CD25+CI58+CH58+CG58+CD58</f>
        <v>5534.2470000000012</v>
      </c>
      <c r="CJ238" s="283">
        <f>CJ24+CI24+CH24+CG24+CJ25+CI25+CH25+CG25+CJ58+CI58+CH58+CG58</f>
        <v>5837.2120000000004</v>
      </c>
      <c r="CK238" s="283">
        <f>CK24+CK25+CK58</f>
        <v>5837.2119999999995</v>
      </c>
      <c r="CL238" s="283"/>
      <c r="CM238" s="283">
        <f>CM24+CJ24+CI24+CH24+CM25+CJ25+CI25+CH25+CM58+CJ58+CI58+CH58</f>
        <v>6140.9069999999992</v>
      </c>
      <c r="CN238" s="283">
        <f>CN24+CM24+CJ24+CI24+CN25+CM25+CJ25+CI25+CN58+CM58+CJ58+CI58</f>
        <v>6486.7290000000012</v>
      </c>
      <c r="CO238" s="283">
        <f>CO24+CN24+CM24+CJ24+CO25+CN25+CM25+CJ25+CO58+CN58+CM58+CJ58</f>
        <v>6873.9960000000001</v>
      </c>
      <c r="CP238" s="283">
        <f>CP24+CO24+CN24+CM24+CP25+CO25+CN25+CM25+CP58+CO58+CN58+CM58</f>
        <v>7282.1120000000001</v>
      </c>
      <c r="CQ238" s="283">
        <f>CQ24+CQ25+CQ58</f>
        <v>7282.1120000000001</v>
      </c>
      <c r="CR238" s="283"/>
      <c r="CS238" s="283">
        <f>CS24+CP24+CO24+CN24+CS25+CP25+CO25+CN25+CS58+CP58+CO58+CN58</f>
        <v>7714.6769999999997</v>
      </c>
      <c r="CT238" s="283">
        <f>CT24+CS24+CP24+CO24+CT25+CS25+CP25+CO25+CT58+CS58+CP58+CO58</f>
        <v>8121.88</v>
      </c>
      <c r="CU238" s="283">
        <f>CU24+CT24+CS24+CP24+CU25+CT25+CS25+CP25+CU58+CT58+CS58+CP58</f>
        <v>8492.5579999999991</v>
      </c>
      <c r="CV238" s="283">
        <f>CV24+CU24+CT24+CS24+CV25+CU25+CT25+CS25+CV58+CU58+CT58+CS58</f>
        <v>8960.3459999999995</v>
      </c>
      <c r="CW238" s="283">
        <f>CW24+CW25+CW58</f>
        <v>8960.3459999999995</v>
      </c>
      <c r="CX238" s="283"/>
      <c r="CY238" s="1958">
        <f>CY24+CV24+CU24+CT24+CY25+CV25+CU25+CT25+CY58+CV58+CU58+CT58</f>
        <v>9371.3227335844713</v>
      </c>
      <c r="CZ238" s="1958">
        <f>CZ24+CY24+CV24+CU24+CZ25+CY25+CV25+CU25+CZ58+CY58+CV58+CU58</f>
        <v>9742.8885653311463</v>
      </c>
      <c r="DA238" s="1958">
        <f>DA24+CZ24+CY24+CV24+DA25+CZ25+CY25+CV25+DA58+CZ58+CY58+CV58</f>
        <v>10107.013109394715</v>
      </c>
      <c r="DB238" s="1958">
        <f>DB24+DA24+CZ24+CY24+DB25+DA25+CZ25+CY25+DB58+DA58+CZ58+CY58</f>
        <v>10474.171669472678</v>
      </c>
      <c r="DC238" s="1958">
        <f>DC24+DC25+DC58</f>
        <v>10474.171669472678</v>
      </c>
      <c r="DD238" s="1958"/>
      <c r="DE238" s="1958">
        <f>DE24+DB24+DA24+CZ24+DE25+DB25+DA25+CZ25+DE58+DB58+DA58+CZ58</f>
        <v>10898.322807643981</v>
      </c>
      <c r="DF238" s="1958">
        <f>DF24+DE24+DB24+DA24+DF25+DE25+DB25+DA25+DF58+DE58+DB58+DA58</f>
        <v>11326.630248471643</v>
      </c>
      <c r="DG238" s="1958">
        <f>DG24+DF24+DE24+DB24+DG25+DF25+DE25+DB25+DG58+DF58+DE58+DB58</f>
        <v>11773.001051865724</v>
      </c>
      <c r="DH238" s="1958">
        <f>DH24+DG24+DF24+DE24+DH25+DG25+DF25+DE25+DH58+DG58+DF58+DE58</f>
        <v>12195.084659661386</v>
      </c>
      <c r="DI238" s="283">
        <f>DI24+DI25+DI58</f>
        <v>12195.084659661388</v>
      </c>
      <c r="DJ238" s="283"/>
      <c r="DK238" s="283">
        <f>DK24+DH24+DG24+DF24+DK25+DH25+DG25+DF25+DK58+DH58+DG58+DF58</f>
        <v>12664.463767957965</v>
      </c>
      <c r="DL238" s="283">
        <f>DL24+DK24+DH24+DG24+DL25+DK25+DH25+DG25+DL58+DK58+DH58+DG58</f>
        <v>13135.817870587529</v>
      </c>
      <c r="DM238" s="283">
        <f>DM24+DL24+DK24+DH24+DM25+DL25+DK25+DH25+DM58+DL58+DK58+DH58</f>
        <v>13619.68198878494</v>
      </c>
      <c r="DN238" s="283">
        <f>DN24+DM24+DL24+DK24+DN25+DM25+DL25+DK25+DN58+DM58+DL58+DK58</f>
        <v>14111.576542631174</v>
      </c>
      <c r="DO238" s="283">
        <f>DO24+DO25+DO58</f>
        <v>14111.57654263117</v>
      </c>
      <c r="DP238" s="260"/>
    </row>
    <row r="239" spans="1:120" ht="12.75" hidden="1" customHeight="1" outlineLevel="1">
      <c r="A239" s="260" t="s">
        <v>39</v>
      </c>
      <c r="B239" s="730" t="s">
        <v>40</v>
      </c>
      <c r="C239" s="268" t="s">
        <v>88</v>
      </c>
      <c r="D239" s="283">
        <f>D64</f>
        <v>-53.87343289010731</v>
      </c>
      <c r="E239" s="283">
        <f>E64</f>
        <v>-21.868000000000002</v>
      </c>
      <c r="F239" s="263"/>
      <c r="G239" s="267" t="s">
        <v>88</v>
      </c>
      <c r="H239" s="267" t="s">
        <v>88</v>
      </c>
      <c r="I239" s="267" t="s">
        <v>88</v>
      </c>
      <c r="J239" s="283">
        <f>J64+I64+H64+G64</f>
        <v>-10.5</v>
      </c>
      <c r="K239" s="283">
        <f>K64</f>
        <v>-10.5</v>
      </c>
      <c r="L239" s="263"/>
      <c r="M239" s="263">
        <f>M64+J64+I64+H64</f>
        <v>-8.8489999999999984</v>
      </c>
      <c r="N239" s="263">
        <f>N64+M64+J64+I64</f>
        <v>-7.3289999999999988</v>
      </c>
      <c r="O239" s="263">
        <f>O64+N64+M64+J64</f>
        <v>-2.4870000000000001</v>
      </c>
      <c r="P239" s="283">
        <f>P64+O64+N64+M64</f>
        <v>0.27299999999999791</v>
      </c>
      <c r="Q239" s="283">
        <f>Q64</f>
        <v>0.27299999999999791</v>
      </c>
      <c r="R239" s="263"/>
      <c r="S239" s="263">
        <f>S64+P64+O64+N64</f>
        <v>0.61699999999999733</v>
      </c>
      <c r="T239" s="263">
        <f>T64+S64+P64+O64</f>
        <v>1.6480000000000103</v>
      </c>
      <c r="U239" s="263">
        <f>U64+T64+S64+P64</f>
        <v>3.4520000000000159</v>
      </c>
      <c r="V239" s="283">
        <f>V64+U64+T64+S64</f>
        <v>6.5200000000000138</v>
      </c>
      <c r="W239" s="283">
        <f>W64</f>
        <v>6.5200000000000138</v>
      </c>
      <c r="X239" s="263"/>
      <c r="Y239" s="263">
        <f>Y64+V64+U64+T64</f>
        <v>10.144000000000013</v>
      </c>
      <c r="Z239" s="263">
        <f>Z64+Y64+V64+U64</f>
        <v>13.171999999999997</v>
      </c>
      <c r="AA239" s="263">
        <f>AA64+Z64+Y64+V64</f>
        <v>17.78599999999998</v>
      </c>
      <c r="AB239" s="283">
        <f>AB64+AA64+Z64+Y64</f>
        <v>19.816999999999965</v>
      </c>
      <c r="AC239" s="283">
        <f>AC64</f>
        <v>19.816999999999965</v>
      </c>
      <c r="AD239" s="283"/>
      <c r="AE239" s="263">
        <f>AE64+AB64+AA64+Z64</f>
        <v>23.406999999999968</v>
      </c>
      <c r="AF239" s="263">
        <f>AF64+AE64+AB64+AA64</f>
        <v>28.668999999999969</v>
      </c>
      <c r="AG239" s="263">
        <f>AG64+AF64+AE64+AB64</f>
        <v>32.399000000000001</v>
      </c>
      <c r="AH239" s="283">
        <f>AH64+AG64+AF64+AE64</f>
        <v>36.245000000000033</v>
      </c>
      <c r="AI239" s="283">
        <f>AI64</f>
        <v>36.245000000000033</v>
      </c>
      <c r="AJ239" s="283"/>
      <c r="AK239" s="263">
        <f>AK64+AH64+AG64+AF64</f>
        <v>41.296000000000035</v>
      </c>
      <c r="AL239" s="263">
        <f>AL64+AK64+AH64+AG64</f>
        <v>50.119000000000057</v>
      </c>
      <c r="AM239" s="263">
        <f>AM64+AL64+AK64+AH64</f>
        <v>61.798000000000059</v>
      </c>
      <c r="AN239" s="283">
        <f>AN64+AM64+AL64+AK64</f>
        <v>80.316000000000031</v>
      </c>
      <c r="AO239" s="283">
        <f>AO64</f>
        <v>80.316000000000031</v>
      </c>
      <c r="AP239" s="283"/>
      <c r="AQ239" s="263">
        <f>AQ64+AN64+AM64+AL64</f>
        <v>102.47600000000003</v>
      </c>
      <c r="AR239" s="263">
        <f>AR64+AQ64+AN64+AM64</f>
        <v>120.48000000000002</v>
      </c>
      <c r="AS239" s="263">
        <f>AS64+AR64+AQ64+AN64</f>
        <v>136.59299999999999</v>
      </c>
      <c r="AT239" s="283">
        <f>AT64+AS64+AR64+AQ64</f>
        <v>149.108</v>
      </c>
      <c r="AU239" s="283">
        <f>AU64</f>
        <v>149.108</v>
      </c>
      <c r="AV239" s="283"/>
      <c r="AW239" s="263">
        <f>AW64+AT64+AS64+AR64</f>
        <v>166.90799999999999</v>
      </c>
      <c r="AX239" s="263">
        <f>AX64+AW64+AT64+AS64</f>
        <v>183.19199999999998</v>
      </c>
      <c r="AY239" s="263">
        <f>AY64+AX64+AW64+AT64</f>
        <v>198.03099999999998</v>
      </c>
      <c r="AZ239" s="263">
        <f>AZ64+AY64+AX64+AW64</f>
        <v>212.27199999999999</v>
      </c>
      <c r="BA239" s="283">
        <f>BA64</f>
        <v>212.27199999999999</v>
      </c>
      <c r="BB239" s="283"/>
      <c r="BC239" s="263">
        <f>BC64+AZ64+AY64+AX64</f>
        <v>221.70800000000006</v>
      </c>
      <c r="BD239" s="263">
        <f>BD64+BC64+AZ64+AY64</f>
        <v>230.55500000000006</v>
      </c>
      <c r="BE239" s="263">
        <f>BE64+BD64+BC64+AZ64</f>
        <v>243.77600000000007</v>
      </c>
      <c r="BF239" s="283">
        <f>BF64+BE64+BD64+BC64</f>
        <v>237.59400000000005</v>
      </c>
      <c r="BG239" s="283">
        <f>BG64</f>
        <v>237.59400000000005</v>
      </c>
      <c r="BH239" s="283"/>
      <c r="BI239" s="263">
        <f>BI64+BF64+BE64+BD64</f>
        <v>230.66200000000003</v>
      </c>
      <c r="BJ239" s="263">
        <f>BJ64+BI64+BF64+BE64</f>
        <v>226.77400000000006</v>
      </c>
      <c r="BK239" s="263">
        <f>BK64+BJ64+BI64+BF64</f>
        <v>226.07600000000002</v>
      </c>
      <c r="BL239" s="283">
        <f>BL64+BK64+BJ64+BI64</f>
        <v>261.49200000000008</v>
      </c>
      <c r="BM239" s="283">
        <f>BM64</f>
        <v>261.49200000000008</v>
      </c>
      <c r="BN239" s="283"/>
      <c r="BO239" s="263">
        <f>BO64+BL64+BK64+BJ64</f>
        <v>286.2940000000001</v>
      </c>
      <c r="BP239" s="263">
        <f>BP64+BO64+BL64+BK64</f>
        <v>320.79500000000002</v>
      </c>
      <c r="BQ239" s="263">
        <f>BQ64+BP64+BO64+BL64</f>
        <v>332.69</v>
      </c>
      <c r="BR239" s="283">
        <f>BR64+BQ64+BP64+BO64</f>
        <v>356.81100000000004</v>
      </c>
      <c r="BS239" s="283">
        <f>BS64</f>
        <v>356.81100000000004</v>
      </c>
      <c r="BT239" s="283"/>
      <c r="BU239" s="263">
        <f>BU64+BR64+BQ64+BP64</f>
        <v>370.87299999999993</v>
      </c>
      <c r="BV239" s="263">
        <f>BV64+BU64+BR64+BQ64</f>
        <v>376.49200000000019</v>
      </c>
      <c r="BW239" s="263">
        <f>BW64+BV64+BU64+BR64</f>
        <v>391.9860000000001</v>
      </c>
      <c r="BX239" s="283">
        <f>BX64+BW64+BV64+BU64</f>
        <v>363.74099999999999</v>
      </c>
      <c r="BY239" s="283">
        <f>BY64</f>
        <v>363.74099999999999</v>
      </c>
      <c r="BZ239" s="283"/>
      <c r="CA239" s="263">
        <f>CA64+BX64+BW64+BV64</f>
        <v>389.17500000000018</v>
      </c>
      <c r="CB239" s="263">
        <f>CB64+CA64+BX64+BW64</f>
        <v>436.42600000000016</v>
      </c>
      <c r="CC239" s="263">
        <f>CC64+CB64+BY64+BX64</f>
        <v>740.98300000000017</v>
      </c>
      <c r="CD239" s="283">
        <f>CD64+CC64+CB64+CA64</f>
        <v>574.10500000000025</v>
      </c>
      <c r="CE239" s="283">
        <f>CE64</f>
        <v>574.10500000000025</v>
      </c>
      <c r="CF239" s="283"/>
      <c r="CG239" s="263">
        <f>CG64+CD64+CC64+CB64</f>
        <v>631.48200000000031</v>
      </c>
      <c r="CH239" s="263">
        <f>CH64+CG64+CD64+CC64</f>
        <v>694.02999999999986</v>
      </c>
      <c r="CI239" s="263">
        <f>CI64+CH64+CG64+CD64</f>
        <v>768.17899999999975</v>
      </c>
      <c r="CJ239" s="283">
        <f>CJ64+CI64+CH64+CG64</f>
        <v>830.00400000000025</v>
      </c>
      <c r="CK239" s="283">
        <f>CK64</f>
        <v>830.00400000000025</v>
      </c>
      <c r="CL239" s="283"/>
      <c r="CM239" s="263">
        <f>CM64+CJ64+CI64+CH64</f>
        <v>931.74499999999989</v>
      </c>
      <c r="CN239" s="263">
        <f>CN64+CM64+CJ64+CI64</f>
        <v>987.85699999999997</v>
      </c>
      <c r="CO239" s="263">
        <f>CO64+CN64+CM64+CJ64</f>
        <v>1033.3979999999999</v>
      </c>
      <c r="CP239" s="283">
        <f>CP64+CO64+CN64+CM64</f>
        <v>1109.8719999999992</v>
      </c>
      <c r="CQ239" s="283">
        <f>CQ64</f>
        <v>1109.8719999999992</v>
      </c>
      <c r="CR239" s="283"/>
      <c r="CS239" s="263">
        <f>CS64+CP64+CO64+CN64</f>
        <v>1148.2829999999992</v>
      </c>
      <c r="CT239" s="263">
        <f>CT64+CS64+CP64+CO64</f>
        <v>1266.0509999999992</v>
      </c>
      <c r="CU239" s="263">
        <f>CU64+CT64+CS64+CP64</f>
        <v>1430.4389999999994</v>
      </c>
      <c r="CV239" s="283">
        <f>CV64+CU64+CT64+CS64</f>
        <v>1519.6659999999997</v>
      </c>
      <c r="CW239" s="283">
        <f>CW64</f>
        <v>1519.6659999999997</v>
      </c>
      <c r="CX239" s="283"/>
      <c r="CY239" s="263">
        <f>CY64+CV64+CU64+CT64</f>
        <v>1665.3318899753749</v>
      </c>
      <c r="CZ239" s="263">
        <f>CZ64+CY64+CV64+CU64</f>
        <v>1848.9432398781612</v>
      </c>
      <c r="DA239" s="263">
        <f>DA64+CZ64+CY64+CV64</f>
        <v>2040.446989682049</v>
      </c>
      <c r="DB239" s="283">
        <f>DB64+DA64+CZ64+CY64</f>
        <v>2235.4630698751685</v>
      </c>
      <c r="DC239" s="283">
        <f>DC64</f>
        <v>2235.4630698751685</v>
      </c>
      <c r="DD239" s="283"/>
      <c r="DE239" s="263">
        <f>DE64+DB64+DA64+CZ64</f>
        <v>2406.2667485476982</v>
      </c>
      <c r="DF239" s="263">
        <f>DF64+DE64+DB64+DA64</f>
        <v>2610.6504401774596</v>
      </c>
      <c r="DG239" s="263">
        <f>DG64+DF64+DE64+DB64</f>
        <v>2821.2665360836986</v>
      </c>
      <c r="DH239" s="283">
        <f>DH64+DG64+DF64+DE64</f>
        <v>3067.7692902594026</v>
      </c>
      <c r="DI239" s="283">
        <f>DI64</f>
        <v>3067.7692902594026</v>
      </c>
      <c r="DJ239" s="283"/>
      <c r="DK239" s="263">
        <f>DK64+DH64+DG64+DF64</f>
        <v>3295.3275885104308</v>
      </c>
      <c r="DL239" s="263">
        <f>DL64+DK64+DH64+DG64</f>
        <v>3552.0723077301627</v>
      </c>
      <c r="DM239" s="263">
        <f>DM64+DL64+DK64+DH64</f>
        <v>3819.268808953072</v>
      </c>
      <c r="DN239" s="283">
        <f>DN64+DM64+DL64+DK64</f>
        <v>4111.6344205029418</v>
      </c>
      <c r="DO239" s="283">
        <f>DO64</f>
        <v>4111.6344205029418</v>
      </c>
      <c r="DP239" s="260"/>
    </row>
    <row r="240" spans="1:120" ht="12.75" hidden="1" customHeight="1" outlineLevel="1">
      <c r="A240" s="260" t="s">
        <v>541</v>
      </c>
      <c r="B240" s="730" t="s">
        <v>538</v>
      </c>
      <c r="C240" s="268" t="s">
        <v>88</v>
      </c>
      <c r="D240" s="714">
        <f>(D237-D238)/D237</f>
        <v>-9.9123151591733762</v>
      </c>
      <c r="E240" s="714">
        <f>(E237-E238)/E237</f>
        <v>-0.97585791423088919</v>
      </c>
      <c r="F240" s="260"/>
      <c r="G240" s="268" t="s">
        <v>88</v>
      </c>
      <c r="H240" s="268" t="s">
        <v>88</v>
      </c>
      <c r="I240" s="268" t="s">
        <v>88</v>
      </c>
      <c r="J240" s="714">
        <f>(J237-J238)/J237</f>
        <v>-0.20591869153380007</v>
      </c>
      <c r="K240" s="714">
        <f>(K237-K238)/K237</f>
        <v>-0.20591869153380007</v>
      </c>
      <c r="L240" s="260"/>
      <c r="M240" s="714">
        <f>(M237-M238)/M237</f>
        <v>-0.14613644245536961</v>
      </c>
      <c r="N240" s="714">
        <f>(N237-N238)/N237</f>
        <v>-0.10426358243352812</v>
      </c>
      <c r="O240" s="714">
        <f>(O237-O238)/O237</f>
        <v>-3.0501864207221285E-2</v>
      </c>
      <c r="P240" s="714">
        <f>(P237-P238)/P237</f>
        <v>2.8430688480884387E-3</v>
      </c>
      <c r="Q240" s="714">
        <f>(Q237-Q238)/Q237</f>
        <v>2.8430688480884387E-3</v>
      </c>
      <c r="R240" s="260"/>
      <c r="S240" s="714">
        <f>(S237-S238)/S237</f>
        <v>5.5114382442003973E-3</v>
      </c>
      <c r="T240" s="714">
        <f>(T237-T238)/T237</f>
        <v>1.2589089964631567E-2</v>
      </c>
      <c r="U240" s="714">
        <f>(U237-U238)/U237</f>
        <v>2.273535571742823E-2</v>
      </c>
      <c r="V240" s="714">
        <f>(V237-V238)/V237</f>
        <v>3.6966690290573957E-2</v>
      </c>
      <c r="W240" s="714">
        <f>(W237-W238)/W237</f>
        <v>3.6966690290574117E-2</v>
      </c>
      <c r="X240" s="260"/>
      <c r="Y240" s="714">
        <f>(Y237-Y238)/Y237</f>
        <v>4.9311419307482084E-2</v>
      </c>
      <c r="Z240" s="714">
        <f>(Z237-Z238)/Z237</f>
        <v>5.5560476642412732E-2</v>
      </c>
      <c r="AA240" s="714">
        <f>(AA237-AA238)/AA237</f>
        <v>6.5057958132610547E-2</v>
      </c>
      <c r="AB240" s="714">
        <f>(AB237-AB238)/AB237</f>
        <v>6.3955308416462922E-2</v>
      </c>
      <c r="AC240" s="714">
        <f>(AC237-AC238)/AC237</f>
        <v>6.3955308416463102E-2</v>
      </c>
      <c r="AD240" s="870"/>
      <c r="AE240" s="714">
        <f>(AE237-AE238)/AE237</f>
        <v>6.6807281528458606E-2</v>
      </c>
      <c r="AF240" s="714">
        <f>(AF237-AF238)/AF237</f>
        <v>7.2294230381278968E-2</v>
      </c>
      <c r="AG240" s="714">
        <f>(AG237-AG238)/AG237</f>
        <v>7.2980582961661503E-2</v>
      </c>
      <c r="AH240" s="714">
        <f>(AH237-AH238)/AH237</f>
        <v>7.2913188143987714E-2</v>
      </c>
      <c r="AI240" s="714">
        <f>(AI237-AI238)/AI237</f>
        <v>7.2913188143987714E-2</v>
      </c>
      <c r="AJ240" s="870"/>
      <c r="AK240" s="714">
        <f>(AK237-AK238)/AK237</f>
        <v>7.4430810491254967E-2</v>
      </c>
      <c r="AL240" s="714">
        <f>(AL237-AL238)/AL237</f>
        <v>8.1724732823929641E-2</v>
      </c>
      <c r="AM240" s="714">
        <f>(AM237-AM238)/AM237</f>
        <v>9.1414996094767165E-2</v>
      </c>
      <c r="AN240" s="714">
        <f>(AN237-AN238)/AN237</f>
        <v>0.10727394149859761</v>
      </c>
      <c r="AO240" s="714">
        <f>(AO237-AO238)/AO237</f>
        <v>0.10727394149859747</v>
      </c>
      <c r="AP240" s="870"/>
      <c r="AQ240" s="714">
        <f>(AQ237-AQ238)/AQ237</f>
        <v>0.12288616277535945</v>
      </c>
      <c r="AR240" s="714">
        <f>(AR237-AR238)/AR237</f>
        <v>0.13089847111281072</v>
      </c>
      <c r="AS240" s="714">
        <f>(AS237-AS238)/AS237</f>
        <v>0.13603633929958595</v>
      </c>
      <c r="AT240" s="714">
        <f>(AT237-AT238)/AT237</f>
        <v>0.13847724070808137</v>
      </c>
      <c r="AU240" s="714">
        <f>(AU237-AU238)/AU237</f>
        <v>0.13847724070808137</v>
      </c>
      <c r="AV240" s="870"/>
      <c r="AW240" s="714">
        <f>(AW237-AW238)/AW237</f>
        <v>0.1471759704639303</v>
      </c>
      <c r="AX240" s="714">
        <f>(AX237-AX238)/AX237</f>
        <v>0.15432477854859297</v>
      </c>
      <c r="AY240" s="714">
        <f>(AY237-AY238)/AY237</f>
        <v>0.15955868785940422</v>
      </c>
      <c r="AZ240" s="714">
        <f>(AZ237-AZ238)/AZ237</f>
        <v>0.16258790134369086</v>
      </c>
      <c r="BA240" s="714">
        <f>(BA237-BA238)/BA237</f>
        <v>0.16258790134369103</v>
      </c>
      <c r="BB240" s="870"/>
      <c r="BC240" s="714">
        <f>(BC237-BC238)/BC237</f>
        <v>0.16095281791571814</v>
      </c>
      <c r="BD240" s="714">
        <f>(BD237-BD238)/BD237</f>
        <v>0.15837181777778683</v>
      </c>
      <c r="BE240" s="714">
        <f>(BE237-BE238)/BE237</f>
        <v>0.15683761591074163</v>
      </c>
      <c r="BF240" s="714">
        <f>(BF237-BF238)/BF237</f>
        <v>0.14337602337522684</v>
      </c>
      <c r="BG240" s="714">
        <f>(BG237-BG238)/BG237</f>
        <v>0.14337602337522673</v>
      </c>
      <c r="BH240" s="870"/>
      <c r="BI240" s="714">
        <f>(BI237-BI238)/BI237</f>
        <v>0.12924485484874138</v>
      </c>
      <c r="BJ240" s="714">
        <f>(BJ237-BJ238)/BJ237</f>
        <v>0.117115972566518</v>
      </c>
      <c r="BK240" s="714">
        <f>(BK237-BK238)/BK237</f>
        <v>0.10809311816965203</v>
      </c>
      <c r="BL240" s="714">
        <f>(BL237-BL238)/BL237</f>
        <v>0.11537061572732699</v>
      </c>
      <c r="BM240" s="714">
        <f>(BM237-BM238)/BM237</f>
        <v>0.11537061572732707</v>
      </c>
      <c r="BN240" s="870"/>
      <c r="BO240" s="714">
        <f>(BO237-BO238)/BO237</f>
        <v>0.11649133600418608</v>
      </c>
      <c r="BP240" s="714">
        <f>(BP237-BP238)/BP237</f>
        <v>0.12136206067516629</v>
      </c>
      <c r="BQ240" s="714">
        <f>(BQ237-BQ238)/BQ237</f>
        <v>0.11683881623655339</v>
      </c>
      <c r="BR240" s="714">
        <f>(BR237-BR238)/BR237</f>
        <v>0.11697973408257509</v>
      </c>
      <c r="BS240" s="714">
        <f>(BS237-BS238)/BS237</f>
        <v>0.11697973408257524</v>
      </c>
      <c r="BT240" s="870"/>
      <c r="BU240" s="714">
        <f>(BU237-BU238)/BU237</f>
        <v>0.11420750572541814</v>
      </c>
      <c r="BV240" s="714">
        <f>(BV237-BV238)/BV237</f>
        <v>0.10841146899654058</v>
      </c>
      <c r="BW240" s="714">
        <f>(BW237-BW238)/BW237</f>
        <v>0.10423934207734098</v>
      </c>
      <c r="BX240" s="714">
        <f>(BX237-BX238)/BX237</f>
        <v>8.9349234083099319E-2</v>
      </c>
      <c r="BY240" s="714">
        <f>(BY237-BY238)/BY237</f>
        <v>8.9349234083099513E-2</v>
      </c>
      <c r="BZ240" s="870"/>
      <c r="CA240" s="714">
        <f>(CA237-CA238)/CA237</f>
        <v>8.8345619732576097E-2</v>
      </c>
      <c r="CB240" s="714">
        <f>(CB237-CB238)/CB237</f>
        <v>9.1559201854404026E-2</v>
      </c>
      <c r="CC240" s="714">
        <f>(CC237-CC238)/CC237</f>
        <v>9.3576761414574772E-2</v>
      </c>
      <c r="CD240" s="714">
        <f>(CD237-CD238)/CD237</f>
        <v>0.10683833849500138</v>
      </c>
      <c r="CE240" s="714">
        <f>(CE237-CE238)/CE237</f>
        <v>0.10683833849500138</v>
      </c>
      <c r="CF240" s="870"/>
      <c r="CG240" s="714">
        <f>(CG237-CG238)/CG237</f>
        <v>0.11160907044403295</v>
      </c>
      <c r="CH240" s="714">
        <f>(CH237-CH238)/CH237</f>
        <v>0.11617287517446098</v>
      </c>
      <c r="CI240" s="714">
        <f>(CI237-CI238)/CI237</f>
        <v>0.12188623872775314</v>
      </c>
      <c r="CJ240" s="714">
        <f>(CJ237-CJ238)/CJ237</f>
        <v>0.12449034199581953</v>
      </c>
      <c r="CK240" s="714">
        <f>(CK237-CK238)/CK237</f>
        <v>0.12449034199581965</v>
      </c>
      <c r="CL240" s="870"/>
      <c r="CM240" s="714">
        <f>(CM237-CM238)/CM237</f>
        <v>0.13173912699225152</v>
      </c>
      <c r="CN240" s="714">
        <f>(CN237-CN238)/CN237</f>
        <v>0.13216210235590303</v>
      </c>
      <c r="CO240" s="714">
        <f>(CO237-CO238)/CO237</f>
        <v>0.13068755648194591</v>
      </c>
      <c r="CP240" s="714">
        <f>(CP237-CP238)/CP237</f>
        <v>0.13225382698537083</v>
      </c>
      <c r="CQ240" s="714">
        <f>(CQ237-CQ238)/CQ237</f>
        <v>0.13225382698537083</v>
      </c>
      <c r="CR240" s="870"/>
      <c r="CS240" s="714">
        <f>(CS237-CS238)/CS237</f>
        <v>0.12955976332963248</v>
      </c>
      <c r="CT240" s="714">
        <f>(CT237-CT238)/CT237</f>
        <v>0.13485942749259647</v>
      </c>
      <c r="CU240" s="714">
        <f>(CU237-CU238)/CU237</f>
        <v>0.14415392849559466</v>
      </c>
      <c r="CV240" s="714">
        <f>(CV237-CV238)/CV237</f>
        <v>0.14500613167236825</v>
      </c>
      <c r="CW240" s="714">
        <f>(CW237-CW238)/CW237</f>
        <v>0.14500613167236825</v>
      </c>
      <c r="CX240" s="870"/>
      <c r="CY240" s="714">
        <f>(CY237-CY238)/CY237</f>
        <v>0.1508910033680321</v>
      </c>
      <c r="CZ240" s="714">
        <f>(CZ237-CZ238)/CZ237</f>
        <v>0.15950397408693054</v>
      </c>
      <c r="DA240" s="714">
        <f>(DA237-DA238)/DA237</f>
        <v>0.16797313784443937</v>
      </c>
      <c r="DB240" s="714">
        <f>(DB237-DB238)/DB237</f>
        <v>0.17588727888098801</v>
      </c>
      <c r="DC240" s="714">
        <f>(DC237-DC238)/DC237</f>
        <v>0.17588727888098812</v>
      </c>
      <c r="DD240" s="870"/>
      <c r="DE240" s="714">
        <f>(DE237-DE238)/DE237</f>
        <v>0.18085990089246093</v>
      </c>
      <c r="DF240" s="714">
        <f>(DF237-DF238)/DF237</f>
        <v>0.18731418979770165</v>
      </c>
      <c r="DG240" s="714">
        <f>(DG237-DG238)/DG237</f>
        <v>0.1933133347790085</v>
      </c>
      <c r="DH240" s="714">
        <f>(DH237-DH238)/DH237</f>
        <v>0.20099578364079962</v>
      </c>
      <c r="DI240" s="714">
        <f>(DI237-DI238)/DI237</f>
        <v>0.20099578364079948</v>
      </c>
      <c r="DJ240" s="870"/>
      <c r="DK240" s="714">
        <f>(DK237-DK238)/DK237</f>
        <v>0.20647685893304968</v>
      </c>
      <c r="DL240" s="714">
        <f>(DL237-DL238)/DL237</f>
        <v>0.21285328880851076</v>
      </c>
      <c r="DM240" s="714">
        <f>(DM237-DM238)/DM237</f>
        <v>0.21900794682260735</v>
      </c>
      <c r="DN240" s="714">
        <f>(DN237-DN238)/DN237</f>
        <v>0.22562623177775049</v>
      </c>
      <c r="DO240" s="714">
        <f>(DO237-DO238)/DO237</f>
        <v>0.22562623177775071</v>
      </c>
      <c r="DP240" s="260"/>
    </row>
    <row r="241" spans="1:120" ht="12.75" hidden="1" customHeight="1" outlineLevel="1">
      <c r="A241" s="260" t="s">
        <v>542</v>
      </c>
      <c r="B241" s="730" t="s">
        <v>540</v>
      </c>
      <c r="C241" s="283">
        <f>C41</f>
        <v>1.089</v>
      </c>
      <c r="D241" s="283">
        <f>D41</f>
        <v>3.3660000000000001</v>
      </c>
      <c r="E241" s="283">
        <f>E41</f>
        <v>5.3079999999999998</v>
      </c>
      <c r="F241" s="263"/>
      <c r="G241" s="267" t="s">
        <v>88</v>
      </c>
      <c r="H241" s="267" t="s">
        <v>88</v>
      </c>
      <c r="I241" s="267" t="s">
        <v>88</v>
      </c>
      <c r="J241" s="283">
        <f>J41+I41+H41+G41</f>
        <v>4.6479999999999997</v>
      </c>
      <c r="K241" s="283">
        <f>K41</f>
        <v>4.6479999999999997</v>
      </c>
      <c r="L241" s="263"/>
      <c r="M241" s="263">
        <f>M41+J41+I41+H41</f>
        <v>4.8130000000000006</v>
      </c>
      <c r="N241" s="263">
        <f>N41+M41+J41+I41</f>
        <v>5.3249999999999993</v>
      </c>
      <c r="O241" s="263">
        <f>O41+N41+M41+J41</f>
        <v>6.1</v>
      </c>
      <c r="P241" s="283">
        <f>P41+O41+N41+M41</f>
        <v>6.9619999999999997</v>
      </c>
      <c r="Q241" s="283">
        <f>Q41</f>
        <v>6.9619999999999997</v>
      </c>
      <c r="R241" s="263"/>
      <c r="S241" s="263">
        <f>S41+P41+O41+N41</f>
        <v>7.8490000000000002</v>
      </c>
      <c r="T241" s="263">
        <f>T41+S41+P41+O41</f>
        <v>8.2379999999999995</v>
      </c>
      <c r="U241" s="263">
        <f>U41+T41+S41+P41</f>
        <v>8.82</v>
      </c>
      <c r="V241" s="283">
        <f>V41+U41+T41+S41</f>
        <v>9.8219999999999992</v>
      </c>
      <c r="W241" s="283">
        <f>W41</f>
        <v>9.8219999999999992</v>
      </c>
      <c r="X241" s="263"/>
      <c r="Y241" s="263">
        <f>Y41+V41+U41+T41</f>
        <v>11.997</v>
      </c>
      <c r="Z241" s="263">
        <f>Z41+Y41+V41+U41</f>
        <v>15.392999999999997</v>
      </c>
      <c r="AA241" s="263">
        <f>AA41+Z41+Y41+V41</f>
        <v>19.532999999999998</v>
      </c>
      <c r="AB241" s="283">
        <f>AB41+AA41+Z41+Y41</f>
        <v>23.33</v>
      </c>
      <c r="AC241" s="283">
        <f>AC41</f>
        <v>23.33</v>
      </c>
      <c r="AD241" s="283"/>
      <c r="AE241" s="263">
        <f>AE41+AB41+AA41+Z41</f>
        <v>27.132999999999999</v>
      </c>
      <c r="AF241" s="263">
        <f>AF41+AE41+AB41+AA41</f>
        <v>31.384999999999998</v>
      </c>
      <c r="AG241" s="263">
        <f>AG41+AF41+AE41+AB41</f>
        <v>35.037999999999997</v>
      </c>
      <c r="AH241" s="283">
        <f>AH41+AG41+AF41+AE41</f>
        <v>40.090999999999994</v>
      </c>
      <c r="AI241" s="283">
        <f>AI41</f>
        <v>40.090999999999994</v>
      </c>
      <c r="AJ241" s="283"/>
      <c r="AK241" s="263">
        <f>AK41+AH41+AG41+AF41</f>
        <v>44.830000000000005</v>
      </c>
      <c r="AL241" s="263">
        <f>AL41+AK41+AH41+AG41</f>
        <v>48.694000000000003</v>
      </c>
      <c r="AM241" s="263">
        <f>AM41+AL41+AK41+AH41</f>
        <v>53.646000000000001</v>
      </c>
      <c r="AN241" s="283">
        <f>AN41+AM41+AL41+AK41</f>
        <v>57.475999999999999</v>
      </c>
      <c r="AO241" s="283">
        <f>AO41</f>
        <v>57.475999999999999</v>
      </c>
      <c r="AP241" s="283"/>
      <c r="AQ241" s="263">
        <f>AQ41+AN41+AM41+AL41</f>
        <v>62.3</v>
      </c>
      <c r="AR241" s="263">
        <f>AR41+AQ41+AN41+AM41</f>
        <v>70.488</v>
      </c>
      <c r="AS241" s="263">
        <f>AS41+AR41+AQ41+AN41</f>
        <v>79.056999999999988</v>
      </c>
      <c r="AT241" s="283">
        <f>AT41+AS41+AR41+AQ41</f>
        <v>89.677999999999997</v>
      </c>
      <c r="AU241" s="283">
        <f>AU41</f>
        <v>89.677999999999997</v>
      </c>
      <c r="AV241" s="283"/>
      <c r="AW241" s="263">
        <f>AW41+AT41+AS41+AR41</f>
        <v>100.51</v>
      </c>
      <c r="AX241" s="263">
        <f>AX41+AW41+AT41+AS41</f>
        <v>106.889</v>
      </c>
      <c r="AY241" s="263">
        <f>AY41+AX41+AW41+AT41</f>
        <v>113.16900000000001</v>
      </c>
      <c r="AZ241" s="263">
        <f>AZ41+AY41+AX41+AW41</f>
        <v>118.768</v>
      </c>
      <c r="BA241" s="283">
        <f>BA41</f>
        <v>118.768</v>
      </c>
      <c r="BB241" s="283"/>
      <c r="BC241" s="263">
        <f>BC41+AZ41+AY41+AX41</f>
        <v>126.28800000000001</v>
      </c>
      <c r="BD241" s="263">
        <f>BD41+BC41+AZ41+AY41</f>
        <v>137.024</v>
      </c>
      <c r="BE241" s="263">
        <f>BE41+BD41+BC41+AZ41</f>
        <v>150.297</v>
      </c>
      <c r="BF241" s="283">
        <f>BF41+BE41+BD41+BC41</f>
        <v>168.99</v>
      </c>
      <c r="BG241" s="283">
        <f>BG41</f>
        <v>168.99</v>
      </c>
      <c r="BH241" s="283"/>
      <c r="BI241" s="263">
        <f>BI41+BF41+BE41+BD41</f>
        <v>190.423</v>
      </c>
      <c r="BJ241" s="263">
        <f>BJ41+BI41+BF41+BE41</f>
        <v>213.739</v>
      </c>
      <c r="BK241" s="263">
        <f>BK41+BJ41+BI41+BF41</f>
        <v>234.262</v>
      </c>
      <c r="BL241" s="283">
        <f>BL41+BK41+BJ41+BI41</f>
        <v>249.453</v>
      </c>
      <c r="BM241" s="283">
        <f>BM41</f>
        <v>249.45299999999997</v>
      </c>
      <c r="BN241" s="283"/>
      <c r="BO241" s="263">
        <f>BO41+BL41+BK41+BJ41</f>
        <v>271.10899999999998</v>
      </c>
      <c r="BP241" s="263">
        <f>BP41+BO41+BL41+BK41</f>
        <v>292.25699999999995</v>
      </c>
      <c r="BQ241" s="263">
        <f>BQ41+BP41+BO41+BL41</f>
        <v>320.49499999999995</v>
      </c>
      <c r="BR241" s="283">
        <f>BR41+BQ41+BP41+BO41</f>
        <v>353.14599999999996</v>
      </c>
      <c r="BS241" s="283">
        <f>BS41</f>
        <v>353.14599999999996</v>
      </c>
      <c r="BT241" s="283"/>
      <c r="BU241" s="263">
        <f>BU41+BR41+BQ41+BP41</f>
        <v>381.54699999999997</v>
      </c>
      <c r="BV241" s="263">
        <f>BV41+BU41+BR41+BQ41</f>
        <v>420.24099999999999</v>
      </c>
      <c r="BW241" s="263">
        <f>BW41+BV41+BU41+BR41</f>
        <v>470.90600000000001</v>
      </c>
      <c r="BX241" s="283">
        <f>BX41+BW41+BV41+BU41</f>
        <v>516.37800000000004</v>
      </c>
      <c r="BY241" s="283">
        <f>BY41</f>
        <v>516.37800000000004</v>
      </c>
      <c r="BZ241" s="283"/>
      <c r="CA241" s="263">
        <f>CA41+BX41+BW41+BV41</f>
        <v>569.94200000000001</v>
      </c>
      <c r="CB241" s="263">
        <f>CB41+CA41+BX41+BW41</f>
        <v>617.89200000000005</v>
      </c>
      <c r="CC241" s="263">
        <f>CC41+CB41+BY41+BX41</f>
        <v>999.03300000000013</v>
      </c>
      <c r="CD241" s="283">
        <f>CD41+CC41+CB41+CA41</f>
        <v>671.72400000000005</v>
      </c>
      <c r="CE241" s="283">
        <f>CE41</f>
        <v>671.72400000000005</v>
      </c>
      <c r="CF241" s="283"/>
      <c r="CG241" s="263">
        <f>CG41+CD41+CC41+CB41</f>
        <v>701.53600000000006</v>
      </c>
      <c r="CH241" s="263">
        <f>CH41+CG41+CD41+CC41</f>
        <v>731.90700000000004</v>
      </c>
      <c r="CI241" s="263">
        <f>CI41+CH41+CG41+CD41</f>
        <v>770.99300000000005</v>
      </c>
      <c r="CJ241" s="283">
        <f>CJ41+CI41+CH41+CG41</f>
        <v>816.86599999999999</v>
      </c>
      <c r="CK241" s="283">
        <f>CK41</f>
        <v>816.86599999999999</v>
      </c>
      <c r="CL241" s="283"/>
      <c r="CM241" s="263">
        <f>CM41+CJ41+CI41+CH41</f>
        <v>851.78199999999993</v>
      </c>
      <c r="CN241" s="263">
        <f>CN41+CM41+CJ41+CI41</f>
        <v>904.29599999999994</v>
      </c>
      <c r="CO241" s="263">
        <f>CO41+CN41+CM41+CJ41</f>
        <v>957.70499999999993</v>
      </c>
      <c r="CP241" s="283">
        <f>CP41+CO41+CN41+CM41</f>
        <v>1020.64</v>
      </c>
      <c r="CQ241" s="283">
        <f>CQ41</f>
        <v>1020.64</v>
      </c>
      <c r="CR241" s="283"/>
      <c r="CS241" s="263">
        <f>CS41+CP41+CO41+CN41</f>
        <v>1107.0040000000001</v>
      </c>
      <c r="CT241" s="263">
        <f>CT41+CS41+CP41+CO41</f>
        <v>1173.9250000000002</v>
      </c>
      <c r="CU241" s="263">
        <f>CU41+CT41+CS41+CP41</f>
        <v>1240.21</v>
      </c>
      <c r="CV241" s="283">
        <f>CV41+CU41+CT41+CS41</f>
        <v>1293.2349999999999</v>
      </c>
      <c r="CW241" s="283">
        <f>CW41</f>
        <v>1293.2350000000001</v>
      </c>
      <c r="CX241" s="283"/>
      <c r="CY241" s="263">
        <f>CY41+CV41+CU41+CT41</f>
        <v>1346.152481321421</v>
      </c>
      <c r="CZ241" s="263">
        <f>CZ41+CY41+CV41+CU41</f>
        <v>1394.1278907560572</v>
      </c>
      <c r="DA241" s="263">
        <f>DA41+CZ41+CY41+CV41</f>
        <v>1438.8348595508146</v>
      </c>
      <c r="DB241" s="283">
        <f>DB41+DA41+CZ41+CY41</f>
        <v>1514.5221763833447</v>
      </c>
      <c r="DC241" s="283">
        <f>DC41</f>
        <v>1514.5221763833447</v>
      </c>
      <c r="DD241" s="283"/>
      <c r="DE241" s="263">
        <f>DE41+DB41+DA41+CZ41</f>
        <v>1570.6006914699615</v>
      </c>
      <c r="DF241" s="263">
        <f>DF41+DE41+DB41+DA41</f>
        <v>1626.5109585294031</v>
      </c>
      <c r="DG241" s="263">
        <f>DG41+DF41+DE41+DB41</f>
        <v>1682.6021709831009</v>
      </c>
      <c r="DH241" s="283">
        <f>DH41+DG41+DF41+DE41</f>
        <v>1742.4237144084527</v>
      </c>
      <c r="DI241" s="283">
        <f>DI41</f>
        <v>1742.4237144084527</v>
      </c>
      <c r="DJ241" s="283"/>
      <c r="DK241" s="263">
        <f>DK41+DH41+DG41+DF41</f>
        <v>1804.1786965528613</v>
      </c>
      <c r="DL241" s="263">
        <f>DL41+DK41+DH41+DG41</f>
        <v>1864.0660827420513</v>
      </c>
      <c r="DM241" s="263">
        <f>DM41+DL41+DK41+DH41</f>
        <v>1923.4651668153458</v>
      </c>
      <c r="DN241" s="283">
        <f>DN41+DM41+DL41+DK41</f>
        <v>1964.994844159512</v>
      </c>
      <c r="DO241" s="283">
        <f>DO41</f>
        <v>1964.994844159512</v>
      </c>
      <c r="DP241" s="260"/>
    </row>
    <row r="242" spans="1:120" ht="12.75" hidden="1" customHeight="1" outlineLevel="1">
      <c r="A242" s="260" t="s">
        <v>90</v>
      </c>
      <c r="B242" s="730" t="s">
        <v>537</v>
      </c>
      <c r="C242" s="722">
        <f>C86</f>
        <v>-0.54520000000000002</v>
      </c>
      <c r="D242" s="722">
        <f>D86</f>
        <v>-3.901489626716788</v>
      </c>
      <c r="E242" s="722">
        <f>E86</f>
        <v>-0.99586482247255104</v>
      </c>
      <c r="F242" s="721"/>
      <c r="G242" s="722" t="s">
        <v>88</v>
      </c>
      <c r="H242" s="722" t="s">
        <v>88</v>
      </c>
      <c r="I242" s="722" t="s">
        <v>88</v>
      </c>
      <c r="J242" s="722">
        <f>J86+I86+H86+G86</f>
        <v>-0.36476218004405109</v>
      </c>
      <c r="K242" s="722">
        <f>K86</f>
        <v>-0.3683826386979972</v>
      </c>
      <c r="L242" s="721"/>
      <c r="M242" s="721">
        <f>M86+J86+I86+H86</f>
        <v>-0.29804982898315169</v>
      </c>
      <c r="N242" s="721">
        <f>N86+M86+J86+I86</f>
        <v>-0.25320644452212709</v>
      </c>
      <c r="O242" s="721">
        <f>O86+N86+M86+J86</f>
        <v>-7.4379582838839955E-2</v>
      </c>
      <c r="P242" s="722">
        <f>P86+O86+N86+M86</f>
        <v>5.6724879225177657E-3</v>
      </c>
      <c r="Q242" s="722">
        <f>Q86</f>
        <v>5.4757261390280688E-3</v>
      </c>
      <c r="R242" s="721"/>
      <c r="S242" s="721">
        <f>S86+P86+O86+N86</f>
        <v>2.7439790641694472E-3</v>
      </c>
      <c r="T242" s="721">
        <f>T86+S86+P86+O86</f>
        <v>4.1321451789754441E-3</v>
      </c>
      <c r="U242" s="721">
        <f>U86+T86+S86+P86</f>
        <v>9.8075532861547944E-3</v>
      </c>
      <c r="V242" s="722">
        <f>V86+U86+T86+S86</f>
        <v>1.6110856206319045E-2</v>
      </c>
      <c r="W242" s="722">
        <f>W86</f>
        <v>1.6563847250031596E-2</v>
      </c>
      <c r="X242" s="721"/>
      <c r="Y242" s="721">
        <f>Y86+V86+U86+T86</f>
        <v>2.394274177395557E-2</v>
      </c>
      <c r="Z242" s="721">
        <f>Z86+Y86+V86+U86</f>
        <v>3.1908418803093842E-2</v>
      </c>
      <c r="AA242" s="721">
        <f>AA86+Z86+Y86+V86</f>
        <v>4.060813354194031E-2</v>
      </c>
      <c r="AB242" s="722">
        <f>AB86+AA86+Z86+Y86</f>
        <v>4.5242726212310333E-2</v>
      </c>
      <c r="AC242" s="722">
        <f>AC86</f>
        <v>4.521968720786268E-2</v>
      </c>
      <c r="AD242" s="722"/>
      <c r="AE242" s="721">
        <f>AE86+AB86+AA86+Z86</f>
        <v>4.6732038527974237E-2</v>
      </c>
      <c r="AF242" s="721">
        <f>AF86+AE86+AB86+AA86</f>
        <v>4.9851424584755721E-2</v>
      </c>
      <c r="AG242" s="721">
        <f>AG86+AF86+AE86+AB86</f>
        <v>5.198089064961723E-2</v>
      </c>
      <c r="AH242" s="722">
        <f>AH86+AG86+AF86+AE86</f>
        <v>5.5269306439787821E-2</v>
      </c>
      <c r="AI242" s="722">
        <f>AI86</f>
        <v>5.5295721636203159E-2</v>
      </c>
      <c r="AJ242" s="722"/>
      <c r="AK242" s="721">
        <f>AK86+AH86+AG86+AF86</f>
        <v>6.3662733020247511E-2</v>
      </c>
      <c r="AL242" s="721">
        <f>AL86+AK86+AH86+AG86</f>
        <v>7.5497335632343426E-2</v>
      </c>
      <c r="AM242" s="721">
        <f>AM86+AL86+AK86+AH86</f>
        <v>9.1395242640995522E-2</v>
      </c>
      <c r="AN242" s="722">
        <f>AN86+AM86+AL86+AK86</f>
        <v>0.11038206181923418</v>
      </c>
      <c r="AO242" s="722">
        <f>AO86</f>
        <v>0.110592701771361</v>
      </c>
      <c r="AP242" s="722"/>
      <c r="AQ242" s="721">
        <f>AQ86+AN86+AM86+AL86</f>
        <v>0.13111139487798604</v>
      </c>
      <c r="AR242" s="721">
        <f>AR86+AQ86+AN86+AM86</f>
        <v>0.14628472217880673</v>
      </c>
      <c r="AS242" s="721">
        <f>AS86+AR86+AQ86+AN86</f>
        <v>0.16080177713752813</v>
      </c>
      <c r="AT242" s="722">
        <f>AT86+AS86+AR86+AQ86</f>
        <v>0.18462971215184731</v>
      </c>
      <c r="AU242" s="722">
        <f>AU86</f>
        <v>0.18458787115221983</v>
      </c>
      <c r="AV242" s="722"/>
      <c r="AW242" s="721">
        <f>AW86+AT86+AS86+AR86</f>
        <v>0.21024533303131243</v>
      </c>
      <c r="AX242" s="721">
        <f>AX86+AW86+AT86+AS86</f>
        <v>0.23919434637422932</v>
      </c>
      <c r="AY242" s="721">
        <f>AY86+AX86+AW86+AT86</f>
        <v>0.25908385033609921</v>
      </c>
      <c r="AZ242" s="721">
        <f>AZ86+AY86+AX86+AW86</f>
        <v>0.27215529472996397</v>
      </c>
      <c r="BA242" s="722">
        <f>BA86</f>
        <v>0.27397177165354325</v>
      </c>
      <c r="BB242" s="722"/>
      <c r="BC242" s="721">
        <f>BC86+AZ86+AY86+AX86</f>
        <v>0.28252493463310924</v>
      </c>
      <c r="BD242" s="721">
        <f>BD86+BC86+AZ86+AY86</f>
        <v>0.28493842067647601</v>
      </c>
      <c r="BE242" s="721">
        <f>BE86+BD86+BC86+AZ86</f>
        <v>0.30008186284868255</v>
      </c>
      <c r="BF242" s="722">
        <f>BF86+BE86+BD86+BC86</f>
        <v>0.30539921416056898</v>
      </c>
      <c r="BG242" s="722">
        <f>BG86</f>
        <v>0.3055272499862049</v>
      </c>
      <c r="BH242" s="722"/>
      <c r="BI242" s="721">
        <f>BI86+BF86+BE86+BD86</f>
        <v>0.30057769099832621</v>
      </c>
      <c r="BJ242" s="721">
        <f>BJ86+BI86+BF86+BE86</f>
        <v>0.30348632604694703</v>
      </c>
      <c r="BK242" s="721">
        <f>BK86+BJ86+BI86+BF86</f>
        <v>0.3087417837933904</v>
      </c>
      <c r="BL242" s="722">
        <f>BL86+BK86+BJ86+BI86</f>
        <v>0.34057611070225946</v>
      </c>
      <c r="BM242" s="722">
        <f>BM86</f>
        <v>0.33846678321678331</v>
      </c>
      <c r="BN242" s="722"/>
      <c r="BO242" s="721">
        <f>BO86+BL86+BK86+BJ86</f>
        <v>0.36310795460169848</v>
      </c>
      <c r="BP242" s="721">
        <f>BP86+BO86+BL86+BK86</f>
        <v>0.3918569752748845</v>
      </c>
      <c r="BQ242" s="721">
        <f>BQ86+BP86+BO86+BL86</f>
        <v>0.38841203363375043</v>
      </c>
      <c r="BR242" s="722">
        <f>BR86+BQ86+BP86+BO86</f>
        <v>0.40661845112341416</v>
      </c>
      <c r="BS242" s="722">
        <f>BS86</f>
        <v>0.4069681208053692</v>
      </c>
      <c r="BT242" s="722"/>
      <c r="BU242" s="721">
        <f>BU86+BR86+BQ86+BP86</f>
        <v>0.41129704112294735</v>
      </c>
      <c r="BV242" s="721">
        <f>BV86+BU86+BR86+BQ86</f>
        <v>0.39759085358300345</v>
      </c>
      <c r="BW242" s="721">
        <f>BW86+BV86+BU86+BR86</f>
        <v>0.40487326963383286</v>
      </c>
      <c r="BX242" s="722">
        <f>BX86+BW86+BV86+BU86</f>
        <v>0.35027656403333451</v>
      </c>
      <c r="BY242" s="722">
        <f>BY86</f>
        <v>0.3496824962122182</v>
      </c>
      <c r="BZ242" s="722"/>
      <c r="CA242" s="721">
        <f>CA86+BX86+BW86+BV86</f>
        <v>0.35964804368222714</v>
      </c>
      <c r="CB242" s="721">
        <f>CB86+CA86+BX86+BW86</f>
        <v>0.40179924521020921</v>
      </c>
      <c r="CC242" s="721">
        <f>CC86+CB86+BY86+BX86</f>
        <v>0.6963415064286721</v>
      </c>
      <c r="CD242" s="722">
        <f>CD86+CC86+CB86+CA86</f>
        <v>0.52502660633843012</v>
      </c>
      <c r="CE242" s="722">
        <f>CE86</f>
        <v>0.52518936321837173</v>
      </c>
      <c r="CF242" s="722"/>
      <c r="CG242" s="721">
        <f>CG86+CD86+CC86+CB86</f>
        <v>0.58082781276983186</v>
      </c>
      <c r="CH242" s="721">
        <f>CH86+CG86+CD86+CC86</f>
        <v>0.63924464759161337</v>
      </c>
      <c r="CI242" s="721">
        <f>CI86+CH86+CG86+CD86</f>
        <v>0.70444765942478837</v>
      </c>
      <c r="CJ242" s="722">
        <f>CJ86+CI86+CH86+CG86</f>
        <v>0.75096385884638006</v>
      </c>
      <c r="CK242" s="722">
        <f>CK86</f>
        <v>0.75144867795162607</v>
      </c>
      <c r="CL242" s="722"/>
      <c r="CM242" s="721">
        <f>CM86+CJ86+CI86+CH86</f>
        <v>0.83181796131903862</v>
      </c>
      <c r="CN242" s="721">
        <f>CN86+CM86+CJ86+CI86</f>
        <v>0.88600452324367474</v>
      </c>
      <c r="CO242" s="721">
        <f>CO86+CN86+CM86+CJ86</f>
        <v>0.92122940185810454</v>
      </c>
      <c r="CP242" s="722">
        <f>CP86+CO86+CN86+CM86</f>
        <v>1.0074255658735245</v>
      </c>
      <c r="CQ242" s="722">
        <f>CQ86</f>
        <v>1.0079401888179891</v>
      </c>
      <c r="CR242" s="722"/>
      <c r="CS242" s="721">
        <f>CS86+CP86+CO86+CN86</f>
        <v>1.0506511681267079</v>
      </c>
      <c r="CT242" s="721">
        <f>CT86+CS86+CP86+CO86</f>
        <v>1.1360500201860331</v>
      </c>
      <c r="CU242" s="721">
        <f>CU86+CT86+CS86+CP86</f>
        <v>1.2787798267374342</v>
      </c>
      <c r="CV242" s="722">
        <f>CV86+CU86+CT86+CS86</f>
        <v>1.3540017672023881</v>
      </c>
      <c r="CW242" s="722">
        <f>CW86</f>
        <v>1.3565417891096181</v>
      </c>
      <c r="CX242" s="722"/>
      <c r="CY242" s="721">
        <f>CY86+CV86+CU86+CT86</f>
        <v>1.5378917092619708</v>
      </c>
      <c r="CZ242" s="721">
        <f>CZ86+CY86+CV86+CU86</f>
        <v>1.7796005706325224</v>
      </c>
      <c r="DA242" s="721">
        <f>DA86+CZ86+CY86+CV86</f>
        <v>2.0304153945469583</v>
      </c>
      <c r="DB242" s="722">
        <f>DB86+DA86+CZ86+CY86</f>
        <v>2.264017538051001</v>
      </c>
      <c r="DC242" s="722">
        <f>DC86</f>
        <v>2.2651312337604095</v>
      </c>
      <c r="DD242" s="722"/>
      <c r="DE242" s="721">
        <f>DE86+DB86+DA86+CZ86</f>
        <v>2.4396689169490937</v>
      </c>
      <c r="DF242" s="721">
        <f>DF86+DE86+DB86+DA86</f>
        <v>2.6451236089753367</v>
      </c>
      <c r="DG242" s="721">
        <f>DG86+DF86+DE86+DB86</f>
        <v>2.8489825239507649</v>
      </c>
      <c r="DH242" s="722">
        <f>DH86+DG86+DF86+DE86</f>
        <v>3.083389266639502</v>
      </c>
      <c r="DI242" s="722">
        <f>DI86</f>
        <v>3.0861689123430511</v>
      </c>
      <c r="DJ242" s="722"/>
      <c r="DK242" s="721">
        <f>DK86+DH86+DG86+DF86</f>
        <v>3.2831614839884544</v>
      </c>
      <c r="DL242" s="721">
        <f>DL86+DK86+DH86+DG86</f>
        <v>3.5045517608628636</v>
      </c>
      <c r="DM242" s="721">
        <f>DM86+DL86+DK86+DH86</f>
        <v>3.7317391508261331</v>
      </c>
      <c r="DN242" s="722">
        <f>DN86+DM86+DL86+DK86</f>
        <v>3.9816605056160421</v>
      </c>
      <c r="DO242" s="722">
        <f>DO86</f>
        <v>3.9850583903997365</v>
      </c>
      <c r="DP242" s="721"/>
    </row>
    <row r="243" spans="1:120" ht="12.75" hidden="1" customHeight="1" outlineLevel="1">
      <c r="A243" s="260" t="s">
        <v>543</v>
      </c>
      <c r="B243" s="730" t="s">
        <v>539</v>
      </c>
      <c r="C243" s="283">
        <f>CF!C102</f>
        <v>-3.7610000000000001</v>
      </c>
      <c r="D243" s="283">
        <f>CF!D102</f>
        <v>-26.686</v>
      </c>
      <c r="E243" s="283">
        <f>CF!E102</f>
        <v>-13.166000000000004</v>
      </c>
      <c r="F243" s="260"/>
      <c r="G243" s="722" t="s">
        <v>88</v>
      </c>
      <c r="H243" s="722" t="s">
        <v>88</v>
      </c>
      <c r="I243" s="722" t="s">
        <v>88</v>
      </c>
      <c r="J243" s="283">
        <f>CF!J102+CF!I102+CF!H102+CF!G102</f>
        <v>5.2130000000000001</v>
      </c>
      <c r="K243" s="283">
        <f>CF!K102</f>
        <v>5.2130000000000001</v>
      </c>
      <c r="L243" s="260"/>
      <c r="M243" s="283">
        <f>CF!M102+CF!J102+CF!I102+CF!H102</f>
        <v>7.4179999999999993</v>
      </c>
      <c r="N243" s="283">
        <f>CF!N102+CF!M102+CF!J102+CF!I102</f>
        <v>8.9339999999999993</v>
      </c>
      <c r="O243" s="283">
        <f>CF!O102+CF!N102+CF!M102+CF!J102</f>
        <v>15.949000000000002</v>
      </c>
      <c r="P243" s="283">
        <f>CF!P102+CF!O102+CF!N102+CF!M102</f>
        <v>21.781000000000002</v>
      </c>
      <c r="Q243" s="283">
        <f>CF!Q102</f>
        <v>21.781000000000013</v>
      </c>
      <c r="R243" s="260"/>
      <c r="S243" s="283">
        <f>CF!S102+CF!P102+CF!O102+CF!N102</f>
        <v>23.679000000000006</v>
      </c>
      <c r="T243" s="283">
        <f>CF!T102+CF!S102+CF!P102+CF!O102</f>
        <v>34.628</v>
      </c>
      <c r="U243" s="283">
        <f>CF!U102+CF!T102+CF!S102+CF!P102</f>
        <v>40.89</v>
      </c>
      <c r="V243" s="283">
        <f>CF!V102+CF!U102+CF!T102+CF!S102</f>
        <v>55.872</v>
      </c>
      <c r="W243" s="283">
        <f>CF!W102</f>
        <v>55.872</v>
      </c>
      <c r="X243" s="260"/>
      <c r="Y243" s="283">
        <f>CF!Y102+CF!V102+CF!U102+CF!T102</f>
        <v>67.123000000000005</v>
      </c>
      <c r="Z243" s="283">
        <f>CF!Z102+CF!Y102+CF!V102+CF!U102</f>
        <v>66.260000000000005</v>
      </c>
      <c r="AA243" s="283">
        <f>CF!AA102+CF!Z102+CF!Y102+CF!V102</f>
        <v>77.680999999999997</v>
      </c>
      <c r="AB243" s="283">
        <f>CF!AB102+CF!AA102+CF!Z102+CF!Y102</f>
        <v>95.893000000000001</v>
      </c>
      <c r="AC243" s="283">
        <f>CF!AC102</f>
        <v>95.893000000000001</v>
      </c>
      <c r="AD243" s="722"/>
      <c r="AE243" s="283">
        <f>CF!AE102+CF!AB102+CF!AA102+CF!Z102</f>
        <v>90.399000000000001</v>
      </c>
      <c r="AF243" s="283">
        <f>CF!AF102+CF!AE102+CF!AB102+CF!AA102</f>
        <v>106.34899999999999</v>
      </c>
      <c r="AG243" s="283">
        <f>CF!AG102+CF!AF102+CF!AE102+CF!AB102</f>
        <v>112.405</v>
      </c>
      <c r="AH243" s="283">
        <f>CF!AH102+CF!AG102+CF!AF102+CF!AE102</f>
        <v>111.22361785141322</v>
      </c>
      <c r="AI243" s="283">
        <f>CF!AI102</f>
        <v>111.22361785141324</v>
      </c>
      <c r="AJ243" s="722"/>
      <c r="AK243" s="283">
        <f>CF!AK102+CF!AH102+CF!AG102+CF!AF102</f>
        <v>135.63761785141324</v>
      </c>
      <c r="AL243" s="283">
        <f>CF!AL102+CF!AK102+CF!AH102+CF!AG102</f>
        <v>140.26961785141324</v>
      </c>
      <c r="AM243" s="283">
        <f>CF!AM102+CF!AL102+CF!AK102+CF!AH102</f>
        <v>161.64061785141325</v>
      </c>
      <c r="AN243" s="283">
        <f>CF!AN102+CF!AM102+CF!AL102+CF!AK102</f>
        <v>204.27500000000001</v>
      </c>
      <c r="AO243" s="283">
        <f>CF!AO102</f>
        <v>204.27499999999998</v>
      </c>
      <c r="AP243" s="722"/>
      <c r="AQ243" s="283">
        <f>CF!AQ102+CF!AN102+CF!AM102+CF!AL102</f>
        <v>251.27699999999999</v>
      </c>
      <c r="AR243" s="283">
        <f>CF!AR102+CF!AQ102+CF!AN102+CF!AM102</f>
        <v>269.69799999999998</v>
      </c>
      <c r="AS243" s="283">
        <f>CF!AS102+CF!AR102+CF!AQ102+CF!AN102</f>
        <v>234.821</v>
      </c>
      <c r="AT243" s="283">
        <f>CF!AT102+CF!AS102+CF!AR102+CF!AQ102</f>
        <v>229.55700000000002</v>
      </c>
      <c r="AU243" s="283">
        <f>CF!AU102</f>
        <v>229.55699999999996</v>
      </c>
      <c r="AV243" s="722"/>
      <c r="AW243" s="283">
        <f>CF!AW102+CF!AT102+CF!AS102+CF!AR102</f>
        <v>244.25800000000001</v>
      </c>
      <c r="AX243" s="283">
        <f>CF!AX102+CF!AW102+CF!AT102+CF!AS102</f>
        <v>236.48100000000002</v>
      </c>
      <c r="AY243" s="283">
        <f>CF!AY102+CF!AX102+CF!AW102+CF!AT102</f>
        <v>254.88</v>
      </c>
      <c r="AZ243" s="283">
        <f>CF!AZ102+CF!AY102+CF!AX102+CF!AW102</f>
        <v>270.91099999999994</v>
      </c>
      <c r="BA243" s="283">
        <f>CF!BA102</f>
        <v>270.91100000000006</v>
      </c>
      <c r="BB243" s="722"/>
      <c r="BC243" s="283">
        <f>CF!BC102+CF!AZ102+CF!AY102+CF!AX102</f>
        <v>315.56099999999998</v>
      </c>
      <c r="BD243" s="283">
        <f>CF!BD102+CF!BC102+CF!AZ102+CF!AY102</f>
        <v>346.35899999999992</v>
      </c>
      <c r="BE243" s="283">
        <f>CF!BE102+CF!BD102+CF!BC102+CF!AZ102</f>
        <v>384.87900000000002</v>
      </c>
      <c r="BF243" s="283">
        <f>CF!BF102+CF!BE102+CF!BD102+CF!BC102</f>
        <v>459.08100000000002</v>
      </c>
      <c r="BG243" s="283">
        <f>CF!BG102</f>
        <v>459.0809999999999</v>
      </c>
      <c r="BH243" s="722"/>
      <c r="BI243" s="283">
        <f>CF!BI102+CF!BF102+CF!BE102+CF!BD102</f>
        <v>455.41600000000005</v>
      </c>
      <c r="BJ243" s="283">
        <f>CF!BJ102+CF!BI102+CF!BF102+CF!BE102</f>
        <v>462.25300000000004</v>
      </c>
      <c r="BK243" s="283">
        <f>CF!BK102+CF!BJ102+CF!BI102+CF!BF102</f>
        <v>516.92200000000003</v>
      </c>
      <c r="BL243" s="283">
        <f>CF!BL102+CF!BK102+CF!BJ102+CF!BI102</f>
        <v>591.50700000000006</v>
      </c>
      <c r="BM243" s="283">
        <f>CF!BM102</f>
        <v>591.50699999999995</v>
      </c>
      <c r="BN243" s="722"/>
      <c r="BO243" s="283">
        <f>CF!BO102+CF!BL102+CF!BK102+CF!BJ102</f>
        <v>665.20100000000002</v>
      </c>
      <c r="BP243" s="283">
        <f>CF!BP102+CF!BO102+CF!BL102+CF!BK102</f>
        <v>718.46500000000015</v>
      </c>
      <c r="BQ243" s="283">
        <f>CF!BQ102+CF!BP102+CF!BO102+CF!BL102</f>
        <v>695.67100000000005</v>
      </c>
      <c r="BR243" s="283">
        <f>CF!BR102+CF!BQ102+CF!BP102+CF!BO102</f>
        <v>736.89699999999993</v>
      </c>
      <c r="BS243" s="283">
        <f>CF!BS102</f>
        <v>736.89700000000016</v>
      </c>
      <c r="BT243" s="722"/>
      <c r="BU243" s="283">
        <f>CF!BU102+CF!BR102+CF!BQ102+CF!BP102</f>
        <v>806.87400000000002</v>
      </c>
      <c r="BV243" s="283">
        <f>CF!BV102+CF!BU102+CF!BR102+CF!BQ102</f>
        <v>853.86000000000013</v>
      </c>
      <c r="BW243" s="283">
        <f>CF!BW102+CF!BV102+CF!BU102+CF!BR102</f>
        <v>885.80400000000009</v>
      </c>
      <c r="BX243" s="283">
        <f>CF!BX102+CF!BW102+CF!BV102+CF!BU102</f>
        <v>875.46900000000005</v>
      </c>
      <c r="BY243" s="283">
        <f>CF!BY102</f>
        <v>875.46900000000005</v>
      </c>
      <c r="BZ243" s="722"/>
      <c r="CA243" s="283">
        <f>CF!CA102+CF!BX102+CF!BW102+CF!BV102</f>
        <v>1065.367</v>
      </c>
      <c r="CB243" s="283">
        <f>CF!CB102+CF!CA102+CF!BX102+CF!BW102</f>
        <v>1128.077</v>
      </c>
      <c r="CC243" s="283">
        <f>CF!CC102+CF!CB102+CF!BY102+CF!BX102</f>
        <v>1515.1110000000001</v>
      </c>
      <c r="CD243" s="283">
        <f>CF!CD102+CF!CC102+CF!CB102+CF!CA102</f>
        <v>1173.7139999999999</v>
      </c>
      <c r="CE243" s="283">
        <f>CF!CE102</f>
        <v>1173.7139999999999</v>
      </c>
      <c r="CF243" s="722"/>
      <c r="CG243" s="283">
        <f>CF!CG102+CF!CD102+CF!CC102+CF!CB102</f>
        <v>1431.4839999999999</v>
      </c>
      <c r="CH243" s="283">
        <f>CF!CH102+CF!CG102+CF!CD102+CF!CC102</f>
        <v>1490.002</v>
      </c>
      <c r="CI243" s="283">
        <f>CF!CI102+CF!CH102+CF!CG102+CF!CD102</f>
        <v>1485.3979999999997</v>
      </c>
      <c r="CJ243" s="283">
        <f>CF!CJ102+CF!CI102+CF!CH102+CF!CG102</f>
        <v>1612.5850000000005</v>
      </c>
      <c r="CK243" s="283">
        <f>CF!CK102</f>
        <v>1612.5850000000003</v>
      </c>
      <c r="CL243" s="722"/>
      <c r="CM243" s="283">
        <f>CF!CM102+CF!CJ102+CF!CI102+CF!CH102</f>
        <v>1932.7900000000004</v>
      </c>
      <c r="CN243" s="283">
        <f>CF!CN102+CF!CM102+CF!CJ102+CF!CI102</f>
        <v>1879.0570000000007</v>
      </c>
      <c r="CO243" s="283">
        <f>CF!CO102+CF!CN102+CF!CM102+CF!CJ102</f>
        <v>1915.4620000000007</v>
      </c>
      <c r="CP243" s="283">
        <f>CF!CP102+CF!CO102+CF!CN102+CF!CM102</f>
        <v>2162.1979999999999</v>
      </c>
      <c r="CQ243" s="283">
        <f>CF!CQ102</f>
        <v>2162.1979999999999</v>
      </c>
      <c r="CR243" s="722"/>
      <c r="CS243" s="283">
        <f>CF!CS102+CF!CP102+CF!CO102+CF!CN102</f>
        <v>2340.7200000000003</v>
      </c>
      <c r="CT243" s="283">
        <f>CF!CT102+CF!CS102+CF!CP102+CF!CO102</f>
        <v>2421.3109999999997</v>
      </c>
      <c r="CU243" s="283">
        <f>CF!CU102+CF!CT102+CF!CS102+CF!CP102</f>
        <v>2392.7909999999993</v>
      </c>
      <c r="CV243" s="283">
        <f>CF!CV102+CF!CU102+CF!CT102+CF!CS102</f>
        <v>2737.9649999999997</v>
      </c>
      <c r="CW243" s="283">
        <f>CF!CW102</f>
        <v>2737.9649999999997</v>
      </c>
      <c r="CX243" s="722"/>
      <c r="CY243" s="283">
        <f>CF!CY102+CF!CV102+CF!CU102+CF!CT102</f>
        <v>3113.4316950189232</v>
      </c>
      <c r="CZ243" s="283">
        <f>CF!CZ102+CF!CY102+CF!CV102+CF!CU102</f>
        <v>3196.2169729579014</v>
      </c>
      <c r="DA243" s="283">
        <f>CF!DA102+CF!CZ102+CF!CY102+CF!CV102</f>
        <v>3321.0876523858137</v>
      </c>
      <c r="DB243" s="283">
        <f>CF!DB102+CF!DA102+CF!CZ102+CF!CY102</f>
        <v>3481.2491789897344</v>
      </c>
      <c r="DC243" s="283">
        <f>CF!DC102</f>
        <v>3481.2491789897344</v>
      </c>
      <c r="DD243" s="722"/>
      <c r="DE243" s="283">
        <f>CF!DE102+CF!DB102+CF!DA102+CF!CZ102</f>
        <v>3755.1380195497995</v>
      </c>
      <c r="DF243" s="283">
        <f>CF!DF102+CF!DE102+CF!DB102+CF!DA102</f>
        <v>3796.8284181791105</v>
      </c>
      <c r="DG243" s="283">
        <f>CF!DG102+CF!DF102+CF!DE102+CF!DB102</f>
        <v>3853.2485670012593</v>
      </c>
      <c r="DH243" s="283">
        <f>CF!DH102+CF!DG102+CF!DF102+CF!DE102</f>
        <v>4450.5249877163242</v>
      </c>
      <c r="DI243" s="283">
        <f>CF!DI102</f>
        <v>4450.5249877163251</v>
      </c>
      <c r="DJ243" s="722"/>
      <c r="DK243" s="283">
        <f>CF!DK102+CF!DH102+CF!DG102+CF!DF102</f>
        <v>4828.1532059354186</v>
      </c>
      <c r="DL243" s="283">
        <f>CF!DL102+CF!DK102+CF!DH102+CF!DG102</f>
        <v>5074.2049651702509</v>
      </c>
      <c r="DM243" s="283">
        <f>CF!DM102+CF!DL102+CF!DK102+CF!DH102</f>
        <v>5217.7594215697109</v>
      </c>
      <c r="DN243" s="283">
        <f>CF!DN102+CF!DM102+CF!DL102+CF!DK102</f>
        <v>5597.6483569553802</v>
      </c>
      <c r="DO243" s="283">
        <f>CF!DO102</f>
        <v>5597.6483569553802</v>
      </c>
      <c r="DP243" s="260"/>
    </row>
    <row r="244" spans="1:120" ht="4.5" hidden="1" customHeight="1" outlineLevel="1">
      <c r="A244" s="255"/>
      <c r="B244" s="668"/>
      <c r="C244" s="744"/>
      <c r="D244" s="744"/>
      <c r="E244" s="744"/>
      <c r="F244" s="669"/>
      <c r="G244" s="744"/>
      <c r="H244" s="744"/>
      <c r="I244" s="744"/>
      <c r="J244" s="744"/>
      <c r="K244" s="744"/>
      <c r="L244" s="669"/>
      <c r="M244" s="744"/>
      <c r="N244" s="744"/>
      <c r="O244" s="744"/>
      <c r="P244" s="744"/>
      <c r="Q244" s="744"/>
      <c r="R244" s="669"/>
      <c r="S244" s="744"/>
      <c r="T244" s="744"/>
      <c r="U244" s="744"/>
      <c r="V244" s="744"/>
      <c r="W244" s="744"/>
      <c r="X244" s="669"/>
      <c r="Y244" s="744"/>
      <c r="Z244" s="744"/>
      <c r="AA244" s="744"/>
      <c r="AB244" s="744"/>
      <c r="AC244" s="744"/>
      <c r="AD244" s="744"/>
      <c r="AE244" s="744"/>
      <c r="AF244" s="744"/>
      <c r="AG244" s="744"/>
      <c r="AH244" s="744"/>
      <c r="AI244" s="744"/>
      <c r="AJ244" s="744"/>
      <c r="AK244" s="744"/>
      <c r="AL244" s="744"/>
      <c r="AM244" s="744"/>
      <c r="AN244" s="744"/>
      <c r="AO244" s="744"/>
      <c r="AP244" s="744"/>
      <c r="AQ244" s="744"/>
      <c r="AR244" s="744"/>
      <c r="AS244" s="744"/>
      <c r="AT244" s="744"/>
      <c r="AU244" s="744"/>
      <c r="AV244" s="744"/>
      <c r="AW244" s="744"/>
      <c r="AX244" s="744"/>
      <c r="AY244" s="744"/>
      <c r="AZ244" s="744"/>
      <c r="BA244" s="744"/>
      <c r="BB244" s="744"/>
      <c r="BC244" s="744"/>
      <c r="BD244" s="744"/>
      <c r="BE244" s="744"/>
      <c r="BF244" s="744"/>
      <c r="BG244" s="744"/>
      <c r="BH244" s="744"/>
      <c r="BI244" s="744"/>
      <c r="BJ244" s="744"/>
      <c r="BK244" s="744"/>
      <c r="BL244" s="744"/>
      <c r="BM244" s="744"/>
      <c r="BN244" s="744"/>
      <c r="BO244" s="744"/>
      <c r="BP244" s="744"/>
      <c r="BQ244" s="744"/>
      <c r="BR244" s="744"/>
      <c r="BS244" s="744"/>
      <c r="BT244" s="744"/>
      <c r="BU244" s="744"/>
      <c r="BV244" s="744"/>
      <c r="BW244" s="744"/>
      <c r="BX244" s="744"/>
      <c r="BY244" s="744"/>
      <c r="BZ244" s="744"/>
      <c r="CA244" s="744"/>
      <c r="CB244" s="744"/>
      <c r="CC244" s="744"/>
      <c r="CD244" s="744"/>
      <c r="CE244" s="744"/>
      <c r="CF244" s="744"/>
      <c r="CG244" s="744"/>
      <c r="CH244" s="744"/>
      <c r="CI244" s="744"/>
      <c r="CJ244" s="744"/>
      <c r="CK244" s="744"/>
      <c r="CL244" s="744"/>
      <c r="CM244" s="744"/>
      <c r="CN244" s="744"/>
      <c r="CO244" s="744"/>
      <c r="CP244" s="744"/>
      <c r="CQ244" s="744"/>
      <c r="CR244" s="744"/>
      <c r="CS244" s="744"/>
      <c r="CT244" s="744"/>
      <c r="CU244" s="744"/>
      <c r="CV244" s="744"/>
      <c r="CW244" s="744"/>
      <c r="CX244" s="744"/>
      <c r="CY244" s="744"/>
      <c r="CZ244" s="744"/>
      <c r="DA244" s="744"/>
      <c r="DB244" s="744"/>
      <c r="DC244" s="744"/>
      <c r="DD244" s="744"/>
      <c r="DE244" s="744"/>
      <c r="DF244" s="744"/>
      <c r="DG244" s="744"/>
      <c r="DH244" s="744"/>
      <c r="DI244" s="744"/>
      <c r="DJ244" s="744"/>
      <c r="DK244" s="744"/>
      <c r="DL244" s="744"/>
      <c r="DM244" s="744"/>
      <c r="DN244" s="744"/>
      <c r="DO244" s="744"/>
      <c r="DP244" s="669"/>
    </row>
    <row r="245" spans="1:120" ht="12.75" hidden="1" customHeight="1" outlineLevel="1">
      <c r="A245" s="260" t="s">
        <v>723</v>
      </c>
      <c r="B245" s="730" t="s">
        <v>724</v>
      </c>
      <c r="C245" s="268" t="s">
        <v>88</v>
      </c>
      <c r="D245" s="283" t="s">
        <v>236</v>
      </c>
      <c r="E245" s="283" t="s">
        <v>236</v>
      </c>
      <c r="F245" s="260"/>
      <c r="G245" s="283">
        <f>G64*(1-G80)</f>
        <v>-1.6340000000000012</v>
      </c>
      <c r="H245" s="283">
        <f>H64*(1-H80)</f>
        <v>-1.3859999999999992</v>
      </c>
      <c r="I245" s="283">
        <f>I64*(1-I80)</f>
        <v>-4.8730000000000011</v>
      </c>
      <c r="J245" s="283">
        <f>J64*(1-J80)</f>
        <v>-2.6069999999999993</v>
      </c>
      <c r="K245" s="283">
        <f>K64*(1-K80)</f>
        <v>-10.5</v>
      </c>
      <c r="L245" s="260"/>
      <c r="M245" s="283">
        <f>M64*(1-M80)</f>
        <v>1.4922693266834011E-2</v>
      </c>
      <c r="N245" s="283">
        <f>N64*(1-N80)</f>
        <v>0.11421476510067148</v>
      </c>
      <c r="O245" s="283">
        <f>O64*(1-O80)</f>
        <v>-2.7762680743633049E-2</v>
      </c>
      <c r="P245" s="283">
        <f>P64*(1-P80)</f>
        <v>0.14297816593886334</v>
      </c>
      <c r="Q245" s="283">
        <f>Q64*(1-Q80)</f>
        <v>0.24289214177480795</v>
      </c>
      <c r="R245" s="260"/>
      <c r="S245" s="283">
        <f>S64*(1-S80)</f>
        <v>0.31277480916030598</v>
      </c>
      <c r="T245" s="283">
        <f>T64*(1-T80)</f>
        <v>1.0099736495388798</v>
      </c>
      <c r="U245" s="283">
        <f>U64*(1-U80)</f>
        <v>1.5372433903577014</v>
      </c>
      <c r="V245" s="283">
        <f>V64*(1-V80)</f>
        <v>2.7930945142101753</v>
      </c>
      <c r="W245" s="283">
        <f>W64*(1-W80)</f>
        <v>5.6530886048290307</v>
      </c>
      <c r="X245" s="260"/>
      <c r="Y245" s="283">
        <f>Y64*(1-Y80)</f>
        <v>3.1879999999999997</v>
      </c>
      <c r="Z245" s="283">
        <f>Z64*(1-Z80)</f>
        <v>3.3546559829059808</v>
      </c>
      <c r="AA245" s="283">
        <f>AA64*(1-AA80)</f>
        <v>5.1091403382511569</v>
      </c>
      <c r="AB245" s="283">
        <f>AB64*(1-AB80)</f>
        <v>4.3273031506486452</v>
      </c>
      <c r="AC245" s="283">
        <f>AC64*(1-AC80)</f>
        <v>15.981818041772618</v>
      </c>
      <c r="AD245" s="261"/>
      <c r="AE245" s="283">
        <f>AE64*(1-AE80)</f>
        <v>4.1660597689603227</v>
      </c>
      <c r="AF245" s="283">
        <f>AF64*(1-AF80)</f>
        <v>5.2001759128663201</v>
      </c>
      <c r="AG245" s="283">
        <f>AG64*(1-AG80)</f>
        <v>5.5643500000000108</v>
      </c>
      <c r="AH245" s="283">
        <f>AH64*(1-AH80)</f>
        <v>5.0039000000000078</v>
      </c>
      <c r="AI245" s="283">
        <f>AI64*(1-AI80)</f>
        <v>19.93450752752042</v>
      </c>
      <c r="AJ245" s="261"/>
      <c r="AK245" s="283">
        <f>AK64*(1-AK80)</f>
        <v>6.9443000000000028</v>
      </c>
      <c r="AL245" s="283">
        <f>AL64*(1-AL80)</f>
        <v>10.052900000000012</v>
      </c>
      <c r="AM245" s="283">
        <f>AM64*(1-AM80)</f>
        <v>11.987800000000012</v>
      </c>
      <c r="AN245" s="283">
        <f>AN64*(1-AN80)</f>
        <v>15.188799999999993</v>
      </c>
      <c r="AO245" s="283">
        <f>AO64*(1-AO80)</f>
        <v>44.173800000000021</v>
      </c>
      <c r="AP245" s="261"/>
      <c r="AQ245" s="283">
        <f>AQ64*(1-AQ80)</f>
        <v>18.088720000000002</v>
      </c>
      <c r="AR245" s="283">
        <f>AR64*(1-AR80)</f>
        <v>18.866640000000007</v>
      </c>
      <c r="AS245" s="283">
        <f>AS64*(1-AS80)</f>
        <v>21.985307135716653</v>
      </c>
      <c r="AT245" s="283">
        <f>AT64*(1-AT80)</f>
        <v>25.613764432586596</v>
      </c>
      <c r="AU245" s="283">
        <f>AU64*(1-AU80)</f>
        <v>84.468774696503345</v>
      </c>
      <c r="AV245" s="261"/>
      <c r="AW245" s="283">
        <f>AW64*(1-AW80)</f>
        <v>30.499879999999994</v>
      </c>
      <c r="AX245" s="283">
        <f>AX64*(1-AX80)</f>
        <v>32.065260000000002</v>
      </c>
      <c r="AY245" s="283">
        <f>AY64*(1-AY80)</f>
        <v>30.593839999999997</v>
      </c>
      <c r="AZ245" s="283">
        <f>AZ64*(1-AZ80)</f>
        <v>33.710640000000005</v>
      </c>
      <c r="BA245" s="283">
        <f>BA64*(1-BA80)</f>
        <v>126.93938491158444</v>
      </c>
      <c r="BB245" s="261"/>
      <c r="BC245" s="283">
        <f>BC64*(1-BC80)</f>
        <v>39.355888712960919</v>
      </c>
      <c r="BD245" s="283">
        <f>BD64*(1-BD80)</f>
        <v>37.339612009410921</v>
      </c>
      <c r="BE245" s="283">
        <f>BE64*(1-BE80)</f>
        <v>40.131918241424344</v>
      </c>
      <c r="BF245" s="283">
        <f>BF64*(1-BF80)</f>
        <v>37.43403376060661</v>
      </c>
      <c r="BG245" s="283">
        <f>BG64*(1-BG80)</f>
        <v>154.50003577582612</v>
      </c>
      <c r="BH245" s="261"/>
      <c r="BI245" s="283">
        <f>BI64*(1-BI80)</f>
        <v>35.7719120328168</v>
      </c>
      <c r="BJ245" s="283">
        <f>BJ64*(1-BJ80)</f>
        <v>42.5297235378913</v>
      </c>
      <c r="BK245" s="283">
        <f>BK64*(1-BK80)</f>
        <v>46.158814706306785</v>
      </c>
      <c r="BL245" s="283">
        <f>BL64*(1-BL80)</f>
        <v>56.852080000000029</v>
      </c>
      <c r="BM245" s="283">
        <f>BM64*(1-BM80)</f>
        <v>183.70176887069741</v>
      </c>
      <c r="BN245" s="261"/>
      <c r="BO245" s="283">
        <f>BO64*(1-BO80)</f>
        <v>52.956671713360812</v>
      </c>
      <c r="BP245" s="283">
        <f>BP64*(1-BP80)</f>
        <v>57.209196719465076</v>
      </c>
      <c r="BQ245" s="283">
        <f>BQ64*(1-BQ80)</f>
        <v>51.16946615727808</v>
      </c>
      <c r="BR245" s="283">
        <f>BR64*(1-BR80)</f>
        <v>76.908846105804642</v>
      </c>
      <c r="BS245" s="283">
        <f>BS64*(1-BS80)</f>
        <v>238.04116488802833</v>
      </c>
      <c r="BT245" s="261"/>
      <c r="BU245" s="283">
        <f>BU64*(1-BU80)</f>
        <v>61.069949739313955</v>
      </c>
      <c r="BV245" s="283">
        <f>BV64*(1-BV80)</f>
        <v>59.074962654487052</v>
      </c>
      <c r="BW245" s="283">
        <f>BW64*(1-BW80)</f>
        <v>67.486216670670032</v>
      </c>
      <c r="BX245" s="283">
        <f>BX64*(1-BX80)</f>
        <v>51.239521047143377</v>
      </c>
      <c r="BY245" s="283">
        <f>BY64*(1-BY80)</f>
        <v>238.16939889676584</v>
      </c>
      <c r="BZ245" s="261"/>
      <c r="CA245" s="283">
        <f>CA64*(1-CA80)</f>
        <v>75.8120834178292</v>
      </c>
      <c r="CB245" s="283">
        <f>CB64*(1-CB80)</f>
        <v>92.008283507981631</v>
      </c>
      <c r="CC245" s="283">
        <f>CC64*(1-CC80)</f>
        <v>97.068935546676272</v>
      </c>
      <c r="CD245" s="283">
        <f>CD64*(1-CD80)</f>
        <v>99.667464037122826</v>
      </c>
      <c r="CE245" s="283">
        <f>CE64*(1-CE80)</f>
        <v>364.55676571629363</v>
      </c>
      <c r="CF245" s="261"/>
      <c r="CG245" s="283">
        <f>CG64*(1-CG80)</f>
        <v>112.24531393788084</v>
      </c>
      <c r="CH245" s="283">
        <f>CH64*(1-CH80)</f>
        <v>131.72692459490341</v>
      </c>
      <c r="CI245" s="283">
        <f>CI64*(1-CI80)</f>
        <v>150.41255616327254</v>
      </c>
      <c r="CJ245" s="283">
        <f>CJ64*(1-CJ80)</f>
        <v>141.11464031518349</v>
      </c>
      <c r="CK245" s="283">
        <f>CK64*(1-CK80)</f>
        <v>535.35331418120472</v>
      </c>
      <c r="CL245" s="261"/>
      <c r="CM245" s="283">
        <f>CM64*(1-CM80)</f>
        <v>181.02895402784932</v>
      </c>
      <c r="CN245" s="283">
        <f>CN64*(1-CN80)</f>
        <v>171.31129948053712</v>
      </c>
      <c r="CO245" s="283">
        <f>CO64*(1-CO80)</f>
        <v>177.16082547854973</v>
      </c>
      <c r="CP245" s="283">
        <f>CP64*(1-CP80)</f>
        <v>191.91639999999964</v>
      </c>
      <c r="CQ245" s="283">
        <f>CQ64*(1-CQ80)</f>
        <v>721.41746492540187</v>
      </c>
      <c r="CR245" s="261"/>
      <c r="CS245" s="283">
        <f>CS64*(1-CS80)</f>
        <v>207.58056334425081</v>
      </c>
      <c r="CT245" s="283">
        <f>CT64*(1-CT80)</f>
        <v>249.76735997041715</v>
      </c>
      <c r="CU245" s="283">
        <f>CU64*(1-CU80)</f>
        <v>286.19683388878013</v>
      </c>
      <c r="CV245" s="283">
        <f>CV64*(1-CV80)</f>
        <v>251.90516278930855</v>
      </c>
      <c r="CW245" s="283">
        <f>CW64*(1-CW80)</f>
        <v>995.45331809285381</v>
      </c>
      <c r="CX245" s="261"/>
      <c r="CY245" s="283">
        <f>CY64*(1-CY80)</f>
        <v>363.12756863066949</v>
      </c>
      <c r="CZ245" s="283">
        <f>CZ64*(1-CZ80)</f>
        <v>443.47424967368715</v>
      </c>
      <c r="DA245" s="283">
        <f>DA64*(1-DA80)</f>
        <v>493.32991359605194</v>
      </c>
      <c r="DB245" s="283">
        <f>DB64*(1-DB80)</f>
        <v>454.90677795159877</v>
      </c>
      <c r="DC245" s="283">
        <f>DC64*(1-DC80)</f>
        <v>1754.8385098520073</v>
      </c>
      <c r="DD245" s="261"/>
      <c r="DE245" s="283">
        <f>DE64*(1-DE80)</f>
        <v>497.20845638860533</v>
      </c>
      <c r="DF245" s="283">
        <f>DF64*(1-DF80)</f>
        <v>603.91544760304987</v>
      </c>
      <c r="DG245" s="283">
        <f>DG64*(1-DG80)</f>
        <v>658.66354888244962</v>
      </c>
      <c r="DH245" s="283">
        <f>DH64*(1-DH80)</f>
        <v>648.41143997952645</v>
      </c>
      <c r="DI245" s="283">
        <f>DI64*(1-DI80)</f>
        <v>2408.1988928536312</v>
      </c>
      <c r="DJ245" s="261"/>
      <c r="DK245" s="283">
        <f>DK64*(1-DK80)</f>
        <v>675.84172051566247</v>
      </c>
      <c r="DL245" s="283">
        <f>DL64*(1-DL80)</f>
        <v>805.46005219053939</v>
      </c>
      <c r="DM245" s="283">
        <f>DM64*(1-DM80)</f>
        <v>868.41280234243345</v>
      </c>
      <c r="DN245" s="283">
        <f>DN64*(1-DN80)</f>
        <v>877.9184450461745</v>
      </c>
      <c r="DO245" s="283">
        <f>DO64*(1-DO80)</f>
        <v>3227.6330200948096</v>
      </c>
      <c r="DP245" s="260"/>
    </row>
    <row r="246" spans="1:120" ht="12.75" hidden="1" customHeight="1" outlineLevel="1">
      <c r="A246" s="260" t="s">
        <v>228</v>
      </c>
      <c r="B246" s="730"/>
      <c r="C246" s="268"/>
      <c r="D246" s="283"/>
      <c r="E246" s="283"/>
      <c r="F246" s="260"/>
      <c r="G246" s="283">
        <f>G245/G111</f>
        <v>-6.5585614513927956E-2</v>
      </c>
      <c r="H246" s="283">
        <f>H245/H111</f>
        <v>-5.3565217391304321E-2</v>
      </c>
      <c r="I246" s="283">
        <f>I245/I111</f>
        <v>-0.1810581853310545</v>
      </c>
      <c r="J246" s="283">
        <f>J245/J111</f>
        <v>-9.3790473449417155E-2</v>
      </c>
      <c r="K246" s="283">
        <f>K245/K111</f>
        <v>-0.39810803893875774</v>
      </c>
      <c r="L246" s="260"/>
      <c r="M246" s="283">
        <f>M245/M111</f>
        <v>1.6287949165921556E-4</v>
      </c>
      <c r="N246" s="283">
        <f>N245/N111</f>
        <v>1.2418292879505016E-3</v>
      </c>
      <c r="O246" s="283">
        <f>O245/O111</f>
        <v>-2.9064478746697634E-4</v>
      </c>
      <c r="P246" s="283">
        <f>P245/P111</f>
        <v>1.485765295731808E-3</v>
      </c>
      <c r="Q246" s="283">
        <f>Q245/Q111</f>
        <v>2.545799052236244E-3</v>
      </c>
      <c r="R246" s="260"/>
      <c r="S246" s="283">
        <f>S245/S111</f>
        <v>7.7883725064320497E-4</v>
      </c>
      <c r="T246" s="283">
        <f>T245/T111</f>
        <v>2.343348081046877E-3</v>
      </c>
      <c r="U246" s="283">
        <f>U245/U111</f>
        <v>3.3080055053489993E-3</v>
      </c>
      <c r="V246" s="283">
        <f>V245/V111</f>
        <v>5.9779606581102642E-3</v>
      </c>
      <c r="W246" s="283">
        <f>W245/W111</f>
        <v>1.2746650713487902E-2</v>
      </c>
      <c r="X246" s="260"/>
      <c r="Y246" s="283">
        <f>Y245/Y111</f>
        <v>6.8490207704933522E-3</v>
      </c>
      <c r="Z246" s="283">
        <f>Z245/Z111</f>
        <v>7.1088883629146686E-3</v>
      </c>
      <c r="AA246" s="283">
        <f>AA245/AA111</f>
        <v>1.0764696679977996E-2</v>
      </c>
      <c r="AB246" s="283">
        <f>AB245/AB111</f>
        <v>8.941965298117598E-3</v>
      </c>
      <c r="AC246" s="283">
        <f>AC245/AC111</f>
        <v>3.3649616467008217E-2</v>
      </c>
      <c r="AD246" s="261"/>
      <c r="AE246" s="283">
        <f>AE245/AE111</f>
        <v>8.6888489191450664E-3</v>
      </c>
      <c r="AF246" s="283">
        <f>AF245/AF111</f>
        <v>1.0940828766813213E-2</v>
      </c>
      <c r="AG246" s="283">
        <f>AG245/AG111</f>
        <v>1.1565506031809399E-2</v>
      </c>
      <c r="AH246" s="283">
        <f>AH245/AH111</f>
        <v>1.0316553822809044E-2</v>
      </c>
      <c r="AI246" s="283">
        <f>AI245/AI111</f>
        <v>4.1510247209198117E-2</v>
      </c>
      <c r="AJ246" s="261"/>
      <c r="AK246" s="283">
        <f>AK245/AK111</f>
        <v>1.439113855846148E-2</v>
      </c>
      <c r="AL246" s="283">
        <f>AL245/AL111</f>
        <v>2.0713449762224646E-2</v>
      </c>
      <c r="AM246" s="283">
        <f>AM245/AM111</f>
        <v>2.4531182214800835E-2</v>
      </c>
      <c r="AN246" s="283">
        <f>AN245/AN111</f>
        <v>3.0701811125485107E-2</v>
      </c>
      <c r="AO246" s="283">
        <f>AO245/AO111</f>
        <v>9.0554039732112693E-2</v>
      </c>
      <c r="AP246" s="261"/>
      <c r="AQ246" s="283">
        <f>AQ245/AQ111</f>
        <v>3.6347838667674062E-2</v>
      </c>
      <c r="AR246" s="283">
        <f>AR245/AR111</f>
        <v>3.7545253371117457E-2</v>
      </c>
      <c r="AS246" s="283">
        <f>AS245/AS111</f>
        <v>4.3923879263896522E-2</v>
      </c>
      <c r="AT246" s="283">
        <f>AT245/AT111</f>
        <v>5.1419632612613918E-2</v>
      </c>
      <c r="AU246" s="283">
        <f>AU245/AU111</f>
        <v>0.16903694311555864</v>
      </c>
      <c r="AV246" s="261"/>
      <c r="AW246" s="283">
        <f>AW245/AW111</f>
        <v>6.0829922855387741E-2</v>
      </c>
      <c r="AX246" s="283">
        <f>AX245/AX111</f>
        <v>6.3337033642526436E-2</v>
      </c>
      <c r="AY246" s="283">
        <f>AY245/AY111</f>
        <v>5.9476655572490579E-2</v>
      </c>
      <c r="AZ246" s="283">
        <f>AZ245/AZ111</f>
        <v>6.448736293586968E-2</v>
      </c>
      <c r="BA246" s="283">
        <f>BA245/BA111</f>
        <v>0.24988067895981189</v>
      </c>
      <c r="BB246" s="261"/>
      <c r="BC246" s="283">
        <f>BC245/BC111</f>
        <v>7.4396202510682186E-2</v>
      </c>
      <c r="BD246" s="283">
        <f>BD245/BD111</f>
        <v>6.9572076991061965E-2</v>
      </c>
      <c r="BE246" s="283">
        <f>BE245/BE111</f>
        <v>7.3209914774496399E-2</v>
      </c>
      <c r="BF246" s="283">
        <f>BF245/BF111</f>
        <v>6.6751606217959128E-2</v>
      </c>
      <c r="BG246" s="283">
        <f>BG245/BG111</f>
        <v>0.28417980719154284</v>
      </c>
      <c r="BH246" s="261"/>
      <c r="BI246" s="283">
        <f>BI245/BI111</f>
        <v>6.3397499030243429E-2</v>
      </c>
      <c r="BJ246" s="283">
        <f>BJ245/BJ111</f>
        <v>7.4116320575457459E-2</v>
      </c>
      <c r="BK246" s="283">
        <f>BK245/BK111</f>
        <v>8.1167774557235284E-2</v>
      </c>
      <c r="BL246" s="283">
        <f>BL245/BL111</f>
        <v>0.10021378157896597</v>
      </c>
      <c r="BM246" s="283">
        <f>BM245/BM111</f>
        <v>0.32115693858513533</v>
      </c>
      <c r="BN246" s="261"/>
      <c r="BO246" s="283">
        <f>BO245/BO111</f>
        <v>9.0647567824528444E-2</v>
      </c>
      <c r="BP246" s="283">
        <f>BP245/BP111</f>
        <v>9.7830958725161565E-2</v>
      </c>
      <c r="BQ246" s="283">
        <f>BQ245/BQ111</f>
        <v>8.5267663867059834E-2</v>
      </c>
      <c r="BR246" s="283">
        <f>BR245/BR111</f>
        <v>0.12549907657958018</v>
      </c>
      <c r="BS246" s="283">
        <f>BS245/BS111</f>
        <v>0.39939792766447707</v>
      </c>
      <c r="BT246" s="261"/>
      <c r="BU246" s="283">
        <f>BU245/BU111</f>
        <v>9.8076450132755746E-2</v>
      </c>
      <c r="BV246" s="283">
        <f>BV245/BV111</f>
        <v>9.4571992671945937E-2</v>
      </c>
      <c r="BW246" s="283">
        <f>BW245/BW111</f>
        <v>0.10543617569827851</v>
      </c>
      <c r="BX246" s="283">
        <f>BX245/BX111</f>
        <v>7.8785791128279312E-2</v>
      </c>
      <c r="BY246" s="283">
        <f>BY245/BY111</f>
        <v>0.37540024217650697</v>
      </c>
      <c r="BZ246" s="261"/>
      <c r="CA246" s="283">
        <f>CA245/CA111</f>
        <v>0.11699395589171173</v>
      </c>
      <c r="CB246" s="283">
        <f>CB245/CB111</f>
        <v>0.14203412140968777</v>
      </c>
      <c r="CC246" s="283">
        <f>CC245/CC111</f>
        <v>0.14740065956205453</v>
      </c>
      <c r="CD246" s="283">
        <f>CD245/CD111</f>
        <v>0.15397747523833796</v>
      </c>
      <c r="CE246" s="283">
        <f>CE245/CE111</f>
        <v>0.5605086161379722</v>
      </c>
      <c r="CF246" s="261"/>
      <c r="CG246" s="283">
        <f>CG245/CG111</f>
        <v>0.16896526311192192</v>
      </c>
      <c r="CH246" s="283">
        <f>CH245/CH111</f>
        <v>0.19583948398578027</v>
      </c>
      <c r="CI246" s="283">
        <f>CI245/CI111</f>
        <v>0.22193580948648065</v>
      </c>
      <c r="CJ246" s="283">
        <f>CJ245/CJ111</f>
        <v>0.20662060327422851</v>
      </c>
      <c r="CK246" s="283">
        <f>CK245/CK111</f>
        <v>0.79381222372985594</v>
      </c>
      <c r="CL246" s="261"/>
      <c r="CM246" s="283">
        <f>CM245/CM111</f>
        <v>0.26358360164742423</v>
      </c>
      <c r="CN246" s="283">
        <f>CN245/CN111</f>
        <v>0.24614824170153962</v>
      </c>
      <c r="CO246" s="283">
        <f>CO245/CO111</f>
        <v>0.25139750232516028</v>
      </c>
      <c r="CP246" s="283">
        <f>CP245/CP111</f>
        <v>0.26984756813455463</v>
      </c>
      <c r="CQ246" s="283">
        <f>CQ245/CQ111</f>
        <v>1.031084670705344</v>
      </c>
      <c r="CR246" s="261"/>
      <c r="CS246" s="283">
        <f>CS245/CS111</f>
        <v>0.29395101397708046</v>
      </c>
      <c r="CT246" s="283">
        <f>CT245/CT111</f>
        <v>0.34243508919888394</v>
      </c>
      <c r="CU246" s="283">
        <f>CU245/CU111</f>
        <v>0.38774489556890224</v>
      </c>
      <c r="CV246" s="283">
        <f>CV245/CV111</f>
        <v>0.33611375968600032</v>
      </c>
      <c r="CW246" s="283">
        <f>CW245/CW111</f>
        <v>1.3621745431682528</v>
      </c>
      <c r="CX246" s="261"/>
      <c r="CY246" s="283">
        <f>CY245/CY111</f>
        <v>0.47979626872189052</v>
      </c>
      <c r="CZ246" s="283">
        <f>CZ245/CZ111</f>
        <v>0.58039758518818807</v>
      </c>
      <c r="DA246" s="283">
        <f>DA245/DA111</f>
        <v>0.64438125725234607</v>
      </c>
      <c r="DB246" s="283">
        <f>DB245/DB111</f>
        <v>0.59303153091057303</v>
      </c>
      <c r="DC246" s="283">
        <f>DC245/DC111</f>
        <v>2.2987158229105562</v>
      </c>
      <c r="DD246" s="261"/>
      <c r="DE246" s="283">
        <f>DE245/DE111</f>
        <v>0.64439714042435303</v>
      </c>
      <c r="DF246" s="283">
        <f>DF245/DF111</f>
        <v>0.77515790611709579</v>
      </c>
      <c r="DG246" s="283">
        <f>DG245/DG111</f>
        <v>0.83736897365764951</v>
      </c>
      <c r="DH246" s="283">
        <f>DH245/DH111</f>
        <v>0.81654962237075579</v>
      </c>
      <c r="DI246" s="283">
        <f>DI245/DI111</f>
        <v>3.0762456205488893</v>
      </c>
      <c r="DJ246" s="261"/>
      <c r="DK246" s="283">
        <f>DK245/DK111</f>
        <v>0.84312959231582152</v>
      </c>
      <c r="DL246" s="283">
        <f>DL245/DL111</f>
        <v>0.99551723385808855</v>
      </c>
      <c r="DM246" s="283">
        <f>DM245/DM111</f>
        <v>1.0634663573415122</v>
      </c>
      <c r="DN246" s="283">
        <f>DN245/DN111</f>
        <v>1.0653225266824673</v>
      </c>
      <c r="DO246" s="283">
        <f>DO245/DO111</f>
        <v>3.9708244335516336</v>
      </c>
      <c r="DP246" s="260"/>
    </row>
    <row r="247" spans="1:120" ht="12.75" hidden="1" customHeight="1" outlineLevel="1">
      <c r="A247" s="260" t="s">
        <v>500</v>
      </c>
      <c r="B247" s="730"/>
      <c r="C247" s="268"/>
      <c r="D247" s="283"/>
      <c r="E247" s="283"/>
      <c r="F247" s="260"/>
      <c r="G247" s="283">
        <f>G245+CF!G85+CF!G86</f>
        <v>-0.14300000000000124</v>
      </c>
      <c r="H247" s="283"/>
      <c r="I247" s="283"/>
      <c r="J247" s="283"/>
      <c r="K247" s="283"/>
      <c r="L247" s="260"/>
      <c r="M247" s="283">
        <f>M245+CF!M85+CF!M86</f>
        <v>1.716922693266834</v>
      </c>
      <c r="N247" s="283">
        <f>N245+CF!N85+CF!N86</f>
        <v>1.8652147651006716</v>
      </c>
      <c r="O247" s="283">
        <f>O245+CF!O85+CF!O86</f>
        <v>1.6122373192563668</v>
      </c>
      <c r="P247" s="283">
        <f>P245+CF!P85+CF!P86</f>
        <v>1.9999781659388634</v>
      </c>
      <c r="Q247" s="283">
        <f>SUM(M247:P247)</f>
        <v>7.1943529435627358</v>
      </c>
      <c r="R247" s="260"/>
      <c r="S247" s="283">
        <f>S245+CF!S85+CF!S86</f>
        <v>1.937774809160306</v>
      </c>
      <c r="T247" s="283">
        <f>T245+CF!T85+CF!T86</f>
        <v>2.7889736495388799</v>
      </c>
      <c r="U247" s="283">
        <f>U245+CF!U85+CF!U86</f>
        <v>3.5282433903577015</v>
      </c>
      <c r="V247" s="283">
        <f>V245+CF!V85+CF!V86</f>
        <v>4.1590945142101745</v>
      </c>
      <c r="W247" s="283">
        <f>SUM(S247:V247)</f>
        <v>12.414086363267062</v>
      </c>
      <c r="X247" s="260"/>
      <c r="Y247" s="283">
        <f>Y245+CF!Y85+CF!Y86</f>
        <v>5.1649999999999991</v>
      </c>
      <c r="Z247" s="283">
        <f>Z245+CF!Z85+CF!Z86</f>
        <v>5.7606559829059805</v>
      </c>
      <c r="AA247" s="283">
        <f>AA245+CF!AA85+CF!AA86</f>
        <v>7.4241403382511573</v>
      </c>
      <c r="AB247" s="283">
        <f>AB245+CF!AB85+CF!AB86</f>
        <v>7.1043031506486454</v>
      </c>
      <c r="AC247" s="283">
        <f>SUM(Y247:AB247)</f>
        <v>25.454099471805783</v>
      </c>
      <c r="AD247" s="261"/>
      <c r="AE247" s="283">
        <f>AE245+CF!AE85+CF!AE86</f>
        <v>14.008059768960322</v>
      </c>
      <c r="AF247" s="283">
        <f>AF245+CF!AF85+CF!AF86</f>
        <v>17.95517591286632</v>
      </c>
      <c r="AG247" s="283">
        <f>AG245+CF!AG85+CF!AG86</f>
        <v>19.773350000000011</v>
      </c>
      <c r="AH247" s="283">
        <f>AH245+CF!AH85+CF!AH86</f>
        <v>19.298900000000003</v>
      </c>
      <c r="AI247" s="283">
        <f>SUM(AE247:AH247)</f>
        <v>71.035485681826657</v>
      </c>
      <c r="AJ247" s="261"/>
      <c r="AK247" s="283">
        <f>AK245+CF!AK85+CF!AK86</f>
        <v>23.804300000000005</v>
      </c>
      <c r="AL247" s="283">
        <f>AL245+CF!AL85+CF!AL86</f>
        <v>29.528900000000014</v>
      </c>
      <c r="AM247" s="283">
        <f>AM245+CF!AM85+CF!AM86</f>
        <v>32.923800000000014</v>
      </c>
      <c r="AN247" s="283">
        <f>AN245+CF!AN85+CF!AN86</f>
        <v>37.342799999999997</v>
      </c>
      <c r="AO247" s="283">
        <f>SUM(AK247:AN247)</f>
        <v>123.59980000000003</v>
      </c>
      <c r="AP247" s="261"/>
      <c r="AQ247" s="283"/>
      <c r="AR247" s="283"/>
      <c r="AS247" s="283"/>
      <c r="AT247" s="283"/>
      <c r="AU247" s="283"/>
      <c r="AV247" s="261"/>
      <c r="AW247" s="283"/>
      <c r="AX247" s="283"/>
      <c r="AY247" s="283"/>
      <c r="AZ247" s="283"/>
      <c r="BA247" s="283"/>
      <c r="BB247" s="261"/>
      <c r="BC247" s="283"/>
      <c r="BD247" s="283"/>
      <c r="BE247" s="283"/>
      <c r="BF247" s="283"/>
      <c r="BG247" s="283"/>
      <c r="BH247" s="261"/>
      <c r="BI247" s="283"/>
      <c r="BJ247" s="283"/>
      <c r="BK247" s="889"/>
      <c r="BL247" s="283"/>
      <c r="BM247" s="283"/>
      <c r="BN247" s="261"/>
      <c r="BO247" s="283"/>
      <c r="BP247" s="283"/>
      <c r="BQ247" s="283"/>
      <c r="BR247" s="283"/>
      <c r="BS247" s="283"/>
      <c r="BT247" s="261"/>
      <c r="BU247" s="283"/>
      <c r="BV247" s="283"/>
      <c r="BW247" s="283"/>
      <c r="BX247" s="283"/>
      <c r="BY247" s="283"/>
      <c r="BZ247" s="261"/>
      <c r="CA247" s="283"/>
      <c r="CB247" s="283"/>
      <c r="CC247" s="283"/>
      <c r="CD247" s="283"/>
      <c r="CE247" s="283"/>
      <c r="CF247" s="261"/>
      <c r="CG247" s="283"/>
      <c r="CH247" s="283"/>
      <c r="CI247" s="283"/>
      <c r="CJ247" s="283"/>
      <c r="CK247" s="283"/>
      <c r="CL247" s="261"/>
      <c r="CM247" s="283"/>
      <c r="CN247" s="283"/>
      <c r="CO247" s="283"/>
      <c r="CP247" s="283"/>
      <c r="CQ247" s="283"/>
      <c r="CR247" s="261"/>
      <c r="CS247" s="283"/>
      <c r="CT247" s="283"/>
      <c r="CU247" s="283"/>
      <c r="CV247" s="283"/>
      <c r="CW247" s="283"/>
      <c r="CX247" s="261"/>
      <c r="CY247" s="283"/>
      <c r="CZ247" s="283"/>
      <c r="DA247" s="283"/>
      <c r="DB247" s="283"/>
      <c r="DC247" s="283"/>
      <c r="DD247" s="261"/>
      <c r="DE247" s="283"/>
      <c r="DF247" s="283"/>
      <c r="DG247" s="283"/>
      <c r="DH247" s="283"/>
      <c r="DI247" s="283"/>
      <c r="DJ247" s="261"/>
      <c r="DK247" s="283"/>
      <c r="DL247" s="283"/>
      <c r="DM247" s="283"/>
      <c r="DN247" s="283"/>
      <c r="DO247" s="283"/>
      <c r="DP247" s="260"/>
    </row>
    <row r="248" spans="1:120" ht="12.75" hidden="1" customHeight="1" outlineLevel="1">
      <c r="A248" s="260" t="s">
        <v>77</v>
      </c>
      <c r="B248" s="730" t="s">
        <v>607</v>
      </c>
      <c r="C248" s="268" t="s">
        <v>88</v>
      </c>
      <c r="D248" s="283">
        <f>BS!D33+BS!D43</f>
        <v>1.78</v>
      </c>
      <c r="E248" s="283">
        <f>BS!E33+BS!E43</f>
        <v>7.1280000000000001</v>
      </c>
      <c r="F248" s="260"/>
      <c r="G248" s="283">
        <f>BS!G33+BS!G43</f>
        <v>10.487</v>
      </c>
      <c r="H248" s="283">
        <f>BS!H33+BS!H43</f>
        <v>15.101000000000001</v>
      </c>
      <c r="I248" s="283">
        <f>BS!I33+BS!I43</f>
        <v>14.247</v>
      </c>
      <c r="J248" s="283">
        <f>BS!J33+BS!J43</f>
        <v>19.170999999999999</v>
      </c>
      <c r="K248" s="283">
        <f>BS!K33+BS!K43</f>
        <v>19.170999999999999</v>
      </c>
      <c r="L248" s="260"/>
      <c r="M248" s="283">
        <f>BS!M33+BS!M43</f>
        <v>24.31</v>
      </c>
      <c r="N248" s="283">
        <f>BS!N33+BS!N43</f>
        <v>29.449000000000002</v>
      </c>
      <c r="O248" s="283">
        <f>BS!O33+BS!O43</f>
        <v>34.408000000000001</v>
      </c>
      <c r="P248" s="283">
        <f>BS!P33+BS!P43</f>
        <v>49.677</v>
      </c>
      <c r="Q248" s="283">
        <f>BS!Q33+BS!Q43</f>
        <v>49.677</v>
      </c>
      <c r="R248" s="260"/>
      <c r="S248" s="283">
        <f>BS!S33+BS!S43</f>
        <v>52.34</v>
      </c>
      <c r="T248" s="283">
        <f>BS!T33+BS!T43</f>
        <v>61.557000000000002</v>
      </c>
      <c r="U248" s="283">
        <f>BS!U33+BS!U43</f>
        <v>74.239999999999995</v>
      </c>
      <c r="V248" s="283">
        <f>BS!V33+BS!V43</f>
        <v>95.9</v>
      </c>
      <c r="W248" s="283">
        <f>BS!W33+BS!W43</f>
        <v>95.9</v>
      </c>
      <c r="X248" s="260"/>
      <c r="Y248" s="283">
        <f>BS!Y33+BS!Y43</f>
        <v>104.645</v>
      </c>
      <c r="Z248" s="283">
        <f>BS!Z33+BS!Z43</f>
        <v>117.31100000000001</v>
      </c>
      <c r="AA248" s="283">
        <f>BS!AA33+BS!AA43</f>
        <v>127.11</v>
      </c>
      <c r="AB248" s="283">
        <f>BS!AB33+BS!AB43</f>
        <v>169.17500000000001</v>
      </c>
      <c r="AC248" s="283">
        <f>BS!AC33+BS!AC43</f>
        <v>169.17500000000001</v>
      </c>
      <c r="AD248" s="261"/>
      <c r="AE248" s="283">
        <f>BS!AE33+BS!AE43</f>
        <v>182.036</v>
      </c>
      <c r="AF248" s="283">
        <f>BS!AF33+BS!AF43</f>
        <v>202.83600000000001</v>
      </c>
      <c r="AG248" s="283">
        <f>BS!AG33+BS!AG43</f>
        <v>219.43100000000001</v>
      </c>
      <c r="AH248" s="283">
        <f>BS!AH33+BS!AH43</f>
        <v>284.06299999999999</v>
      </c>
      <c r="AI248" s="283">
        <f>BS!AI33+BS!AI43</f>
        <v>284.06299999999999</v>
      </c>
      <c r="AJ248" s="261"/>
      <c r="AK248" s="283">
        <f>BS!AK33+BS!AK43</f>
        <v>295.67200000000003</v>
      </c>
      <c r="AL248" s="283">
        <f>BS!AL33+BS!AL43</f>
        <v>321.85199999999998</v>
      </c>
      <c r="AM248" s="283">
        <f>BS!AM33+BS!AM43</f>
        <v>340.80799999999999</v>
      </c>
      <c r="AN248" s="283">
        <f>BS!AN33+BS!AN43</f>
        <v>480.89400000000001</v>
      </c>
      <c r="AO248" s="283">
        <f>BS!AO33+BS!AO43</f>
        <v>480.89400000000001</v>
      </c>
      <c r="AP248" s="261"/>
      <c r="AQ248" s="283">
        <f>BS!AQ33+BS!AQ43</f>
        <v>470.29700000000003</v>
      </c>
      <c r="AR248" s="283">
        <f>BS!AR33+BS!AR43</f>
        <v>479.54599999999999</v>
      </c>
      <c r="AS248" s="283">
        <f>BS!AS33+BS!AS43</f>
        <v>469.53399999999999</v>
      </c>
      <c r="AT248" s="283">
        <f>BS!AT33+BS!AT43</f>
        <v>594.02600000000007</v>
      </c>
      <c r="AU248" s="283">
        <f>BS!AU33+BS!AU43</f>
        <v>594.02600000000007</v>
      </c>
      <c r="AV248" s="261"/>
      <c r="AW248" s="283">
        <f>BS!AW33+BS!AW43</f>
        <v>549.37300000000005</v>
      </c>
      <c r="AX248" s="283">
        <f>BS!AX33+BS!AX43</f>
        <v>549.01</v>
      </c>
      <c r="AY248" s="283">
        <f>BS!AY33+BS!AY43</f>
        <v>545.43499999999995</v>
      </c>
      <c r="AZ248" s="283">
        <f>BS!AZ33+BS!AZ43</f>
        <v>704.34800000000007</v>
      </c>
      <c r="BA248" s="283">
        <f>BS!BA33+BS!BA43</f>
        <v>704.34800000000007</v>
      </c>
      <c r="BB248" s="261"/>
      <c r="BC248" s="283">
        <f>BS!BC33+BS!BC43</f>
        <v>664.529</v>
      </c>
      <c r="BD248" s="283">
        <f>BS!BD33+BS!BD43</f>
        <v>683.01900000000001</v>
      </c>
      <c r="BE248" s="283">
        <f>BS!BE33+BS!BE43</f>
        <v>694.5569999999999</v>
      </c>
      <c r="BF248" s="283">
        <f>BS!BF33+BS!BF43</f>
        <v>934.94100000000003</v>
      </c>
      <c r="BG248" s="283">
        <f>BS!BG33+BS!BG43</f>
        <v>934.94100000000003</v>
      </c>
      <c r="BH248" s="261"/>
      <c r="BI248" s="283">
        <f>BS!BI33+BS!BI43</f>
        <v>915.13300000000004</v>
      </c>
      <c r="BJ248" s="283">
        <f>BS!BJ33+BS!BJ43</f>
        <v>935.26599999999996</v>
      </c>
      <c r="BK248" s="283">
        <f>BS!BK33+BS!BK43</f>
        <v>917.82099999999991</v>
      </c>
      <c r="BL248" s="283">
        <f>BS!BL33+BS!BL43</f>
        <v>1380.2950000000001</v>
      </c>
      <c r="BM248" s="283">
        <f>BS!BM33+BS!BM43</f>
        <v>1380.2950000000001</v>
      </c>
      <c r="BN248" s="261"/>
      <c r="BO248" s="283">
        <f>BS!BO33+BS!BO43</f>
        <v>1334.7159999999999</v>
      </c>
      <c r="BP248" s="283">
        <f>BS!BP33+BS!BP43</f>
        <v>1337.184</v>
      </c>
      <c r="BQ248" s="283">
        <f>BS!BQ33+BS!BQ43</f>
        <v>1291.703</v>
      </c>
      <c r="BR248" s="283">
        <f>BS!BR33+BS!BR43</f>
        <v>1862.9950000000001</v>
      </c>
      <c r="BS248" s="283">
        <f>BS!BS33+BS!BS43</f>
        <v>1862.9950000000001</v>
      </c>
      <c r="BT248" s="261"/>
      <c r="BU248" s="283">
        <f>BS!BU33+BS!BU43</f>
        <v>1733.16</v>
      </c>
      <c r="BV248" s="283">
        <f>BS!BV33+BS!BV43</f>
        <v>1789.6479999999999</v>
      </c>
      <c r="BW248" s="283">
        <f>BS!BW33+BS!BW43</f>
        <v>1734.6189999999999</v>
      </c>
      <c r="BX248" s="283">
        <f>BS!BX33+BS!BX43</f>
        <v>2522.1149999999998</v>
      </c>
      <c r="BY248" s="283">
        <f>BS!BY33+BS!BY43</f>
        <v>2522.1149999999998</v>
      </c>
      <c r="BZ248" s="261"/>
      <c r="CA248" s="283">
        <f>BS!CA33+BS!CA43</f>
        <v>2324.6150000000002</v>
      </c>
      <c r="CB248" s="283">
        <f>BS!CB33+BS!CB43</f>
        <v>2352.904</v>
      </c>
      <c r="CC248" s="283">
        <f>BS!CC33+BS!CC43</f>
        <v>2223.9770000000003</v>
      </c>
      <c r="CD248" s="283">
        <f>BS!CD33+BS!CD43</f>
        <v>3321.4490000000001</v>
      </c>
      <c r="CE248" s="283">
        <f>BS!CE33+BS!CE43</f>
        <v>3321.4490000000001</v>
      </c>
      <c r="CF248" s="261"/>
      <c r="CG248" s="283">
        <f>BS!CG33+BS!CG43</f>
        <v>3056.82</v>
      </c>
      <c r="CH248" s="283">
        <f>BS!CH33+BS!CH43</f>
        <v>3034.991</v>
      </c>
      <c r="CI248" s="283">
        <f>BS!CI33+BS!CI43</f>
        <v>2846.5099999999998</v>
      </c>
      <c r="CJ248" s="283">
        <f>BS!CJ33+BS!CJ43</f>
        <v>4291.5530000000008</v>
      </c>
      <c r="CK248" s="283">
        <f>BS!CK33+BS!CK43</f>
        <v>4291.5530000000008</v>
      </c>
      <c r="CL248" s="261"/>
      <c r="CM248" s="283">
        <f>BS!CM33+BS!CM43</f>
        <v>4006.9139999999998</v>
      </c>
      <c r="CN248" s="283">
        <f>BS!CN33+BS!CN43</f>
        <v>3823.5609999999997</v>
      </c>
      <c r="CO248" s="283">
        <f>BS!CO33+BS!CO43</f>
        <v>3495.1330000000003</v>
      </c>
      <c r="CP248" s="283">
        <f>BS!CP33+BS!CP43</f>
        <v>5542.8020000000006</v>
      </c>
      <c r="CQ248" s="283">
        <f>BS!CQ33+BS!CQ43</f>
        <v>5542.8020000000006</v>
      </c>
      <c r="CR248" s="261"/>
      <c r="CS248" s="283">
        <f>BS!CS33+BS!CS43</f>
        <v>5042.652</v>
      </c>
      <c r="CT248" s="283">
        <f>BS!CT33+BS!CT43</f>
        <v>4818.634</v>
      </c>
      <c r="CU248" s="283">
        <f>BS!CU33+BS!CU43</f>
        <v>4392.0820000000003</v>
      </c>
      <c r="CV248" s="283">
        <f>BS!CV33+BS!CV43</f>
        <v>7094.7049999999999</v>
      </c>
      <c r="CW248" s="283">
        <f>BS!CW33+BS!CW43</f>
        <v>7094.7049999999999</v>
      </c>
      <c r="CX248" s="261"/>
      <c r="CY248" s="283">
        <f>BS!CY33+BS!CY43</f>
        <v>6236.8411734401525</v>
      </c>
      <c r="CZ248" s="283">
        <f>BS!CZ33+BS!CZ43</f>
        <v>5943.2151205906903</v>
      </c>
      <c r="DA248" s="283">
        <f>BS!DA33+BS!DA43</f>
        <v>5444.6095237232348</v>
      </c>
      <c r="DB248" s="283">
        <f>BS!DB33+BS!DB43</f>
        <v>8922.21128245215</v>
      </c>
      <c r="DC248" s="283">
        <f>BS!DC33+BS!DC43</f>
        <v>8922.21128245215</v>
      </c>
      <c r="DD248" s="261"/>
      <c r="DE248" s="283">
        <f>BS!DE33+BS!DE43</f>
        <v>7748.8065175613392</v>
      </c>
      <c r="DF248" s="283">
        <f>BS!DF33+BS!DF43</f>
        <v>7370.2144620320978</v>
      </c>
      <c r="DG248" s="283">
        <f>BS!DG33+BS!DG43</f>
        <v>6750.5336802127586</v>
      </c>
      <c r="DH248" s="283">
        <f>BS!DH33+BS!DH43</f>
        <v>11114.135527916565</v>
      </c>
      <c r="DI248" s="283">
        <f>BS!DI33+BS!DI43</f>
        <v>11114.135527916565</v>
      </c>
      <c r="DJ248" s="261"/>
      <c r="DK248" s="283">
        <f>BS!DW33+BS!DW43</f>
        <v>0</v>
      </c>
      <c r="DL248" s="283">
        <f>BS!DX33+BS!DX43</f>
        <v>0</v>
      </c>
      <c r="DM248" s="283">
        <f>BS!DY33+BS!DY43</f>
        <v>0</v>
      </c>
      <c r="DN248" s="283">
        <f>BS!DZ33+BS!DZ43</f>
        <v>0</v>
      </c>
      <c r="DO248" s="283">
        <f>BS!EA33+BS!EA43</f>
        <v>0</v>
      </c>
      <c r="DP248" s="260"/>
    </row>
    <row r="249" spans="1:120" ht="12.75" hidden="1" customHeight="1" outlineLevel="1">
      <c r="A249" s="260" t="s">
        <v>586</v>
      </c>
      <c r="B249" s="730" t="s">
        <v>462</v>
      </c>
      <c r="C249" s="268" t="s">
        <v>88</v>
      </c>
      <c r="D249" s="268" t="s">
        <v>88</v>
      </c>
      <c r="E249" s="268" t="s">
        <v>88</v>
      </c>
      <c r="F249" s="260"/>
      <c r="G249" s="283">
        <f>'MS Revenue Analysis'!O139</f>
        <v>12.838000000000001</v>
      </c>
      <c r="H249" s="283">
        <f>'MS Revenue Analysis'!P139</f>
        <v>16.497</v>
      </c>
      <c r="I249" s="283">
        <f>'MS Revenue Analysis'!Q139</f>
        <v>13.336999999999998</v>
      </c>
      <c r="J249" s="283">
        <f>'MS Revenue Analysis'!R139</f>
        <v>20.490000000000002</v>
      </c>
      <c r="K249" s="283">
        <f>SUM(G249:J249)</f>
        <v>63.161999999999999</v>
      </c>
      <c r="L249" s="260"/>
      <c r="M249" s="283">
        <f>'MS Revenue Analysis'!U139</f>
        <v>24.052</v>
      </c>
      <c r="N249" s="283">
        <f>'MS Revenue Analysis'!V139</f>
        <v>26.762</v>
      </c>
      <c r="O249" s="283">
        <f>'MS Revenue Analysis'!W139</f>
        <v>30.393000000000001</v>
      </c>
      <c r="P249" s="283">
        <f>'MS Revenue Analysis'!X139</f>
        <v>45.322000000000003</v>
      </c>
      <c r="Q249" s="283">
        <f>SUM(M249:P249)</f>
        <v>126.529</v>
      </c>
      <c r="R249" s="260"/>
      <c r="S249" s="283">
        <f>'MS Revenue Analysis'!AA139</f>
        <v>37.502000000000002</v>
      </c>
      <c r="T249" s="283">
        <f>'MS Revenue Analysis'!AB139</f>
        <v>49.798000000000002</v>
      </c>
      <c r="U249" s="283">
        <f>'MS Revenue Analysis'!AC139</f>
        <v>59.043999999999997</v>
      </c>
      <c r="V249" s="283">
        <f>'MS Revenue Analysis'!AD139</f>
        <v>76.254000000000005</v>
      </c>
      <c r="W249" s="283">
        <f>SUM(S249:V249)</f>
        <v>222.59800000000001</v>
      </c>
      <c r="X249" s="260"/>
      <c r="Y249" s="283">
        <f>'MS Revenue Analysis'!AG139</f>
        <v>72.921999999999983</v>
      </c>
      <c r="Z249" s="283">
        <f>'MS Revenue Analysis'!AH139</f>
        <v>84.609000000000023</v>
      </c>
      <c r="AA249" s="283">
        <f>'MS Revenue Analysis'!AI139</f>
        <v>92.471999999999994</v>
      </c>
      <c r="AB249" s="283">
        <f>'MS Revenue Analysis'!AJ139</f>
        <v>133.12900000000002</v>
      </c>
      <c r="AC249" s="283">
        <f>SUM(Y249:AB249)</f>
        <v>383.13200000000001</v>
      </c>
      <c r="AD249" s="261"/>
      <c r="AE249" s="283">
        <f>'MS Revenue Analysis'!AM139</f>
        <v>117.54699999999998</v>
      </c>
      <c r="AF249" s="283">
        <f>'MS Revenue Analysis'!AN139</f>
        <v>138.93700000000001</v>
      </c>
      <c r="AG249" s="283">
        <f>'MS Revenue Analysis'!AO139</f>
        <v>146.648</v>
      </c>
      <c r="AH249" s="283">
        <f>'MS Revenue Analysis'!AP139</f>
        <v>208.85399999999998</v>
      </c>
      <c r="AI249" s="283">
        <f>SUM(AE249:AH249)</f>
        <v>611.98599999999988</v>
      </c>
      <c r="AJ249" s="261"/>
      <c r="AK249" s="283">
        <f>'MS Revenue Analysis'!AS139</f>
        <v>174.02100000000004</v>
      </c>
      <c r="AL249" s="283">
        <f>'MS Revenue Analysis'!AT139</f>
        <v>202.75899999999993</v>
      </c>
      <c r="AM249" s="283">
        <f>'MS Revenue Analysis'!AU139</f>
        <v>211.75900000000001</v>
      </c>
      <c r="AN249" s="283">
        <f>'MS Revenue Analysis'!AV139</f>
        <v>356.99200000000002</v>
      </c>
      <c r="AO249" s="283">
        <f>SUM(AK249:AN249)</f>
        <v>945.53099999999995</v>
      </c>
      <c r="AP249" s="261"/>
      <c r="AQ249" s="283">
        <f>'MS Revenue Analysis'!AY139</f>
        <v>237.02500000000003</v>
      </c>
      <c r="AR249" s="283">
        <f>'MS Revenue Analysis'!AZ139</f>
        <v>272.32599999999996</v>
      </c>
      <c r="AS249" s="283">
        <f>'MS Revenue Analysis'!BA139</f>
        <v>266.47499999999997</v>
      </c>
      <c r="AT249" s="283">
        <f>'MS Revenue Analysis'!BB139</f>
        <v>414.0750000000001</v>
      </c>
      <c r="AU249" s="283">
        <f>SUM(AQ249:AT249)</f>
        <v>1189.9010000000001</v>
      </c>
      <c r="AV249" s="261"/>
      <c r="AW249" s="283">
        <f>'MS Revenue Analysis'!BE139</f>
        <v>260.27099999999996</v>
      </c>
      <c r="AX249" s="283">
        <f>'MS Revenue Analysis'!BF139</f>
        <v>315.69799999999992</v>
      </c>
      <c r="AY249" s="283">
        <f>'MS Revenue Analysis'!BG139</f>
        <v>326.97399999999993</v>
      </c>
      <c r="AZ249" s="283">
        <f>'MS Revenue Analysis'!BH139</f>
        <v>512.9620000000001</v>
      </c>
      <c r="BA249" s="283">
        <f>SUM(AW249:AZ249)</f>
        <v>1415.9049999999997</v>
      </c>
      <c r="BB249" s="261"/>
      <c r="BC249" s="283">
        <f>'MS Revenue Analysis'!BK139</f>
        <v>336.99399999999991</v>
      </c>
      <c r="BD249" s="283">
        <f>'MS Revenue Analysis'!BL139</f>
        <v>412.86200000000002</v>
      </c>
      <c r="BE249" s="283">
        <f>'MS Revenue Analysis'!BM139</f>
        <v>440.62499999999989</v>
      </c>
      <c r="BF249" s="283">
        <f>'MS Revenue Analysis'!BN139</f>
        <v>697.25100000000009</v>
      </c>
      <c r="BG249" s="283">
        <f>SUM(BC249:BF249)</f>
        <v>1887.732</v>
      </c>
      <c r="BH249" s="261"/>
      <c r="BI249" s="283">
        <f>'MS Revenue Analysis'!BQ139</f>
        <v>484.55600000000004</v>
      </c>
      <c r="BJ249" s="283">
        <f>'MS Revenue Analysis'!BR139</f>
        <v>566.13499999999988</v>
      </c>
      <c r="BK249" s="283">
        <f>'MS Revenue Analysis'!BS139</f>
        <v>566.81499999999994</v>
      </c>
      <c r="BL249" s="283">
        <f>'MS Revenue Analysis'!BT139</f>
        <v>1094.3870000000002</v>
      </c>
      <c r="BM249" s="283">
        <f>SUM(BI249:BL249)</f>
        <v>2711.893</v>
      </c>
      <c r="BN249" s="261"/>
      <c r="BO249" s="283">
        <f>'MS Revenue Analysis'!BW139</f>
        <v>649.88699999999994</v>
      </c>
      <c r="BP249" s="283">
        <f>'MS Revenue Analysis'!BX139</f>
        <v>734.11800000000005</v>
      </c>
      <c r="BQ249" s="283">
        <f>'MS Revenue Analysis'!BY139</f>
        <v>739.63599999999997</v>
      </c>
      <c r="BR249" s="283">
        <f>'MS Revenue Analysis'!BZ139</f>
        <v>1405.973</v>
      </c>
      <c r="BS249" s="283">
        <f>SUM(BO249:BR249)</f>
        <v>3529.614</v>
      </c>
      <c r="BT249" s="261"/>
      <c r="BU249" s="283">
        <f>'MS Revenue Analysis'!CC139</f>
        <v>762.798</v>
      </c>
      <c r="BV249" s="283">
        <f>'MS Revenue Analysis'!CD139</f>
        <v>966.8950000000001</v>
      </c>
      <c r="BW249" s="283">
        <f>'MS Revenue Analysis'!CE139</f>
        <v>1020.9150000000001</v>
      </c>
      <c r="BX249" s="283">
        <f>'MS Revenue Analysis'!CF139</f>
        <v>1932.7379999999998</v>
      </c>
      <c r="BY249" s="283">
        <f>SUM(BU249:BX249)</f>
        <v>4683.3459999999995</v>
      </c>
      <c r="BZ249" s="261"/>
      <c r="CA249" s="283">
        <f>'MS Revenue Analysis'!CI139</f>
        <v>1029.2719999999999</v>
      </c>
      <c r="CB249" s="283">
        <f>'MS Revenue Analysis'!CJ139</f>
        <v>1346.84</v>
      </c>
      <c r="CC249" s="283">
        <f>'MS Revenue Analysis'!CK139</f>
        <v>1254.2239999999999</v>
      </c>
      <c r="CD249" s="283">
        <f>'MS Revenue Analysis'!CL139</f>
        <v>2542.08</v>
      </c>
      <c r="CE249" s="283">
        <f>SUM(CA249:CD249)</f>
        <v>6172.4160000000002</v>
      </c>
      <c r="CF249" s="261"/>
      <c r="CG249" s="283">
        <f>'MS Revenue Analysis'!CO139</f>
        <v>1246.538</v>
      </c>
      <c r="CH249" s="283">
        <f>'MS Revenue Analysis'!CP139</f>
        <v>1612.854</v>
      </c>
      <c r="CI249" s="283">
        <f>'MS Revenue Analysis'!CQ139</f>
        <v>1523.069</v>
      </c>
      <c r="CJ249" s="283">
        <f>'MS Revenue Analysis'!CR139</f>
        <v>3254.4410000000003</v>
      </c>
      <c r="CK249" s="283">
        <f>SUM(CG249:CJ249)</f>
        <v>7636.902</v>
      </c>
      <c r="CL249" s="261"/>
      <c r="CM249" s="283">
        <f>'MS Revenue Analysis'!CU139</f>
        <v>1623.4860000000001</v>
      </c>
      <c r="CN249" s="283">
        <f>'MS Revenue Analysis'!CV139</f>
        <v>1853.2649999999999</v>
      </c>
      <c r="CO249" s="283">
        <f>'MS Revenue Analysis'!CW139</f>
        <v>1816.3470000000007</v>
      </c>
      <c r="CP249" s="283">
        <f>'MS Revenue Analysis'!CX139</f>
        <v>4334.6559999999999</v>
      </c>
      <c r="CQ249" s="283">
        <f>SUM(CM249:CP249)</f>
        <v>9627.7540000000008</v>
      </c>
      <c r="CR249" s="261"/>
      <c r="CS249" s="283">
        <f>'MS Revenue Analysis'!DA139</f>
        <v>1887.4289999999996</v>
      </c>
      <c r="CT249" s="283">
        <f>'MS Revenue Analysis'!DB139</f>
        <v>2337.5709999999999</v>
      </c>
      <c r="CU249" s="283">
        <f>'MS Revenue Analysis'!DC139</f>
        <v>2253.2890000000002</v>
      </c>
      <c r="CV249" s="283">
        <f>'MS Revenue Analysis'!DD139</f>
        <v>5553.6270000000004</v>
      </c>
      <c r="CW249" s="283">
        <f>SUM(CS249:CV249)</f>
        <v>12031.916000000001</v>
      </c>
      <c r="CX249" s="261"/>
      <c r="CY249" s="283">
        <f>'MS Revenue Analysis'!DG139</f>
        <v>2086.3577969999992</v>
      </c>
      <c r="CZ249" s="283">
        <f>'MS Revenue Analysis'!DH139</f>
        <v>2823.1401287999997</v>
      </c>
      <c r="DA249" s="283">
        <f>'MS Revenue Analysis'!DI139</f>
        <v>2736.8636969999998</v>
      </c>
      <c r="DB249" s="283">
        <f>'MS Revenue Analysis'!DJ139</f>
        <v>6890.7793990000009</v>
      </c>
      <c r="DC249" s="283">
        <f>SUM(CY249:DB249)</f>
        <v>14537.141021799998</v>
      </c>
      <c r="DD249" s="261"/>
      <c r="DE249" s="283">
        <f>'MS Revenue Analysis'!DM139</f>
        <v>2365.7716755128681</v>
      </c>
      <c r="DF249" s="283">
        <f>'MS Revenue Analysis'!DN139</f>
        <v>3370.8652585776445</v>
      </c>
      <c r="DG249" s="283">
        <f>'MS Revenue Analysis'!DO139</f>
        <v>3272.7754113484343</v>
      </c>
      <c r="DH249" s="283">
        <f>'MS Revenue Analysis'!DP139</f>
        <v>8445.3658499462581</v>
      </c>
      <c r="DI249" s="283">
        <f>SUM(DE249:DH249)</f>
        <v>17454.778195385206</v>
      </c>
      <c r="DJ249" s="261"/>
      <c r="DK249" s="283">
        <f>'MS Revenue Analysis'!DS139</f>
        <v>2678.5402229848073</v>
      </c>
      <c r="DL249" s="283">
        <f>'MS Revenue Analysis'!DT139</f>
        <v>4028.8235448038135</v>
      </c>
      <c r="DM249" s="283">
        <f>'MS Revenue Analysis'!DU139</f>
        <v>3918.8783498198177</v>
      </c>
      <c r="DN249" s="283">
        <f>'MS Revenue Analysis'!DV139</f>
        <v>10226.521406584799</v>
      </c>
      <c r="DO249" s="283">
        <f>SUM(DK249:DN249)</f>
        <v>20852.763524193237</v>
      </c>
      <c r="DP249" s="260"/>
    </row>
    <row r="250" spans="1:120" ht="12.75" hidden="1" customHeight="1" outlineLevel="1">
      <c r="A250" s="260" t="s">
        <v>245</v>
      </c>
      <c r="B250" s="730" t="s">
        <v>606</v>
      </c>
      <c r="C250" s="268" t="s">
        <v>88</v>
      </c>
      <c r="D250" s="283">
        <f>BS!D12</f>
        <v>1.718</v>
      </c>
      <c r="E250" s="283">
        <f>BS!E12</f>
        <v>5.7089999999999996</v>
      </c>
      <c r="F250" s="260"/>
      <c r="G250" s="283">
        <f>BS!G12</f>
        <v>5.6449999999999996</v>
      </c>
      <c r="H250" s="283">
        <f>BS!H12</f>
        <v>7.1609999999999996</v>
      </c>
      <c r="I250" s="283">
        <f>BS!I12</f>
        <v>6.5679999999999996</v>
      </c>
      <c r="J250" s="283">
        <f>BS!J12</f>
        <v>9.5809999999999995</v>
      </c>
      <c r="K250" s="283">
        <f>BS!K12</f>
        <v>9.5809999999999995</v>
      </c>
      <c r="L250" s="260"/>
      <c r="M250" s="283">
        <f>BS!M12</f>
        <v>12.124000000000001</v>
      </c>
      <c r="N250" s="283">
        <f>BS!N12</f>
        <v>15.327999999999999</v>
      </c>
      <c r="O250" s="283">
        <f>BS!O12</f>
        <v>16.606999999999999</v>
      </c>
      <c r="P250" s="283">
        <f>BS!P12</f>
        <v>26.536000000000001</v>
      </c>
      <c r="Q250" s="283">
        <f>BS!Q12</f>
        <v>26.536000000000001</v>
      </c>
      <c r="R250" s="260"/>
      <c r="S250" s="283">
        <f>BS!S12</f>
        <v>24.49</v>
      </c>
      <c r="T250" s="283">
        <f>BS!T12</f>
        <v>29.943999999999999</v>
      </c>
      <c r="U250" s="283">
        <f>BS!U12</f>
        <v>37.534999999999997</v>
      </c>
      <c r="V250" s="283">
        <f>BS!V12</f>
        <v>48.874000000000002</v>
      </c>
      <c r="W250" s="283">
        <f>BS!W12</f>
        <v>48.874000000000002</v>
      </c>
      <c r="X250" s="260"/>
      <c r="Y250" s="283">
        <f>BS!Y12</f>
        <v>42.383000000000003</v>
      </c>
      <c r="Z250" s="283">
        <f>BS!Z12</f>
        <v>50.183999999999997</v>
      </c>
      <c r="AA250" s="283">
        <f>BS!AA12</f>
        <v>53.406999999999996</v>
      </c>
      <c r="AB250" s="283">
        <f>BS!AB12</f>
        <v>76.128</v>
      </c>
      <c r="AC250" s="283">
        <f>BS!AC12</f>
        <v>76.128</v>
      </c>
      <c r="AD250" s="261"/>
      <c r="AE250" s="283">
        <f>BS!AE12</f>
        <v>72.337000000000003</v>
      </c>
      <c r="AF250" s="283">
        <f>BS!AF12</f>
        <v>75.703999999999994</v>
      </c>
      <c r="AG250" s="283">
        <f>BS!AG12</f>
        <v>82.808000000000007</v>
      </c>
      <c r="AH250" s="283">
        <f>BS!AH12</f>
        <v>128.69300000000001</v>
      </c>
      <c r="AI250" s="283">
        <f>BS!AI12</f>
        <v>128.69300000000001</v>
      </c>
      <c r="AJ250" s="261"/>
      <c r="AK250" s="283">
        <f>BS!AK12</f>
        <v>105.01300000000001</v>
      </c>
      <c r="AL250" s="283">
        <f>BS!AL12</f>
        <v>114.04600000000001</v>
      </c>
      <c r="AM250" s="283">
        <f>BS!AM12</f>
        <v>121.961</v>
      </c>
      <c r="AN250" s="283">
        <f>BS!AN12</f>
        <v>220.06100000000001</v>
      </c>
      <c r="AO250" s="283">
        <f>BS!AO12</f>
        <v>220.06100000000001</v>
      </c>
      <c r="AP250" s="261"/>
      <c r="AQ250" s="283">
        <f>BS!AQ12</f>
        <v>143.90899999999999</v>
      </c>
      <c r="AR250" s="283">
        <f>BS!AR12</f>
        <v>146.982</v>
      </c>
      <c r="AS250" s="283">
        <f>BS!AS12</f>
        <v>157.68</v>
      </c>
      <c r="AT250" s="283">
        <f>BS!AT12</f>
        <v>266.55500000000001</v>
      </c>
      <c r="AU250" s="283">
        <f>BS!AU12</f>
        <v>266.55500000000001</v>
      </c>
      <c r="AV250" s="261"/>
      <c r="AW250" s="283">
        <f>BS!AW12</f>
        <v>145.869</v>
      </c>
      <c r="AX250" s="283">
        <f>BS!AX12</f>
        <v>168.84200000000001</v>
      </c>
      <c r="AY250" s="283">
        <f>BS!AY12</f>
        <v>191.297</v>
      </c>
      <c r="AZ250" s="283">
        <f>BS!AZ12</f>
        <v>320.95600000000002</v>
      </c>
      <c r="BA250" s="283">
        <f>BS!BA12</f>
        <v>320.95600000000002</v>
      </c>
      <c r="BB250" s="261"/>
      <c r="BC250" s="283">
        <f>BS!BC12</f>
        <v>183.61199999999999</v>
      </c>
      <c r="BD250" s="283">
        <f>BS!BD12</f>
        <v>228.55</v>
      </c>
      <c r="BE250" s="283">
        <f>BS!BE12</f>
        <v>258.76400000000001</v>
      </c>
      <c r="BF250" s="283">
        <f>BS!BF12</f>
        <v>426.94299999999998</v>
      </c>
      <c r="BG250" s="283">
        <f>BS!BG12</f>
        <v>426.94299999999998</v>
      </c>
      <c r="BH250" s="261"/>
      <c r="BI250" s="283">
        <f>BS!BI12</f>
        <v>270.81599999999997</v>
      </c>
      <c r="BJ250" s="283">
        <f>BS!BJ12</f>
        <v>342.39699999999999</v>
      </c>
      <c r="BK250" s="283">
        <f>BS!BK12</f>
        <v>312.33100000000002</v>
      </c>
      <c r="BL250" s="283">
        <f>BS!BL12</f>
        <v>683.745</v>
      </c>
      <c r="BM250" s="283">
        <f>BS!BM12</f>
        <v>683.745</v>
      </c>
      <c r="BN250" s="261"/>
      <c r="BO250" s="283">
        <f>BS!BO12</f>
        <v>371.39499999999998</v>
      </c>
      <c r="BP250" s="283">
        <f>BS!BP12</f>
        <v>446.91699999999997</v>
      </c>
      <c r="BQ250" s="283">
        <f>BS!BQ12</f>
        <v>418.59</v>
      </c>
      <c r="BR250" s="283">
        <f>BS!BR12</f>
        <v>872.63400000000001</v>
      </c>
      <c r="BS250" s="283">
        <f>BS!BS12</f>
        <v>872.63400000000001</v>
      </c>
      <c r="BT250" s="261"/>
      <c r="BU250" s="283">
        <f>BS!BU12</f>
        <v>502.60899999999998</v>
      </c>
      <c r="BV250" s="283">
        <f>BS!BV12</f>
        <v>599.54300000000001</v>
      </c>
      <c r="BW250" s="283">
        <f>BS!BW12</f>
        <v>604.04499999999996</v>
      </c>
      <c r="BX250" s="283">
        <f>BS!BX12</f>
        <v>1360.837</v>
      </c>
      <c r="BY250" s="283">
        <f>BS!BY12</f>
        <v>1360.837</v>
      </c>
      <c r="BZ250" s="261"/>
      <c r="CA250" s="283">
        <f>BS!CA12</f>
        <v>684.15499999999997</v>
      </c>
      <c r="CB250" s="283">
        <f>BS!CB12</f>
        <v>834.32299999999998</v>
      </c>
      <c r="CC250" s="283">
        <f>BS!CC12</f>
        <v>794.59</v>
      </c>
      <c r="CD250" s="283">
        <f>BS!CD12</f>
        <v>1905.5060000000001</v>
      </c>
      <c r="CE250" s="283">
        <f>BS!CE12</f>
        <v>1905.5060000000001</v>
      </c>
      <c r="CF250" s="261"/>
      <c r="CG250" s="283">
        <f>BS!CG12</f>
        <v>926.38099999999997</v>
      </c>
      <c r="CH250" s="283">
        <f>BS!CH12</f>
        <v>1067.799</v>
      </c>
      <c r="CI250" s="283">
        <f>BS!CI12</f>
        <v>1060.7260000000001</v>
      </c>
      <c r="CJ250" s="283">
        <f>BS!CJ12</f>
        <v>2496.165</v>
      </c>
      <c r="CK250" s="283">
        <f>BS!CK12</f>
        <v>2496.165</v>
      </c>
      <c r="CL250" s="261"/>
      <c r="CM250" s="283">
        <f>BS!CM12</f>
        <v>1192.9649999999999</v>
      </c>
      <c r="CN250" s="283">
        <f>BS!CN12</f>
        <v>1323.114</v>
      </c>
      <c r="CO250" s="283">
        <f>BS!CO12</f>
        <v>1281.425</v>
      </c>
      <c r="CP250" s="283">
        <f>BS!CP12</f>
        <v>3196.643</v>
      </c>
      <c r="CQ250" s="283">
        <f>BS!CQ12</f>
        <v>3196.643</v>
      </c>
      <c r="CR250" s="261"/>
      <c r="CS250" s="283">
        <f>BS!CS12</f>
        <v>1439.875</v>
      </c>
      <c r="CT250" s="283">
        <f>BS!CT12</f>
        <v>1569.3219999999999</v>
      </c>
      <c r="CU250" s="283">
        <f>BS!CU12</f>
        <v>1519.9159999999999</v>
      </c>
      <c r="CV250" s="283">
        <f>BS!CV12</f>
        <v>3917.4009999999998</v>
      </c>
      <c r="CW250" s="283">
        <f>BS!CW12</f>
        <v>3917.4009999999998</v>
      </c>
      <c r="CX250" s="261"/>
      <c r="CY250" s="283">
        <f>BS!CY12</f>
        <v>1838.5187528590773</v>
      </c>
      <c r="CZ250" s="283">
        <f>BS!CZ12</f>
        <v>1965.8860310806181</v>
      </c>
      <c r="DA250" s="283">
        <f>BS!DA12</f>
        <v>1954.6649671301718</v>
      </c>
      <c r="DB250" s="283">
        <f>BS!DB12</f>
        <v>5021.0005141465417</v>
      </c>
      <c r="DC250" s="283">
        <f>BS!DC12</f>
        <v>5021.0005141465417</v>
      </c>
      <c r="DD250" s="261"/>
      <c r="DE250" s="283">
        <f>BS!DE12</f>
        <v>2368.6335772581833</v>
      </c>
      <c r="DF250" s="283">
        <f>BS!DF12</f>
        <v>2614.7149283488429</v>
      </c>
      <c r="DG250" s="283">
        <f>BS!DG12</f>
        <v>2634.8714301047307</v>
      </c>
      <c r="DH250" s="283">
        <f>BS!DH12</f>
        <v>6238.2112843624473</v>
      </c>
      <c r="DI250" s="283">
        <f>BS!DI12</f>
        <v>6238.2112843624473</v>
      </c>
      <c r="DJ250" s="261"/>
      <c r="DK250" s="283">
        <f>BS!DW12</f>
        <v>0</v>
      </c>
      <c r="DL250" s="283">
        <f>BS!DX12</f>
        <v>0</v>
      </c>
      <c r="DM250" s="283">
        <f>BS!DY12</f>
        <v>0</v>
      </c>
      <c r="DN250" s="283">
        <f>BS!DZ12</f>
        <v>0</v>
      </c>
      <c r="DO250" s="283">
        <f>BS!EA12</f>
        <v>0</v>
      </c>
      <c r="DP250" s="260"/>
    </row>
    <row r="251" spans="1:120" ht="12.75" hidden="1" customHeight="1" outlineLevel="1">
      <c r="A251" s="266" t="s">
        <v>246</v>
      </c>
      <c r="B251" s="660" t="s">
        <v>546</v>
      </c>
      <c r="C251" s="268" t="s">
        <v>88</v>
      </c>
      <c r="D251" s="267">
        <f>BS!D10+BS!D11+BS!D22</f>
        <v>25.7</v>
      </c>
      <c r="E251" s="267">
        <f>BS!E10+BS!E11+BS!E22</f>
        <v>15.209</v>
      </c>
      <c r="F251" s="261"/>
      <c r="G251" s="267">
        <f>BS!G10+BS!G11+BS!G22</f>
        <v>17.366</v>
      </c>
      <c r="H251" s="267">
        <f>BS!H10+BS!H11+BS!H22</f>
        <v>18.712</v>
      </c>
      <c r="I251" s="267">
        <f>BS!I10+BS!I11+BS!I22</f>
        <v>18.672000000000001</v>
      </c>
      <c r="J251" s="267">
        <f>BS!J10+BS!J11+BS!J22</f>
        <v>19.742000000000001</v>
      </c>
      <c r="K251" s="267">
        <f>BS!K10+BS!K11+BS!K22</f>
        <v>19.742000000000001</v>
      </c>
      <c r="L251" s="261"/>
      <c r="M251" s="267">
        <f>BS!M10+BS!M11+BS!M22</f>
        <v>24.087</v>
      </c>
      <c r="N251" s="267">
        <f>BS!N10+BS!N11+BS!N22</f>
        <v>27.54</v>
      </c>
      <c r="O251" s="267">
        <f>BS!O10+BS!O11+BS!O22</f>
        <v>34.397999999999996</v>
      </c>
      <c r="P251" s="267">
        <f>BS!P10+BS!P11+BS!P22</f>
        <v>39.723999999999997</v>
      </c>
      <c r="Q251" s="267">
        <f>BS!Q10+BS!Q11+BS!Q22</f>
        <v>39.723999999999997</v>
      </c>
      <c r="R251" s="261"/>
      <c r="S251" s="267">
        <f>BS!S10+BS!S11+BS!S22</f>
        <v>47.651000000000003</v>
      </c>
      <c r="T251" s="267">
        <f>BS!T10+BS!T11+BS!T22</f>
        <v>175.785</v>
      </c>
      <c r="U251" s="267">
        <f>BS!U10+BS!U11+BS!U22</f>
        <v>187.94100000000003</v>
      </c>
      <c r="V251" s="267">
        <f>BS!V10+BS!V11+BS!V22</f>
        <v>209.12900000000002</v>
      </c>
      <c r="W251" s="267">
        <f>BS!W10+BS!W11+BS!W22</f>
        <v>209.12900000000002</v>
      </c>
      <c r="X251" s="261"/>
      <c r="Y251" s="267">
        <f>BS!Y10+BS!Y11+BS!Y22</f>
        <v>220.28899999999999</v>
      </c>
      <c r="Z251" s="267">
        <f>BS!Z10+BS!Z11+BS!Z22</f>
        <v>236.017</v>
      </c>
      <c r="AA251" s="267">
        <f>BS!AA10+BS!AA11+BS!AA22</f>
        <v>256.85300000000001</v>
      </c>
      <c r="AB251" s="267">
        <f>BS!AB10+BS!AB11+BS!AB22</f>
        <v>296.79200000000003</v>
      </c>
      <c r="AC251" s="267">
        <f>BS!AC10+BS!AC11+BS!AC22</f>
        <v>296.79200000000003</v>
      </c>
      <c r="AD251" s="261"/>
      <c r="AE251" s="267">
        <f>BS!AE10+BS!AE11+BS!AE22</f>
        <v>298.31299999999999</v>
      </c>
      <c r="AF251" s="267">
        <f>BS!AF10+BS!AF11+BS!AF22</f>
        <v>334.10699999999997</v>
      </c>
      <c r="AG251" s="267">
        <f>BS!AG10+BS!AG11+BS!AG22</f>
        <v>371.27800000000002</v>
      </c>
      <c r="AH251" s="267">
        <f>BS!AH10+BS!AH11+BS!AH22</f>
        <v>412.512</v>
      </c>
      <c r="AI251" s="267">
        <f>BS!AI10+BS!AI11+BS!AI22</f>
        <v>412.512</v>
      </c>
      <c r="AJ251" s="261"/>
      <c r="AK251" s="267">
        <f>BS!AK10+BS!AK11+BS!AK22</f>
        <v>448.07100000000003</v>
      </c>
      <c r="AL251" s="267">
        <f>BS!AL10+BS!AL11+BS!AL22</f>
        <v>497.19099999999997</v>
      </c>
      <c r="AM251" s="267">
        <f>BS!AM10+BS!AM11+BS!AM22</f>
        <v>571.00299999999993</v>
      </c>
      <c r="AN251" s="267">
        <f>BS!AN10+BS!AN11+BS!AN22</f>
        <v>669.8</v>
      </c>
      <c r="AO251" s="267">
        <f>BS!AO10+BS!AO11+BS!AO22</f>
        <v>669.8</v>
      </c>
      <c r="AP251" s="261"/>
      <c r="AQ251" s="267">
        <f>BS!AQ10+BS!AQ11+BS!AQ22</f>
        <v>750.63300000000004</v>
      </c>
      <c r="AR251" s="267">
        <f>BS!AR10+BS!AR11+BS!AR22</f>
        <v>823.41700000000003</v>
      </c>
      <c r="AS251" s="267">
        <f>BS!AS10+BS!AS11+BS!AS22</f>
        <v>804.60600000000011</v>
      </c>
      <c r="AT251" s="267">
        <f>BS!AT10+BS!AT11+BS!AT22</f>
        <v>882.56500000000005</v>
      </c>
      <c r="AU251" s="267">
        <f>BS!AU10+BS!AU11+BS!AU22</f>
        <v>882.56500000000005</v>
      </c>
      <c r="AV251" s="261"/>
      <c r="AW251" s="267">
        <f>BS!AW10+BS!AW11+BS!AW22</f>
        <v>983.82400000000007</v>
      </c>
      <c r="AX251" s="267">
        <f>BS!AX10+BS!AX11+BS!AX22</f>
        <v>1030.4059999999999</v>
      </c>
      <c r="AY251" s="267">
        <f>BS!AY10+BS!AY11+BS!AY22</f>
        <v>1070.0920000000001</v>
      </c>
      <c r="AZ251" s="267">
        <f>BS!AZ10+BS!AZ11+BS!AZ22</f>
        <v>1727.0480000000002</v>
      </c>
      <c r="BA251" s="267">
        <f>BS!BA10+BS!BA11+BS!BA22</f>
        <v>1727.0480000000002</v>
      </c>
      <c r="BB251" s="261"/>
      <c r="BC251" s="267">
        <f>BS!BC10+BS!BC11+BS!BC22</f>
        <v>1901.548</v>
      </c>
      <c r="BD251" s="267">
        <f>BS!BD10+BS!BD11+BS!BD22</f>
        <v>1858.9280000000001</v>
      </c>
      <c r="BE251" s="267">
        <f>BS!BE10+BS!BE11+BS!BE22</f>
        <v>1802.44</v>
      </c>
      <c r="BF251" s="267">
        <f>BS!BF10+BS!BF11+BS!BF22</f>
        <v>1407.557</v>
      </c>
      <c r="BG251" s="267">
        <f>BS!BG10+BS!BG11+BS!BG22</f>
        <v>1407.557</v>
      </c>
      <c r="BH251" s="261"/>
      <c r="BI251" s="267">
        <f>BS!BI10+BS!BI11+BS!BI22</f>
        <v>1522.2849999999999</v>
      </c>
      <c r="BJ251" s="267">
        <f>BS!BJ10+BS!BJ11+BS!BJ22</f>
        <v>1286.6579999999999</v>
      </c>
      <c r="BK251" s="267">
        <f>BS!BK10+BS!BK11+BS!BK22</f>
        <v>1296.693</v>
      </c>
      <c r="BL251" s="267">
        <f>BS!BL10+BS!BL11+BS!BL22</f>
        <v>1447.174</v>
      </c>
      <c r="BM251" s="267">
        <f>BS!BM10+BS!BM11+BS!BM22</f>
        <v>1447.174</v>
      </c>
      <c r="BN251" s="261"/>
      <c r="BO251" s="267">
        <f>BS!BO10+BS!BO11+BS!BO22</f>
        <v>1657.0889999999999</v>
      </c>
      <c r="BP251" s="267">
        <f>BS!BP10+BS!BP11+BS!BP22</f>
        <v>1804.2649999999999</v>
      </c>
      <c r="BQ251" s="267">
        <f>BS!BQ10+BS!BQ11+BS!BQ22</f>
        <v>1416.0500000000002</v>
      </c>
      <c r="BR251" s="267">
        <f>BS!BR10+BS!BR11+BS!BR22</f>
        <v>1758.2849999999999</v>
      </c>
      <c r="BS251" s="267">
        <f>BS!BS10+BS!BS11+BS!BS22</f>
        <v>1758.2849999999999</v>
      </c>
      <c r="BT251" s="261"/>
      <c r="BU251" s="267">
        <f>BS!BU10+BS!BU11+BS!BU22</f>
        <v>3079.4569999999999</v>
      </c>
      <c r="BV251" s="267">
        <f>BS!BV10+BS!BV11+BS!BV22</f>
        <v>930.00800000000004</v>
      </c>
      <c r="BW251" s="267">
        <f>BS!BW10+BS!BW11+BS!BW22</f>
        <v>1085.307</v>
      </c>
      <c r="BX251" s="267">
        <f>BS!BX10+BS!BX11+BS!BX22</f>
        <v>1321.0170000000001</v>
      </c>
      <c r="BY251" s="267">
        <f>BS!BY10+BS!BY11+BS!BY22</f>
        <v>1321.0170000000001</v>
      </c>
      <c r="BZ251" s="261"/>
      <c r="CA251" s="267">
        <f>BS!CA10+BS!CA11+BS!CA22</f>
        <v>1529.8879999999999</v>
      </c>
      <c r="CB251" s="267">
        <f>BS!CB10+BS!CB11+BS!CB22</f>
        <v>1671.758</v>
      </c>
      <c r="CC251" s="267">
        <f>BS!CC10+BS!CC11+BS!CC22</f>
        <v>1942.212</v>
      </c>
      <c r="CD251" s="267">
        <f>BS!CD10+BS!CD11+BS!CD22</f>
        <v>1890.2840000000001</v>
      </c>
      <c r="CE251" s="267">
        <f>BS!CE10+BS!CE11+BS!CE22</f>
        <v>1890.2840000000001</v>
      </c>
      <c r="CF251" s="261"/>
      <c r="CG251" s="267">
        <f>BS!CG10+BS!CG11+BS!CG22</f>
        <v>1922.4760000000001</v>
      </c>
      <c r="CH251" s="267">
        <f>BS!CH10+BS!CH11+BS!CH22</f>
        <v>2066.9630000000002</v>
      </c>
      <c r="CI251" s="267">
        <f>BS!CI10+BS!CI11+BS!CI22</f>
        <v>2301.306</v>
      </c>
      <c r="CJ251" s="267">
        <f>BS!CJ10+BS!CJ11+BS!CJ22</f>
        <v>2725.3770000000004</v>
      </c>
      <c r="CK251" s="267">
        <f>BS!CK10+BS!CK11+BS!CK22</f>
        <v>2725.3770000000004</v>
      </c>
      <c r="CL251" s="261"/>
      <c r="CM251" s="267">
        <f>BS!CM10+BS!CM11+BS!CM22</f>
        <v>3715.4520000000002</v>
      </c>
      <c r="CN251" s="267">
        <f>BS!CN10+BS!CN11+BS!CN22</f>
        <v>1719.9460000000001</v>
      </c>
      <c r="CO251" s="267">
        <f>BS!CO10+BS!CO11+BS!CO22</f>
        <v>1751.13</v>
      </c>
      <c r="CP251" s="267">
        <f>BS!CP10+BS!CP11+BS!CP22</f>
        <v>2775.8399999999997</v>
      </c>
      <c r="CQ251" s="267">
        <f>BS!CQ10+BS!CQ11+BS!CQ22</f>
        <v>2775.8399999999997</v>
      </c>
      <c r="CR251" s="261"/>
      <c r="CS251" s="267">
        <f>BS!CS10+BS!CS11+BS!CS22</f>
        <v>3858.741</v>
      </c>
      <c r="CT251" s="267">
        <f>BS!CT10+BS!CT11+BS!CT22</f>
        <v>4158.9319999999998</v>
      </c>
      <c r="CU251" s="267">
        <f>BS!CU10+BS!CU11+BS!CU22</f>
        <v>4299.0709999999999</v>
      </c>
      <c r="CV251" s="267">
        <f>BS!CV10+BS!CV11+BS!CV22</f>
        <v>5198.9880000000003</v>
      </c>
      <c r="CW251" s="267">
        <f>BS!CW10+BS!CW11+BS!CW22</f>
        <v>5198.9880000000003</v>
      </c>
      <c r="CX251" s="261"/>
      <c r="CY251" s="267">
        <f>BS!CY10+BS!CY11+BS!CY22</f>
        <v>6072.9287525970185</v>
      </c>
      <c r="CZ251" s="267">
        <f>BS!CZ10+BS!CZ11+BS!CZ22</f>
        <v>6523.2733163540825</v>
      </c>
      <c r="DA251" s="267">
        <f>BS!DA10+BS!DA11+BS!DA22</f>
        <v>6845.8403881989552</v>
      </c>
      <c r="DB251" s="267">
        <f>BS!DB10+BS!DB11+BS!DB22</f>
        <v>8098.0246583660419</v>
      </c>
      <c r="DC251" s="267">
        <f>BS!DC10+BS!DC11+BS!DC22</f>
        <v>8098.0246583660419</v>
      </c>
      <c r="DD251" s="261"/>
      <c r="DE251" s="267">
        <f>BS!DE10+BS!DE11+BS!DE22</f>
        <v>9331.6753482996919</v>
      </c>
      <c r="DF251" s="267">
        <f>BS!DF10+BS!DF11+BS!DF22</f>
        <v>9876.2463891522057</v>
      </c>
      <c r="DG251" s="267">
        <f>BS!DG10+BS!DG11+BS!DG22</f>
        <v>10311.540711515016</v>
      </c>
      <c r="DH251" s="267">
        <f>BS!DH10+BS!DH11+BS!DH22</f>
        <v>12211.372603019428</v>
      </c>
      <c r="DI251" s="267">
        <f>BS!DI10+BS!DI11+BS!DI22</f>
        <v>12211.372603019428</v>
      </c>
      <c r="DJ251" s="261"/>
      <c r="DK251" s="267">
        <f>BS!DW10+BS!DW11+BS!DW22</f>
        <v>0</v>
      </c>
      <c r="DL251" s="267">
        <f>BS!DX10+BS!DX11+BS!DX22</f>
        <v>0</v>
      </c>
      <c r="DM251" s="267">
        <f>BS!DY10+BS!DY11+BS!DY22</f>
        <v>0</v>
      </c>
      <c r="DN251" s="267">
        <f>BS!DZ10+BS!DZ11+BS!DZ22</f>
        <v>0</v>
      </c>
      <c r="DO251" s="267">
        <f>BS!EA10+BS!EA11+BS!EA22</f>
        <v>0</v>
      </c>
      <c r="DP251" s="261"/>
    </row>
    <row r="252" spans="1:120" ht="12.75" hidden="1" customHeight="1" outlineLevel="1">
      <c r="A252" s="261" t="s">
        <v>247</v>
      </c>
      <c r="B252" s="660" t="s">
        <v>547</v>
      </c>
      <c r="C252" s="268" t="s">
        <v>88</v>
      </c>
      <c r="D252" s="267">
        <f>BS!D34+BS!D39+BS!D40</f>
        <v>2.081</v>
      </c>
      <c r="E252" s="267">
        <f>BS!E34+BS!E39+BS!E40</f>
        <v>1.911</v>
      </c>
      <c r="F252" s="261"/>
      <c r="G252" s="267">
        <f>BS!G34+BS!G39+BS!G40</f>
        <v>1.5924999999999998</v>
      </c>
      <c r="H252" s="267">
        <f>BS!H34+BS!H39+BS!H40</f>
        <v>1.157</v>
      </c>
      <c r="I252" s="267">
        <f>BS!I34+BS!I39+BS!I40</f>
        <v>0.93149999999999988</v>
      </c>
      <c r="J252" s="267">
        <f>BS!J34+BS!J39+BS!J40</f>
        <v>0.60899999999999999</v>
      </c>
      <c r="K252" s="267">
        <f>BS!K34+BS!K39+BS!K40</f>
        <v>0.60899999999999999</v>
      </c>
      <c r="L252" s="261"/>
      <c r="M252" s="267">
        <f>BS!M34+BS!M39+BS!M40</f>
        <v>0.4</v>
      </c>
      <c r="N252" s="267">
        <f>BS!N34+BS!N39+BS!N40</f>
        <v>0.26</v>
      </c>
      <c r="O252" s="267">
        <f>BS!O34+BS!O39+BS!O40</f>
        <v>0.16300000000000001</v>
      </c>
      <c r="P252" s="267">
        <f>BS!P34+BS!P39+BS!P40</f>
        <v>7.8E-2</v>
      </c>
      <c r="Q252" s="267">
        <f>BS!Q34+BS!Q39+BS!Q40</f>
        <v>7.8E-2</v>
      </c>
      <c r="R252" s="261"/>
      <c r="S252" s="267">
        <f>BS!S34+BS!S39+BS!S40</f>
        <v>0.02</v>
      </c>
      <c r="T252" s="267">
        <f>BS!T34+BS!T39+BS!T40</f>
        <v>1.5620000000000001</v>
      </c>
      <c r="U252" s="267">
        <f>BS!U34+BS!U39+BS!U40</f>
        <v>1.423</v>
      </c>
      <c r="V252" s="267">
        <f>BS!V34+BS!V39+BS!V40</f>
        <v>1.2839999999999998</v>
      </c>
      <c r="W252" s="267">
        <f>BS!W34+BS!W39+BS!W40</f>
        <v>1.2839999999999998</v>
      </c>
      <c r="X252" s="261"/>
      <c r="Y252" s="267">
        <f>BS!Y34+BS!Y39+BS!Y40</f>
        <v>1.1439999999999999</v>
      </c>
      <c r="Z252" s="267">
        <f>BS!Z34+BS!Z39+BS!Z40</f>
        <v>1.095</v>
      </c>
      <c r="AA252" s="267">
        <f>BS!AA34+BS!AA39+BS!AA40</f>
        <v>0.95</v>
      </c>
      <c r="AB252" s="267">
        <f>BS!AB34+BS!AB39+BS!AB40</f>
        <v>0.79899999999999993</v>
      </c>
      <c r="AC252" s="267">
        <f>BS!AC34+BS!AC39+BS!AC40</f>
        <v>0.79899999999999993</v>
      </c>
      <c r="AD252" s="261"/>
      <c r="AE252" s="267">
        <f>BS!AE34+BS!AE39+BS!AE40</f>
        <v>0.64800000000000002</v>
      </c>
      <c r="AF252" s="267">
        <f>BS!AF34+BS!AF39+BS!AF40</f>
        <v>0.495</v>
      </c>
      <c r="AG252" s="267">
        <f>BS!AG34+BS!AG39+BS!AG40</f>
        <v>0.34</v>
      </c>
      <c r="AH252" s="267">
        <f>BS!AH34+BS!AH39+BS!AH40</f>
        <v>0.182</v>
      </c>
      <c r="AI252" s="267">
        <f>BS!AI34+BS!AI39+BS!AI40</f>
        <v>0.182</v>
      </c>
      <c r="AJ252" s="261"/>
      <c r="AK252" s="267">
        <f>BS!AK34+BS!AK39+BS!AK40</f>
        <v>6.0000000000000001E-3</v>
      </c>
      <c r="AL252" s="267">
        <f>BS!AL34+BS!AL39+BS!AL40</f>
        <v>0</v>
      </c>
      <c r="AM252" s="267">
        <f>BS!AM34+BS!AM39+BS!AM40</f>
        <v>1.42</v>
      </c>
      <c r="AN252" s="267">
        <f>BS!AN34+BS!AN39+BS!AN40</f>
        <v>2.1360000000000001</v>
      </c>
      <c r="AO252" s="267">
        <f>BS!AO34+BS!AO39+BS!AO40</f>
        <v>2.1360000000000001</v>
      </c>
      <c r="AP252" s="261"/>
      <c r="AQ252" s="267">
        <f>BS!AQ34+BS!AQ39+BS!AQ40</f>
        <v>3.1949999999999998</v>
      </c>
      <c r="AR252" s="267">
        <f>BS!AR34+BS!AR39+BS!AR40</f>
        <v>2.9860000000000002</v>
      </c>
      <c r="AS252" s="267">
        <f>BS!AS34+BS!AS39+BS!AS40</f>
        <v>6.15</v>
      </c>
      <c r="AT252" s="267">
        <f>BS!AT34+BS!AT39+BS!AT40</f>
        <v>7.6159999999999997</v>
      </c>
      <c r="AU252" s="267">
        <f>BS!AU34+BS!AU39+BS!AU40</f>
        <v>7.6159999999999997</v>
      </c>
      <c r="AV252" s="261"/>
      <c r="AW252" s="267">
        <f>BS!AW34+BS!AW39+BS!AW40</f>
        <v>14.879</v>
      </c>
      <c r="AX252" s="267">
        <f>BS!AX34+BS!AX39+BS!AX40</f>
        <v>14.795999999999999</v>
      </c>
      <c r="AY252" s="267">
        <f>BS!AY34+BS!AY39+BS!AY40</f>
        <v>14.795999999999999</v>
      </c>
      <c r="AZ252" s="267">
        <f>BS!AZ34+BS!AZ39+BS!AZ40</f>
        <v>463.68299999999999</v>
      </c>
      <c r="BA252" s="267">
        <f>BS!BA34+BS!BA39+BS!BA40</f>
        <v>463.68299999999999</v>
      </c>
      <c r="BB252" s="261"/>
      <c r="BC252" s="267">
        <f>BS!BC34+BS!BC39+BS!BC40</f>
        <v>467.45400000000001</v>
      </c>
      <c r="BD252" s="267">
        <f>BS!BD34+BS!BD39+BS!BD40</f>
        <v>475.75900000000001</v>
      </c>
      <c r="BE252" s="267">
        <f>BS!BE34+BS!BE39+BS!BE40</f>
        <v>494.79599999999999</v>
      </c>
      <c r="BF252" s="267">
        <f>BS!BF34+BS!BF39+BS!BF40</f>
        <v>498.02500000000003</v>
      </c>
      <c r="BG252" s="267">
        <f>BS!BG34+BS!BG39+BS!BG40</f>
        <v>498.02500000000003</v>
      </c>
      <c r="BH252" s="261"/>
      <c r="BI252" s="267">
        <f>BS!BI34+BS!BI39+BS!BI40</f>
        <v>527.43100000000004</v>
      </c>
      <c r="BJ252" s="267">
        <f>BS!BJ34+BS!BJ39+BS!BJ40</f>
        <v>530.21600000000001</v>
      </c>
      <c r="BK252" s="267">
        <f>BS!BK34+BS!BK39+BS!BK40</f>
        <v>542.678</v>
      </c>
      <c r="BL252" s="267">
        <f>BS!BL34+BS!BL39+BS!BL40</f>
        <v>544.79999999999995</v>
      </c>
      <c r="BM252" s="267">
        <f>BS!BM34+BS!BM39+BS!BM40</f>
        <v>544.79999999999995</v>
      </c>
      <c r="BN252" s="261"/>
      <c r="BO252" s="267">
        <f>BS!BO34+BS!BO39+BS!BO40</f>
        <v>550.11400000000003</v>
      </c>
      <c r="BP252" s="267">
        <f>BS!BP34+BS!BP39+BS!BP40</f>
        <v>558.32299999999998</v>
      </c>
      <c r="BQ252" s="267">
        <f>BS!BQ34+BS!BQ39+BS!BQ40</f>
        <v>578.52</v>
      </c>
      <c r="BR252" s="267">
        <f>BS!BR34+BS!BR39+BS!BR40</f>
        <v>647.93600000000004</v>
      </c>
      <c r="BS252" s="267">
        <f>BS!BS34+BS!BS39+BS!BS40</f>
        <v>647.93600000000004</v>
      </c>
      <c r="BT252" s="261"/>
      <c r="BU252" s="267">
        <f>BS!BU34+BS!BU39+BS!BU40</f>
        <v>1694.3539999999998</v>
      </c>
      <c r="BV252" s="267">
        <f>BS!BV40+BS!BV34+BS!BV41</f>
        <v>1839.6619999999998</v>
      </c>
      <c r="BW252" s="267">
        <f>BS!BW40+BS!BW34+BS!BW41</f>
        <v>1844.7080000000001</v>
      </c>
      <c r="BX252" s="267">
        <f>BS!BX40+BS!BX34+BS!BX41</f>
        <v>1844.0889999999999</v>
      </c>
      <c r="BY252" s="267">
        <f>BS!BY40+BS!BY34+BS!BY41</f>
        <v>1844.0889999999999</v>
      </c>
      <c r="BZ252" s="261"/>
      <c r="CA252" s="267">
        <f>BS!CA40+BS!CA34+BS!CA41</f>
        <v>1575.3440000000001</v>
      </c>
      <c r="CB252" s="267">
        <f>BS!CB40+BS!CB34+BS!CB41</f>
        <v>1563.8389999999999</v>
      </c>
      <c r="CC252" s="267">
        <f>BS!CC40+BS!CC34+BS!CC41</f>
        <v>1544.4380000000001</v>
      </c>
      <c r="CD252" s="267">
        <f>BS!CD40+BS!CD34+BS!CD41</f>
        <v>1370.692</v>
      </c>
      <c r="CE252" s="267">
        <f>BS!CE40+BS!CE34+BS!CE41</f>
        <v>1370.692</v>
      </c>
      <c r="CF252" s="261"/>
      <c r="CG252" s="267">
        <f>BS!CG40+BS!CG34+BS!CG41</f>
        <v>1076.7270000000001</v>
      </c>
      <c r="CH252" s="267">
        <f>BS!CH40+BS!CH34+BS!CH41</f>
        <v>1082.799</v>
      </c>
      <c r="CI252" s="267">
        <f>BS!CI40+BS!CI34+BS!CI41</f>
        <v>1088.9100000000001</v>
      </c>
      <c r="CJ252" s="267">
        <f>BS!CJ40+BS!CJ34+BS!CJ41</f>
        <v>1095.059</v>
      </c>
      <c r="CK252" s="267">
        <f>BS!CK40+BS!CK34+BS!CK41</f>
        <v>1095.059</v>
      </c>
      <c r="CL252" s="261"/>
      <c r="CM252" s="267">
        <f>BS!CM40+BS!CM34+BS!CM41</f>
        <v>1095.104</v>
      </c>
      <c r="CN252" s="267">
        <f>BS!CN40+BS!CN34+BS!CN41</f>
        <v>1598.796</v>
      </c>
      <c r="CO252" s="267">
        <f>BS!CO40+BS!CO34+BS!CO41</f>
        <v>1606.17</v>
      </c>
      <c r="CP252" s="267">
        <f>BS!CP40+BS!CP34+BS!CP41</f>
        <v>1613.5809999999999</v>
      </c>
      <c r="CQ252" s="267">
        <f>BS!CQ40+BS!CQ34+BS!CQ41</f>
        <v>1613.5809999999999</v>
      </c>
      <c r="CR252" s="261"/>
      <c r="CS252" s="267">
        <f>BS!CS40+BS!CS34+BS!CS41</f>
        <v>1621.0340000000001</v>
      </c>
      <c r="CT252" s="267">
        <f>BS!CT40+BS!CT34+BS!CT41</f>
        <v>1628.5250000000001</v>
      </c>
      <c r="CU252" s="267">
        <f>BS!CU40+BS!CU34+BS!CU41</f>
        <v>1636.038</v>
      </c>
      <c r="CV252" s="267">
        <f>BS!CV40+BS!CV34+BS!CV41</f>
        <v>1719.498</v>
      </c>
      <c r="CW252" s="267">
        <f>BS!CW40+BS!CW34+BS!CW41</f>
        <v>1719.498</v>
      </c>
      <c r="CX252" s="261"/>
      <c r="CY252" s="267">
        <f>BS!CY40+BS!CY34+BS!CY41</f>
        <v>1646.1409999999998</v>
      </c>
      <c r="CZ252" s="267">
        <f>BS!CZ40+BS!CZ34+BS!CZ41</f>
        <v>1652.1409999999998</v>
      </c>
      <c r="DA252" s="267">
        <f>BS!DA40+BS!DA34+BS!DA41</f>
        <v>1658.1409999999998</v>
      </c>
      <c r="DB252" s="267">
        <f>BS!DB40+BS!DB34+BS!DB41</f>
        <v>1664.1409999999998</v>
      </c>
      <c r="DC252" s="267">
        <f>BS!DC40+BS!DC34+BS!DC41</f>
        <v>1664.1409999999998</v>
      </c>
      <c r="DD252" s="261"/>
      <c r="DE252" s="267">
        <f>BS!DE40+BS!DE34+BS!DE41</f>
        <v>1670.1409999999998</v>
      </c>
      <c r="DF252" s="267">
        <f>BS!DF40+BS!DF34+BS!DF41</f>
        <v>1676.1409999999998</v>
      </c>
      <c r="DG252" s="267">
        <f>BS!DG40+BS!DG34+BS!DG41</f>
        <v>1682.1409999999998</v>
      </c>
      <c r="DH252" s="267">
        <f>BS!DH40+BS!DH34+BS!DH41</f>
        <v>1688.1409999999998</v>
      </c>
      <c r="DI252" s="267">
        <f>BS!DI40+BS!DI34+BS!DI41</f>
        <v>1688.1409999999998</v>
      </c>
      <c r="DJ252" s="261"/>
      <c r="DK252" s="267">
        <f>BS!DW40+BS!DW34+BS!DW41</f>
        <v>0</v>
      </c>
      <c r="DL252" s="267">
        <f>BS!DX40+BS!DX34+BS!DX41</f>
        <v>0</v>
      </c>
      <c r="DM252" s="267">
        <f>BS!DY40+BS!DY34+BS!DY41</f>
        <v>0</v>
      </c>
      <c r="DN252" s="267">
        <f>BS!DZ40+BS!DZ34+BS!DZ41</f>
        <v>0</v>
      </c>
      <c r="DO252" s="267">
        <f>BS!EA40+BS!EA34+BS!EA41</f>
        <v>0</v>
      </c>
      <c r="DP252" s="261"/>
    </row>
    <row r="253" spans="1:120" ht="12.75" hidden="1" customHeight="1" outlineLevel="1">
      <c r="A253" s="261" t="s">
        <v>341</v>
      </c>
      <c r="B253" s="660" t="s">
        <v>342</v>
      </c>
      <c r="C253" s="268" t="s">
        <v>88</v>
      </c>
      <c r="D253" s="267">
        <f>D251-D252</f>
        <v>23.619</v>
      </c>
      <c r="E253" s="267">
        <f>E251-E252</f>
        <v>13.298</v>
      </c>
      <c r="F253" s="261"/>
      <c r="G253" s="267">
        <f>G251-G252</f>
        <v>15.7735</v>
      </c>
      <c r="H253" s="267">
        <f>H251-H252</f>
        <v>17.555</v>
      </c>
      <c r="I253" s="267">
        <f>I251-I252</f>
        <v>17.740500000000001</v>
      </c>
      <c r="J253" s="267">
        <f>J251-J252</f>
        <v>19.133000000000003</v>
      </c>
      <c r="K253" s="267">
        <f>K251-K252</f>
        <v>19.133000000000003</v>
      </c>
      <c r="L253" s="267"/>
      <c r="M253" s="267">
        <f>M251-M252</f>
        <v>23.687000000000001</v>
      </c>
      <c r="N253" s="267">
        <f>N251-N252</f>
        <v>27.279999999999998</v>
      </c>
      <c r="O253" s="267">
        <f>O251-O252</f>
        <v>34.234999999999999</v>
      </c>
      <c r="P253" s="267">
        <f>P251-P252</f>
        <v>39.645999999999994</v>
      </c>
      <c r="Q253" s="267">
        <f>Q251-Q252</f>
        <v>39.645999999999994</v>
      </c>
      <c r="R253" s="261"/>
      <c r="S253" s="267">
        <f>S251-S252</f>
        <v>47.631</v>
      </c>
      <c r="T253" s="267">
        <f>T251-T252</f>
        <v>174.22299999999998</v>
      </c>
      <c r="U253" s="267">
        <f>U251-U252</f>
        <v>186.51800000000003</v>
      </c>
      <c r="V253" s="267">
        <f>V251-V252</f>
        <v>207.84500000000003</v>
      </c>
      <c r="W253" s="267">
        <f>W251-W252</f>
        <v>207.84500000000003</v>
      </c>
      <c r="X253" s="261"/>
      <c r="Y253" s="267">
        <f>Y251-Y252</f>
        <v>219.14499999999998</v>
      </c>
      <c r="Z253" s="267">
        <f>Z251-Z252</f>
        <v>234.922</v>
      </c>
      <c r="AA253" s="267">
        <f>AA251-AA252</f>
        <v>255.90300000000002</v>
      </c>
      <c r="AB253" s="267">
        <f>AB251-AB252</f>
        <v>295.99300000000005</v>
      </c>
      <c r="AC253" s="267">
        <f>AC251-AC252</f>
        <v>295.99300000000005</v>
      </c>
      <c r="AD253" s="261"/>
      <c r="AE253" s="267">
        <f>AE251-AE252</f>
        <v>297.66499999999996</v>
      </c>
      <c r="AF253" s="267">
        <f>AF251-AF252</f>
        <v>333.61199999999997</v>
      </c>
      <c r="AG253" s="267">
        <f>AG251-AG252</f>
        <v>370.93800000000005</v>
      </c>
      <c r="AH253" s="267">
        <f>AH251-AH252</f>
        <v>412.33</v>
      </c>
      <c r="AI253" s="267">
        <f>AI251-AI252</f>
        <v>412.33</v>
      </c>
      <c r="AJ253" s="261"/>
      <c r="AK253" s="267">
        <f>AK251-AK252</f>
        <v>448.06500000000005</v>
      </c>
      <c r="AL253" s="267">
        <f>AL251-AL252</f>
        <v>497.19099999999997</v>
      </c>
      <c r="AM253" s="267">
        <f>AM251-AM252</f>
        <v>569.58299999999997</v>
      </c>
      <c r="AN253" s="267">
        <f>AN251-AN252</f>
        <v>667.66399999999999</v>
      </c>
      <c r="AO253" s="267">
        <f>AO251-AO252</f>
        <v>667.66399999999999</v>
      </c>
      <c r="AP253" s="261"/>
      <c r="AQ253" s="267">
        <f>AQ251-AQ252</f>
        <v>747.43799999999999</v>
      </c>
      <c r="AR253" s="267">
        <f>AR251-AR252</f>
        <v>820.43100000000004</v>
      </c>
      <c r="AS253" s="267">
        <f>AS251-AS252</f>
        <v>798.45600000000013</v>
      </c>
      <c r="AT253" s="267">
        <f>AT251-AT252</f>
        <v>874.94900000000007</v>
      </c>
      <c r="AU253" s="267">
        <f>AU251-AU252</f>
        <v>874.94900000000007</v>
      </c>
      <c r="AV253" s="261"/>
      <c r="AW253" s="267">
        <f>AW251-AW252</f>
        <v>968.94500000000005</v>
      </c>
      <c r="AX253" s="267">
        <f>AX251-AX252</f>
        <v>1015.6099999999999</v>
      </c>
      <c r="AY253" s="267">
        <f>AY251-AY252</f>
        <v>1055.296</v>
      </c>
      <c r="AZ253" s="267">
        <f>AZ251-AZ252</f>
        <v>1263.3650000000002</v>
      </c>
      <c r="BA253" s="267">
        <f>BA251-BA252</f>
        <v>1263.3650000000002</v>
      </c>
      <c r="BB253" s="261"/>
      <c r="BC253" s="267">
        <f>BC251-BC252</f>
        <v>1434.0940000000001</v>
      </c>
      <c r="BD253" s="267">
        <f>BD251-BD252</f>
        <v>1383.1690000000001</v>
      </c>
      <c r="BE253" s="267">
        <f>BE251-BE252</f>
        <v>1307.644</v>
      </c>
      <c r="BF253" s="267">
        <f>BF251-BF252</f>
        <v>909.53199999999993</v>
      </c>
      <c r="BG253" s="267">
        <f>BG251-BG252</f>
        <v>909.53199999999993</v>
      </c>
      <c r="BH253" s="261"/>
      <c r="BI253" s="267">
        <f>BI251-BI252</f>
        <v>994.85399999999981</v>
      </c>
      <c r="BJ253" s="267">
        <f>BJ251-BJ252</f>
        <v>756.44199999999989</v>
      </c>
      <c r="BK253" s="267">
        <f>BK251-BK252</f>
        <v>754.01499999999999</v>
      </c>
      <c r="BL253" s="267">
        <f>BL251-BL252</f>
        <v>902.37400000000002</v>
      </c>
      <c r="BM253" s="267">
        <f>BM251-BM252</f>
        <v>902.37400000000002</v>
      </c>
      <c r="BN253" s="261"/>
      <c r="BO253" s="267">
        <f>BO251-BO252</f>
        <v>1106.9749999999999</v>
      </c>
      <c r="BP253" s="267">
        <f>BP251-BP252</f>
        <v>1245.942</v>
      </c>
      <c r="BQ253" s="267">
        <f>BQ251-BQ252</f>
        <v>837.5300000000002</v>
      </c>
      <c r="BR253" s="267">
        <f>BR251-BR252</f>
        <v>1110.3489999999997</v>
      </c>
      <c r="BS253" s="267">
        <f>BS251-BS252</f>
        <v>1110.3489999999997</v>
      </c>
      <c r="BT253" s="261"/>
      <c r="BU253" s="267">
        <f>BU251-BU252</f>
        <v>1385.1030000000001</v>
      </c>
      <c r="BV253" s="267">
        <f>BV251-BV252</f>
        <v>-909.65399999999977</v>
      </c>
      <c r="BW253" s="267">
        <f>BW251-BW252</f>
        <v>-759.40100000000007</v>
      </c>
      <c r="BX253" s="267">
        <f>BX251-BX252</f>
        <v>-523.07199999999989</v>
      </c>
      <c r="BY253" s="267">
        <f>BY251-BY252</f>
        <v>-523.07199999999989</v>
      </c>
      <c r="BZ253" s="261"/>
      <c r="CA253" s="267">
        <f>CA251-CA252</f>
        <v>-45.456000000000131</v>
      </c>
      <c r="CB253" s="267">
        <f>CB251-CB252</f>
        <v>107.9190000000001</v>
      </c>
      <c r="CC253" s="267">
        <f>CC251-CC252</f>
        <v>397.77399999999989</v>
      </c>
      <c r="CD253" s="267">
        <f>CD251-CD252</f>
        <v>519.5920000000001</v>
      </c>
      <c r="CE253" s="267">
        <f>CE251-CE252</f>
        <v>519.5920000000001</v>
      </c>
      <c r="CF253" s="261"/>
      <c r="CG253" s="267">
        <f>CG251-CG252</f>
        <v>845.74900000000002</v>
      </c>
      <c r="CH253" s="267">
        <f>CH251-CH252</f>
        <v>984.16400000000021</v>
      </c>
      <c r="CI253" s="267">
        <f>CI251-CI252</f>
        <v>1212.396</v>
      </c>
      <c r="CJ253" s="267">
        <f>CJ251-CJ252</f>
        <v>1630.3180000000004</v>
      </c>
      <c r="CK253" s="267">
        <f>CK251-CK252</f>
        <v>1630.3180000000004</v>
      </c>
      <c r="CL253" s="261"/>
      <c r="CM253" s="267">
        <f>CM251-CM252</f>
        <v>2620.348</v>
      </c>
      <c r="CN253" s="267">
        <f>CN251-CN252</f>
        <v>121.15000000000009</v>
      </c>
      <c r="CO253" s="267">
        <f>CO251-CO252</f>
        <v>144.96000000000004</v>
      </c>
      <c r="CP253" s="267">
        <f>CP251-CP252</f>
        <v>1162.2589999999998</v>
      </c>
      <c r="CQ253" s="267">
        <f>CQ251-CQ252</f>
        <v>1162.2589999999998</v>
      </c>
      <c r="CR253" s="261"/>
      <c r="CS253" s="267">
        <f>CS251-CS252</f>
        <v>2237.7069999999999</v>
      </c>
      <c r="CT253" s="267">
        <f>CT251-CT252</f>
        <v>2530.4069999999997</v>
      </c>
      <c r="CU253" s="267">
        <f>CU251-CU252</f>
        <v>2663.0329999999999</v>
      </c>
      <c r="CV253" s="267">
        <f>CV251-CV252</f>
        <v>3479.4900000000002</v>
      </c>
      <c r="CW253" s="267">
        <f>CW251-CW252</f>
        <v>3479.4900000000002</v>
      </c>
      <c r="CX253" s="261"/>
      <c r="CY253" s="267">
        <f>CY251-CY252</f>
        <v>4426.7877525970189</v>
      </c>
      <c r="CZ253" s="267">
        <f>CZ251-CZ252</f>
        <v>4871.1323163540828</v>
      </c>
      <c r="DA253" s="267">
        <f>DA251-DA252</f>
        <v>5187.6993881989556</v>
      </c>
      <c r="DB253" s="267">
        <f>DB251-DB252</f>
        <v>6433.8836583660423</v>
      </c>
      <c r="DC253" s="267">
        <f>DC251-DC252</f>
        <v>6433.8836583660423</v>
      </c>
      <c r="DD253" s="261"/>
      <c r="DE253" s="267">
        <f>DE251-DE252</f>
        <v>7661.5343482996923</v>
      </c>
      <c r="DF253" s="267">
        <f>DF251-DF252</f>
        <v>8200.105389152206</v>
      </c>
      <c r="DG253" s="267">
        <f>DG251-DG252</f>
        <v>8629.399711515016</v>
      </c>
      <c r="DH253" s="267">
        <f>DH251-DH252</f>
        <v>10523.231603019429</v>
      </c>
      <c r="DI253" s="267">
        <f>DI251-DI252</f>
        <v>10523.231603019429</v>
      </c>
      <c r="DJ253" s="261"/>
      <c r="DK253" s="267">
        <f>DK251-DK252</f>
        <v>0</v>
      </c>
      <c r="DL253" s="267">
        <f>DL251-DL252</f>
        <v>0</v>
      </c>
      <c r="DM253" s="267">
        <f>DM251-DM252</f>
        <v>0</v>
      </c>
      <c r="DN253" s="267">
        <f>DN251-DN252</f>
        <v>0</v>
      </c>
      <c r="DO253" s="267">
        <f>DO251-DO252</f>
        <v>0</v>
      </c>
      <c r="DP253" s="261"/>
    </row>
    <row r="254" spans="1:120" ht="12.75" hidden="1" customHeight="1" outlineLevel="1">
      <c r="A254" s="261" t="s">
        <v>999</v>
      </c>
      <c r="B254" s="660" t="s">
        <v>1000</v>
      </c>
      <c r="C254" s="268" t="s">
        <v>88</v>
      </c>
      <c r="D254" s="267">
        <f>BS!D57</f>
        <v>30.523</v>
      </c>
      <c r="E254" s="267">
        <f>BS!E57</f>
        <v>9.7889999999999997</v>
      </c>
      <c r="F254" s="261"/>
      <c r="G254" s="267">
        <f>BS!G57</f>
        <v>9.0950000000000006</v>
      </c>
      <c r="H254" s="267">
        <f>BS!H57</f>
        <v>8.8770000000000007</v>
      </c>
      <c r="I254" s="267">
        <f>BS!I57</f>
        <v>6.19</v>
      </c>
      <c r="J254" s="267">
        <f>BS!J57</f>
        <v>5.2620000000000005</v>
      </c>
      <c r="K254" s="267">
        <f>BS!K57</f>
        <v>5.2620000000000005</v>
      </c>
      <c r="L254" s="261"/>
      <c r="M254" s="267">
        <f>BS!M57</f>
        <v>6.7240000000000002</v>
      </c>
      <c r="N254" s="267">
        <f>BS!N57</f>
        <v>8.2409999999999997</v>
      </c>
      <c r="O254" s="267">
        <f>BS!O57</f>
        <v>14.145</v>
      </c>
      <c r="P254" s="267">
        <f>BS!P57</f>
        <v>14.9</v>
      </c>
      <c r="Q254" s="267">
        <f>BS!Q57</f>
        <v>14.9</v>
      </c>
      <c r="R254" s="261"/>
      <c r="S254" s="267">
        <f>BS!S57</f>
        <v>17.081000000000003</v>
      </c>
      <c r="T254" s="267">
        <f>BS!T57</f>
        <v>133.18700000000001</v>
      </c>
      <c r="U254" s="267">
        <f>BS!U57</f>
        <v>137.35500000000002</v>
      </c>
      <c r="V254" s="267">
        <f>BS!V57</f>
        <v>145.131</v>
      </c>
      <c r="W254" s="267">
        <f>BS!W57</f>
        <v>145.131</v>
      </c>
      <c r="X254" s="261"/>
      <c r="Y254" s="267">
        <f>BS!Y57</f>
        <v>152.99799999999999</v>
      </c>
      <c r="Z254" s="267">
        <f>BS!Z57</f>
        <v>165.40199999999999</v>
      </c>
      <c r="AA254" s="267">
        <f>BS!AA57</f>
        <v>181.97900000000001</v>
      </c>
      <c r="AB254" s="267">
        <f>BS!AB57</f>
        <v>196.37099999999998</v>
      </c>
      <c r="AC254" s="267">
        <f>BS!AC57</f>
        <v>196.37099999999998</v>
      </c>
      <c r="AD254" s="261"/>
      <c r="AE254" s="267">
        <f>BS!AE57</f>
        <v>211.87699999999995</v>
      </c>
      <c r="AF254" s="267">
        <f>BS!AF57</f>
        <v>230.11900000000003</v>
      </c>
      <c r="AG254" s="267">
        <f>BS!AG57</f>
        <v>256.38099999999997</v>
      </c>
      <c r="AH254" s="267">
        <f>BS!AH57</f>
        <v>281.791</v>
      </c>
      <c r="AI254" s="267">
        <f>BS!AI57</f>
        <v>281.791</v>
      </c>
      <c r="AJ254" s="261"/>
      <c r="AK254" s="267">
        <f>BS!AK57</f>
        <v>309.28200000000004</v>
      </c>
      <c r="AL254" s="267">
        <f>BS!AL57</f>
        <v>351.05600000000004</v>
      </c>
      <c r="AM254" s="267">
        <f>BS!AM57</f>
        <v>401.29500000000002</v>
      </c>
      <c r="AN254" s="267">
        <f>BS!AN57</f>
        <v>452.05900000000003</v>
      </c>
      <c r="AO254" s="267">
        <f>BS!AO57</f>
        <v>452.05900000000003</v>
      </c>
      <c r="AP254" s="261"/>
      <c r="AQ254" s="267">
        <f>BS!AQ57</f>
        <v>503.06700000000001</v>
      </c>
      <c r="AR254" s="267">
        <f>BS!AR57</f>
        <v>565.976</v>
      </c>
      <c r="AS254" s="267">
        <f>BS!AS57</f>
        <v>618.38700000000006</v>
      </c>
      <c r="AT254" s="267">
        <f>BS!AT57</f>
        <v>671.78400000000011</v>
      </c>
      <c r="AU254" s="267">
        <f>BS!AU57</f>
        <v>671.78400000000011</v>
      </c>
      <c r="AV254" s="261"/>
      <c r="AW254" s="267">
        <f>BS!AW57</f>
        <v>727.85500000000013</v>
      </c>
      <c r="AX254" s="267">
        <f>BS!AX57</f>
        <v>791.11700000000019</v>
      </c>
      <c r="AY254" s="267">
        <f>BS!AY57</f>
        <v>858.89099999999996</v>
      </c>
      <c r="AZ254" s="267">
        <f>BS!AZ57</f>
        <v>1043.8019999999999</v>
      </c>
      <c r="BA254" s="267">
        <f>BS!BA57</f>
        <v>1043.8019999999999</v>
      </c>
      <c r="BB254" s="261"/>
      <c r="BC254" s="267">
        <f>BS!BC57</f>
        <v>1134.51</v>
      </c>
      <c r="BD254" s="267">
        <f>BS!BD57</f>
        <v>1240.626</v>
      </c>
      <c r="BE254" s="267">
        <f>BS!BE57</f>
        <v>1210.2880000000002</v>
      </c>
      <c r="BF254" s="267">
        <f>BS!BF57</f>
        <v>1276.4910000000002</v>
      </c>
      <c r="BG254" s="267">
        <f>BS!BG57</f>
        <v>1276.4910000000002</v>
      </c>
      <c r="BH254" s="261"/>
      <c r="BI254" s="267">
        <f>BS!BI57</f>
        <v>1352.2730000000001</v>
      </c>
      <c r="BJ254" s="267">
        <f>BS!BJ57</f>
        <v>1508.895</v>
      </c>
      <c r="BK254" s="267">
        <f>BS!BK57</f>
        <v>1583.1599999999999</v>
      </c>
      <c r="BL254" s="267">
        <f>BS!BL57</f>
        <v>1666.1009999999999</v>
      </c>
      <c r="BM254" s="267">
        <f>BS!BM57</f>
        <v>1666.1009999999999</v>
      </c>
      <c r="BN254" s="261"/>
      <c r="BO254" s="267">
        <f>BS!BO57</f>
        <v>1809.7689999999998</v>
      </c>
      <c r="BP254" s="267">
        <f>BS!BP57</f>
        <v>1958.6709999999998</v>
      </c>
      <c r="BQ254" s="267">
        <f>BS!BQ57</f>
        <v>2143.6139999999996</v>
      </c>
      <c r="BR254" s="267">
        <f>BS!BR57</f>
        <v>2371.2450000000003</v>
      </c>
      <c r="BS254" s="267">
        <f>BS!BS57</f>
        <v>2371.2450000000003</v>
      </c>
      <c r="BT254" s="261"/>
      <c r="BU254" s="267">
        <f>BS!BU57</f>
        <v>2509.8760000000002</v>
      </c>
      <c r="BV254" s="267">
        <f>BS!BV57</f>
        <v>2859.1480000000001</v>
      </c>
      <c r="BW254" s="267">
        <f>BS!BW57</f>
        <v>2946.0870000000004</v>
      </c>
      <c r="BX254" s="267">
        <f>BS!BX57</f>
        <v>3065.2149999999997</v>
      </c>
      <c r="BY254" s="267">
        <f>BS!BY57</f>
        <v>3065.2149999999997</v>
      </c>
      <c r="BZ254" s="261"/>
      <c r="CA254" s="267">
        <f>BS!CA57</f>
        <v>3141.857</v>
      </c>
      <c r="CB254" s="267">
        <f>BS!CB57</f>
        <v>3306.7460000000001</v>
      </c>
      <c r="CC254" s="267">
        <f>BS!CC57</f>
        <v>3792.4960000000001</v>
      </c>
      <c r="CD254" s="267">
        <f>BS!CD57</f>
        <v>3975.1829999999991</v>
      </c>
      <c r="CE254" s="267">
        <f>BS!CE57</f>
        <v>3975.1829999999991</v>
      </c>
      <c r="CF254" s="261"/>
      <c r="CG254" s="267">
        <f>BS!CG57</f>
        <v>4235.2030000000004</v>
      </c>
      <c r="CH254" s="267">
        <f>BS!CH57</f>
        <v>4535.8029999999999</v>
      </c>
      <c r="CI254" s="267">
        <f>BS!CI57</f>
        <v>4749.9540000000006</v>
      </c>
      <c r="CJ254" s="267">
        <f>BS!CJ57</f>
        <v>5002.8690000000006</v>
      </c>
      <c r="CK254" s="267">
        <f>BS!CK57</f>
        <v>5002.8690000000006</v>
      </c>
      <c r="CL254" s="261"/>
      <c r="CM254" s="267">
        <f>BS!CM57</f>
        <v>5584.2639999999992</v>
      </c>
      <c r="CN254" s="267">
        <f>BS!CN57</f>
        <v>6132.576</v>
      </c>
      <c r="CO254" s="267">
        <f>BS!CO57</f>
        <v>6806.0369999999994</v>
      </c>
      <c r="CP254" s="267">
        <f>BS!CP57</f>
        <v>7500.1269999999995</v>
      </c>
      <c r="CQ254" s="267">
        <f>BS!CQ57</f>
        <v>7500.1269999999995</v>
      </c>
      <c r="CR254" s="261"/>
      <c r="CS254" s="267">
        <f>BS!CS57</f>
        <v>7934.4879999999994</v>
      </c>
      <c r="CT254" s="267">
        <f>BS!CT57</f>
        <v>8468.5370000000003</v>
      </c>
      <c r="CU254" s="267">
        <f>BS!CU57</f>
        <v>8840.1670000000013</v>
      </c>
      <c r="CV254" s="267">
        <f>BS!CV57</f>
        <v>9392.3629999999994</v>
      </c>
      <c r="CW254" s="267">
        <f>BS!CW57</f>
        <v>9392.3629999999994</v>
      </c>
      <c r="CX254" s="261"/>
      <c r="CY254" s="267">
        <f>BS!CY57</f>
        <v>9819.3196408447839</v>
      </c>
      <c r="CZ254" s="267">
        <f>BS!CZ57</f>
        <v>10282.275663781109</v>
      </c>
      <c r="DA254" s="267">
        <f>BS!DA57</f>
        <v>10799.711774477166</v>
      </c>
      <c r="DB254" s="267">
        <f>BS!DB57</f>
        <v>11272.766442921575</v>
      </c>
      <c r="DC254" s="267">
        <f>BS!DC57</f>
        <v>11272.766442921575</v>
      </c>
      <c r="DD254" s="261"/>
      <c r="DE254" s="267">
        <f>BS!DE57</f>
        <v>11814.771430292152</v>
      </c>
      <c r="DF254" s="267">
        <f>BS!DF57</f>
        <v>12467.543759664673</v>
      </c>
      <c r="DG254" s="267">
        <f>BS!DG57</f>
        <v>13174.041600676714</v>
      </c>
      <c r="DH254" s="267">
        <f>BS!DH57</f>
        <v>13867.030843890972</v>
      </c>
      <c r="DI254" s="267">
        <f>BS!DI57</f>
        <v>13867.030843890972</v>
      </c>
      <c r="DJ254" s="261"/>
      <c r="DK254" s="267">
        <f>BS!DW57</f>
        <v>0</v>
      </c>
      <c r="DL254" s="267">
        <f>BS!DX57</f>
        <v>0</v>
      </c>
      <c r="DM254" s="267">
        <f>BS!DY57</f>
        <v>0</v>
      </c>
      <c r="DN254" s="267">
        <f>BS!DZ57</f>
        <v>0</v>
      </c>
      <c r="DO254" s="267">
        <f>BS!EA57</f>
        <v>0</v>
      </c>
      <c r="DP254" s="261"/>
    </row>
    <row r="255" spans="1:120" ht="12.75" hidden="1" customHeight="1" outlineLevel="1">
      <c r="A255" s="261" t="s">
        <v>751</v>
      </c>
      <c r="B255" s="660" t="s">
        <v>718</v>
      </c>
      <c r="C255" s="268" t="s">
        <v>88</v>
      </c>
      <c r="D255" s="267">
        <f>CF!D107+CF!D113</f>
        <v>-5.8689999999999998</v>
      </c>
      <c r="E255" s="267">
        <f>CF!E107+CF!E113</f>
        <v>-0.71299999999999997</v>
      </c>
      <c r="F255" s="261"/>
      <c r="G255" s="267">
        <f>CF!G107+CF!G113</f>
        <v>-0.25600000000000001</v>
      </c>
      <c r="H255" s="267">
        <f>CF!H107+CF!H113</f>
        <v>-0.65900000000000003</v>
      </c>
      <c r="I255" s="267">
        <f>CF!I107+CF!I113</f>
        <v>-0.48799999999999999</v>
      </c>
      <c r="J255" s="267">
        <f>CF!J107+CF!J113</f>
        <v>-0.61899999999999999</v>
      </c>
      <c r="K255" s="267">
        <f>CF!K107+CF!K113</f>
        <v>-2.0220000000000002</v>
      </c>
      <c r="L255" s="261"/>
      <c r="M255" s="267">
        <f>CF!M107+CF!M113</f>
        <v>-0.33100000000000002</v>
      </c>
      <c r="N255" s="267">
        <f>CF!N107+CF!N113</f>
        <v>-0.48799999999999999</v>
      </c>
      <c r="O255" s="267">
        <f>CF!O107+CF!O113</f>
        <v>-0.71199999999999997</v>
      </c>
      <c r="P255" s="267">
        <f>CF!P107+CF!P113</f>
        <v>-1.385</v>
      </c>
      <c r="Q255" s="267">
        <f>CF!Q107+CF!Q113</f>
        <v>-2.9159999999999999</v>
      </c>
      <c r="R255" s="261"/>
      <c r="S255" s="267">
        <f>CF!S107+CF!S113</f>
        <v>-0.27800000000000002</v>
      </c>
      <c r="T255" s="267">
        <f>CF!T107+CF!T113</f>
        <v>-0.48399999999999999</v>
      </c>
      <c r="U255" s="267">
        <f>CF!U107+CF!U113</f>
        <v>-1.2810000000000001</v>
      </c>
      <c r="V255" s="267">
        <f>CF!V107+CF!V113</f>
        <v>-2.2649999999999997</v>
      </c>
      <c r="W255" s="267">
        <f>CF!W107+CF!W113</f>
        <v>-4.3079999999999998</v>
      </c>
      <c r="X255" s="261"/>
      <c r="Y255" s="267">
        <f>CF!Y107+CF!Y113</f>
        <v>-9.157</v>
      </c>
      <c r="Z255" s="267">
        <f>CF!Z107+CF!Z113</f>
        <v>-3.3719999999999999</v>
      </c>
      <c r="AA255" s="267">
        <f>CF!AA107+CF!AA113</f>
        <v>-5.2910000000000004</v>
      </c>
      <c r="AB255" s="267">
        <f>CF!AB107+CF!AB113</f>
        <v>-5.6140000000000008</v>
      </c>
      <c r="AC255" s="267">
        <f>CF!AC107+CF!AC113</f>
        <v>-23.434000000000001</v>
      </c>
      <c r="AD255" s="261"/>
      <c r="AE255" s="267">
        <f>CF!AE107+CF!AE113</f>
        <v>-2.5950000000000002</v>
      </c>
      <c r="AF255" s="267">
        <f>CF!AF107+CF!AF113</f>
        <v>-2.8180000000000001</v>
      </c>
      <c r="AG255" s="267">
        <f>CF!AG107+CF!AG113</f>
        <v>-9.0850000000000009</v>
      </c>
      <c r="AH255" s="267">
        <f>CF!AH107+CF!AH113</f>
        <v>-7.6249999999999982</v>
      </c>
      <c r="AI255" s="267">
        <f>CF!AI107+CF!AI113</f>
        <v>-22.122999999999998</v>
      </c>
      <c r="AJ255" s="261"/>
      <c r="AK255" s="267">
        <f>CF!AK107+CF!AK113</f>
        <v>-15.957000000000001</v>
      </c>
      <c r="AL255" s="267">
        <f>CF!AL107+CF!AL113</f>
        <v>-10.103999999999999</v>
      </c>
      <c r="AM255" s="267">
        <f>CF!AM107+CF!AM113</f>
        <v>-9.1219999999999999</v>
      </c>
      <c r="AN255" s="267">
        <f>CF!AN107+CF!AN113</f>
        <v>-8.3689999999999998</v>
      </c>
      <c r="AO255" s="267">
        <f>CF!AO107+CF!AO113</f>
        <v>-43.552</v>
      </c>
      <c r="AP255" s="261"/>
      <c r="AQ255" s="267">
        <f>CF!AQ107+CF!AQ113</f>
        <v>-24.177</v>
      </c>
      <c r="AR255" s="267">
        <f>CF!AR107+CF!AR113</f>
        <v>-13.036000000000001</v>
      </c>
      <c r="AS255" s="267">
        <f>CF!AS107+CF!AS113</f>
        <v>-11.613999999999997</v>
      </c>
      <c r="AT255" s="267">
        <f>CF!AT107+CF!AT113</f>
        <v>-12.231999999999999</v>
      </c>
      <c r="AU255" s="267">
        <f>CF!AU107+CF!AU113</f>
        <v>-61.058999999999997</v>
      </c>
      <c r="AV255" s="261"/>
      <c r="AW255" s="267">
        <f>CF!AW107+CF!AW113</f>
        <v>-13.428000000000001</v>
      </c>
      <c r="AX255" s="267">
        <f>CF!AX107+CF!AX113</f>
        <v>-19.327999999999999</v>
      </c>
      <c r="AY255" s="267">
        <f>CF!AY107+CF!AY113</f>
        <v>-14.088999999999999</v>
      </c>
      <c r="AZ255" s="267">
        <f>CF!AZ107+CF!AZ113</f>
        <v>-7.0560000000000045</v>
      </c>
      <c r="BA255" s="267">
        <f>CF!BA107+CF!BA113</f>
        <v>-53.901000000000003</v>
      </c>
      <c r="BB255" s="261"/>
      <c r="BC255" s="267">
        <f>CF!BC107+CF!BC113</f>
        <v>-12.19</v>
      </c>
      <c r="BD255" s="267">
        <f>CF!BD107+CF!BD113</f>
        <v>-181.334</v>
      </c>
      <c r="BE255" s="267">
        <f>CF!BE107+CF!BE113</f>
        <v>-24.623999999999999</v>
      </c>
      <c r="BF255" s="267">
        <f>CF!BF107+CF!BF113</f>
        <v>-278.57000000000005</v>
      </c>
      <c r="BG255" s="267">
        <f>CF!BG107+CF!BG113</f>
        <v>-496.71800000000002</v>
      </c>
      <c r="BH255" s="261"/>
      <c r="BI255" s="267">
        <f>CF!BI107+CF!BI113</f>
        <v>-32.747</v>
      </c>
      <c r="BJ255" s="267">
        <f>CF!BJ107+CF!BJ113</f>
        <v>-338.28800000000001</v>
      </c>
      <c r="BK255" s="267">
        <f>CF!BK107+CF!BK113</f>
        <v>-100.79300000000002</v>
      </c>
      <c r="BL255" s="267">
        <f>CF!BL107+CF!BL113</f>
        <v>-102.51599999999999</v>
      </c>
      <c r="BM255" s="267">
        <f>CF!BM107+CF!BM113</f>
        <v>-574.34400000000005</v>
      </c>
      <c r="BN255" s="261"/>
      <c r="BO255" s="267">
        <f>CF!BO107+CF!BO113</f>
        <v>-93.633999999999986</v>
      </c>
      <c r="BP255" s="267">
        <f>CF!BP107+CF!BP113</f>
        <v>-39.382000000000012</v>
      </c>
      <c r="BQ255" s="267">
        <f>CF!BQ107+CF!BQ113</f>
        <v>-566.81399999999996</v>
      </c>
      <c r="BR255" s="267">
        <f>CF!BR107+CF!BR113</f>
        <v>-55.516000000000034</v>
      </c>
      <c r="BS255" s="267">
        <f>CF!BS107+CF!BS113</f>
        <v>-755.346</v>
      </c>
      <c r="BT255" s="261"/>
      <c r="BU255" s="267">
        <f>CF!BU107+CF!BU113</f>
        <v>-76.170999999999992</v>
      </c>
      <c r="BV255" s="267">
        <f>CF!BV107+CF!BV113</f>
        <v>-2695.12</v>
      </c>
      <c r="BW255" s="267">
        <f>CF!BW107+CF!BW113</f>
        <v>-72.701999999999998</v>
      </c>
      <c r="BX255" s="267">
        <f>CF!BX107+CF!BX113</f>
        <v>-72.419000000000182</v>
      </c>
      <c r="BY255" s="267">
        <f>CF!BY107+CF!BY113</f>
        <v>-2916.4120000000003</v>
      </c>
      <c r="BZ255" s="261"/>
      <c r="CA255" s="267">
        <f>CF!CA107+CF!CA113</f>
        <v>-60.097999999999999</v>
      </c>
      <c r="CB255" s="267">
        <f>CF!CB107+CF!CB113</f>
        <v>-71.576000000000008</v>
      </c>
      <c r="CC255" s="267">
        <f>CF!CC107+CF!CC113</f>
        <v>-35.35499999999999</v>
      </c>
      <c r="CD255" s="267">
        <f>CF!CD107+CF!CD113</f>
        <v>-85.354000000000013</v>
      </c>
      <c r="CE255" s="267">
        <f>CF!CE107+CF!CE113</f>
        <v>-252.38300000000001</v>
      </c>
      <c r="CF255" s="261"/>
      <c r="CG255" s="267">
        <f>CF!CG107+CF!CG113</f>
        <v>-83.557000000000002</v>
      </c>
      <c r="CH255" s="267">
        <f>CF!CH107+CF!CH113</f>
        <v>-83.334000000000003</v>
      </c>
      <c r="CI255" s="267">
        <f>CF!CI107+CF!CI113</f>
        <v>-107.8</v>
      </c>
      <c r="CJ255" s="267">
        <f>CF!CJ107+CF!CJ113</f>
        <v>-68.465000000000003</v>
      </c>
      <c r="CK255" s="267">
        <f>CF!CK107+CF!CK113</f>
        <v>-343.15600000000001</v>
      </c>
      <c r="CL255" s="261"/>
      <c r="CM255" s="267">
        <f>CF!CM107+CF!CM113</f>
        <v>-85.100000000000009</v>
      </c>
      <c r="CN255" s="267">
        <f>CF!CN107+CF!CN113</f>
        <v>-2894.2240000000002</v>
      </c>
      <c r="CO255" s="267">
        <f>CF!CO107+CF!CO113</f>
        <v>-172.77000000000018</v>
      </c>
      <c r="CP255" s="267">
        <f>CF!CP107+CF!CP113</f>
        <v>-504.60299999999995</v>
      </c>
      <c r="CQ255" s="267">
        <f>CF!CQ107+CF!CQ113</f>
        <v>-3656.6970000000001</v>
      </c>
      <c r="CR255" s="261"/>
      <c r="CS255" s="267">
        <f>CF!CS107+CF!CS113</f>
        <v>-176.38300000000001</v>
      </c>
      <c r="CT255" s="267">
        <f>CF!CT107+CF!CT113</f>
        <v>-128.38800000000001</v>
      </c>
      <c r="CU255" s="267">
        <f>CF!CU107+CF!CU113</f>
        <v>-111.27799999999996</v>
      </c>
      <c r="CV255" s="267">
        <f>CF!CV107+CF!CV113</f>
        <v>-143.36900000000009</v>
      </c>
      <c r="CW255" s="267">
        <f>CF!CW107+CF!CW113</f>
        <v>-559.41800000000001</v>
      </c>
      <c r="CX255" s="261"/>
      <c r="CY255" s="267">
        <f>CF!CY107+CF!CY113</f>
        <v>-157.19284752951791</v>
      </c>
      <c r="CZ255" s="267">
        <f>CF!CZ107+CF!CZ113</f>
        <v>-118.18918418938046</v>
      </c>
      <c r="DA255" s="267">
        <f>CF!DA107+CF!DA113</f>
        <v>-94.877242423721555</v>
      </c>
      <c r="DB255" s="267">
        <f>CF!DB107+CF!DB113</f>
        <v>-123.2822225386526</v>
      </c>
      <c r="DC255" s="267">
        <f>CF!DC107+CF!DC113</f>
        <v>-493.54149668127252</v>
      </c>
      <c r="DD255" s="261"/>
      <c r="DE255" s="267">
        <f>CF!DE107+CF!DE113</f>
        <v>-170.90785813886464</v>
      </c>
      <c r="DF255" s="267">
        <f>CF!DF107+CF!DF113</f>
        <v>-142.18111827454322</v>
      </c>
      <c r="DG255" s="267">
        <f>CF!DG107+CF!DG113</f>
        <v>-114.14279547108703</v>
      </c>
      <c r="DH255" s="267">
        <f>CF!DH107+CF!DH113</f>
        <v>-147.43121838649705</v>
      </c>
      <c r="DI255" s="267">
        <f>CF!DI107+CF!DI113</f>
        <v>-574.66299027099194</v>
      </c>
      <c r="DJ255" s="261"/>
      <c r="DK255" s="267">
        <f>CF!DK107+CF!DK113</f>
        <v>-161.77841804828086</v>
      </c>
      <c r="DL255" s="267">
        <f>CF!DL107+CF!DL113</f>
        <v>-169.79095512091078</v>
      </c>
      <c r="DM255" s="267">
        <f>CF!DM107+CF!DM113</f>
        <v>-136.16697619773345</v>
      </c>
      <c r="DN255" s="267">
        <f>CF!DN107+CF!DN113</f>
        <v>-200.08841341438358</v>
      </c>
      <c r="DO255" s="267">
        <f>CF!DO107+CF!DO113</f>
        <v>-667.82476278130866</v>
      </c>
      <c r="DP255" s="261"/>
    </row>
    <row r="256" spans="1:120" ht="12.75" hidden="1" customHeight="1" outlineLevel="1">
      <c r="A256" s="261" t="s">
        <v>717</v>
      </c>
      <c r="B256" s="660" t="s">
        <v>719</v>
      </c>
      <c r="C256" s="268" t="s">
        <v>88</v>
      </c>
      <c r="D256" s="267">
        <f>CF!D102</f>
        <v>-26.686</v>
      </c>
      <c r="E256" s="267">
        <f>CF!E102</f>
        <v>-13.166000000000004</v>
      </c>
      <c r="F256" s="261"/>
      <c r="G256" s="267">
        <f>CF!G102</f>
        <v>2.556</v>
      </c>
      <c r="H256" s="267">
        <f>CF!H102</f>
        <v>2.4700000000000002</v>
      </c>
      <c r="I256" s="267">
        <f>CF!I102</f>
        <v>-0.12700000000000045</v>
      </c>
      <c r="J256" s="267">
        <f>CF!J102</f>
        <v>0.31400000000000017</v>
      </c>
      <c r="K256" s="267">
        <f>CF!K102</f>
        <v>5.2130000000000001</v>
      </c>
      <c r="L256" s="261"/>
      <c r="M256" s="267">
        <f>CF!M102</f>
        <v>4.7610000000000001</v>
      </c>
      <c r="N256" s="267">
        <f>CF!N102</f>
        <v>3.9859999999999993</v>
      </c>
      <c r="O256" s="267">
        <f>CF!O102</f>
        <v>6.8880000000000017</v>
      </c>
      <c r="P256" s="267">
        <f>CF!P102</f>
        <v>6.1459999999999999</v>
      </c>
      <c r="Q256" s="267">
        <f>CF!Q102</f>
        <v>21.781000000000013</v>
      </c>
      <c r="R256" s="261"/>
      <c r="S256" s="267">
        <f>CF!S102</f>
        <v>6.6590000000000016</v>
      </c>
      <c r="T256" s="267">
        <f>CF!T102</f>
        <v>14.934999999999997</v>
      </c>
      <c r="U256" s="267">
        <f>CF!U102</f>
        <v>13.150000000000002</v>
      </c>
      <c r="V256" s="267">
        <f>CF!V102</f>
        <v>21.128000000000004</v>
      </c>
      <c r="W256" s="267">
        <f>CF!W102</f>
        <v>55.872</v>
      </c>
      <c r="X256" s="261"/>
      <c r="Y256" s="267">
        <f>CF!Y102</f>
        <v>17.91</v>
      </c>
      <c r="Z256" s="267">
        <f>CF!Z102</f>
        <v>14.071999999999999</v>
      </c>
      <c r="AA256" s="267">
        <f>CF!AA102</f>
        <v>24.571000000000002</v>
      </c>
      <c r="AB256" s="267">
        <f>CF!AB102</f>
        <v>39.340000000000003</v>
      </c>
      <c r="AC256" s="267">
        <f>CF!AC102</f>
        <v>95.893000000000001</v>
      </c>
      <c r="AD256" s="261"/>
      <c r="AE256" s="267">
        <f>CF!AE102</f>
        <v>12.415999999999999</v>
      </c>
      <c r="AF256" s="267">
        <f>CF!AF102</f>
        <v>30.021999999999998</v>
      </c>
      <c r="AG256" s="267">
        <f>CF!AG102</f>
        <v>30.626999999999999</v>
      </c>
      <c r="AH256" s="267">
        <f>CF!AH102</f>
        <v>38.15861785141324</v>
      </c>
      <c r="AI256" s="267">
        <f>CF!AI102</f>
        <v>111.22361785141324</v>
      </c>
      <c r="AJ256" s="261"/>
      <c r="AK256" s="267">
        <f>CF!AK102</f>
        <v>36.830000000000005</v>
      </c>
      <c r="AL256" s="267">
        <f>CF!AL102</f>
        <v>34.653999999999996</v>
      </c>
      <c r="AM256" s="267">
        <f>CF!AM102</f>
        <v>51.998000000000005</v>
      </c>
      <c r="AN256" s="267">
        <f>CF!AN102</f>
        <v>80.792999999999978</v>
      </c>
      <c r="AO256" s="267">
        <f>CF!AO102</f>
        <v>204.27499999999998</v>
      </c>
      <c r="AP256" s="261"/>
      <c r="AQ256" s="267">
        <f>CF!AQ102</f>
        <v>83.832000000000008</v>
      </c>
      <c r="AR256" s="267">
        <f>CF!AR102</f>
        <v>53.074999999999989</v>
      </c>
      <c r="AS256" s="267">
        <f>CF!AS102</f>
        <v>17.121000000000002</v>
      </c>
      <c r="AT256" s="267">
        <f>CF!AT102</f>
        <v>75.528999999999996</v>
      </c>
      <c r="AU256" s="267">
        <f>CF!AU102</f>
        <v>229.55699999999996</v>
      </c>
      <c r="AV256" s="261"/>
      <c r="AW256" s="267">
        <f>CF!AW102</f>
        <v>98.533000000000015</v>
      </c>
      <c r="AX256" s="267">
        <f>CF!AX102</f>
        <v>45.297999999999988</v>
      </c>
      <c r="AY256" s="267">
        <f>CF!AY102</f>
        <v>35.519999999999996</v>
      </c>
      <c r="AZ256" s="267">
        <f>CF!AZ102</f>
        <v>91.559999999999974</v>
      </c>
      <c r="BA256" s="267">
        <f>CF!BA102</f>
        <v>270.91100000000006</v>
      </c>
      <c r="BB256" s="261"/>
      <c r="BC256" s="267">
        <f>CF!BC102</f>
        <v>143.18300000000002</v>
      </c>
      <c r="BD256" s="267">
        <f>CF!BD102</f>
        <v>76.095999999999989</v>
      </c>
      <c r="BE256" s="267">
        <f>CF!BE102</f>
        <v>74.04000000000002</v>
      </c>
      <c r="BF256" s="267">
        <f>CF!BF102</f>
        <v>165.76200000000003</v>
      </c>
      <c r="BG256" s="267">
        <f>CF!BG102</f>
        <v>459.0809999999999</v>
      </c>
      <c r="BH256" s="261"/>
      <c r="BI256" s="267">
        <f>CF!BI102</f>
        <v>139.518</v>
      </c>
      <c r="BJ256" s="267">
        <f>CF!BJ102</f>
        <v>82.932999999999993</v>
      </c>
      <c r="BK256" s="267">
        <f>CF!BK102</f>
        <v>128.709</v>
      </c>
      <c r="BL256" s="267">
        <f>CF!BL102</f>
        <v>240.34700000000004</v>
      </c>
      <c r="BM256" s="267">
        <f>CF!BM102</f>
        <v>591.50699999999995</v>
      </c>
      <c r="BN256" s="261"/>
      <c r="BO256" s="267">
        <f>CF!BO102</f>
        <v>213.21200000000005</v>
      </c>
      <c r="BP256" s="267">
        <f>CF!BP102</f>
        <v>136.19699999999995</v>
      </c>
      <c r="BQ256" s="267">
        <f>CF!BQ102</f>
        <v>105.91500000000005</v>
      </c>
      <c r="BR256" s="267">
        <f>CF!BR102</f>
        <v>281.57300000000004</v>
      </c>
      <c r="BS256" s="267">
        <f>CF!BS102</f>
        <v>736.89700000000016</v>
      </c>
      <c r="BT256" s="261"/>
      <c r="BU256" s="267">
        <f>CF!BU102</f>
        <v>283.18899999999996</v>
      </c>
      <c r="BV256" s="267">
        <f>CF!BV102</f>
        <v>183.18300000000005</v>
      </c>
      <c r="BW256" s="267">
        <f>CF!BW102</f>
        <v>137.85899999999998</v>
      </c>
      <c r="BX256" s="267">
        <f>CF!BX102</f>
        <v>271.23800000000006</v>
      </c>
      <c r="BY256" s="267">
        <f>CF!BY102</f>
        <v>875.46900000000005</v>
      </c>
      <c r="BZ256" s="261"/>
      <c r="CA256" s="267">
        <f>CF!CA102</f>
        <v>473.08699999999999</v>
      </c>
      <c r="CB256" s="267">
        <f>CF!CB102</f>
        <v>245.89299999999994</v>
      </c>
      <c r="CC256" s="267">
        <f>CF!CC102</f>
        <v>122.51100000000017</v>
      </c>
      <c r="CD256" s="267">
        <f>CF!CD102</f>
        <v>332.22299999999973</v>
      </c>
      <c r="CE256" s="267">
        <f>CF!CE102</f>
        <v>1173.7139999999999</v>
      </c>
      <c r="CF256" s="261"/>
      <c r="CG256" s="267">
        <f>CF!CG102</f>
        <v>730.85699999999997</v>
      </c>
      <c r="CH256" s="267">
        <f>CF!CH102</f>
        <v>304.41099999999994</v>
      </c>
      <c r="CI256" s="267">
        <f>CF!CI102</f>
        <v>117.90700000000004</v>
      </c>
      <c r="CJ256" s="267">
        <f>CF!CJ102</f>
        <v>459.41000000000054</v>
      </c>
      <c r="CK256" s="267">
        <f>CF!CK102</f>
        <v>1612.5850000000003</v>
      </c>
      <c r="CL256" s="261"/>
      <c r="CM256" s="267">
        <f>CF!CM102</f>
        <v>1051.0619999999999</v>
      </c>
      <c r="CN256" s="267">
        <f>CF!CN102</f>
        <v>250.67800000000011</v>
      </c>
      <c r="CO256" s="267">
        <f>CF!CO102</f>
        <v>154.31200000000001</v>
      </c>
      <c r="CP256" s="267">
        <f>CF!CP102</f>
        <v>706.14599999999996</v>
      </c>
      <c r="CQ256" s="267">
        <f>CF!CQ102</f>
        <v>2162.1979999999999</v>
      </c>
      <c r="CR256" s="261"/>
      <c r="CS256" s="267">
        <f>CF!CS102</f>
        <v>1229.5839999999998</v>
      </c>
      <c r="CT256" s="267">
        <f>CF!CT102</f>
        <v>331.26899999999978</v>
      </c>
      <c r="CU256" s="267">
        <f>CF!CU102</f>
        <v>125.7919999999998</v>
      </c>
      <c r="CV256" s="267">
        <f>CF!CV102</f>
        <v>1051.3200000000002</v>
      </c>
      <c r="CW256" s="267">
        <f>CF!CW102</f>
        <v>2737.9649999999997</v>
      </c>
      <c r="CX256" s="261"/>
      <c r="CY256" s="267">
        <f>CF!CY102</f>
        <v>1605.0506950189233</v>
      </c>
      <c r="CZ256" s="267">
        <f>CF!CZ102</f>
        <v>414.05427793897786</v>
      </c>
      <c r="DA256" s="267">
        <f>CF!DA102</f>
        <v>250.66267942791217</v>
      </c>
      <c r="DB256" s="267">
        <f>CF!DB102</f>
        <v>1211.4815266039209</v>
      </c>
      <c r="DC256" s="267">
        <f>CF!DC102</f>
        <v>3481.2491789897344</v>
      </c>
      <c r="DD256" s="261"/>
      <c r="DE256" s="267">
        <f>CF!DE102</f>
        <v>1878.9395355789884</v>
      </c>
      <c r="DF256" s="267">
        <f>CF!DF102</f>
        <v>455.74467656828915</v>
      </c>
      <c r="DG256" s="267">
        <f>CF!DG102</f>
        <v>307.08282825006086</v>
      </c>
      <c r="DH256" s="267">
        <f>CF!DH102</f>
        <v>1808.7579473189862</v>
      </c>
      <c r="DI256" s="267">
        <f>CF!DI102</f>
        <v>4450.5249877163251</v>
      </c>
      <c r="DJ256" s="261"/>
      <c r="DK256" s="267">
        <f>CF!DK102</f>
        <v>2256.5677537980828</v>
      </c>
      <c r="DL256" s="267">
        <f>CF!DL102</f>
        <v>701.79643580312131</v>
      </c>
      <c r="DM256" s="267">
        <f>CF!DM102</f>
        <v>450.63728464952055</v>
      </c>
      <c r="DN256" s="267">
        <f>CF!DN102</f>
        <v>2188.6468827046551</v>
      </c>
      <c r="DO256" s="267">
        <f>CF!DO102</f>
        <v>5597.6483569553802</v>
      </c>
      <c r="DP256" s="261"/>
    </row>
    <row r="257" spans="1:120" ht="12.75" hidden="1" customHeight="1" outlineLevel="1">
      <c r="A257" s="261" t="s">
        <v>720</v>
      </c>
      <c r="B257" s="660" t="s">
        <v>721</v>
      </c>
      <c r="C257" s="268" t="s">
        <v>88</v>
      </c>
      <c r="D257" s="283">
        <f>CF!D85</f>
        <v>0.86099999999999999</v>
      </c>
      <c r="E257" s="283">
        <f>CF!E85</f>
        <v>2.403</v>
      </c>
      <c r="F257" s="261"/>
      <c r="G257" s="283">
        <f>CF!G85</f>
        <v>0.63300000000000001</v>
      </c>
      <c r="H257" s="283">
        <f>CF!H85</f>
        <v>0.66500000000000004</v>
      </c>
      <c r="I257" s="283">
        <f>CF!I85</f>
        <v>0.64300000000000002</v>
      </c>
      <c r="J257" s="283">
        <f>CF!J85</f>
        <v>0.72299999999999998</v>
      </c>
      <c r="K257" s="283">
        <f>CF!K85</f>
        <v>2.6640000000000001</v>
      </c>
      <c r="L257" s="261"/>
      <c r="M257" s="283">
        <f>CF!M85</f>
        <v>0.61799999999999999</v>
      </c>
      <c r="N257" s="283">
        <f>CF!N85</f>
        <v>0.70699999999999996</v>
      </c>
      <c r="O257" s="283">
        <f>CF!O85</f>
        <v>0.63100000000000001</v>
      </c>
      <c r="P257" s="283">
        <f>CF!P85</f>
        <v>0.63500000000000001</v>
      </c>
      <c r="Q257" s="283">
        <f>CF!Q85</f>
        <v>2.5910000000000002</v>
      </c>
      <c r="R257" s="261"/>
      <c r="S257" s="283">
        <f>CF!S85</f>
        <v>0.748</v>
      </c>
      <c r="T257" s="283">
        <f>CF!T85</f>
        <v>0.67900000000000005</v>
      </c>
      <c r="U257" s="283">
        <f>CF!U85</f>
        <v>0.79999999999999982</v>
      </c>
      <c r="V257" s="283">
        <f>CF!V85</f>
        <v>0.91999999999999993</v>
      </c>
      <c r="W257" s="283">
        <f>CF!W85</f>
        <v>3.1469999999999998</v>
      </c>
      <c r="X257" s="261"/>
      <c r="Y257" s="283">
        <f>CF!Y85</f>
        <v>1.121</v>
      </c>
      <c r="Z257" s="283">
        <f>CF!Z85</f>
        <v>1.468</v>
      </c>
      <c r="AA257" s="283">
        <f>CF!AA85</f>
        <v>1.4899999999999998</v>
      </c>
      <c r="AB257" s="283">
        <f>CF!AB85</f>
        <v>1.9480000000000004</v>
      </c>
      <c r="AC257" s="283">
        <f>CF!AC85</f>
        <v>6.0270000000000001</v>
      </c>
      <c r="AD257" s="261"/>
      <c r="AE257" s="283">
        <f>CF!AE85</f>
        <v>2.2360000000000002</v>
      </c>
      <c r="AF257" s="283">
        <f>CF!AF85</f>
        <v>2.5619999999999998</v>
      </c>
      <c r="AG257" s="283">
        <f>CF!AG85</f>
        <v>3.9689999999999994</v>
      </c>
      <c r="AH257" s="283">
        <f>CF!AH85</f>
        <v>3.1289999999999996</v>
      </c>
      <c r="AI257" s="283">
        <f>CF!AI85</f>
        <v>11.895999999999999</v>
      </c>
      <c r="AJ257" s="261"/>
      <c r="AK257" s="283">
        <f>CF!AK85</f>
        <v>4.8479999999999999</v>
      </c>
      <c r="AL257" s="283">
        <f>CF!AL85</f>
        <v>6.0450000000000008</v>
      </c>
      <c r="AM257" s="283">
        <f>CF!AM85</f>
        <v>6.7579999999999991</v>
      </c>
      <c r="AN257" s="283">
        <f>CF!AN85</f>
        <v>6.5680000000000014</v>
      </c>
      <c r="AO257" s="283">
        <f>CF!AO85</f>
        <v>24.219000000000001</v>
      </c>
      <c r="AP257" s="261"/>
      <c r="AQ257" s="283">
        <f>CF!AQ85</f>
        <v>8.1579999999999995</v>
      </c>
      <c r="AR257" s="283">
        <f>CF!AR85</f>
        <v>8.8699999999999992</v>
      </c>
      <c r="AS257" s="283">
        <f>CF!AS85</f>
        <v>7.91</v>
      </c>
      <c r="AT257" s="283">
        <f>CF!AT85</f>
        <v>11.032999999999998</v>
      </c>
      <c r="AU257" s="283">
        <f>CF!AU85</f>
        <v>35.970999999999997</v>
      </c>
      <c r="AV257" s="261"/>
      <c r="AW257" s="283">
        <f>CF!AW85</f>
        <v>12.145</v>
      </c>
      <c r="AX257" s="283">
        <f>CF!AX85</f>
        <v>12.144000000000002</v>
      </c>
      <c r="AY257" s="283">
        <f>CF!AY85</f>
        <v>13.600999999999999</v>
      </c>
      <c r="AZ257" s="283">
        <f>CF!AZ85</f>
        <v>15.286999999999999</v>
      </c>
      <c r="BA257" s="283">
        <f>CF!BA85</f>
        <v>53.177</v>
      </c>
      <c r="BB257" s="261"/>
      <c r="BC257" s="283">
        <f>CF!BC85</f>
        <v>14.505000000000001</v>
      </c>
      <c r="BD257" s="283">
        <f>CF!BD85</f>
        <v>17.792999999999999</v>
      </c>
      <c r="BE257" s="283">
        <f>CF!BE85</f>
        <v>19.71</v>
      </c>
      <c r="BF257" s="283">
        <f>CF!BF85</f>
        <v>23.737999999999992</v>
      </c>
      <c r="BG257" s="283">
        <f>CF!BG85</f>
        <v>75.745999999999995</v>
      </c>
      <c r="BH257" s="261"/>
      <c r="BI257" s="283">
        <f>CF!BI85</f>
        <v>29.593</v>
      </c>
      <c r="BJ257" s="283">
        <f>CF!BJ85</f>
        <v>40.23899999999999</v>
      </c>
      <c r="BK257" s="283">
        <f>CF!BK85</f>
        <v>41.553000000000011</v>
      </c>
      <c r="BL257" s="283">
        <f>CF!BL85</f>
        <v>45.900999999999996</v>
      </c>
      <c r="BM257" s="283">
        <f>CF!BM85</f>
        <v>157.286</v>
      </c>
      <c r="BN257" s="261"/>
      <c r="BO257" s="283">
        <f>CF!BO85</f>
        <v>49.441000000000003</v>
      </c>
      <c r="BP257" s="283">
        <f>CF!BP85</f>
        <v>49.998999999999995</v>
      </c>
      <c r="BQ257" s="283">
        <f>CF!BQ85</f>
        <v>59.960000000000008</v>
      </c>
      <c r="BR257" s="283">
        <f>CF!BR85</f>
        <v>57.394999999999982</v>
      </c>
      <c r="BS257" s="283">
        <f>CF!BS85</f>
        <v>216.79499999999999</v>
      </c>
      <c r="BT257" s="261"/>
      <c r="BU257" s="283">
        <f>CF!BU85</f>
        <v>62.296999999999997</v>
      </c>
      <c r="BV257" s="283">
        <f>CF!BV85</f>
        <v>77.966000000000008</v>
      </c>
      <c r="BW257" s="283">
        <f>CF!BW85</f>
        <v>114.34700000000001</v>
      </c>
      <c r="BX257" s="283">
        <f>CF!BX85</f>
        <v>114.81299999999999</v>
      </c>
      <c r="BY257" s="283">
        <f>CF!BY85</f>
        <v>369.423</v>
      </c>
      <c r="BZ257" s="261"/>
      <c r="CA257" s="283">
        <f>CF!CA85</f>
        <v>110.80800000000001</v>
      </c>
      <c r="CB257" s="283">
        <f>CF!CB85</f>
        <v>107.59599999999999</v>
      </c>
      <c r="CC257" s="283">
        <f>CF!CC85</f>
        <v>111.95400000000001</v>
      </c>
      <c r="CD257" s="283">
        <f>CF!CD85</f>
        <v>117.93799999999999</v>
      </c>
      <c r="CE257" s="283">
        <f>CF!CE85</f>
        <v>448.29599999999999</v>
      </c>
      <c r="CF257" s="261"/>
      <c r="CG257" s="283">
        <f>CF!CG85</f>
        <v>127.92700000000001</v>
      </c>
      <c r="CH257" s="283">
        <f>CF!CH85</f>
        <v>131.67499999999995</v>
      </c>
      <c r="CI257" s="283">
        <f>CF!CI85</f>
        <v>134.23600000000005</v>
      </c>
      <c r="CJ257" s="283">
        <f>CF!CJ85</f>
        <v>131.91199999999998</v>
      </c>
      <c r="CK257" s="283">
        <f>CF!CK85</f>
        <v>525.75</v>
      </c>
      <c r="CL257" s="261"/>
      <c r="CM257" s="283">
        <f>CF!CM85</f>
        <v>132.77199999999999</v>
      </c>
      <c r="CN257" s="283">
        <f>CF!CN85</f>
        <v>149.36099999999999</v>
      </c>
      <c r="CO257" s="283">
        <f>CF!CO85</f>
        <v>169.346</v>
      </c>
      <c r="CP257" s="283">
        <f>CF!CP85</f>
        <v>180.76600000000002</v>
      </c>
      <c r="CQ257" s="283">
        <f>CF!CQ85</f>
        <v>632.245</v>
      </c>
      <c r="CR257" s="261"/>
      <c r="CS257" s="283">
        <f>CF!CS85</f>
        <v>185.108</v>
      </c>
      <c r="CT257" s="283">
        <f>CF!CT85</f>
        <v>192.25700000000001</v>
      </c>
      <c r="CU257" s="283">
        <f>CF!CU85</f>
        <v>187.54599999999994</v>
      </c>
      <c r="CV257" s="283">
        <f>CF!CV85</f>
        <v>187.68900000000008</v>
      </c>
      <c r="CW257" s="283">
        <f>CF!CW85</f>
        <v>752.6</v>
      </c>
      <c r="CX257" s="261"/>
      <c r="CY257" s="283">
        <f>CF!CY85</f>
        <v>213.97960099019826</v>
      </c>
      <c r="CZ257" s="283">
        <f>CF!CZ85</f>
        <v>219.71672665100868</v>
      </c>
      <c r="DA257" s="283">
        <f>CF!DA85</f>
        <v>224.15561053878162</v>
      </c>
      <c r="DB257" s="283">
        <f>CF!DB85</f>
        <v>228.70059939216446</v>
      </c>
      <c r="DC257" s="283">
        <f>CF!DC85</f>
        <v>886.55253757215303</v>
      </c>
      <c r="DD257" s="261"/>
      <c r="DE257" s="283">
        <f>CF!DE85</f>
        <v>234.82955940627937</v>
      </c>
      <c r="DF257" s="283">
        <f>CF!DF85</f>
        <v>241.35224641489208</v>
      </c>
      <c r="DG257" s="283">
        <f>CF!DG85</f>
        <v>246.69232795125936</v>
      </c>
      <c r="DH257" s="283">
        <f>CF!DH85</f>
        <v>252.14178657329239</v>
      </c>
      <c r="DI257" s="283">
        <f>CF!DI85</f>
        <v>975.0159203457232</v>
      </c>
      <c r="DJ257" s="261"/>
      <c r="DK257" s="283">
        <f>CF!DK85</f>
        <v>258.58365399901686</v>
      </c>
      <c r="DL257" s="283">
        <f>CF!DL85</f>
        <v>265.49134927337502</v>
      </c>
      <c r="DM257" s="283">
        <f>CF!DM85</f>
        <v>271.86547284251344</v>
      </c>
      <c r="DN257" s="283">
        <f>CF!DN85</f>
        <v>278.87079345943243</v>
      </c>
      <c r="DO257" s="283">
        <f>CF!DO85</f>
        <v>1074.8112695743378</v>
      </c>
      <c r="DP257" s="261"/>
    </row>
    <row r="258" spans="1:120" ht="12.75" hidden="1" customHeight="1" outlineLevel="1">
      <c r="A258" s="260" t="s">
        <v>224</v>
      </c>
      <c r="B258" s="730" t="s">
        <v>608</v>
      </c>
      <c r="C258" s="268" t="s">
        <v>88</v>
      </c>
      <c r="D258" s="268">
        <f>BS!D68</f>
        <v>0</v>
      </c>
      <c r="E258" s="268">
        <f>BS!E68</f>
        <v>0</v>
      </c>
      <c r="F258" s="260"/>
      <c r="G258" s="268">
        <f>BS!G68</f>
        <v>39.972462627852082</v>
      </c>
      <c r="H258" s="268">
        <f>BS!H68</f>
        <v>39.067103109656301</v>
      </c>
      <c r="I258" s="268">
        <f>BS!I68</f>
        <v>44.321811501836997</v>
      </c>
      <c r="J258" s="268">
        <f>BS!J68</f>
        <v>42.083455344070273</v>
      </c>
      <c r="K258" s="268">
        <f>BS!K68</f>
        <v>42.083455344070273</v>
      </c>
      <c r="L258" s="260"/>
      <c r="M258" s="268">
        <f>BS!M68</f>
        <v>45.366705471478461</v>
      </c>
      <c r="N258" s="268">
        <f>BS!N68</f>
        <v>51.547716912039462</v>
      </c>
      <c r="O258" s="268">
        <f>BS!O68</f>
        <v>49.176784127924194</v>
      </c>
      <c r="P258" s="268">
        <f>BS!P68</f>
        <v>52.694938440492479</v>
      </c>
      <c r="Q258" s="268">
        <f>BS!Q68</f>
        <v>52.694938440492479</v>
      </c>
      <c r="R258" s="260"/>
      <c r="S258" s="268">
        <f>BS!S68</f>
        <v>58.772865447176137</v>
      </c>
      <c r="T258" s="268">
        <f>BS!T68</f>
        <v>54.117836057673003</v>
      </c>
      <c r="U258" s="268">
        <f>BS!U68</f>
        <v>57.214111510060292</v>
      </c>
      <c r="V258" s="268">
        <f>BS!V68</f>
        <v>57.684318199700996</v>
      </c>
      <c r="W258" s="268">
        <f>BS!W68</f>
        <v>57.684318199700996</v>
      </c>
      <c r="X258" s="260"/>
      <c r="Y258" s="268">
        <f>BS!Y68</f>
        <v>52.308905405776052</v>
      </c>
      <c r="Z258" s="268">
        <f>BS!Z68</f>
        <v>53.381555153707033</v>
      </c>
      <c r="AA258" s="268">
        <f>BS!AA68</f>
        <v>51.979301842719963</v>
      </c>
      <c r="AB258" s="268">
        <f>BS!AB68</f>
        <v>51.465270527082751</v>
      </c>
      <c r="AC258" s="268">
        <f>BS!AC68</f>
        <v>71.531691427497563</v>
      </c>
      <c r="AD258" s="261"/>
      <c r="AE258" s="268">
        <f>BS!AE68</f>
        <v>55.384909865840903</v>
      </c>
      <c r="AF258" s="268">
        <f>BS!AF68</f>
        <v>49.039204819450532</v>
      </c>
      <c r="AG258" s="268">
        <f>BS!AG68</f>
        <v>50.820468059571226</v>
      </c>
      <c r="AH258" s="268">
        <f>BS!AH68</f>
        <v>55.456778419374309</v>
      </c>
      <c r="AI258" s="268">
        <f>BS!AI68</f>
        <v>75.703496485213734</v>
      </c>
      <c r="AJ258" s="261"/>
      <c r="AK258" s="268">
        <f>BS!AK68</f>
        <v>54.31051424828037</v>
      </c>
      <c r="AL258" s="268">
        <f>BS!AL68</f>
        <v>50.622364481971225</v>
      </c>
      <c r="AM258" s="268">
        <f>BS!AM68</f>
        <v>51.834821660472514</v>
      </c>
      <c r="AN258" s="268">
        <f>BS!AN68</f>
        <v>55.478806247759046</v>
      </c>
      <c r="AO258" s="268">
        <f>BS!AO68</f>
        <v>83.785682330880761</v>
      </c>
      <c r="AP258" s="261"/>
      <c r="AQ258" s="268">
        <f>BS!AQ68</f>
        <v>54.643223288682613</v>
      </c>
      <c r="AR258" s="268">
        <f>BS!AR68</f>
        <v>48.575530797646941</v>
      </c>
      <c r="AS258" s="268">
        <f>BS!AS68</f>
        <v>53.255277230509435</v>
      </c>
      <c r="AT258" s="268">
        <f>BS!AT68</f>
        <v>57.93624343416046</v>
      </c>
      <c r="AU258" s="268">
        <f>BS!AU68</f>
        <v>80.645196533156962</v>
      </c>
      <c r="AV258" s="261"/>
      <c r="AW258" s="268">
        <f>BS!AW68</f>
        <v>50.44054082091359</v>
      </c>
      <c r="AX258" s="268">
        <f>BS!AX68</f>
        <v>48.133912790071534</v>
      </c>
      <c r="AY258" s="268">
        <f>BS!AY68</f>
        <v>52.654737073895788</v>
      </c>
      <c r="AZ258" s="268">
        <f>BS!AZ68</f>
        <v>56.312241452583223</v>
      </c>
      <c r="BA258" s="268">
        <f>BS!BA68</f>
        <v>81.60445792620267</v>
      </c>
      <c r="BB258" s="261"/>
      <c r="BC258" s="268">
        <f>BS!BC68</f>
        <v>49.036718754636588</v>
      </c>
      <c r="BD258" s="268">
        <f>BS!BD68</f>
        <v>49.821732201074447</v>
      </c>
      <c r="BE258" s="268">
        <f>BS!BE68</f>
        <v>52.853923404255333</v>
      </c>
      <c r="BF258" s="268">
        <f>BS!BF68</f>
        <v>55.109092708364692</v>
      </c>
      <c r="BG258" s="268">
        <f>BS!BG68</f>
        <v>81.420180406964548</v>
      </c>
      <c r="BH258" s="261"/>
      <c r="BI258" s="268">
        <f>BS!BI68</f>
        <v>50.300563815121464</v>
      </c>
      <c r="BJ258" s="268">
        <f>BS!BJ68</f>
        <v>54.431769807554744</v>
      </c>
      <c r="BK258" s="268">
        <f>BS!BK68</f>
        <v>49.592530190626576</v>
      </c>
      <c r="BL258" s="268">
        <f>BS!BL68</f>
        <v>56.229697538439318</v>
      </c>
      <c r="BM258" s="268">
        <f>BS!BM68</f>
        <v>90.766191733965897</v>
      </c>
      <c r="BN258" s="261"/>
      <c r="BO258" s="268">
        <f>BS!BO68</f>
        <v>51.432785341474236</v>
      </c>
      <c r="BP258" s="268">
        <f>BS!BP68</f>
        <v>54.790353581241135</v>
      </c>
      <c r="BQ258" s="268">
        <f>BS!BQ68</f>
        <v>50.934648935422288</v>
      </c>
      <c r="BR258" s="268">
        <f>BS!BR68</f>
        <v>55.85957909575788</v>
      </c>
      <c r="BS258" s="268">
        <f>BS!BS68</f>
        <v>88.92091047144055</v>
      </c>
      <c r="BT258" s="261"/>
      <c r="BU258" s="268">
        <f>BS!BU68</f>
        <v>59.301164921774834</v>
      </c>
      <c r="BV258" s="268">
        <f>BS!BV68</f>
        <v>53.23582107811702</v>
      </c>
      <c r="BW258" s="268">
        <f>BS!BW68</f>
        <v>53.245625633566917</v>
      </c>
      <c r="BX258" s="268">
        <f>BS!BX68</f>
        <v>63.368821847555132</v>
      </c>
      <c r="BY258" s="268">
        <f>BS!BY68</f>
        <v>103.57052448741818</v>
      </c>
      <c r="BZ258" s="261"/>
      <c r="CA258" s="268">
        <f>BS!CA68</f>
        <v>59.822816514973667</v>
      </c>
      <c r="CB258" s="268">
        <f>BS!CB68</f>
        <v>55.752034391612966</v>
      </c>
      <c r="CC258" s="268">
        <f>BS!CC68</f>
        <v>56.994902480856396</v>
      </c>
      <c r="CD258" s="268">
        <f>BS!CD68</f>
        <v>67.462684101208467</v>
      </c>
      <c r="CE258" s="268">
        <f>BS!CE68</f>
        <v>111.12766081530299</v>
      </c>
      <c r="CF258" s="261"/>
      <c r="CG258" s="268">
        <f>BS!CG68</f>
        <v>66.884675798090385</v>
      </c>
      <c r="CH258" s="268">
        <f>BS!CH68</f>
        <v>59.584965790477149</v>
      </c>
      <c r="CI258" s="268">
        <f>BS!CI68</f>
        <v>62.662433392889731</v>
      </c>
      <c r="CJ258" s="268">
        <f>BS!CJ68</f>
        <v>69.030242060003516</v>
      </c>
      <c r="CK258" s="268">
        <f>BS!CK68</f>
        <v>117.66161428354445</v>
      </c>
      <c r="CL258" s="261"/>
      <c r="CM258" s="268">
        <f>BS!CM68</f>
        <v>65.789962278579708</v>
      </c>
      <c r="CN258" s="268">
        <f>BS!CN68</f>
        <v>64.254307937612808</v>
      </c>
      <c r="CO258" s="268">
        <f>BS!CO68</f>
        <v>63.494613088798538</v>
      </c>
      <c r="CP258" s="268">
        <f>BS!CP68</f>
        <v>66.264532182067811</v>
      </c>
      <c r="CQ258" s="268">
        <f>BS!CQ68</f>
        <v>119.33668718779272</v>
      </c>
      <c r="CR258" s="261"/>
      <c r="CS258" s="268">
        <f>BS!CS68</f>
        <v>68.658874055659879</v>
      </c>
      <c r="CT258" s="268">
        <f>BS!CT68</f>
        <v>60.421257792811424</v>
      </c>
      <c r="CU258" s="268">
        <f>BS!CU68</f>
        <v>60.707898542974277</v>
      </c>
      <c r="CV258" s="268">
        <f>BS!CV68</f>
        <v>63.483945443931582</v>
      </c>
      <c r="CW258" s="268">
        <f>BS!CW68</f>
        <v>117.21029944111143</v>
      </c>
      <c r="CX258" s="261"/>
      <c r="CY258" s="268">
        <f>BS!CY68</f>
        <v>79.308874055659885</v>
      </c>
      <c r="CZ258" s="268">
        <f>BS!CZ68</f>
        <v>62.671257792811424</v>
      </c>
      <c r="DA258" s="268">
        <f>BS!DA68</f>
        <v>64.27789854297427</v>
      </c>
      <c r="DB258" s="268">
        <f>BS!DB68</f>
        <v>65.578945443931588</v>
      </c>
      <c r="DC258" s="268">
        <f>BS!DC68</f>
        <v>124.34083031746924</v>
      </c>
      <c r="DD258" s="261"/>
      <c r="DE258" s="268">
        <f>BS!DE68</f>
        <v>90.108874055659882</v>
      </c>
      <c r="DF258" s="268">
        <f>BS!DF68</f>
        <v>69.811257792811418</v>
      </c>
      <c r="DG258" s="268">
        <f>BS!DG68</f>
        <v>72.457898542974277</v>
      </c>
      <c r="DH258" s="268">
        <f>BS!DH68</f>
        <v>66.478945443931593</v>
      </c>
      <c r="DI258" s="268">
        <f>BS!DI68</f>
        <v>128.66139215474118</v>
      </c>
      <c r="DJ258" s="261"/>
      <c r="DK258" s="268">
        <f>BS!DW68</f>
        <v>0</v>
      </c>
      <c r="DL258" s="268">
        <f>BS!DX68</f>
        <v>0</v>
      </c>
      <c r="DM258" s="268">
        <f>BS!DY68</f>
        <v>0</v>
      </c>
      <c r="DN258" s="268">
        <f>BS!DZ68</f>
        <v>0</v>
      </c>
      <c r="DO258" s="268">
        <f>BS!EA68</f>
        <v>0</v>
      </c>
      <c r="DP258" s="260"/>
    </row>
    <row r="259" spans="1:120" ht="4.5" hidden="1" customHeight="1" outlineLevel="1">
      <c r="A259" s="255"/>
      <c r="B259" s="668"/>
      <c r="C259" s="744"/>
      <c r="D259" s="744"/>
      <c r="E259" s="744"/>
      <c r="F259" s="669"/>
      <c r="G259" s="744"/>
      <c r="H259" s="744"/>
      <c r="I259" s="744"/>
      <c r="J259" s="744"/>
      <c r="K259" s="744"/>
      <c r="L259" s="669"/>
      <c r="M259" s="744"/>
      <c r="N259" s="744"/>
      <c r="O259" s="744"/>
      <c r="P259" s="744"/>
      <c r="Q259" s="744"/>
      <c r="R259" s="669"/>
      <c r="S259" s="744"/>
      <c r="T259" s="744"/>
      <c r="U259" s="744"/>
      <c r="V259" s="744"/>
      <c r="W259" s="744"/>
      <c r="X259" s="669"/>
      <c r="Y259" s="744"/>
      <c r="Z259" s="744"/>
      <c r="AA259" s="744"/>
      <c r="AB259" s="744"/>
      <c r="AC259" s="744"/>
      <c r="AD259" s="744"/>
      <c r="AE259" s="744"/>
      <c r="AF259" s="744"/>
      <c r="AG259" s="744"/>
      <c r="AH259" s="744"/>
      <c r="AI259" s="744"/>
      <c r="AJ259" s="744"/>
      <c r="AK259" s="744"/>
      <c r="AL259" s="744"/>
      <c r="AM259" s="744"/>
      <c r="AN259" s="744"/>
      <c r="AO259" s="744"/>
      <c r="AP259" s="744"/>
      <c r="AQ259" s="744"/>
      <c r="AR259" s="744"/>
      <c r="AS259" s="744"/>
      <c r="AT259" s="744"/>
      <c r="AU259" s="744"/>
      <c r="AV259" s="744"/>
      <c r="AW259" s="744"/>
      <c r="AX259" s="744"/>
      <c r="AY259" s="744"/>
      <c r="AZ259" s="744"/>
      <c r="BA259" s="744"/>
      <c r="BB259" s="744"/>
      <c r="BC259" s="744"/>
      <c r="BD259" s="744"/>
      <c r="BE259" s="744"/>
      <c r="BF259" s="744"/>
      <c r="BG259" s="744"/>
      <c r="BH259" s="744"/>
      <c r="BI259" s="744"/>
      <c r="BJ259" s="744"/>
      <c r="BK259" s="744"/>
      <c r="BL259" s="744"/>
      <c r="BM259" s="744"/>
      <c r="BN259" s="744"/>
      <c r="BO259" s="744"/>
      <c r="BP259" s="744"/>
      <c r="BQ259" s="744"/>
      <c r="BR259" s="744"/>
      <c r="BS259" s="744"/>
      <c r="BT259" s="744"/>
      <c r="BU259" s="744"/>
      <c r="BV259" s="744"/>
      <c r="BW259" s="744"/>
      <c r="BX259" s="744"/>
      <c r="BY259" s="744"/>
      <c r="BZ259" s="744"/>
      <c r="CA259" s="744"/>
      <c r="CB259" s="744"/>
      <c r="CC259" s="744"/>
      <c r="CD259" s="744"/>
      <c r="CE259" s="744"/>
      <c r="CF259" s="744"/>
      <c r="CG259" s="744"/>
      <c r="CH259" s="744"/>
      <c r="CI259" s="744"/>
      <c r="CJ259" s="744"/>
      <c r="CK259" s="744"/>
      <c r="CL259" s="744"/>
      <c r="CM259" s="744"/>
      <c r="CN259" s="744"/>
      <c r="CO259" s="744"/>
      <c r="CP259" s="744"/>
      <c r="CQ259" s="744"/>
      <c r="CR259" s="744"/>
      <c r="CS259" s="744"/>
      <c r="CT259" s="744"/>
      <c r="CU259" s="744"/>
      <c r="CV259" s="744"/>
      <c r="CW259" s="744"/>
      <c r="CX259" s="744"/>
      <c r="CY259" s="744"/>
      <c r="CZ259" s="744"/>
      <c r="DA259" s="744"/>
      <c r="DB259" s="744"/>
      <c r="DC259" s="744"/>
      <c r="DD259" s="744"/>
      <c r="DE259" s="744"/>
      <c r="DF259" s="744"/>
      <c r="DG259" s="744"/>
      <c r="DH259" s="744"/>
      <c r="DI259" s="744"/>
      <c r="DJ259" s="744"/>
      <c r="DK259" s="744"/>
      <c r="DL259" s="744"/>
      <c r="DM259" s="744"/>
      <c r="DN259" s="744"/>
      <c r="DO259" s="744"/>
      <c r="DP259" s="669"/>
    </row>
    <row r="260" spans="1:120" ht="12.75" hidden="1" customHeight="1" outlineLevel="1">
      <c r="A260" s="260" t="s">
        <v>89</v>
      </c>
      <c r="B260" s="730" t="s">
        <v>609</v>
      </c>
      <c r="C260" s="268" t="s">
        <v>88</v>
      </c>
      <c r="D260" s="268">
        <f>'MS Revenue Analysis'!F198</f>
        <v>176</v>
      </c>
      <c r="E260" s="268">
        <f>'MS Revenue Analysis'!L198</f>
        <v>159</v>
      </c>
      <c r="F260" s="260"/>
      <c r="G260" s="268">
        <f>'MS Revenue Analysis'!O198</f>
        <v>209</v>
      </c>
      <c r="H260" s="268">
        <f>'MS Revenue Analysis'!P198</f>
        <v>255</v>
      </c>
      <c r="I260" s="268">
        <f>'MS Revenue Analysis'!Q198</f>
        <v>306</v>
      </c>
      <c r="J260" s="268">
        <f>'MS Revenue Analysis'!R198</f>
        <v>311</v>
      </c>
      <c r="K260" s="870">
        <f>J260</f>
        <v>311</v>
      </c>
      <c r="L260" s="260"/>
      <c r="M260" s="876">
        <f>'MS Revenue Analysis'!U198</f>
        <v>329</v>
      </c>
      <c r="N260" s="876">
        <f>'MS Revenue Analysis'!V198</f>
        <v>357</v>
      </c>
      <c r="O260" s="876">
        <f>'MS Revenue Analysis'!W198</f>
        <v>412</v>
      </c>
      <c r="P260" s="870">
        <f>'MS Revenue Analysis'!X198</f>
        <v>444</v>
      </c>
      <c r="Q260" s="870">
        <f>P260</f>
        <v>444</v>
      </c>
      <c r="R260" s="260"/>
      <c r="S260" s="870">
        <f>'MS Revenue Analysis'!AA198</f>
        <v>518</v>
      </c>
      <c r="T260" s="870">
        <f>'MS Revenue Analysis'!AB198</f>
        <v>594</v>
      </c>
      <c r="U260" s="870">
        <f>'MS Revenue Analysis'!AC198</f>
        <v>679</v>
      </c>
      <c r="V260" s="870">
        <f>'MS Revenue Analysis'!AD198</f>
        <v>767</v>
      </c>
      <c r="W260" s="870">
        <f>V260</f>
        <v>767</v>
      </c>
      <c r="X260" s="260"/>
      <c r="Y260" s="261">
        <f>'MS Revenue Analysis'!AG198</f>
        <v>877</v>
      </c>
      <c r="Z260" s="261">
        <f>'MS Revenue Analysis'!AH198</f>
        <v>1059</v>
      </c>
      <c r="AA260" s="261">
        <f>'MS Revenue Analysis'!AI198</f>
        <v>1116</v>
      </c>
      <c r="AB260" s="890">
        <f>'MS Revenue Analysis'!AJ198</f>
        <v>1304</v>
      </c>
      <c r="AC260" s="891">
        <f>AB260</f>
        <v>1304</v>
      </c>
      <c r="AD260" s="870"/>
      <c r="AE260" s="890">
        <f>'MS Revenue Analysis'!AM198</f>
        <v>1480</v>
      </c>
      <c r="AF260" s="890">
        <f>'MS Revenue Analysis'!AN198</f>
        <v>1625</v>
      </c>
      <c r="AG260" s="890">
        <f>'MS Revenue Analysis'!AO198</f>
        <v>1807</v>
      </c>
      <c r="AH260" s="890">
        <f>'MS Revenue Analysis'!AP198</f>
        <v>2070</v>
      </c>
      <c r="AI260" s="891">
        <f>AH260</f>
        <v>2070</v>
      </c>
      <c r="AJ260" s="870"/>
      <c r="AK260" s="890">
        <f>'MS Revenue Analysis'!AS198</f>
        <v>2243</v>
      </c>
      <c r="AL260" s="890">
        <f>'MS Revenue Analysis'!AT198</f>
        <v>2302</v>
      </c>
      <c r="AM260" s="890">
        <f>'MS Revenue Analysis'!AU198</f>
        <v>2461</v>
      </c>
      <c r="AN260" s="890">
        <f>'MS Revenue Analysis'!AV198</f>
        <v>2606</v>
      </c>
      <c r="AO260" s="891">
        <f>AN260</f>
        <v>2606</v>
      </c>
      <c r="AP260" s="870"/>
      <c r="AQ260" s="890">
        <f>'MS Revenue Analysis'!AY198</f>
        <v>2864</v>
      </c>
      <c r="AR260" s="890">
        <f>'MS Revenue Analysis'!AZ198</f>
        <v>3046</v>
      </c>
      <c r="AS260" s="890">
        <f>'MS Revenue Analysis'!BA198</f>
        <v>3318</v>
      </c>
      <c r="AT260" s="890">
        <f>'MS Revenue Analysis'!BB198</f>
        <v>3566</v>
      </c>
      <c r="AU260" s="891">
        <f>AT260</f>
        <v>3566</v>
      </c>
      <c r="AV260" s="870"/>
      <c r="AW260" s="890">
        <f>'MS Revenue Analysis'!BE198</f>
        <v>3607</v>
      </c>
      <c r="AX260" s="890">
        <f>'MS Revenue Analysis'!BF198</f>
        <v>3653</v>
      </c>
      <c r="AY260" s="890">
        <f>'MS Revenue Analysis'!BG198</f>
        <v>3814</v>
      </c>
      <c r="AZ260" s="890">
        <f>'MS Revenue Analysis'!BH198</f>
        <v>3969</v>
      </c>
      <c r="BA260" s="891">
        <f>AZ260</f>
        <v>3969</v>
      </c>
      <c r="BB260" s="870"/>
      <c r="BC260" s="890">
        <f>'MS Revenue Analysis'!BK198</f>
        <v>4106</v>
      </c>
      <c r="BD260" s="890">
        <f>'MS Revenue Analysis'!BL198</f>
        <v>4447</v>
      </c>
      <c r="BE260" s="890">
        <f>'MS Revenue Analysis'!BM198</f>
        <v>4758</v>
      </c>
      <c r="BF260" s="890">
        <f>'MS Revenue Analysis'!BN198</f>
        <v>5306</v>
      </c>
      <c r="BG260" s="891">
        <f>BF260</f>
        <v>5306</v>
      </c>
      <c r="BH260" s="870"/>
      <c r="BI260" s="890">
        <f>'MS Revenue Analysis'!BQ198</f>
        <v>5513</v>
      </c>
      <c r="BJ260" s="890">
        <f>'MS Revenue Analysis'!BR198</f>
        <v>6352</v>
      </c>
      <c r="BK260" s="890">
        <f>'MS Revenue Analysis'!BS198</f>
        <v>6953</v>
      </c>
      <c r="BL260" s="890">
        <f>'MS Revenue Analysis'!BT198</f>
        <v>7785</v>
      </c>
      <c r="BM260" s="891">
        <f>BL260</f>
        <v>7785</v>
      </c>
      <c r="BN260" s="870"/>
      <c r="BO260" s="890">
        <f>'MS Revenue Analysis'!BW198</f>
        <v>8335</v>
      </c>
      <c r="BP260" s="890">
        <f>'MS Revenue Analysis'!BX198</f>
        <v>8765</v>
      </c>
      <c r="BQ260" s="890">
        <f>'MS Revenue Analysis'!BY198</f>
        <v>9319</v>
      </c>
      <c r="BR260" s="890">
        <f>'MS Revenue Analysis'!BZ198</f>
        <v>9801</v>
      </c>
      <c r="BS260" s="891">
        <f>BR260</f>
        <v>9801</v>
      </c>
      <c r="BT260" s="870"/>
      <c r="BU260" s="890">
        <f>'MS Revenue Analysis'!CC198</f>
        <v>10283</v>
      </c>
      <c r="BV260" s="890">
        <f>'MS Revenue Analysis'!CD198</f>
        <v>12571</v>
      </c>
      <c r="BW260" s="890">
        <f>'MS Revenue Analysis'!CE198</f>
        <v>12770</v>
      </c>
      <c r="BX260" s="890">
        <f>'MS Revenue Analysis'!CF198</f>
        <v>13312</v>
      </c>
      <c r="BY260" s="891">
        <f>BX260</f>
        <v>13312</v>
      </c>
      <c r="BZ260" s="870"/>
      <c r="CA260" s="890">
        <f>'MS Revenue Analysis'!CI198</f>
        <v>14239</v>
      </c>
      <c r="CB260" s="890">
        <f>'MS Revenue Analysis'!CJ198</f>
        <v>15145</v>
      </c>
      <c r="CC260" s="890">
        <f>'MS Revenue Analysis'!CK198</f>
        <v>15458</v>
      </c>
      <c r="CD260" s="890">
        <f>'MS Revenue Analysis'!CL198</f>
        <v>16227</v>
      </c>
      <c r="CE260" s="891">
        <f>CD260</f>
        <v>16227</v>
      </c>
      <c r="CF260" s="870"/>
      <c r="CG260" s="890">
        <f>'MS Revenue Analysis'!CO198</f>
        <v>16852</v>
      </c>
      <c r="CH260" s="890">
        <f>'MS Revenue Analysis'!CP198</f>
        <v>17622</v>
      </c>
      <c r="CI260" s="890">
        <f>'MS Revenue Analysis'!CQ198</f>
        <v>18726</v>
      </c>
      <c r="CJ260" s="890">
        <f>'MS Revenue Analysis'!CR198</f>
        <v>19742</v>
      </c>
      <c r="CK260" s="891">
        <f>CJ260</f>
        <v>19742</v>
      </c>
      <c r="CL260" s="870"/>
      <c r="CM260" s="890">
        <f>'MS Revenue Analysis'!CU198</f>
        <v>21119</v>
      </c>
      <c r="CN260" s="890">
        <f>'MS Revenue Analysis'!CV198</f>
        <v>23247</v>
      </c>
      <c r="CO260" s="890">
        <f>'MS Revenue Analysis'!CW198</f>
        <v>23939</v>
      </c>
      <c r="CP260" s="890">
        <f>'MS Revenue Analysis'!CX198</f>
        <v>25178</v>
      </c>
      <c r="CQ260" s="891">
        <f>CP260</f>
        <v>25178</v>
      </c>
      <c r="CR260" s="870"/>
      <c r="CS260" s="890">
        <f>'MS Revenue Analysis'!DA198</f>
        <v>26213</v>
      </c>
      <c r="CT260" s="890">
        <f>'MS Revenue Analysis'!DB198</f>
        <v>27155</v>
      </c>
      <c r="CU260" s="890">
        <f>'MS Revenue Analysis'!DC198</f>
        <v>28527</v>
      </c>
      <c r="CV260" s="890">
        <f>'MS Revenue Analysis'!DD198</f>
        <v>29401</v>
      </c>
      <c r="CW260" s="891">
        <f>CV260</f>
        <v>29401</v>
      </c>
      <c r="CX260" s="870"/>
      <c r="CY260" s="890">
        <f>'MS Revenue Analysis'!DG198</f>
        <v>30101</v>
      </c>
      <c r="CZ260" s="890">
        <f>'MS Revenue Analysis'!DH198</f>
        <v>30801</v>
      </c>
      <c r="DA260" s="890">
        <f>'MS Revenue Analysis'!DI198</f>
        <v>31501</v>
      </c>
      <c r="DB260" s="890">
        <f>'MS Revenue Analysis'!DJ198</f>
        <v>32201</v>
      </c>
      <c r="DC260" s="891">
        <f>DB260</f>
        <v>32201</v>
      </c>
      <c r="DD260" s="870"/>
      <c r="DE260" s="890">
        <f>'MS Revenue Analysis'!DM198</f>
        <v>32901</v>
      </c>
      <c r="DF260" s="890">
        <f>'MS Revenue Analysis'!DN198</f>
        <v>33601</v>
      </c>
      <c r="DG260" s="890">
        <f>'MS Revenue Analysis'!DO198</f>
        <v>34301</v>
      </c>
      <c r="DH260" s="890">
        <f>'MS Revenue Analysis'!DP198</f>
        <v>35001</v>
      </c>
      <c r="DI260" s="891">
        <f>DH260</f>
        <v>35001</v>
      </c>
      <c r="DJ260" s="870"/>
      <c r="DK260" s="890">
        <f>'MS Revenue Analysis'!DS198</f>
        <v>35701</v>
      </c>
      <c r="DL260" s="890">
        <f>'MS Revenue Analysis'!DT198</f>
        <v>36401</v>
      </c>
      <c r="DM260" s="890">
        <f>'MS Revenue Analysis'!DU198</f>
        <v>37101</v>
      </c>
      <c r="DN260" s="890">
        <f>'MS Revenue Analysis'!DV198</f>
        <v>37801</v>
      </c>
      <c r="DO260" s="891">
        <f>DN260</f>
        <v>37801</v>
      </c>
      <c r="DP260" s="260"/>
    </row>
    <row r="261" spans="1:120" ht="12.75" hidden="1" customHeight="1" outlineLevel="1">
      <c r="A261" s="260"/>
      <c r="B261" s="730"/>
      <c r="C261" s="260"/>
      <c r="D261" s="260"/>
      <c r="E261" s="260"/>
      <c r="F261" s="260"/>
      <c r="G261" s="260"/>
      <c r="H261" s="260"/>
      <c r="I261" s="260"/>
      <c r="J261" s="260"/>
      <c r="K261" s="260"/>
      <c r="L261" s="260"/>
      <c r="M261" s="260"/>
      <c r="N261" s="260"/>
      <c r="O261" s="260"/>
      <c r="P261" s="260"/>
      <c r="Q261" s="260"/>
      <c r="R261" s="260"/>
      <c r="S261" s="260"/>
      <c r="T261" s="260"/>
      <c r="U261" s="260"/>
      <c r="V261" s="260"/>
      <c r="W261" s="260"/>
      <c r="X261" s="260"/>
      <c r="Y261" s="260"/>
      <c r="Z261" s="260"/>
      <c r="AA261" s="260"/>
      <c r="AB261" s="260"/>
      <c r="AC261" s="260"/>
      <c r="AD261" s="260"/>
      <c r="AE261" s="260"/>
      <c r="AF261" s="260"/>
      <c r="AG261" s="260"/>
      <c r="AH261" s="260"/>
      <c r="AI261" s="260"/>
      <c r="AJ261" s="260"/>
      <c r="AK261" s="260"/>
      <c r="AL261" s="260"/>
      <c r="AM261" s="260"/>
      <c r="AN261" s="260"/>
      <c r="AO261" s="260"/>
      <c r="AP261" s="260"/>
      <c r="AQ261" s="260"/>
      <c r="AR261" s="260"/>
      <c r="AS261" s="260"/>
      <c r="AT261" s="260"/>
      <c r="AU261" s="260"/>
      <c r="AV261" s="260"/>
      <c r="AW261" s="260"/>
      <c r="AX261" s="260"/>
      <c r="AY261" s="260"/>
      <c r="AZ261" s="260"/>
      <c r="BA261" s="260"/>
      <c r="BB261" s="260"/>
      <c r="BC261" s="260"/>
      <c r="BD261" s="260"/>
      <c r="BE261" s="260"/>
      <c r="BF261" s="260"/>
      <c r="BG261" s="260"/>
      <c r="BH261" s="260"/>
      <c r="BI261" s="260"/>
      <c r="BJ261" s="260"/>
      <c r="BK261" s="260"/>
      <c r="BL261" s="260"/>
      <c r="BM261" s="260"/>
      <c r="BN261" s="260"/>
      <c r="BO261" s="260"/>
      <c r="BP261" s="260"/>
      <c r="BQ261" s="260"/>
      <c r="BR261" s="260"/>
      <c r="BS261" s="260"/>
      <c r="BT261" s="260"/>
      <c r="BU261" s="260"/>
      <c r="BV261" s="260"/>
      <c r="BW261" s="260"/>
      <c r="BX261" s="260"/>
      <c r="BY261" s="260"/>
      <c r="BZ261" s="260"/>
      <c r="CA261" s="260"/>
      <c r="CB261" s="260"/>
      <c r="CC261" s="260"/>
      <c r="CD261" s="260"/>
      <c r="CE261" s="260"/>
      <c r="CF261" s="260"/>
      <c r="CG261" s="260"/>
      <c r="CH261" s="260"/>
      <c r="CI261" s="260"/>
      <c r="CJ261" s="260"/>
      <c r="CK261" s="260"/>
      <c r="CL261" s="260"/>
      <c r="CM261" s="260"/>
      <c r="CN261" s="260"/>
      <c r="CO261" s="260"/>
      <c r="CP261" s="260"/>
      <c r="CQ261" s="260"/>
      <c r="CR261" s="260"/>
      <c r="CS261" s="260"/>
      <c r="CT261" s="260"/>
      <c r="CU261" s="260"/>
      <c r="CV261" s="260"/>
      <c r="CW261" s="260"/>
      <c r="CX261" s="260"/>
      <c r="CY261" s="260"/>
      <c r="CZ261" s="260"/>
      <c r="DA261" s="260"/>
      <c r="DB261" s="260"/>
      <c r="DC261" s="260"/>
      <c r="DD261" s="260"/>
      <c r="DE261" s="260"/>
      <c r="DF261" s="260"/>
      <c r="DG261" s="260"/>
      <c r="DH261" s="260"/>
      <c r="DI261" s="260"/>
      <c r="DJ261" s="260"/>
      <c r="DK261" s="260"/>
      <c r="DL261" s="260"/>
      <c r="DM261" s="260"/>
      <c r="DN261" s="260"/>
      <c r="DO261" s="260"/>
      <c r="DP261" s="260"/>
    </row>
    <row r="262" spans="1:120" ht="12.75" hidden="1" customHeight="1" outlineLevel="1">
      <c r="A262" s="260" t="s">
        <v>960</v>
      </c>
      <c r="B262" s="730" t="s">
        <v>610</v>
      </c>
      <c r="C262" s="268" t="s">
        <v>88</v>
      </c>
      <c r="D262" s="267">
        <f>CF!D101+CF!D106</f>
        <v>0</v>
      </c>
      <c r="E262" s="267">
        <f>CF!E101+CF!E106</f>
        <v>0</v>
      </c>
      <c r="F262" s="260"/>
      <c r="G262" s="267">
        <f>CF!G102</f>
        <v>2.556</v>
      </c>
      <c r="H262" s="267">
        <f>CF!H102</f>
        <v>2.4700000000000002</v>
      </c>
      <c r="I262" s="267">
        <f>CF!I102</f>
        <v>-0.12700000000000045</v>
      </c>
      <c r="J262" s="267">
        <f>CF!J102</f>
        <v>0.31400000000000017</v>
      </c>
      <c r="K262" s="267">
        <f>CF!K102</f>
        <v>5.2130000000000001</v>
      </c>
      <c r="L262" s="260"/>
      <c r="M262" s="267">
        <f>CF!M102</f>
        <v>4.7610000000000001</v>
      </c>
      <c r="N262" s="267">
        <f>CF!N102</f>
        <v>3.9859999999999993</v>
      </c>
      <c r="O262" s="267">
        <f>CF!O102</f>
        <v>6.8880000000000017</v>
      </c>
      <c r="P262" s="267">
        <f>CF!P102</f>
        <v>6.1459999999999999</v>
      </c>
      <c r="Q262" s="267">
        <f>CF!Q102</f>
        <v>21.781000000000013</v>
      </c>
      <c r="R262" s="260"/>
      <c r="S262" s="267">
        <f>CF!S102</f>
        <v>6.6590000000000016</v>
      </c>
      <c r="T262" s="267">
        <f>CF!T102</f>
        <v>14.934999999999997</v>
      </c>
      <c r="U262" s="267">
        <f>CF!U102</f>
        <v>13.150000000000002</v>
      </c>
      <c r="V262" s="267">
        <f>CF!V102</f>
        <v>21.128000000000004</v>
      </c>
      <c r="W262" s="267">
        <f>CF!W102</f>
        <v>55.872</v>
      </c>
      <c r="X262" s="260"/>
      <c r="Y262" s="267">
        <f>CF!Y102</f>
        <v>17.91</v>
      </c>
      <c r="Z262" s="267">
        <f>CF!Z102</f>
        <v>14.071999999999999</v>
      </c>
      <c r="AA262" s="267">
        <f>CF!AA102</f>
        <v>24.571000000000002</v>
      </c>
      <c r="AB262" s="267">
        <f>CF!AB102</f>
        <v>39.340000000000003</v>
      </c>
      <c r="AC262" s="267">
        <f>CF!AC102</f>
        <v>95.893000000000001</v>
      </c>
      <c r="AD262" s="261"/>
      <c r="AE262" s="267">
        <f>CF!AE102</f>
        <v>12.415999999999999</v>
      </c>
      <c r="AF262" s="267">
        <f>CF!AF102</f>
        <v>30.021999999999998</v>
      </c>
      <c r="AG262" s="267">
        <f>CF!AG102</f>
        <v>30.626999999999999</v>
      </c>
      <c r="AH262" s="267">
        <f>CF!AH102</f>
        <v>38.15861785141324</v>
      </c>
      <c r="AI262" s="267">
        <f>CF!AI102</f>
        <v>111.22361785141324</v>
      </c>
      <c r="AJ262" s="261"/>
      <c r="AK262" s="267">
        <f>CF!AK102</f>
        <v>36.830000000000005</v>
      </c>
      <c r="AL262" s="267">
        <f>CF!AL102</f>
        <v>34.653999999999996</v>
      </c>
      <c r="AM262" s="267">
        <f>CF!AM102</f>
        <v>51.998000000000005</v>
      </c>
      <c r="AN262" s="267">
        <f>CF!AN102</f>
        <v>80.792999999999978</v>
      </c>
      <c r="AO262" s="267">
        <f>CF!AO102</f>
        <v>204.27499999999998</v>
      </c>
      <c r="AP262" s="261"/>
      <c r="AQ262" s="267">
        <f>CF!AQ102</f>
        <v>83.832000000000008</v>
      </c>
      <c r="AR262" s="267">
        <f>CF!AR102</f>
        <v>53.074999999999989</v>
      </c>
      <c r="AS262" s="267">
        <f>CF!AS102</f>
        <v>17.121000000000002</v>
      </c>
      <c r="AT262" s="267">
        <f>CF!AT102</f>
        <v>75.528999999999996</v>
      </c>
      <c r="AU262" s="267">
        <f>CF!AU102</f>
        <v>229.55699999999996</v>
      </c>
      <c r="AV262" s="261"/>
      <c r="AW262" s="267">
        <f>CF!AW102</f>
        <v>98.533000000000015</v>
      </c>
      <c r="AX262" s="267">
        <f>CF!AX102</f>
        <v>45.297999999999988</v>
      </c>
      <c r="AY262" s="267">
        <f>CF!AY102</f>
        <v>35.519999999999996</v>
      </c>
      <c r="AZ262" s="267">
        <f>CF!AZ102</f>
        <v>91.559999999999974</v>
      </c>
      <c r="BA262" s="267">
        <f>CF!BA102</f>
        <v>270.91100000000006</v>
      </c>
      <c r="BB262" s="261"/>
      <c r="BC262" s="267">
        <f>CF!BC102</f>
        <v>143.18300000000002</v>
      </c>
      <c r="BD262" s="267">
        <f>CF!BD102</f>
        <v>76.095999999999989</v>
      </c>
      <c r="BE262" s="267">
        <f>CF!BE102</f>
        <v>74.04000000000002</v>
      </c>
      <c r="BF262" s="267">
        <f>CF!BF102</f>
        <v>165.76200000000003</v>
      </c>
      <c r="BG262" s="267">
        <f>CF!BG102</f>
        <v>459.0809999999999</v>
      </c>
      <c r="BH262" s="261"/>
      <c r="BI262" s="267">
        <f>CF!BI102</f>
        <v>139.518</v>
      </c>
      <c r="BJ262" s="267">
        <f>CF!BJ102</f>
        <v>82.932999999999993</v>
      </c>
      <c r="BK262" s="267">
        <f>CF!BK102</f>
        <v>128.709</v>
      </c>
      <c r="BL262" s="267">
        <f>CF!BL102</f>
        <v>240.34700000000004</v>
      </c>
      <c r="BM262" s="267">
        <f>CF!BM102</f>
        <v>591.50699999999995</v>
      </c>
      <c r="BN262" s="261"/>
      <c r="BO262" s="267">
        <f>CF!BO102</f>
        <v>213.21200000000005</v>
      </c>
      <c r="BP262" s="267">
        <f>CF!BP102</f>
        <v>136.19699999999995</v>
      </c>
      <c r="BQ262" s="267">
        <f>CF!BQ102</f>
        <v>105.91500000000005</v>
      </c>
      <c r="BR262" s="267">
        <f>CF!BR102</f>
        <v>281.57300000000004</v>
      </c>
      <c r="BS262" s="267">
        <f>CF!BS102</f>
        <v>736.89700000000016</v>
      </c>
      <c r="BT262" s="261"/>
      <c r="BU262" s="267">
        <f>CF!BU102</f>
        <v>283.18899999999996</v>
      </c>
      <c r="BV262" s="267">
        <f>CF!BV102</f>
        <v>183.18300000000005</v>
      </c>
      <c r="BW262" s="267">
        <f>CF!BW102</f>
        <v>137.85899999999998</v>
      </c>
      <c r="BX262" s="267">
        <f>CF!BX102</f>
        <v>271.23800000000006</v>
      </c>
      <c r="BY262" s="267">
        <f>CF!BY102</f>
        <v>875.46900000000005</v>
      </c>
      <c r="BZ262" s="261"/>
      <c r="CA262" s="267">
        <f>CF!CA102</f>
        <v>473.08699999999999</v>
      </c>
      <c r="CB262" s="267">
        <f>CF!CB102</f>
        <v>245.89299999999994</v>
      </c>
      <c r="CC262" s="267">
        <f>CF!CC102</f>
        <v>122.51100000000017</v>
      </c>
      <c r="CD262" s="267">
        <f>CF!CD102</f>
        <v>332.22299999999973</v>
      </c>
      <c r="CE262" s="267">
        <f>CF!CE102</f>
        <v>1173.7139999999999</v>
      </c>
      <c r="CF262" s="261"/>
      <c r="CG262" s="267">
        <f>CF!CG102</f>
        <v>730.85699999999997</v>
      </c>
      <c r="CH262" s="267">
        <f>CF!CH102</f>
        <v>304.41099999999994</v>
      </c>
      <c r="CI262" s="267">
        <f>CF!CI102</f>
        <v>117.90700000000004</v>
      </c>
      <c r="CJ262" s="267">
        <f>CF!CJ102</f>
        <v>459.41000000000054</v>
      </c>
      <c r="CK262" s="267">
        <f>CF!CK102</f>
        <v>1612.5850000000003</v>
      </c>
      <c r="CL262" s="261"/>
      <c r="CM262" s="267">
        <f>CF!CM102</f>
        <v>1051.0619999999999</v>
      </c>
      <c r="CN262" s="267">
        <f>CF!CN102</f>
        <v>250.67800000000011</v>
      </c>
      <c r="CO262" s="267">
        <f>CF!CO102</f>
        <v>154.31200000000001</v>
      </c>
      <c r="CP262" s="267">
        <f>CF!CP102</f>
        <v>706.14599999999996</v>
      </c>
      <c r="CQ262" s="267">
        <f>CF!CQ102</f>
        <v>2162.1979999999999</v>
      </c>
      <c r="CR262" s="261"/>
      <c r="CS262" s="267">
        <f>CF!CS102</f>
        <v>1229.5839999999998</v>
      </c>
      <c r="CT262" s="267">
        <f>CF!CT102</f>
        <v>331.26899999999978</v>
      </c>
      <c r="CU262" s="267">
        <f>CF!CU102</f>
        <v>125.7919999999998</v>
      </c>
      <c r="CV262" s="267">
        <f>CF!CV102</f>
        <v>1051.3200000000002</v>
      </c>
      <c r="CW262" s="267">
        <f>CF!CW102</f>
        <v>2737.9649999999997</v>
      </c>
      <c r="CX262" s="261"/>
      <c r="CY262" s="267">
        <f>CF!CY102</f>
        <v>1605.0506950189233</v>
      </c>
      <c r="CZ262" s="267">
        <f>CF!CZ102</f>
        <v>414.05427793897786</v>
      </c>
      <c r="DA262" s="267">
        <f>CF!DA102</f>
        <v>250.66267942791217</v>
      </c>
      <c r="DB262" s="267">
        <f>CF!DB102</f>
        <v>1211.4815266039209</v>
      </c>
      <c r="DC262" s="267">
        <f>CF!DC102</f>
        <v>3481.2491789897344</v>
      </c>
      <c r="DD262" s="261"/>
      <c r="DE262" s="267">
        <f>CF!DE102</f>
        <v>1878.9395355789884</v>
      </c>
      <c r="DF262" s="267">
        <f>CF!DF102</f>
        <v>455.74467656828915</v>
      </c>
      <c r="DG262" s="267">
        <f>CF!DG102</f>
        <v>307.08282825006086</v>
      </c>
      <c r="DH262" s="267">
        <f>CF!DH102</f>
        <v>1808.7579473189862</v>
      </c>
      <c r="DI262" s="267">
        <f>CF!DI102</f>
        <v>4450.5249877163251</v>
      </c>
      <c r="DJ262" s="261"/>
      <c r="DK262" s="267">
        <f>CF!DK102</f>
        <v>2256.5677537980828</v>
      </c>
      <c r="DL262" s="267">
        <f>CF!DL102</f>
        <v>701.79643580312131</v>
      </c>
      <c r="DM262" s="267">
        <f>CF!DM102</f>
        <v>450.63728464952055</v>
      </c>
      <c r="DN262" s="267">
        <f>CF!DN102</f>
        <v>2188.6468827046551</v>
      </c>
      <c r="DO262" s="267">
        <f>CF!DO102</f>
        <v>5597.6483569553802</v>
      </c>
      <c r="DP262" s="260"/>
    </row>
    <row r="263" spans="1:120" ht="12.75" hidden="1" customHeight="1" outlineLevel="1">
      <c r="A263" s="260" t="s">
        <v>41</v>
      </c>
      <c r="B263" s="730" t="s">
        <v>610</v>
      </c>
      <c r="C263" s="268" t="s">
        <v>88</v>
      </c>
      <c r="D263" s="267">
        <f>CF!D102+CF!D107</f>
        <v>-32.555</v>
      </c>
      <c r="E263" s="267">
        <f>CF!E102+CF!E107</f>
        <v>-13.879000000000003</v>
      </c>
      <c r="F263" s="260"/>
      <c r="G263" s="267">
        <f>CF!G102+CF!G107</f>
        <v>2.2999999999999998</v>
      </c>
      <c r="H263" s="267">
        <f>CF!H102+CF!H107</f>
        <v>1.8110000000000002</v>
      </c>
      <c r="I263" s="267">
        <f>CF!I102+CF!I107</f>
        <v>-0.61500000000000044</v>
      </c>
      <c r="J263" s="267">
        <f>CF!J102+CF!J107</f>
        <v>-0.30499999999999983</v>
      </c>
      <c r="K263" s="267">
        <f>CF!K102+CF!K107</f>
        <v>3.1909999999999998</v>
      </c>
      <c r="L263" s="260"/>
      <c r="M263" s="267">
        <f>CF!M102+CF!M107</f>
        <v>4.43</v>
      </c>
      <c r="N263" s="267">
        <f>CF!N102+CF!N107</f>
        <v>3.4979999999999993</v>
      </c>
      <c r="O263" s="267">
        <f>CF!O102+CF!O107</f>
        <v>6.1760000000000019</v>
      </c>
      <c r="P263" s="267">
        <f>CF!P102+CF!P107</f>
        <v>4.7610000000000001</v>
      </c>
      <c r="Q263" s="267">
        <f>CF!Q102+CF!Q107</f>
        <v>18.865000000000013</v>
      </c>
      <c r="R263" s="260"/>
      <c r="S263" s="267">
        <f>CF!S102+CF!S107</f>
        <v>6.381000000000002</v>
      </c>
      <c r="T263" s="267">
        <f>CF!T102+CF!T107</f>
        <v>14.450999999999997</v>
      </c>
      <c r="U263" s="267">
        <f>CF!U102+CF!U107</f>
        <v>11.869000000000002</v>
      </c>
      <c r="V263" s="267">
        <f>CF!V102+CF!V107</f>
        <v>18.863000000000003</v>
      </c>
      <c r="W263" s="267">
        <f>CF!W102+CF!W107</f>
        <v>51.564</v>
      </c>
      <c r="X263" s="260"/>
      <c r="Y263" s="267">
        <f>CF!Y102+CF!Y107</f>
        <v>8.7530000000000001</v>
      </c>
      <c r="Z263" s="267">
        <f>CF!Z102+CF!Z107</f>
        <v>10.7</v>
      </c>
      <c r="AA263" s="267">
        <f>CF!AA102+CF!AA107</f>
        <v>19.28</v>
      </c>
      <c r="AB263" s="267">
        <f>CF!AB102+CF!AB107</f>
        <v>33.725999999999999</v>
      </c>
      <c r="AC263" s="267">
        <f>CF!AC102+CF!AC107</f>
        <v>72.459000000000003</v>
      </c>
      <c r="AD263" s="261"/>
      <c r="AE263" s="267">
        <f>CF!AE102+CF!AE107</f>
        <v>9.820999999999998</v>
      </c>
      <c r="AF263" s="267">
        <f>CF!AF102+CF!AF107</f>
        <v>27.203999999999997</v>
      </c>
      <c r="AG263" s="267">
        <f>CF!AG102+CF!AG107</f>
        <v>21.541999999999998</v>
      </c>
      <c r="AH263" s="267">
        <f>CF!AH102+CF!AH107</f>
        <v>30.53361785141324</v>
      </c>
      <c r="AI263" s="267">
        <f>CF!AI102+CF!AI107</f>
        <v>89.100617851413233</v>
      </c>
      <c r="AJ263" s="261"/>
      <c r="AK263" s="267">
        <f>CF!AK102+CF!AK107</f>
        <v>20.873000000000005</v>
      </c>
      <c r="AL263" s="267">
        <f>CF!AL102+CF!AL107</f>
        <v>24.549999999999997</v>
      </c>
      <c r="AM263" s="267">
        <f>CF!AM102+CF!AM107</f>
        <v>42.876000000000005</v>
      </c>
      <c r="AN263" s="267">
        <f>CF!AN102+CF!AN107</f>
        <v>72.423999999999978</v>
      </c>
      <c r="AO263" s="267">
        <f>CF!AO102+CF!AO107</f>
        <v>160.72299999999998</v>
      </c>
      <c r="AP263" s="261"/>
      <c r="AQ263" s="267">
        <f>CF!AQ102+CF!AQ107</f>
        <v>59.655000000000008</v>
      </c>
      <c r="AR263" s="267">
        <f>CF!AR102+CF!AR107</f>
        <v>40.038999999999987</v>
      </c>
      <c r="AS263" s="267">
        <f>CF!AS102+CF!AS107</f>
        <v>5.507000000000005</v>
      </c>
      <c r="AT263" s="267">
        <f>CF!AT102+CF!AT107</f>
        <v>63.296999999999997</v>
      </c>
      <c r="AU263" s="267">
        <f>CF!AU102+CF!AU107</f>
        <v>168.49799999999996</v>
      </c>
      <c r="AV263" s="261"/>
      <c r="AW263" s="267">
        <f>CF!AW102+CF!AW107</f>
        <v>85.105000000000018</v>
      </c>
      <c r="AX263" s="267">
        <f>CF!AX102+CF!AX107</f>
        <v>25.969999999999988</v>
      </c>
      <c r="AY263" s="267">
        <f>CF!AY102+CF!AY107</f>
        <v>21.430999999999997</v>
      </c>
      <c r="AZ263" s="267">
        <f>CF!AZ102+CF!AZ107</f>
        <v>84.503999999999962</v>
      </c>
      <c r="BA263" s="267">
        <f>CF!BA102+CF!BA107</f>
        <v>217.01000000000005</v>
      </c>
      <c r="BB263" s="261"/>
      <c r="BC263" s="267">
        <f>CF!BC102+CF!BC107++CF!BC108</f>
        <v>130.99300000000002</v>
      </c>
      <c r="BD263" s="267">
        <f>CF!BD102+CF!BD107++CF!BD108</f>
        <v>48.764999999999986</v>
      </c>
      <c r="BE263" s="267">
        <f>CF!BE102+CF!BE107++CF!BE108</f>
        <v>45.250000000000021</v>
      </c>
      <c r="BF263" s="267">
        <f>CF!BF102+CF!BF107++CF!BF108</f>
        <v>-134.75799999999998</v>
      </c>
      <c r="BG263" s="267">
        <f>CF!BG102+CF!BG107++CF!BG108</f>
        <v>90.249999999999886</v>
      </c>
      <c r="BH263" s="261"/>
      <c r="BI263" s="267">
        <f>CF!BI102+CF!BI107++CF!BI108</f>
        <v>111.19000000000001</v>
      </c>
      <c r="BJ263" s="267">
        <f>CF!BJ102+CF!BJ107++CF!BJ108</f>
        <v>32.46</v>
      </c>
      <c r="BK263" s="267">
        <f>CF!BK102+CF!BK107++CF!BK108</f>
        <v>87.376999999999995</v>
      </c>
      <c r="BL263" s="267">
        <f>CF!BL102+CF!BL107++CF!BL108</f>
        <v>189.18000000000004</v>
      </c>
      <c r="BM263" s="267">
        <f>CF!BM102+CF!BM107++CF!BM108</f>
        <v>420.20699999999999</v>
      </c>
      <c r="BN263" s="261"/>
      <c r="BO263" s="267">
        <f>CF!BO102+CF!BO107++CF!BO108</f>
        <v>164.38500000000005</v>
      </c>
      <c r="BP263" s="267">
        <f>CF!BP102+CF!BP107++CF!BP108</f>
        <v>106.89299999999994</v>
      </c>
      <c r="BQ263" s="267">
        <f>CF!BQ102+CF!BQ107++CF!BQ108</f>
        <v>54.861000000000061</v>
      </c>
      <c r="BR263" s="267">
        <f>CF!BR102+CF!BR107++CF!BR108</f>
        <v>231.05100000000004</v>
      </c>
      <c r="BS263" s="267">
        <f>CF!BS102+CF!BS107++CF!BS108</f>
        <v>557.19000000000017</v>
      </c>
      <c r="BT263" s="261"/>
      <c r="BU263" s="267">
        <f>CF!BU102+CF!BU107++CF!BU108</f>
        <v>229.17899999999997</v>
      </c>
      <c r="BV263" s="267">
        <f>CF!BV102+CF!BV107++CF!BV108</f>
        <v>80.634000000000043</v>
      </c>
      <c r="BW263" s="267">
        <f>CF!BW102+CF!BW107++CF!BW108</f>
        <v>65.156999999999982</v>
      </c>
      <c r="BX263" s="267">
        <f>CF!BX102+CF!BX107++CF!BX108</f>
        <v>201.38900000000004</v>
      </c>
      <c r="BY263" s="267">
        <f>CF!BY102+CF!BY107++CF!BY108</f>
        <v>576.35900000000004</v>
      </c>
      <c r="BZ263" s="261"/>
      <c r="CA263" s="267">
        <f>CF!CA102+CF!CA107++CF!CA108</f>
        <v>442.98899999999998</v>
      </c>
      <c r="CB263" s="267">
        <f>CF!CB102+CF!CB107++CF!CB108</f>
        <v>175.31699999999995</v>
      </c>
      <c r="CC263" s="267">
        <f>CF!CC102+CF!CC107++CF!CC108</f>
        <v>126.39000000000019</v>
      </c>
      <c r="CD263" s="267">
        <f>CF!CD102+CF!CD107++CF!CD108</f>
        <v>235.36899999999972</v>
      </c>
      <c r="CE263" s="267">
        <f>CF!CE102+CF!CE107++CF!CE108</f>
        <v>980.06500000000005</v>
      </c>
      <c r="CF263" s="261"/>
      <c r="CG263" s="267">
        <f>CF!CG102+CF!CG107++CF!CG108</f>
        <v>352.26100000000002</v>
      </c>
      <c r="CH263" s="267">
        <f>CF!CH102+CF!CH107++CF!CH108</f>
        <v>242.95999999999992</v>
      </c>
      <c r="CI263" s="267">
        <f>CF!CI102+CF!CI107++CF!CI108</f>
        <v>158.64800000000008</v>
      </c>
      <c r="CJ263" s="267">
        <f>CF!CJ102+CF!CJ107++CF!CJ108</f>
        <v>390.9450000000005</v>
      </c>
      <c r="CK263" s="267">
        <f>CF!CK102+CF!CK107++CF!CK108</f>
        <v>1144.8140000000003</v>
      </c>
      <c r="CL263" s="261"/>
      <c r="CM263" s="267">
        <f>CF!CM102+CF!CM107++CF!CM108</f>
        <v>967.76099999999985</v>
      </c>
      <c r="CN263" s="267">
        <f>CF!CN102+CF!CN107++CF!CN108</f>
        <v>154.64800000000014</v>
      </c>
      <c r="CO263" s="267">
        <f>CF!CO102+CF!CO107++CF!CO108</f>
        <v>13.65900000000002</v>
      </c>
      <c r="CP263" s="267">
        <f>CF!CP102+CF!CP107++CF!CP108</f>
        <v>562.17199999999991</v>
      </c>
      <c r="CQ263" s="267">
        <f>CF!CQ102+CF!CQ107++CF!CQ108</f>
        <v>1698.2399999999998</v>
      </c>
      <c r="CR263" s="261"/>
      <c r="CS263" s="267">
        <f>CF!CS102+CF!CS107++CF!CS108</f>
        <v>1072.9819999999997</v>
      </c>
      <c r="CT263" s="267">
        <f>CF!CT102+CF!CT107++CF!CT108</f>
        <v>202.88099999999977</v>
      </c>
      <c r="CU263" s="267">
        <f>CF!CU102+CF!CU107++CF!CU108</f>
        <v>14.513999999999839</v>
      </c>
      <c r="CV263" s="267">
        <f>CF!CV102+CF!CV107++CF!CV108</f>
        <v>913.56100000000015</v>
      </c>
      <c r="CW263" s="267">
        <f>CF!CW102+CF!CW107++CF!CW108</f>
        <v>2203.9379999999996</v>
      </c>
      <c r="CX263" s="261"/>
      <c r="CY263" s="267">
        <f>CF!CY102+CF!CY107++CF!CY108</f>
        <v>1447.8578474894055</v>
      </c>
      <c r="CZ263" s="267">
        <f>CF!CZ102+CF!CZ107++CF!CZ108</f>
        <v>295.86509374959741</v>
      </c>
      <c r="DA263" s="267">
        <f>CF!DA102+CF!DA107++CF!DA108</f>
        <v>155.78543700419061</v>
      </c>
      <c r="DB263" s="267">
        <f>CF!DB102+CF!DB107++CF!DB108</f>
        <v>1088.1993040652683</v>
      </c>
      <c r="DC263" s="267">
        <f>CF!DC102+CF!DC107++CF!DC108</f>
        <v>2987.7076823084617</v>
      </c>
      <c r="DD263" s="261"/>
      <c r="DE263" s="267">
        <f>CF!DE102+CF!DE107++CF!DE108</f>
        <v>1708.0316774401238</v>
      </c>
      <c r="DF263" s="267">
        <f>CF!DF102+CF!DF107++CF!DF108</f>
        <v>313.56355829374593</v>
      </c>
      <c r="DG263" s="267">
        <f>CF!DG102+CF!DG107++CF!DG108</f>
        <v>192.94003277897383</v>
      </c>
      <c r="DH263" s="267">
        <f>CF!DH102+CF!DH107++CF!DH108</f>
        <v>1661.3267289324892</v>
      </c>
      <c r="DI263" s="267">
        <f>CF!DI102+CF!DI107++CF!DI108</f>
        <v>3875.8619974453331</v>
      </c>
      <c r="DJ263" s="261"/>
      <c r="DK263" s="267">
        <f>CF!DK102+CF!DK107++CF!DK108</f>
        <v>2094.7893357498019</v>
      </c>
      <c r="DL263" s="267">
        <f>CF!DL102+CF!DL107++CF!DL108</f>
        <v>532.00548068221053</v>
      </c>
      <c r="DM263" s="267">
        <f>CF!DM102+CF!DM107++CF!DM108</f>
        <v>314.4703084517871</v>
      </c>
      <c r="DN263" s="267">
        <f>CF!DN102+CF!DN107++CF!DN108</f>
        <v>1988.5584692902717</v>
      </c>
      <c r="DO263" s="267">
        <f>CF!DO102+CF!DO107++CF!DO108</f>
        <v>4929.8235941740713</v>
      </c>
      <c r="DP263" s="260"/>
    </row>
    <row r="264" spans="1:120" ht="12.75" hidden="1" customHeight="1" outlineLevel="1">
      <c r="A264" s="260" t="s">
        <v>405</v>
      </c>
      <c r="B264" s="730" t="s">
        <v>46</v>
      </c>
      <c r="C264" s="268"/>
      <c r="D264" s="267"/>
      <c r="E264" s="267"/>
      <c r="F264" s="260"/>
      <c r="G264" s="267"/>
      <c r="H264" s="267"/>
      <c r="I264" s="267"/>
      <c r="J264" s="267">
        <f>SUM(G263:J263)</f>
        <v>3.1909999999999998</v>
      </c>
      <c r="K264" s="267"/>
      <c r="L264" s="260"/>
      <c r="M264" s="267">
        <f>SUM(H263:J263,M263)</f>
        <v>5.3209999999999997</v>
      </c>
      <c r="N264" s="267">
        <f>SUM(I263:J263,M263:N263)</f>
        <v>7.0079999999999991</v>
      </c>
      <c r="O264" s="267">
        <f>SUM(J263,M263:O263)</f>
        <v>13.799000000000001</v>
      </c>
      <c r="P264" s="267">
        <f>SUM(M263:P263)</f>
        <v>18.865000000000002</v>
      </c>
      <c r="Q264" s="267"/>
      <c r="R264" s="260"/>
      <c r="S264" s="267">
        <f>SUM(N263:P263,S263)</f>
        <v>20.816000000000003</v>
      </c>
      <c r="T264" s="267">
        <f>SUM(O263:P263,S263:T263)</f>
        <v>31.769000000000002</v>
      </c>
      <c r="U264" s="267">
        <f>SUM(P263,S263:U263)</f>
        <v>37.462000000000003</v>
      </c>
      <c r="V264" s="267">
        <f>SUM(S263:V263)</f>
        <v>51.564000000000007</v>
      </c>
      <c r="W264" s="267"/>
      <c r="X264" s="260"/>
      <c r="Y264" s="267">
        <f>SUM(T263:V263,Y263)</f>
        <v>53.936000000000007</v>
      </c>
      <c r="Z264" s="267">
        <f>SUM(U263:V263,Y263:Z263)</f>
        <v>50.185000000000002</v>
      </c>
      <c r="AA264" s="267">
        <f>SUM(V263,Y263:AA263)</f>
        <v>57.596000000000004</v>
      </c>
      <c r="AB264" s="267">
        <f>SUM(Y263:AB263)</f>
        <v>72.459000000000003</v>
      </c>
      <c r="AC264" s="267"/>
      <c r="AD264" s="261"/>
      <c r="AE264" s="267">
        <f>SUM(Z263:AB263,AE263)</f>
        <v>73.527000000000001</v>
      </c>
      <c r="AF264" s="267">
        <f>SUM(AA263:AB263,AE263:AF263)</f>
        <v>90.030999999999992</v>
      </c>
      <c r="AG264" s="267">
        <f>SUM(AB263,AE263:AG263)</f>
        <v>92.292999999999992</v>
      </c>
      <c r="AH264" s="267">
        <f>SUM(AE263:AH263)</f>
        <v>89.100617851413233</v>
      </c>
      <c r="AI264" s="267"/>
      <c r="AJ264" s="261"/>
      <c r="AK264" s="267">
        <f>SUM(AF263:AH263,AK263)</f>
        <v>100.15261785141324</v>
      </c>
      <c r="AL264" s="267">
        <f>SUM(AG263:AH263,AK263:AL263)</f>
        <v>97.498617851413243</v>
      </c>
      <c r="AM264" s="267">
        <f>SUM(AH263,AK263:AM263)</f>
        <v>118.83261785141325</v>
      </c>
      <c r="AN264" s="267">
        <f>SUM(AK263:AN263)</f>
        <v>160.72299999999998</v>
      </c>
      <c r="AO264" s="267"/>
      <c r="AP264" s="261"/>
      <c r="AQ264" s="267">
        <f>SUM(AL263:AN263,AQ263)</f>
        <v>199.50499999999997</v>
      </c>
      <c r="AR264" s="267">
        <f>SUM(AM263:AN263,AQ263:AR263)</f>
        <v>214.99399999999997</v>
      </c>
      <c r="AS264" s="267">
        <f>SUM(AN263,AQ263:AS263)</f>
        <v>177.62499999999997</v>
      </c>
      <c r="AT264" s="267">
        <f>SUM(AQ263:AT263)</f>
        <v>168.49799999999999</v>
      </c>
      <c r="AU264" s="267"/>
      <c r="AV264" s="261"/>
      <c r="AW264" s="267">
        <f>SUM(AR263:AT263,AW263)</f>
        <v>193.94800000000001</v>
      </c>
      <c r="AX264" s="267">
        <f>SUM(AS263:AT263,AW263:AX263)</f>
        <v>179.87900000000002</v>
      </c>
      <c r="AY264" s="267">
        <f>SUM(AT263,AW263:AY263)</f>
        <v>195.803</v>
      </c>
      <c r="AZ264" s="267">
        <f>SUM(AW263:AZ263)</f>
        <v>217.00999999999996</v>
      </c>
      <c r="BA264" s="267"/>
      <c r="BB264" s="261"/>
      <c r="BC264" s="267">
        <f>SUM(AX263:AZ263,BC263)</f>
        <v>262.89799999999997</v>
      </c>
      <c r="BD264" s="267">
        <f>SUM(AY263:AZ263,BC263:BD263)</f>
        <v>285.69299999999998</v>
      </c>
      <c r="BE264" s="267">
        <f>SUM(AZ263,BC263:BE263)</f>
        <v>309.51199999999994</v>
      </c>
      <c r="BF264" s="267">
        <f>SUM(BC263:BF263)</f>
        <v>90.250000000000057</v>
      </c>
      <c r="BG264" s="267"/>
      <c r="BH264" s="261"/>
      <c r="BI264" s="267">
        <f>SUM(BD263:BF263,BI263)</f>
        <v>70.447000000000045</v>
      </c>
      <c r="BJ264" s="267">
        <f>SUM(BE263:BF263,BI263:BJ263)</f>
        <v>54.14200000000006</v>
      </c>
      <c r="BK264" s="267">
        <f>SUM(BF263,BI263:BK263)</f>
        <v>96.269000000000034</v>
      </c>
      <c r="BL264" s="267">
        <f>SUM(BI263:BL263)</f>
        <v>420.20699999999999</v>
      </c>
      <c r="BM264" s="267"/>
      <c r="BN264" s="261"/>
      <c r="BO264" s="267">
        <f>SUM(BJ263:BL263,BO263)</f>
        <v>473.4020000000001</v>
      </c>
      <c r="BP264" s="267">
        <f>SUM(BK263:BL263,BO263:BP263)</f>
        <v>547.83500000000004</v>
      </c>
      <c r="BQ264" s="267">
        <f>SUM(BL263,BO263:BQ263)</f>
        <v>515.31900000000007</v>
      </c>
      <c r="BR264" s="267">
        <f>SUM(BO263:BR263)</f>
        <v>557.19000000000005</v>
      </c>
      <c r="BS264" s="267"/>
      <c r="BT264" s="261"/>
      <c r="BU264" s="267">
        <f>SUM(BP263:BR263,BU263)</f>
        <v>621.98400000000004</v>
      </c>
      <c r="BV264" s="267">
        <f>SUM(BQ263:BR263,BU263:BV263)</f>
        <v>595.72500000000014</v>
      </c>
      <c r="BW264" s="267">
        <f>SUM(BR263,BU263:BW263)</f>
        <v>606.02099999999996</v>
      </c>
      <c r="BX264" s="267">
        <f>SUM(BU263:BX263)</f>
        <v>576.35900000000004</v>
      </c>
      <c r="BY264" s="267"/>
      <c r="BZ264" s="261"/>
      <c r="CA264" s="267">
        <f>SUM(BV263:BX263,CA263)</f>
        <v>790.1690000000001</v>
      </c>
      <c r="CB264" s="267">
        <f>SUM(BW263:BX263,CA263:CB263)</f>
        <v>884.85200000000009</v>
      </c>
      <c r="CC264" s="267">
        <f>SUM(BX263:BY263,CB263:CC263)</f>
        <v>1079.4550000000002</v>
      </c>
      <c r="CD264" s="267">
        <f>SUM(CA263:CD263)</f>
        <v>980.06499999999983</v>
      </c>
      <c r="CE264" s="267"/>
      <c r="CF264" s="261"/>
      <c r="CG264" s="267">
        <f>SUM(CB263:CD263,CG263)</f>
        <v>889.33699999999976</v>
      </c>
      <c r="CH264" s="267">
        <f>SUM(CC263:CD263,CG263:CH263)</f>
        <v>956.9799999999999</v>
      </c>
      <c r="CI264" s="267">
        <f>SUM(CD263,CG263:CI263)</f>
        <v>989.23799999999983</v>
      </c>
      <c r="CJ264" s="267">
        <f>SUM(CG263:CJ263)</f>
        <v>1144.8140000000008</v>
      </c>
      <c r="CK264" s="267"/>
      <c r="CL264" s="261"/>
      <c r="CM264" s="267">
        <f>SUM(CH263:CJ263,CM263)</f>
        <v>1760.3140000000003</v>
      </c>
      <c r="CN264" s="267">
        <f>SUM(CI263:CJ263,CM263:CN263)</f>
        <v>1672.0020000000004</v>
      </c>
      <c r="CO264" s="267">
        <f>SUM(CJ263,CM263:CO263)</f>
        <v>1527.0130000000006</v>
      </c>
      <c r="CP264" s="267">
        <f>SUM(CM263:CP263)</f>
        <v>1698.2400000000002</v>
      </c>
      <c r="CQ264" s="267"/>
      <c r="CR264" s="261"/>
      <c r="CS264" s="267">
        <f>SUM(CN263:CP263,CS263)</f>
        <v>1803.4609999999998</v>
      </c>
      <c r="CT264" s="267">
        <f>SUM(CO263:CP263,CS263:CT263)</f>
        <v>1851.6939999999995</v>
      </c>
      <c r="CU264" s="267">
        <f>SUM(CP263,CS263:CU263)</f>
        <v>1852.5489999999993</v>
      </c>
      <c r="CV264" s="267">
        <f>SUM(CS263:CV263)</f>
        <v>2203.9379999999996</v>
      </c>
      <c r="CW264" s="267"/>
      <c r="CX264" s="261"/>
      <c r="CY264" s="267">
        <f>SUM(CT263:CV263,CY263)</f>
        <v>2578.8138474894049</v>
      </c>
      <c r="CZ264" s="267">
        <f>SUM(CU263:CV263,CY263:CZ263)</f>
        <v>2671.7979412390027</v>
      </c>
      <c r="DA264" s="267">
        <f>SUM(CV263,CY263:DA263)</f>
        <v>2813.0693782431931</v>
      </c>
      <c r="DB264" s="267">
        <f>SUM(CY263:DB263)</f>
        <v>2987.7076823084617</v>
      </c>
      <c r="DC264" s="267"/>
      <c r="DD264" s="261"/>
      <c r="DE264" s="267">
        <f>SUM(CZ263:DB263,DE263)</f>
        <v>3247.88151225918</v>
      </c>
      <c r="DF264" s="267">
        <f>SUM(DA263:DB263,DE263:DF263)</f>
        <v>3265.5799768033285</v>
      </c>
      <c r="DG264" s="267">
        <f>SUM(DB263,DE263:DG263)</f>
        <v>3302.734572578112</v>
      </c>
      <c r="DH264" s="267">
        <f>SUM(DE263:DH263)</f>
        <v>3875.8619974453331</v>
      </c>
      <c r="DI264" s="267"/>
      <c r="DJ264" s="261"/>
      <c r="DK264" s="267">
        <f>SUM(DF263:DH263,DK263)</f>
        <v>4262.6196557550111</v>
      </c>
      <c r="DL264" s="267">
        <f>SUM(DG263:DH263,DK263:DL263)</f>
        <v>4481.0615781434753</v>
      </c>
      <c r="DM264" s="267">
        <f>SUM(DH263,DK263:DM263)</f>
        <v>4602.5918538162887</v>
      </c>
      <c r="DN264" s="267">
        <f>SUM(DK263:DN263)</f>
        <v>4929.8235941740713</v>
      </c>
      <c r="DO264" s="267"/>
      <c r="DP264" s="260"/>
    </row>
    <row r="265" spans="1:120" ht="12.75" hidden="1" customHeight="1" outlineLevel="1">
      <c r="A265" s="260" t="s">
        <v>42</v>
      </c>
      <c r="B265" s="730" t="s">
        <v>611</v>
      </c>
      <c r="C265" s="268" t="s">
        <v>88</v>
      </c>
      <c r="D265" s="721">
        <v>0</v>
      </c>
      <c r="E265" s="721">
        <v>0</v>
      </c>
      <c r="F265" s="260"/>
      <c r="G265" s="721">
        <v>0</v>
      </c>
      <c r="H265" s="721">
        <v>0</v>
      </c>
      <c r="I265" s="721">
        <v>0</v>
      </c>
      <c r="J265" s="721">
        <v>0</v>
      </c>
      <c r="K265" s="721">
        <f>SUM(G265:J265)</f>
        <v>0</v>
      </c>
      <c r="L265" s="260"/>
      <c r="M265" s="721">
        <v>0</v>
      </c>
      <c r="N265" s="721">
        <v>0</v>
      </c>
      <c r="O265" s="721">
        <v>0</v>
      </c>
      <c r="P265" s="721">
        <v>0</v>
      </c>
      <c r="Q265" s="721">
        <f>SUM(M265:P265)</f>
        <v>0</v>
      </c>
      <c r="R265" s="260"/>
      <c r="S265" s="721">
        <v>0</v>
      </c>
      <c r="T265" s="721">
        <v>0</v>
      </c>
      <c r="U265" s="721">
        <v>0</v>
      </c>
      <c r="V265" s="721">
        <v>0</v>
      </c>
      <c r="W265" s="721">
        <f>SUM(S265:V265)</f>
        <v>0</v>
      </c>
      <c r="X265" s="260"/>
      <c r="Y265" s="721">
        <v>0</v>
      </c>
      <c r="Z265" s="721">
        <v>0</v>
      </c>
      <c r="AA265" s="721">
        <v>0</v>
      </c>
      <c r="AB265" s="721">
        <v>0</v>
      </c>
      <c r="AC265" s="721">
        <f>SUM(Y265:AB265)</f>
        <v>0</v>
      </c>
      <c r="AD265" s="260"/>
      <c r="AE265" s="721">
        <v>0</v>
      </c>
      <c r="AF265" s="721">
        <v>0</v>
      </c>
      <c r="AG265" s="721">
        <v>0</v>
      </c>
      <c r="AH265" s="721">
        <v>0</v>
      </c>
      <c r="AI265" s="721">
        <f>SUM(AE265:AH265)</f>
        <v>0</v>
      </c>
      <c r="AJ265" s="260"/>
      <c r="AK265" s="721">
        <v>0</v>
      </c>
      <c r="AL265" s="721">
        <v>0</v>
      </c>
      <c r="AM265" s="721">
        <v>0</v>
      </c>
      <c r="AN265" s="721">
        <v>0</v>
      </c>
      <c r="AO265" s="721">
        <f>SUM(AK265:AN265)</f>
        <v>0</v>
      </c>
      <c r="AP265" s="260"/>
      <c r="AQ265" s="721">
        <v>0</v>
      </c>
      <c r="AR265" s="721">
        <v>0</v>
      </c>
      <c r="AS265" s="721">
        <v>0</v>
      </c>
      <c r="AT265" s="721">
        <v>0</v>
      </c>
      <c r="AU265" s="721">
        <f>SUM(AQ265:AT265)</f>
        <v>0</v>
      </c>
      <c r="AV265" s="260"/>
      <c r="AW265" s="721">
        <v>0</v>
      </c>
      <c r="AX265" s="721">
        <v>0</v>
      </c>
      <c r="AY265" s="721">
        <v>0</v>
      </c>
      <c r="AZ265" s="721">
        <v>0</v>
      </c>
      <c r="BA265" s="721">
        <f>SUM(AW265:AZ265)</f>
        <v>0</v>
      </c>
      <c r="BB265" s="260"/>
      <c r="BC265" s="721">
        <v>0</v>
      </c>
      <c r="BD265" s="721">
        <v>0</v>
      </c>
      <c r="BE265" s="721">
        <v>0</v>
      </c>
      <c r="BF265" s="721">
        <v>0</v>
      </c>
      <c r="BG265" s="721">
        <f>SUM(BC265:BF265)</f>
        <v>0</v>
      </c>
      <c r="BH265" s="260"/>
      <c r="BI265" s="721">
        <v>0</v>
      </c>
      <c r="BJ265" s="721">
        <v>0</v>
      </c>
      <c r="BK265" s="721">
        <v>0</v>
      </c>
      <c r="BL265" s="721">
        <v>0</v>
      </c>
      <c r="BM265" s="721">
        <f>SUM(BI265:BL265)</f>
        <v>0</v>
      </c>
      <c r="BN265" s="260"/>
      <c r="BO265" s="721">
        <v>0</v>
      </c>
      <c r="BP265" s="721">
        <v>0</v>
      </c>
      <c r="BQ265" s="721">
        <v>0</v>
      </c>
      <c r="BR265" s="721">
        <v>0</v>
      </c>
      <c r="BS265" s="721">
        <f>SUM(BO265:BR265)</f>
        <v>0</v>
      </c>
      <c r="BT265" s="260"/>
      <c r="BU265" s="721">
        <v>0</v>
      </c>
      <c r="BV265" s="721">
        <v>0</v>
      </c>
      <c r="BW265" s="721">
        <v>0</v>
      </c>
      <c r="BX265" s="721">
        <v>0</v>
      </c>
      <c r="BY265" s="721">
        <f>SUM(BU265:BX265)</f>
        <v>0</v>
      </c>
      <c r="BZ265" s="260"/>
      <c r="CA265" s="721">
        <v>0</v>
      </c>
      <c r="CB265" s="721">
        <v>0</v>
      </c>
      <c r="CC265" s="721">
        <v>0</v>
      </c>
      <c r="CD265" s="721">
        <v>0</v>
      </c>
      <c r="CE265" s="721">
        <f>SUM(CA265:CD265)</f>
        <v>0</v>
      </c>
      <c r="CF265" s="260"/>
      <c r="CG265" s="721">
        <v>0</v>
      </c>
      <c r="CH265" s="721">
        <v>0</v>
      </c>
      <c r="CI265" s="721">
        <v>0</v>
      </c>
      <c r="CJ265" s="721">
        <v>0</v>
      </c>
      <c r="CK265" s="721">
        <f>SUM(CG265:CJ265)</f>
        <v>0</v>
      </c>
      <c r="CL265" s="260"/>
      <c r="CM265" s="721">
        <v>0</v>
      </c>
      <c r="CN265" s="721">
        <v>0</v>
      </c>
      <c r="CO265" s="721">
        <v>0</v>
      </c>
      <c r="CP265" s="721">
        <v>0</v>
      </c>
      <c r="CQ265" s="721">
        <f>SUM(CM265:CP265)</f>
        <v>0</v>
      </c>
      <c r="CR265" s="260"/>
      <c r="CS265" s="721">
        <v>0</v>
      </c>
      <c r="CT265" s="721">
        <v>0</v>
      </c>
      <c r="CU265" s="721">
        <v>0</v>
      </c>
      <c r="CV265" s="721">
        <v>0</v>
      </c>
      <c r="CW265" s="721">
        <f>SUM(CS265:CV265)</f>
        <v>0</v>
      </c>
      <c r="CX265" s="260"/>
      <c r="CY265" s="721">
        <v>0</v>
      </c>
      <c r="CZ265" s="721">
        <v>0</v>
      </c>
      <c r="DA265" s="721">
        <v>0</v>
      </c>
      <c r="DB265" s="721">
        <v>0</v>
      </c>
      <c r="DC265" s="721">
        <f>SUM(CY265:DB265)</f>
        <v>0</v>
      </c>
      <c r="DD265" s="260"/>
      <c r="DE265" s="721">
        <v>0</v>
      </c>
      <c r="DF265" s="721">
        <v>0</v>
      </c>
      <c r="DG265" s="721">
        <v>0</v>
      </c>
      <c r="DH265" s="721">
        <v>0</v>
      </c>
      <c r="DI265" s="721">
        <f>SUM(DE265:DH265)</f>
        <v>0</v>
      </c>
      <c r="DJ265" s="260"/>
      <c r="DK265" s="721">
        <v>0</v>
      </c>
      <c r="DL265" s="721">
        <v>0</v>
      </c>
      <c r="DM265" s="721">
        <v>0</v>
      </c>
      <c r="DN265" s="721">
        <v>0</v>
      </c>
      <c r="DO265" s="721">
        <f>SUM(DK265:DN265)</f>
        <v>0</v>
      </c>
      <c r="DP265" s="260"/>
    </row>
    <row r="266" spans="1:120" ht="12.75" hidden="1" customHeight="1" outlineLevel="1">
      <c r="A266" s="260"/>
      <c r="B266" s="730"/>
      <c r="C266" s="268"/>
      <c r="D266" s="892"/>
      <c r="E266" s="892"/>
      <c r="F266" s="260"/>
      <c r="G266" s="892"/>
      <c r="H266" s="892"/>
      <c r="I266" s="892"/>
      <c r="J266" s="892"/>
      <c r="K266" s="892"/>
      <c r="L266" s="260"/>
      <c r="M266" s="892"/>
      <c r="N266" s="892"/>
      <c r="O266" s="892"/>
      <c r="P266" s="892"/>
      <c r="Q266" s="892"/>
      <c r="R266" s="260"/>
      <c r="S266" s="892"/>
      <c r="T266" s="892"/>
      <c r="U266" s="892"/>
      <c r="V266" s="892"/>
      <c r="W266" s="892"/>
      <c r="X266" s="260"/>
      <c r="Y266" s="892"/>
      <c r="Z266" s="892"/>
      <c r="AA266" s="892"/>
      <c r="AB266" s="892"/>
      <c r="AC266" s="892"/>
      <c r="AD266" s="876"/>
      <c r="AE266" s="892"/>
      <c r="AF266" s="892"/>
      <c r="AG266" s="892"/>
      <c r="AH266" s="892"/>
      <c r="AI266" s="892"/>
      <c r="AJ266" s="876"/>
      <c r="AK266" s="892"/>
      <c r="AL266" s="892"/>
      <c r="AM266" s="892"/>
      <c r="AN266" s="892"/>
      <c r="AO266" s="892"/>
      <c r="AP266" s="876"/>
      <c r="AQ266" s="892"/>
      <c r="AR266" s="892"/>
      <c r="AS266" s="892"/>
      <c r="AT266" s="892"/>
      <c r="AU266" s="892"/>
      <c r="AV266" s="876"/>
      <c r="AW266" s="892"/>
      <c r="AX266" s="892"/>
      <c r="AY266" s="892"/>
      <c r="AZ266" s="892"/>
      <c r="BA266" s="892"/>
      <c r="BB266" s="876"/>
      <c r="BC266" s="892"/>
      <c r="BD266" s="892"/>
      <c r="BE266" s="892"/>
      <c r="BF266" s="892"/>
      <c r="BG266" s="892"/>
      <c r="BH266" s="876"/>
      <c r="BI266" s="892"/>
      <c r="BJ266" s="892"/>
      <c r="BK266" s="892"/>
      <c r="BL266" s="892"/>
      <c r="BM266" s="892"/>
      <c r="BN266" s="876"/>
      <c r="BO266" s="892"/>
      <c r="BP266" s="892"/>
      <c r="BQ266" s="892"/>
      <c r="BR266" s="892"/>
      <c r="BS266" s="892"/>
      <c r="BT266" s="876"/>
      <c r="BU266" s="892"/>
      <c r="BV266" s="892"/>
      <c r="BW266" s="892"/>
      <c r="BX266" s="892"/>
      <c r="BY266" s="892"/>
      <c r="BZ266" s="876"/>
      <c r="CA266" s="892"/>
      <c r="CB266" s="892"/>
      <c r="CC266" s="892"/>
      <c r="CD266" s="892"/>
      <c r="CE266" s="892"/>
      <c r="CF266" s="876"/>
      <c r="CG266" s="892"/>
      <c r="CH266" s="892"/>
      <c r="CI266" s="892"/>
      <c r="CJ266" s="892"/>
      <c r="CK266" s="892"/>
      <c r="CL266" s="876"/>
      <c r="CM266" s="892"/>
      <c r="CN266" s="892"/>
      <c r="CO266" s="892"/>
      <c r="CP266" s="892"/>
      <c r="CQ266" s="892"/>
      <c r="CR266" s="876"/>
      <c r="CS266" s="892"/>
      <c r="CT266" s="892"/>
      <c r="CU266" s="892"/>
      <c r="CV266" s="892"/>
      <c r="CW266" s="892"/>
      <c r="CX266" s="876"/>
      <c r="CY266" s="892"/>
      <c r="CZ266" s="892"/>
      <c r="DA266" s="892"/>
      <c r="DB266" s="892"/>
      <c r="DC266" s="892"/>
      <c r="DD266" s="876"/>
      <c r="DE266" s="892"/>
      <c r="DF266" s="892"/>
      <c r="DG266" s="892"/>
      <c r="DH266" s="892"/>
      <c r="DI266" s="892"/>
      <c r="DJ266" s="876"/>
      <c r="DK266" s="892"/>
      <c r="DL266" s="892"/>
      <c r="DM266" s="892"/>
      <c r="DN266" s="892"/>
      <c r="DO266" s="892"/>
      <c r="DP266" s="260"/>
    </row>
    <row r="267" spans="1:120" ht="12.75" hidden="1" customHeight="1" outlineLevel="1">
      <c r="A267" s="260"/>
      <c r="B267" s="730"/>
      <c r="C267" s="268"/>
      <c r="D267" s="892"/>
      <c r="E267" s="892"/>
      <c r="F267" s="260"/>
      <c r="G267" s="892"/>
      <c r="H267" s="892"/>
      <c r="I267" s="892"/>
      <c r="J267" s="892"/>
      <c r="K267" s="892"/>
      <c r="L267" s="260"/>
      <c r="M267" s="892"/>
      <c r="N267" s="892"/>
      <c r="O267" s="892"/>
      <c r="P267" s="892"/>
      <c r="Q267" s="892"/>
      <c r="R267" s="260"/>
      <c r="S267" s="892"/>
      <c r="T267" s="892"/>
      <c r="U267" s="892"/>
      <c r="V267" s="892"/>
      <c r="W267" s="892"/>
      <c r="X267" s="260"/>
      <c r="Y267" s="892"/>
      <c r="Z267" s="892"/>
      <c r="AA267" s="892"/>
      <c r="AB267" s="892"/>
      <c r="AC267" s="892"/>
      <c r="AD267" s="876"/>
      <c r="AE267" s="892"/>
      <c r="AF267" s="892"/>
      <c r="AG267" s="892"/>
      <c r="AH267" s="892"/>
      <c r="AI267" s="892"/>
      <c r="AJ267" s="876"/>
      <c r="AK267" s="892"/>
      <c r="AL267" s="892"/>
      <c r="AM267" s="892"/>
      <c r="AN267" s="892"/>
      <c r="AO267" s="892"/>
      <c r="AP267" s="876"/>
      <c r="AQ267" s="892"/>
      <c r="AR267" s="892"/>
      <c r="AS267" s="892"/>
      <c r="AT267" s="892"/>
      <c r="AU267" s="892"/>
      <c r="AV267" s="876"/>
      <c r="AW267" s="892"/>
      <c r="AX267" s="892"/>
      <c r="AY267" s="892"/>
      <c r="AZ267" s="892"/>
      <c r="BA267" s="892"/>
      <c r="BB267" s="876"/>
      <c r="BC267" s="892"/>
      <c r="BD267" s="892"/>
      <c r="BE267" s="892"/>
      <c r="BF267" s="892"/>
      <c r="BG267" s="892"/>
      <c r="BH267" s="876"/>
      <c r="BI267" s="892"/>
      <c r="BJ267" s="892"/>
      <c r="BK267" s="892"/>
      <c r="BL267" s="892"/>
      <c r="BM267" s="892"/>
      <c r="BN267" s="876"/>
      <c r="BO267" s="892"/>
      <c r="BP267" s="892"/>
      <c r="BQ267" s="892"/>
      <c r="BR267" s="892"/>
      <c r="BS267" s="892"/>
      <c r="BT267" s="876"/>
      <c r="BU267" s="892"/>
      <c r="BV267" s="892"/>
      <c r="BW267" s="892"/>
      <c r="BX267" s="892"/>
      <c r="BY267" s="892"/>
      <c r="BZ267" s="876"/>
      <c r="CA267" s="892"/>
      <c r="CB267" s="892"/>
      <c r="CC267" s="892"/>
      <c r="CD267" s="892"/>
      <c r="CE267" s="892"/>
      <c r="CF267" s="876"/>
      <c r="CG267" s="892"/>
      <c r="CH267" s="892"/>
      <c r="CI267" s="892"/>
      <c r="CJ267" s="892"/>
      <c r="CK267" s="892"/>
      <c r="CL267" s="876"/>
      <c r="CM267" s="892"/>
      <c r="CN267" s="892"/>
      <c r="CO267" s="892"/>
      <c r="CP267" s="892"/>
      <c r="CQ267" s="892"/>
      <c r="CR267" s="876"/>
      <c r="CS267" s="892"/>
      <c r="CT267" s="892"/>
      <c r="CU267" s="892"/>
      <c r="CV267" s="892"/>
      <c r="CW267" s="892"/>
      <c r="CX267" s="876"/>
      <c r="CY267" s="892"/>
      <c r="CZ267" s="892"/>
      <c r="DA267" s="892"/>
      <c r="DB267" s="892"/>
      <c r="DC267" s="892"/>
      <c r="DD267" s="876"/>
      <c r="DE267" s="892"/>
      <c r="DF267" s="892"/>
      <c r="DG267" s="892"/>
      <c r="DH267" s="892"/>
      <c r="DI267" s="892"/>
      <c r="DJ267" s="876"/>
      <c r="DK267" s="892"/>
      <c r="DL267" s="892"/>
      <c r="DM267" s="892"/>
      <c r="DN267" s="892"/>
      <c r="DO267" s="892"/>
      <c r="DP267" s="260"/>
    </row>
    <row r="268" spans="1:120" ht="12.75" hidden="1" customHeight="1" outlineLevel="1">
      <c r="A268" s="260"/>
      <c r="B268" s="730"/>
      <c r="C268" s="268"/>
      <c r="D268" s="892"/>
      <c r="E268" s="892"/>
      <c r="F268" s="260"/>
      <c r="G268" s="892"/>
      <c r="H268" s="892"/>
      <c r="I268" s="892"/>
      <c r="J268" s="892"/>
      <c r="K268" s="892"/>
      <c r="L268" s="260"/>
      <c r="M268" s="892"/>
      <c r="N268" s="892"/>
      <c r="O268" s="892"/>
      <c r="P268" s="892"/>
      <c r="Q268" s="893"/>
      <c r="R268" s="260"/>
      <c r="S268" s="892"/>
      <c r="T268" s="892"/>
      <c r="U268" s="892"/>
      <c r="V268" s="892"/>
      <c r="W268" s="892"/>
      <c r="X268" s="260"/>
      <c r="Y268" s="892"/>
      <c r="Z268" s="892"/>
      <c r="AA268" s="892"/>
      <c r="AB268" s="892"/>
      <c r="AC268" s="892"/>
      <c r="AD268" s="876"/>
      <c r="AE268" s="892"/>
      <c r="AF268" s="892"/>
      <c r="AG268" s="892"/>
      <c r="AH268" s="892"/>
      <c r="AI268" s="892"/>
      <c r="AJ268" s="876"/>
      <c r="AK268" s="892"/>
      <c r="AL268" s="892"/>
      <c r="AM268" s="892"/>
      <c r="AN268" s="892"/>
      <c r="AO268" s="892"/>
      <c r="AP268" s="876"/>
      <c r="AQ268" s="892"/>
      <c r="AR268" s="892"/>
      <c r="AS268" s="892"/>
      <c r="AT268" s="892"/>
      <c r="AU268" s="892"/>
      <c r="AV268" s="876"/>
      <c r="AW268" s="892"/>
      <c r="AX268" s="892"/>
      <c r="AY268" s="892"/>
      <c r="AZ268" s="892"/>
      <c r="BA268" s="892"/>
      <c r="BB268" s="876"/>
      <c r="BC268" s="892"/>
      <c r="BD268" s="892"/>
      <c r="BE268" s="892"/>
      <c r="BF268" s="892"/>
      <c r="BG268" s="892"/>
      <c r="BH268" s="876"/>
      <c r="BI268" s="892"/>
      <c r="BJ268" s="892"/>
      <c r="BK268" s="892"/>
      <c r="BL268" s="892"/>
      <c r="BM268" s="892"/>
      <c r="BN268" s="876"/>
      <c r="BO268" s="892"/>
      <c r="BP268" s="892"/>
      <c r="BQ268" s="892"/>
      <c r="BR268" s="892"/>
      <c r="BS268" s="892"/>
      <c r="BT268" s="876"/>
      <c r="BU268" s="892"/>
      <c r="BV268" s="892"/>
      <c r="BW268" s="892"/>
      <c r="BX268" s="892"/>
      <c r="BY268" s="892"/>
      <c r="BZ268" s="876"/>
      <c r="CA268" s="892"/>
      <c r="CB268" s="892"/>
      <c r="CC268" s="892"/>
      <c r="CD268" s="892"/>
      <c r="CE268" s="892"/>
      <c r="CF268" s="876"/>
      <c r="CG268" s="892"/>
      <c r="CH268" s="892"/>
      <c r="CI268" s="892"/>
      <c r="CJ268" s="892"/>
      <c r="CK268" s="892"/>
      <c r="CL268" s="876"/>
      <c r="CM268" s="892"/>
      <c r="CN268" s="892"/>
      <c r="CO268" s="892"/>
      <c r="CP268" s="892"/>
      <c r="CQ268" s="892"/>
      <c r="CR268" s="876"/>
      <c r="CS268" s="892"/>
      <c r="CT268" s="892"/>
      <c r="CU268" s="892"/>
      <c r="CV268" s="892"/>
      <c r="CW268" s="892"/>
      <c r="CX268" s="876"/>
      <c r="CY268" s="892"/>
      <c r="CZ268" s="892"/>
      <c r="DA268" s="892"/>
      <c r="DB268" s="892"/>
      <c r="DC268" s="892"/>
      <c r="DD268" s="876"/>
      <c r="DE268" s="892"/>
      <c r="DF268" s="892"/>
      <c r="DG268" s="892"/>
      <c r="DH268" s="892"/>
      <c r="DI268" s="892"/>
      <c r="DJ268" s="876"/>
      <c r="DK268" s="892"/>
      <c r="DL268" s="892"/>
      <c r="DM268" s="892"/>
      <c r="DN268" s="892"/>
      <c r="DO268" s="892"/>
      <c r="DP268" s="260"/>
    </row>
    <row r="269" spans="1:120" ht="12.75" hidden="1" customHeight="1" outlineLevel="1">
      <c r="A269" s="260" t="s">
        <v>257</v>
      </c>
      <c r="B269" s="730"/>
      <c r="C269" s="268"/>
      <c r="D269" s="892"/>
      <c r="E269" s="892"/>
      <c r="F269" s="260"/>
      <c r="G269" s="894">
        <f>G54*G$80</f>
        <v>0</v>
      </c>
      <c r="H269" s="894">
        <f>H54*H117</f>
        <v>0</v>
      </c>
      <c r="I269" s="894">
        <f>I54*I$80</f>
        <v>0</v>
      </c>
      <c r="J269" s="894">
        <f>J54*J$80</f>
        <v>0</v>
      </c>
      <c r="K269" s="893">
        <f>SUM(G269:J269)</f>
        <v>0</v>
      </c>
      <c r="L269" s="260"/>
      <c r="M269" s="894">
        <f>M54*M$80</f>
        <v>0</v>
      </c>
      <c r="N269" s="894">
        <f>N54*N117</f>
        <v>0</v>
      </c>
      <c r="O269" s="894">
        <f>O54*O$80</f>
        <v>-0.45343355519853135</v>
      </c>
      <c r="P269" s="894">
        <f>P54*P$80</f>
        <v>5.875545851528418E-2</v>
      </c>
      <c r="Q269" s="893">
        <f>SUM(M269:P269)</f>
        <v>-0.39467809668324716</v>
      </c>
      <c r="R269" s="289"/>
      <c r="S269" s="894">
        <f>S54*S$80</f>
        <v>0</v>
      </c>
      <c r="T269" s="894">
        <f>T54*T$80</f>
        <v>0</v>
      </c>
      <c r="U269" s="894">
        <f>U54*U$80</f>
        <v>0</v>
      </c>
      <c r="V269" s="894">
        <f>V54*V$80</f>
        <v>0</v>
      </c>
      <c r="W269" s="894">
        <f>SUM(S269:V269)</f>
        <v>0</v>
      </c>
      <c r="X269" s="289"/>
      <c r="Y269" s="894">
        <f>Y54*Y$80</f>
        <v>-5.6999999999999995E-2</v>
      </c>
      <c r="Z269" s="894">
        <f>Z54*Z$80</f>
        <v>0</v>
      </c>
      <c r="AA269" s="894">
        <v>6.7690000000000001</v>
      </c>
      <c r="AB269" s="894">
        <f>AB54*AB$80</f>
        <v>0</v>
      </c>
      <c r="AC269" s="894">
        <f>SUM(Y269:AB269)</f>
        <v>6.7119999999999997</v>
      </c>
      <c r="AD269" s="876"/>
      <c r="AE269" s="894">
        <f>AE54*AE$80</f>
        <v>0</v>
      </c>
      <c r="AF269" s="894">
        <f>AF54*AF$80</f>
        <v>0</v>
      </c>
      <c r="AG269" s="894">
        <f>AG54*AG$80</f>
        <v>0</v>
      </c>
      <c r="AH269" s="894">
        <f>AH54*AH$80</f>
        <v>0</v>
      </c>
      <c r="AI269" s="894">
        <f>SUM(AE269:AH269)</f>
        <v>0</v>
      </c>
      <c r="AJ269" s="876"/>
      <c r="AK269" s="894">
        <f>AK54*AK$80</f>
        <v>0</v>
      </c>
      <c r="AL269" s="894">
        <f>AL54*AL$80</f>
        <v>0</v>
      </c>
      <c r="AM269" s="894">
        <f>AM54*AM$80</f>
        <v>0</v>
      </c>
      <c r="AN269" s="894">
        <f>AN54*AN$80</f>
        <v>0</v>
      </c>
      <c r="AO269" s="894">
        <f>SUM(AK269:AN269)</f>
        <v>0</v>
      </c>
      <c r="AP269" s="876"/>
      <c r="AQ269" s="894">
        <f>AQ54*AQ$80</f>
        <v>0</v>
      </c>
      <c r="AR269" s="894">
        <f>AR54*AR$80</f>
        <v>0</v>
      </c>
      <c r="AS269" s="894">
        <f>AS54*AS$80</f>
        <v>0</v>
      </c>
      <c r="AT269" s="894">
        <f>AT54*AT$80</f>
        <v>0</v>
      </c>
      <c r="AU269" s="894">
        <f>SUM(AQ269:AT269)</f>
        <v>0</v>
      </c>
      <c r="AV269" s="876"/>
      <c r="AW269" s="894">
        <f>AW54*AW$80</f>
        <v>0</v>
      </c>
      <c r="AX269" s="894">
        <f>AX54*AX$80</f>
        <v>0</v>
      </c>
      <c r="AY269" s="894">
        <f>AY54*AY$80</f>
        <v>0</v>
      </c>
      <c r="AZ269" s="894">
        <f>AZ54*AZ$80</f>
        <v>0</v>
      </c>
      <c r="BA269" s="894">
        <f>SUM(AW269:AZ269)</f>
        <v>0</v>
      </c>
      <c r="BB269" s="876"/>
      <c r="BC269" s="894">
        <f>BC54*BC$80</f>
        <v>0</v>
      </c>
      <c r="BD269" s="894">
        <f>BD54*BD$80</f>
        <v>0</v>
      </c>
      <c r="BE269" s="894">
        <f>BE54*BE$80</f>
        <v>0</v>
      </c>
      <c r="BF269" s="894">
        <f>BF54*BF$80</f>
        <v>0</v>
      </c>
      <c r="BG269" s="894">
        <f>SUM(BC269:BF269)</f>
        <v>0</v>
      </c>
      <c r="BH269" s="876"/>
      <c r="BI269" s="894">
        <f>BI54*BI$80</f>
        <v>0</v>
      </c>
      <c r="BJ269" s="894">
        <f>BJ54*BJ$80</f>
        <v>0</v>
      </c>
      <c r="BK269" s="894">
        <f>BK54*BK$80</f>
        <v>0</v>
      </c>
      <c r="BL269" s="894">
        <f>BL54*BL$80</f>
        <v>0</v>
      </c>
      <c r="BM269" s="894">
        <f>SUM(BI269:BL269)</f>
        <v>0</v>
      </c>
      <c r="BN269" s="876"/>
      <c r="BO269" s="894">
        <f>BO54*BO$80</f>
        <v>0</v>
      </c>
      <c r="BP269" s="894">
        <f>BP54*BP$80</f>
        <v>0</v>
      </c>
      <c r="BQ269" s="894">
        <f>BQ54*BQ$80</f>
        <v>0</v>
      </c>
      <c r="BR269" s="894">
        <f>BR54*BR$80</f>
        <v>0</v>
      </c>
      <c r="BS269" s="894">
        <f>SUM(BO269:BR269)</f>
        <v>0</v>
      </c>
      <c r="BT269" s="876"/>
      <c r="BU269" s="894">
        <f>BU54*BU$80</f>
        <v>0</v>
      </c>
      <c r="BV269" s="894">
        <f>BV54*BV$80</f>
        <v>0</v>
      </c>
      <c r="BW269" s="894">
        <f>BW54*BW$80</f>
        <v>0</v>
      </c>
      <c r="BX269" s="894">
        <f>BX54*BX$80</f>
        <v>0</v>
      </c>
      <c r="BY269" s="894">
        <f>SUM(BU269:BX269)</f>
        <v>0</v>
      </c>
      <c r="BZ269" s="876"/>
      <c r="CA269" s="894">
        <f>CA54*CA$80</f>
        <v>0</v>
      </c>
      <c r="CB269" s="894">
        <f>CB54*CB$80</f>
        <v>0</v>
      </c>
      <c r="CC269" s="894">
        <f>CC54*CC$80</f>
        <v>0</v>
      </c>
      <c r="CD269" s="894">
        <f>CD54*CD$80</f>
        <v>0</v>
      </c>
      <c r="CE269" s="894">
        <f>SUM(CA269:CD269)</f>
        <v>0</v>
      </c>
      <c r="CF269" s="876"/>
      <c r="CG269" s="894">
        <f>CG54*CG$80</f>
        <v>-13.365300509357745</v>
      </c>
      <c r="CH269" s="894">
        <f>CH54*CH$80</f>
        <v>0</v>
      </c>
      <c r="CI269" s="894">
        <f>CI54*CI$80</f>
        <v>0</v>
      </c>
      <c r="CJ269" s="894">
        <f>CJ54*CJ$80</f>
        <v>0</v>
      </c>
      <c r="CK269" s="894">
        <f>SUM(CG269:CJ269)</f>
        <v>-13.365300509357745</v>
      </c>
      <c r="CL269" s="876"/>
      <c r="CM269" s="894">
        <f>CM54*CM$80</f>
        <v>0</v>
      </c>
      <c r="CN269" s="894">
        <f>CN54*CN$80</f>
        <v>0</v>
      </c>
      <c r="CO269" s="894">
        <f>CO54*CO$80</f>
        <v>0</v>
      </c>
      <c r="CP269" s="894">
        <f>CP54*CP$80</f>
        <v>0</v>
      </c>
      <c r="CQ269" s="894">
        <f>SUM(CM269:CP269)</f>
        <v>0</v>
      </c>
      <c r="CR269" s="876"/>
      <c r="CS269" s="894">
        <f>CS54*CS$80</f>
        <v>0</v>
      </c>
      <c r="CT269" s="894">
        <f>CT54*CT$80</f>
        <v>0</v>
      </c>
      <c r="CU269" s="894">
        <f>CU54*CU$80</f>
        <v>0</v>
      </c>
      <c r="CV269" s="894">
        <f>CV54*CV$80</f>
        <v>0</v>
      </c>
      <c r="CW269" s="894">
        <f>SUM(CS269:CV269)</f>
        <v>0</v>
      </c>
      <c r="CX269" s="876"/>
      <c r="CY269" s="894">
        <f>CY54*CY$80</f>
        <v>0</v>
      </c>
      <c r="CZ269" s="894">
        <f>CZ54*CZ$80</f>
        <v>0</v>
      </c>
      <c r="DA269" s="894">
        <f>DA54*DA$80</f>
        <v>0</v>
      </c>
      <c r="DB269" s="894">
        <f>DB54*DB$80</f>
        <v>0</v>
      </c>
      <c r="DC269" s="894">
        <f>SUM(CY269:DB269)</f>
        <v>0</v>
      </c>
      <c r="DD269" s="876"/>
      <c r="DE269" s="894">
        <f>DE54*DE$80</f>
        <v>0</v>
      </c>
      <c r="DF269" s="894">
        <f>DF54*DF$80</f>
        <v>0</v>
      </c>
      <c r="DG269" s="894">
        <f>DG54*DG$80</f>
        <v>0</v>
      </c>
      <c r="DH269" s="894">
        <f>DH54*DH$80</f>
        <v>0</v>
      </c>
      <c r="DI269" s="894">
        <f>SUM(DE269:DH269)</f>
        <v>0</v>
      </c>
      <c r="DJ269" s="876"/>
      <c r="DK269" s="894">
        <f>DK54*DK$80</f>
        <v>0</v>
      </c>
      <c r="DL269" s="894">
        <f>DL54*DL$80</f>
        <v>0</v>
      </c>
      <c r="DM269" s="894">
        <f>DM54*DM$80</f>
        <v>0</v>
      </c>
      <c r="DN269" s="894">
        <f>DN54*DN$80</f>
        <v>0</v>
      </c>
      <c r="DO269" s="894">
        <f>SUM(DK269:DN269)</f>
        <v>0</v>
      </c>
      <c r="DP269" s="260"/>
    </row>
    <row r="270" spans="1:120" ht="12.75" hidden="1" customHeight="1" outlineLevel="1">
      <c r="A270" s="260" t="s">
        <v>580</v>
      </c>
      <c r="B270" s="730"/>
      <c r="C270" s="268"/>
      <c r="D270" s="892"/>
      <c r="E270" s="892"/>
      <c r="F270" s="260"/>
      <c r="G270" s="720">
        <f>G103+G269</f>
        <v>0</v>
      </c>
      <c r="H270" s="720">
        <f>H103+H269</f>
        <v>0</v>
      </c>
      <c r="I270" s="720">
        <f>I103+I269</f>
        <v>0</v>
      </c>
      <c r="J270" s="720">
        <f>J103+J269</f>
        <v>0</v>
      </c>
      <c r="K270" s="893">
        <f>SUM(G270:J270)</f>
        <v>0</v>
      </c>
      <c r="L270" s="260"/>
      <c r="M270" s="720">
        <f>M103+M269</f>
        <v>4.9000000000000002E-2</v>
      </c>
      <c r="N270" s="720">
        <f>N103+N269</f>
        <v>2.1999999999999999E-2</v>
      </c>
      <c r="O270" s="720">
        <f>O103+O269</f>
        <v>1.5664448014686694E-3</v>
      </c>
      <c r="P270" s="720">
        <f>P103+P269</f>
        <v>7.3755458515284172E-2</v>
      </c>
      <c r="Q270" s="893">
        <f>SUM(M270:P270)</f>
        <v>0.14632190331675285</v>
      </c>
      <c r="R270" s="260"/>
      <c r="S270" s="720">
        <f>S103+S269</f>
        <v>7.0000000000000007E-2</v>
      </c>
      <c r="T270" s="720">
        <f>T103+T269</f>
        <v>0.20200000000000001</v>
      </c>
      <c r="U270" s="720">
        <f>U103+U269</f>
        <v>0.34200000000000003</v>
      </c>
      <c r="V270" s="720">
        <f>V103+V269</f>
        <v>0.60299999999999998</v>
      </c>
      <c r="W270" s="894">
        <f>SUM(S270:V270)</f>
        <v>1.2170000000000001</v>
      </c>
      <c r="X270" s="260"/>
      <c r="Y270" s="720">
        <f>Y103+Y269</f>
        <v>1.0940000000000001</v>
      </c>
      <c r="Z270" s="720">
        <f>Z103+Z269</f>
        <v>1.31</v>
      </c>
      <c r="AA270" s="720">
        <f>AA103+AA269</f>
        <v>1.6680000000000001</v>
      </c>
      <c r="AB270" s="720">
        <f>AB103+AB269</f>
        <v>1.33</v>
      </c>
      <c r="AC270" s="894">
        <f>SUM(Y270:AB270)</f>
        <v>5.4020000000000001</v>
      </c>
      <c r="AD270" s="876"/>
      <c r="AE270" s="289">
        <f>AE103+AE269</f>
        <v>2.0049999999999999</v>
      </c>
      <c r="AF270" s="289">
        <f>AF103+AF269</f>
        <v>1.7130000000000001</v>
      </c>
      <c r="AG270" s="289">
        <f>AG103+AG269</f>
        <v>3.4180000000000001</v>
      </c>
      <c r="AH270" s="289">
        <f>AH103+AH269</f>
        <v>2.6589999999999998</v>
      </c>
      <c r="AI270" s="894">
        <f>SUM(AE270:AH270)</f>
        <v>9.7949999999999999</v>
      </c>
      <c r="AJ270" s="876"/>
      <c r="AK270" s="289">
        <f>AK103+AK269</f>
        <v>3.8420000000000001</v>
      </c>
      <c r="AL270" s="289">
        <f>AL103+AL269</f>
        <v>4.6529999999999996</v>
      </c>
      <c r="AM270" s="289">
        <f>AM103+AM269</f>
        <v>6.5940000000000003</v>
      </c>
      <c r="AN270" s="289">
        <f>AN103+AN269</f>
        <v>8.2959999999999994</v>
      </c>
      <c r="AO270" s="894">
        <f>SUM(AK270:AN270)</f>
        <v>23.384999999999998</v>
      </c>
      <c r="AP270" s="876"/>
      <c r="AQ270" s="289">
        <f>AQ103+AQ269</f>
        <v>10.311</v>
      </c>
      <c r="AR270" s="289">
        <f>AR103+AR269</f>
        <v>10.558</v>
      </c>
      <c r="AS270" s="289">
        <f>AS103+AS269</f>
        <v>8.8239999999999998</v>
      </c>
      <c r="AT270" s="289">
        <f>AT103+AT269</f>
        <v>7.8639999999999999</v>
      </c>
      <c r="AU270" s="894">
        <f>SUM(AQ270:AT270)</f>
        <v>37.556999999999995</v>
      </c>
      <c r="AV270" s="876"/>
      <c r="AW270" s="289">
        <f>AW103+AW269</f>
        <v>15.823</v>
      </c>
      <c r="AX270" s="289">
        <f>AX103+AX269</f>
        <v>14.03</v>
      </c>
      <c r="AY270" s="289">
        <f>AY103+AY269</f>
        <v>15.573</v>
      </c>
      <c r="AZ270" s="289">
        <f>AZ103+AZ269</f>
        <v>12.263</v>
      </c>
      <c r="BA270" s="894">
        <f>SUM(AW270:AZ270)</f>
        <v>57.689</v>
      </c>
      <c r="BB270" s="876"/>
      <c r="BC270" s="289">
        <f>BC103+BC269</f>
        <v>12.016</v>
      </c>
      <c r="BD270" s="289">
        <f>BD103+BD269</f>
        <v>12.884</v>
      </c>
      <c r="BE270" s="289">
        <f>BE103+BE269</f>
        <v>16.192</v>
      </c>
      <c r="BF270" s="289">
        <f>BF103+BF269</f>
        <v>-6.4909999999999997</v>
      </c>
      <c r="BG270" s="894">
        <f>SUM(BC270:BF270)</f>
        <v>34.600999999999999</v>
      </c>
      <c r="BH270" s="876"/>
      <c r="BI270" s="289">
        <f>BI103+BI269</f>
        <v>0.251</v>
      </c>
      <c r="BJ270" s="289">
        <f>BJ103+BJ269</f>
        <v>-13.445</v>
      </c>
      <c r="BK270" s="289">
        <f>BK103+BK269</f>
        <v>-5.0940000000000003</v>
      </c>
      <c r="BL270" s="289">
        <f>BL103+BL269</f>
        <v>-3.4569999999999999</v>
      </c>
      <c r="BM270" s="894">
        <f>SUM(BI270:BL270)</f>
        <v>-21.745000000000001</v>
      </c>
      <c r="BN270" s="876"/>
      <c r="BO270" s="289">
        <f>BO103+BO269</f>
        <v>-5.3929999999999998</v>
      </c>
      <c r="BP270" s="289">
        <f>BP103+BP269</f>
        <v>-4.2030000000000003</v>
      </c>
      <c r="BQ270" s="289">
        <f>BQ103+BQ269</f>
        <v>157.446</v>
      </c>
      <c r="BR270" s="289">
        <f>BR103+BR269</f>
        <v>-5.1989999999999998</v>
      </c>
      <c r="BS270" s="894">
        <f>SUM(BO270:BR270)</f>
        <v>142.65099999999998</v>
      </c>
      <c r="BT270" s="876"/>
      <c r="BU270" s="289">
        <f>BU103+BU269</f>
        <v>13.778</v>
      </c>
      <c r="BV270" s="289">
        <f>BV103+BV269</f>
        <v>-133.40700000000001</v>
      </c>
      <c r="BW270" s="289">
        <f>BW103+BW269</f>
        <v>0.39300000000000002</v>
      </c>
      <c r="BX270" s="289">
        <f>BX103+BX269</f>
        <v>-6.524</v>
      </c>
      <c r="BY270" s="894">
        <f>SUM(BU270:BX270)</f>
        <v>-125.76</v>
      </c>
      <c r="BZ270" s="876"/>
      <c r="CA270" s="289">
        <f>CA103+CA269</f>
        <v>12.141999999999999</v>
      </c>
      <c r="CB270" s="289">
        <f>CB103+CB269</f>
        <v>8.1189999999999998</v>
      </c>
      <c r="CC270" s="289">
        <f>CC103+CC269</f>
        <v>17.074999999999999</v>
      </c>
      <c r="CD270" s="289">
        <f>CD103+CD269</f>
        <v>12.266999999999999</v>
      </c>
      <c r="CE270" s="894">
        <f>SUM(CA270:CD270)</f>
        <v>49.602999999999994</v>
      </c>
      <c r="CF270" s="876"/>
      <c r="CG270" s="289">
        <f>CG103+CG269</f>
        <v>-27.346300509357746</v>
      </c>
      <c r="CH270" s="289">
        <f>CH103+CH269</f>
        <v>7.81</v>
      </c>
      <c r="CI270" s="289">
        <f>CI103+CI269</f>
        <v>68.548000000000002</v>
      </c>
      <c r="CJ270" s="289">
        <f>CJ103+CJ269</f>
        <v>21.366</v>
      </c>
      <c r="CK270" s="894">
        <f>SUM(CG270:CJ270)</f>
        <v>70.377699490642257</v>
      </c>
      <c r="CL270" s="876"/>
      <c r="CM270" s="289">
        <f>CM103+CM269</f>
        <v>1.6040000000000001</v>
      </c>
      <c r="CN270" s="289">
        <f>CN103+CN269</f>
        <v>-205.339</v>
      </c>
      <c r="CO270" s="289">
        <f>CO103+CO269</f>
        <v>24.722999999999999</v>
      </c>
      <c r="CP270" s="289">
        <f>CP103+CP269</f>
        <v>27.971</v>
      </c>
      <c r="CQ270" s="894">
        <f>SUM(CM270:CP270)</f>
        <v>-151.041</v>
      </c>
      <c r="CR270" s="876"/>
      <c r="CS270" s="289">
        <f>CS103+CS269</f>
        <v>-13.756</v>
      </c>
      <c r="CT270" s="289">
        <f>CT103+CT269</f>
        <v>12.717000000000001</v>
      </c>
      <c r="CU270" s="289">
        <f>CU103+CU269</f>
        <v>55.006999999999998</v>
      </c>
      <c r="CV270" s="289">
        <f>CV103+CV269</f>
        <v>20.661999999999999</v>
      </c>
      <c r="CW270" s="894">
        <f>SUM(CS270:CV270)</f>
        <v>74.63</v>
      </c>
      <c r="CX270" s="876"/>
      <c r="CY270" s="289">
        <f>CY103+CY269</f>
        <v>17.260445443196843</v>
      </c>
      <c r="CZ270" s="289">
        <f>CZ103+CZ269</f>
        <v>26.357803027183042</v>
      </c>
      <c r="DA270" s="289">
        <f>DA103+DA269</f>
        <v>35.513993331658533</v>
      </c>
      <c r="DB270" s="289">
        <f>DB103+DB269</f>
        <v>31.038928380947166</v>
      </c>
      <c r="DC270" s="894">
        <f>SUM(CY270:DB270)</f>
        <v>110.17117018298558</v>
      </c>
      <c r="DD270" s="876"/>
      <c r="DE270" s="289">
        <f>DE103+DE269</f>
        <v>62.213102480476373</v>
      </c>
      <c r="DF270" s="289">
        <f>DF103+DF269</f>
        <v>87.378233363174559</v>
      </c>
      <c r="DG270" s="289">
        <f>DG103+DG269</f>
        <v>103.74035005425306</v>
      </c>
      <c r="DH270" s="289">
        <f>DH103+DH269</f>
        <v>104.341152409001</v>
      </c>
      <c r="DI270" s="894">
        <f>SUM(DE270:DH270)</f>
        <v>357.67283830690496</v>
      </c>
      <c r="DJ270" s="876"/>
      <c r="DK270" s="289">
        <f>DK103+DK269</f>
        <v>108.40376709051007</v>
      </c>
      <c r="DL270" s="289">
        <f>DL103+DL269</f>
        <v>139.64096094210456</v>
      </c>
      <c r="DM270" s="289">
        <f>DM103+DM269</f>
        <v>158.33284938386231</v>
      </c>
      <c r="DN270" s="289">
        <f>DN103+DN269</f>
        <v>164.53027394186208</v>
      </c>
      <c r="DO270" s="894">
        <f>SUM(DK270:DN270)</f>
        <v>570.90785135833903</v>
      </c>
      <c r="DP270" s="260"/>
    </row>
    <row r="271" spans="1:120" ht="12.75" hidden="1" customHeight="1" outlineLevel="1">
      <c r="A271" s="260"/>
      <c r="B271" s="730"/>
      <c r="C271" s="268"/>
      <c r="D271" s="892"/>
      <c r="E271" s="892"/>
      <c r="F271" s="260"/>
      <c r="G271" s="892"/>
      <c r="H271" s="892"/>
      <c r="I271" s="892"/>
      <c r="J271" s="892"/>
      <c r="K271" s="892"/>
      <c r="L271" s="260"/>
      <c r="M271" s="892"/>
      <c r="N271" s="892"/>
      <c r="O271" s="892"/>
      <c r="P271" s="892"/>
      <c r="Q271" s="892"/>
      <c r="R271" s="260"/>
      <c r="S271" s="892"/>
      <c r="T271" s="892"/>
      <c r="U271" s="892"/>
      <c r="V271" s="892"/>
      <c r="W271" s="892"/>
      <c r="X271" s="260"/>
      <c r="Y271" s="892"/>
      <c r="Z271" s="892"/>
      <c r="AA271" s="892"/>
      <c r="AB271" s="892"/>
      <c r="AC271" s="892"/>
      <c r="AD271" s="876"/>
      <c r="AE271" s="892"/>
      <c r="AF271" s="892"/>
      <c r="AG271" s="892"/>
      <c r="AH271" s="892"/>
      <c r="AI271" s="892"/>
      <c r="AJ271" s="876"/>
      <c r="AK271" s="892"/>
      <c r="AL271" s="892"/>
      <c r="AM271" s="892"/>
      <c r="AN271" s="892"/>
      <c r="AO271" s="892"/>
      <c r="AP271" s="876"/>
      <c r="AQ271" s="892"/>
      <c r="AR271" s="892"/>
      <c r="AS271" s="892"/>
      <c r="AT271" s="892"/>
      <c r="AU271" s="892"/>
      <c r="AV271" s="876"/>
      <c r="AW271" s="892"/>
      <c r="AX271" s="892"/>
      <c r="AY271" s="892"/>
      <c r="AZ271" s="892"/>
      <c r="BA271" s="892"/>
      <c r="BB271" s="876"/>
      <c r="BC271" s="892"/>
      <c r="BD271" s="892"/>
      <c r="BE271" s="892"/>
      <c r="BF271" s="892"/>
      <c r="BG271" s="892"/>
      <c r="BH271" s="876"/>
      <c r="BI271" s="892"/>
      <c r="BJ271" s="892"/>
      <c r="BK271" s="892"/>
      <c r="BL271" s="892"/>
      <c r="BM271" s="892"/>
      <c r="BN271" s="876"/>
      <c r="BO271" s="892"/>
      <c r="BP271" s="892"/>
      <c r="BQ271" s="892"/>
      <c r="BR271" s="892"/>
      <c r="BS271" s="892"/>
      <c r="BT271" s="876"/>
      <c r="BU271" s="892"/>
      <c r="BV271" s="892"/>
      <c r="BW271" s="892"/>
      <c r="BX271" s="892"/>
      <c r="BY271" s="892"/>
      <c r="BZ271" s="876"/>
      <c r="CA271" s="892"/>
      <c r="CB271" s="892"/>
      <c r="CC271" s="892"/>
      <c r="CD271" s="892"/>
      <c r="CE271" s="892"/>
      <c r="CF271" s="876"/>
      <c r="CG271" s="892"/>
      <c r="CH271" s="892"/>
      <c r="CI271" s="892"/>
      <c r="CJ271" s="892"/>
      <c r="CK271" s="892"/>
      <c r="CL271" s="876"/>
      <c r="CM271" s="892"/>
      <c r="CN271" s="892"/>
      <c r="CO271" s="892"/>
      <c r="CP271" s="892"/>
      <c r="CQ271" s="892"/>
      <c r="CR271" s="876"/>
      <c r="CS271" s="892"/>
      <c r="CT271" s="892"/>
      <c r="CU271" s="892"/>
      <c r="CV271" s="892"/>
      <c r="CW271" s="892"/>
      <c r="CX271" s="876"/>
      <c r="CY271" s="892"/>
      <c r="CZ271" s="892"/>
      <c r="DA271" s="892"/>
      <c r="DB271" s="892"/>
      <c r="DC271" s="892"/>
      <c r="DD271" s="876"/>
      <c r="DE271" s="892"/>
      <c r="DF271" s="892"/>
      <c r="DG271" s="892"/>
      <c r="DH271" s="892"/>
      <c r="DI271" s="892"/>
      <c r="DJ271" s="876"/>
      <c r="DK271" s="892"/>
      <c r="DL271" s="892"/>
      <c r="DM271" s="892"/>
      <c r="DN271" s="892"/>
      <c r="DO271" s="892"/>
      <c r="DP271" s="260"/>
    </row>
    <row r="272" spans="1:120" ht="12.75" hidden="1" customHeight="1" outlineLevel="1">
      <c r="A272" s="260" t="s">
        <v>891</v>
      </c>
      <c r="B272" s="730"/>
      <c r="C272" s="260"/>
      <c r="D272" s="260"/>
      <c r="E272" s="260"/>
      <c r="F272" s="260"/>
      <c r="G272" s="895">
        <v>1.7500000000000002E-2</v>
      </c>
      <c r="H272" s="895">
        <v>1.7500000000000002E-2</v>
      </c>
      <c r="I272" s="895">
        <v>1.7500000000000002E-2</v>
      </c>
      <c r="J272" s="895">
        <v>1.2500000000000001E-2</v>
      </c>
      <c r="K272" s="895"/>
      <c r="L272" s="260"/>
      <c r="M272" s="895">
        <v>1.2500000000000001E-2</v>
      </c>
      <c r="N272" s="895">
        <v>1.2500000000000001E-2</v>
      </c>
      <c r="O272" s="895">
        <v>0.01</v>
      </c>
      <c r="P272" s="895">
        <v>0.01</v>
      </c>
      <c r="Q272" s="895"/>
      <c r="R272" s="280"/>
      <c r="S272" s="895">
        <v>0.01</v>
      </c>
      <c r="T272" s="895">
        <v>0.01</v>
      </c>
      <c r="U272" s="895">
        <v>1.4999999999999999E-2</v>
      </c>
      <c r="V272" s="896">
        <v>2.2499999999999999E-2</v>
      </c>
      <c r="W272" s="280"/>
      <c r="X272" s="280"/>
      <c r="Y272" s="896">
        <v>2.75E-2</v>
      </c>
      <c r="Z272" s="896">
        <v>0.03</v>
      </c>
      <c r="AA272" s="896">
        <v>3.7499999999999999E-2</v>
      </c>
      <c r="AB272" s="896">
        <v>4.4999999999999998E-2</v>
      </c>
      <c r="AC272" s="280"/>
      <c r="AD272" s="280"/>
      <c r="AE272" s="896">
        <v>4.7500000000000001E-2</v>
      </c>
      <c r="AF272" s="896">
        <v>4.7500000000000001E-2</v>
      </c>
      <c r="AG272" s="896">
        <v>0.05</v>
      </c>
      <c r="AH272" s="896">
        <v>0.05</v>
      </c>
      <c r="AI272" s="260"/>
      <c r="AJ272" s="280"/>
      <c r="AK272" s="896">
        <v>0.05</v>
      </c>
      <c r="AL272" s="896">
        <v>0.05</v>
      </c>
      <c r="AM272" s="896">
        <v>0.05</v>
      </c>
      <c r="AN272" s="896">
        <v>0.05</v>
      </c>
      <c r="AO272" s="260"/>
      <c r="AP272" s="280"/>
      <c r="AQ272" s="896">
        <v>0.05</v>
      </c>
      <c r="AR272" s="896">
        <v>0.05</v>
      </c>
      <c r="AS272" s="896">
        <v>0.05</v>
      </c>
      <c r="AT272" s="896">
        <v>0.05</v>
      </c>
      <c r="AU272" s="260"/>
      <c r="AV272" s="280"/>
      <c r="AW272" s="896">
        <v>0.05</v>
      </c>
      <c r="AX272" s="896">
        <v>0.05</v>
      </c>
      <c r="AY272" s="896">
        <v>0.05</v>
      </c>
      <c r="AZ272" s="896">
        <v>0.05</v>
      </c>
      <c r="BA272" s="260"/>
      <c r="BB272" s="280"/>
      <c r="BC272" s="896">
        <v>0.05</v>
      </c>
      <c r="BD272" s="896">
        <v>0.05</v>
      </c>
      <c r="BE272" s="896">
        <v>0.05</v>
      </c>
      <c r="BF272" s="896">
        <v>0.05</v>
      </c>
      <c r="BG272" s="260"/>
      <c r="BH272" s="280"/>
      <c r="BI272" s="896">
        <v>0.05</v>
      </c>
      <c r="BJ272" s="896">
        <v>0.05</v>
      </c>
      <c r="BK272" s="896">
        <v>0.05</v>
      </c>
      <c r="BL272" s="896">
        <v>0.05</v>
      </c>
      <c r="BM272" s="260"/>
      <c r="BN272" s="280"/>
      <c r="BO272" s="896">
        <v>0.05</v>
      </c>
      <c r="BP272" s="896">
        <v>0.05</v>
      </c>
      <c r="BQ272" s="896">
        <v>0.05</v>
      </c>
      <c r="BR272" s="896">
        <v>0.05</v>
      </c>
      <c r="BS272" s="260"/>
      <c r="BT272" s="280"/>
      <c r="BU272" s="896">
        <v>0.05</v>
      </c>
      <c r="BV272" s="896">
        <v>0.05</v>
      </c>
      <c r="BW272" s="896">
        <v>0.05</v>
      </c>
      <c r="BX272" s="896">
        <v>0.05</v>
      </c>
      <c r="BY272" s="260"/>
      <c r="BZ272" s="280"/>
      <c r="CA272" s="896">
        <v>0.05</v>
      </c>
      <c r="CB272" s="896">
        <v>0.05</v>
      </c>
      <c r="CC272" s="896">
        <v>0.05</v>
      </c>
      <c r="CD272" s="896">
        <v>0.05</v>
      </c>
      <c r="CE272" s="260"/>
      <c r="CF272" s="280"/>
      <c r="CG272" s="896">
        <v>0.05</v>
      </c>
      <c r="CH272" s="896">
        <v>0.05</v>
      </c>
      <c r="CI272" s="896">
        <v>0.05</v>
      </c>
      <c r="CJ272" s="896">
        <v>0.05</v>
      </c>
      <c r="CK272" s="260"/>
      <c r="CL272" s="280"/>
      <c r="CM272" s="896">
        <v>0.05</v>
      </c>
      <c r="CN272" s="896">
        <v>0.05</v>
      </c>
      <c r="CO272" s="896">
        <v>0.05</v>
      </c>
      <c r="CP272" s="896">
        <v>0.05</v>
      </c>
      <c r="CQ272" s="260"/>
      <c r="CR272" s="280"/>
      <c r="CS272" s="896">
        <v>0.05</v>
      </c>
      <c r="CT272" s="896">
        <v>0.05</v>
      </c>
      <c r="CU272" s="896">
        <v>0.05</v>
      </c>
      <c r="CV272" s="896">
        <v>0.05</v>
      </c>
      <c r="CW272" s="260"/>
      <c r="CX272" s="280"/>
      <c r="CY272" s="896">
        <v>0.05</v>
      </c>
      <c r="CZ272" s="896">
        <v>0.05</v>
      </c>
      <c r="DA272" s="896">
        <v>0.05</v>
      </c>
      <c r="DB272" s="896">
        <v>0.05</v>
      </c>
      <c r="DC272" s="260"/>
      <c r="DD272" s="280"/>
      <c r="DE272" s="896">
        <v>0.05</v>
      </c>
      <c r="DF272" s="896">
        <v>0.05</v>
      </c>
      <c r="DG272" s="896">
        <v>0.05</v>
      </c>
      <c r="DH272" s="896">
        <v>0.05</v>
      </c>
      <c r="DI272" s="260"/>
      <c r="DJ272" s="280"/>
      <c r="DK272" s="896">
        <v>0.05</v>
      </c>
      <c r="DL272" s="896">
        <v>0.05</v>
      </c>
      <c r="DM272" s="896">
        <v>0.05</v>
      </c>
      <c r="DN272" s="896">
        <v>0.05</v>
      </c>
      <c r="DO272" s="260"/>
      <c r="DP272" s="260"/>
    </row>
    <row r="273" spans="1:120" ht="12.75" hidden="1" customHeight="1" outlineLevel="1">
      <c r="A273" s="260" t="s">
        <v>162</v>
      </c>
      <c r="B273" s="730"/>
      <c r="C273" s="260"/>
      <c r="D273" s="260"/>
      <c r="E273" s="260"/>
      <c r="F273" s="260"/>
      <c r="G273" s="870">
        <f>(G274-G272)*10000</f>
        <v>187.02920830130671</v>
      </c>
      <c r="H273" s="870">
        <f>(H274-H272)*10000</f>
        <v>177.11980900014467</v>
      </c>
      <c r="I273" s="870">
        <f>(I274-I272)*10000</f>
        <v>146.14813592873637</v>
      </c>
      <c r="J273" s="870">
        <f>(J274-J272)*10000</f>
        <v>197.27519533836582</v>
      </c>
      <c r="K273" s="870"/>
      <c r="L273" s="260"/>
      <c r="M273" s="870">
        <f>(M274-M272)*10000</f>
        <v>33.038699219937186</v>
      </c>
      <c r="N273" s="870">
        <f>(N274-N272)*10000</f>
        <v>26.118860796280149</v>
      </c>
      <c r="O273" s="870">
        <f>(O274-O272)*10000</f>
        <v>37.254901960784345</v>
      </c>
      <c r="P273" s="870">
        <f>(P274-P272)*10000</f>
        <v>34.310134310134302</v>
      </c>
      <c r="Q273" s="870"/>
      <c r="R273" s="280"/>
      <c r="S273" s="870">
        <f>(S274-S272)*10000</f>
        <v>45.000503473970404</v>
      </c>
      <c r="T273" s="870">
        <f>(T274-T272)*10000</f>
        <v>196.32116849593922</v>
      </c>
      <c r="U273" s="870">
        <f>(U274-U272)*10000</f>
        <v>75.047643428051316</v>
      </c>
      <c r="V273" s="870">
        <f>(V274-V272)*10000</f>
        <v>20.82182706274839</v>
      </c>
      <c r="W273" s="870"/>
      <c r="X273" s="280"/>
      <c r="Y273" s="870">
        <f>(Y274-Y272)*10000</f>
        <v>0.61935456106037434</v>
      </c>
      <c r="Z273" s="870">
        <f>(Z274-Z272)*10000</f>
        <v>7.4143511478104092</v>
      </c>
      <c r="AA273" s="870">
        <f>(AA274-AA272)*10000</f>
        <v>-31.973862052309745</v>
      </c>
      <c r="AB273" s="870">
        <f>(AB274-AB272)*10000</f>
        <v>-60.827983321199291</v>
      </c>
      <c r="AC273" s="870"/>
      <c r="AD273" s="280"/>
      <c r="AE273" s="897">
        <v>-70</v>
      </c>
      <c r="AF273" s="897">
        <v>-70</v>
      </c>
      <c r="AG273" s="897">
        <v>-70</v>
      </c>
      <c r="AH273" s="897">
        <v>-69</v>
      </c>
      <c r="AI273" s="870"/>
      <c r="AJ273" s="280"/>
      <c r="AK273" s="897">
        <v>0</v>
      </c>
      <c r="AL273" s="897">
        <v>0</v>
      </c>
      <c r="AM273" s="897">
        <v>0</v>
      </c>
      <c r="AN273" s="897">
        <v>0</v>
      </c>
      <c r="AO273" s="870"/>
      <c r="AP273" s="280"/>
      <c r="AQ273" s="897">
        <v>0</v>
      </c>
      <c r="AR273" s="897">
        <v>0</v>
      </c>
      <c r="AS273" s="897">
        <v>0</v>
      </c>
      <c r="AT273" s="897">
        <v>0</v>
      </c>
      <c r="AU273" s="870"/>
      <c r="AV273" s="280"/>
      <c r="AW273" s="897">
        <v>0</v>
      </c>
      <c r="AX273" s="897">
        <v>0</v>
      </c>
      <c r="AY273" s="897">
        <v>0</v>
      </c>
      <c r="AZ273" s="897">
        <v>0</v>
      </c>
      <c r="BA273" s="870"/>
      <c r="BB273" s="280"/>
      <c r="BC273" s="897">
        <v>0</v>
      </c>
      <c r="BD273" s="897">
        <v>0</v>
      </c>
      <c r="BE273" s="897">
        <v>0</v>
      </c>
      <c r="BF273" s="897">
        <v>0</v>
      </c>
      <c r="BG273" s="870"/>
      <c r="BH273" s="280"/>
      <c r="BI273" s="897">
        <v>0</v>
      </c>
      <c r="BJ273" s="897">
        <v>0</v>
      </c>
      <c r="BK273" s="897">
        <v>0</v>
      </c>
      <c r="BL273" s="897">
        <v>0</v>
      </c>
      <c r="BM273" s="870"/>
      <c r="BN273" s="280"/>
      <c r="BO273" s="897">
        <v>0</v>
      </c>
      <c r="BP273" s="897">
        <v>0</v>
      </c>
      <c r="BQ273" s="897">
        <v>0</v>
      </c>
      <c r="BR273" s="897">
        <v>0</v>
      </c>
      <c r="BS273" s="870"/>
      <c r="BT273" s="280"/>
      <c r="BU273" s="897">
        <v>0</v>
      </c>
      <c r="BV273" s="897">
        <v>0</v>
      </c>
      <c r="BW273" s="897">
        <v>0</v>
      </c>
      <c r="BX273" s="897">
        <v>0</v>
      </c>
      <c r="BY273" s="870"/>
      <c r="BZ273" s="280"/>
      <c r="CA273" s="897">
        <v>0</v>
      </c>
      <c r="CB273" s="897">
        <v>0</v>
      </c>
      <c r="CC273" s="897">
        <v>0</v>
      </c>
      <c r="CD273" s="897">
        <v>0</v>
      </c>
      <c r="CE273" s="870"/>
      <c r="CF273" s="280"/>
      <c r="CG273" s="897">
        <v>0</v>
      </c>
      <c r="CH273" s="897">
        <v>0</v>
      </c>
      <c r="CI273" s="897">
        <v>0</v>
      </c>
      <c r="CJ273" s="897">
        <v>0</v>
      </c>
      <c r="CK273" s="870"/>
      <c r="CL273" s="280"/>
      <c r="CM273" s="897">
        <v>0</v>
      </c>
      <c r="CN273" s="897">
        <v>0</v>
      </c>
      <c r="CO273" s="897">
        <v>0</v>
      </c>
      <c r="CP273" s="897">
        <v>0</v>
      </c>
      <c r="CQ273" s="870"/>
      <c r="CR273" s="280"/>
      <c r="CS273" s="897">
        <v>0</v>
      </c>
      <c r="CT273" s="897">
        <v>0</v>
      </c>
      <c r="CU273" s="897">
        <v>0</v>
      </c>
      <c r="CV273" s="897">
        <v>0</v>
      </c>
      <c r="CW273" s="870"/>
      <c r="CX273" s="280"/>
      <c r="CY273" s="897">
        <v>0</v>
      </c>
      <c r="CZ273" s="897">
        <v>0</v>
      </c>
      <c r="DA273" s="897">
        <v>0</v>
      </c>
      <c r="DB273" s="897">
        <v>0</v>
      </c>
      <c r="DC273" s="870"/>
      <c r="DD273" s="280"/>
      <c r="DE273" s="897">
        <v>0</v>
      </c>
      <c r="DF273" s="897">
        <v>0</v>
      </c>
      <c r="DG273" s="897">
        <v>0</v>
      </c>
      <c r="DH273" s="897">
        <v>0</v>
      </c>
      <c r="DI273" s="870"/>
      <c r="DJ273" s="280"/>
      <c r="DK273" s="897">
        <v>0</v>
      </c>
      <c r="DL273" s="897">
        <v>0</v>
      </c>
      <c r="DM273" s="897">
        <v>0</v>
      </c>
      <c r="DN273" s="897">
        <v>0</v>
      </c>
      <c r="DO273" s="870"/>
      <c r="DP273" s="260"/>
    </row>
    <row r="274" spans="1:120" ht="12.75" hidden="1" customHeight="1" outlineLevel="1">
      <c r="A274" s="260" t="s">
        <v>438</v>
      </c>
      <c r="B274" s="730"/>
      <c r="C274" s="260"/>
      <c r="D274" s="260"/>
      <c r="E274" s="260"/>
      <c r="F274" s="260"/>
      <c r="G274" s="280">
        <f>4*G72/(BS!E10+BS!E11)</f>
        <v>3.6202920830130672E-2</v>
      </c>
      <c r="H274" s="280">
        <f>4*H72/(BS!G10+BS!G11)</f>
        <v>3.521198090001447E-2</v>
      </c>
      <c r="I274" s="280">
        <f>4*I72/(BS!H10+BS!H11)</f>
        <v>3.2114813592873638E-2</v>
      </c>
      <c r="J274" s="280">
        <f>4*J72/(BS!I10+BS!I11)</f>
        <v>3.2227519533836582E-2</v>
      </c>
      <c r="K274" s="280"/>
      <c r="L274" s="260"/>
      <c r="M274" s="280">
        <f>4*M72/(BS!J10+BS!J11+BS!J22)</f>
        <v>1.5803869921993719E-2</v>
      </c>
      <c r="N274" s="280">
        <f>4*N72/(BS!M10+BS!M11+BS!M22)</f>
        <v>1.5111886079628016E-2</v>
      </c>
      <c r="O274" s="280">
        <f>4*O72/(BS!N10+BS!N11+BS!N22)</f>
        <v>1.3725490196078435E-2</v>
      </c>
      <c r="P274" s="280">
        <f>4*P72/(BS!O10+BS!O11+BS!O22)</f>
        <v>1.343101343101343E-2</v>
      </c>
      <c r="Q274" s="280"/>
      <c r="R274" s="280"/>
      <c r="S274" s="280">
        <f>4*S72/(BS!P10+BS!P11+BS!P22)</f>
        <v>1.450005034739704E-2</v>
      </c>
      <c r="T274" s="280">
        <f>4*T72/(BS!S10+BS!S11+BS!S22)</f>
        <v>2.963211684959392E-2</v>
      </c>
      <c r="U274" s="280">
        <f>4*U72/(BS!T10+BS!T11+BS!T22)</f>
        <v>2.2504764342805132E-2</v>
      </c>
      <c r="V274" s="280">
        <f>4*V72/(BS!U10+BS!U11+BS!U22)</f>
        <v>2.4582182706274838E-2</v>
      </c>
      <c r="W274" s="898"/>
      <c r="X274" s="280"/>
      <c r="Y274" s="280">
        <f>4*Y72/(BS!V10+BS!V11+BS!V22)</f>
        <v>2.7561935456106038E-2</v>
      </c>
      <c r="Z274" s="280">
        <f>4*Z72/(BS!Y10+BS!Y11+BS!Y22)</f>
        <v>3.074143511478104E-2</v>
      </c>
      <c r="AA274" s="280">
        <f>4*AA72/(BS!Z10+BS!Z11+BS!Z22)</f>
        <v>3.4302613794769024E-2</v>
      </c>
      <c r="AB274" s="280">
        <f>4*AB72/(BS!AA10+BS!AA11+BS!AA22)</f>
        <v>3.8917201667880069E-2</v>
      </c>
      <c r="AC274" s="898"/>
      <c r="AD274" s="280"/>
      <c r="AE274" s="280">
        <f>4*AE72/(BS!AB10+BS!AB11+BS!AB22)</f>
        <v>4.0149330170624539E-2</v>
      </c>
      <c r="AF274" s="280">
        <f>4*AF72/(BS!AE10+BS!AE11+BS!AE22)</f>
        <v>4.2505690331966758E-2</v>
      </c>
      <c r="AG274" s="280">
        <f>4*AG72/(BS!AF10+BS!AF11+BS!AF22)</f>
        <v>4.9469182028511825E-2</v>
      </c>
      <c r="AH274" s="280">
        <f>4*AH72/(BS!AG10+BS!AG11+BS!AG22)</f>
        <v>4.8513512785567689E-2</v>
      </c>
      <c r="AI274" s="898"/>
      <c r="AJ274" s="280"/>
      <c r="AK274" s="280">
        <f>4*AK72/(BS!AH10+BS!AH11+BS!AH22)</f>
        <v>4.855131487084012E-2</v>
      </c>
      <c r="AL274" s="280">
        <f>4*AL72/(BS!AK10+BS!AK11+BS!AK22)</f>
        <v>5.0125984497992507E-2</v>
      </c>
      <c r="AM274" s="280">
        <f>4*AM72/(BS!AL10+BS!AL11+BS!AL22)</f>
        <v>5.2744317576142771E-2</v>
      </c>
      <c r="AN274" s="280">
        <f>4*AN72/(BS!AM10+BS!AM11+BS!AM22)</f>
        <v>5.1243163345901871E-2</v>
      </c>
      <c r="AO274" s="898"/>
      <c r="AP274" s="280"/>
      <c r="AQ274" s="280">
        <f>4*AQ72/(BS!AN10+BS!AN11+BS!AN22)</f>
        <v>4.0143326366079431E-2</v>
      </c>
      <c r="AR274" s="280">
        <f>4*AR72/(BS!AQ10+BS!AQ11+BS!AQ22)</f>
        <v>3.5745830519041927E-2</v>
      </c>
      <c r="AS274" s="280">
        <f>4*AS72/(BS!AR10+BS!AR11+BS!AR22)</f>
        <v>1.8653974838994093E-2</v>
      </c>
      <c r="AT274" s="280">
        <f>4*AT72/(BS!AS10+BS!AS11+BS!AS22)</f>
        <v>2.6830523262317205E-2</v>
      </c>
      <c r="AU274" s="898"/>
      <c r="AV274" s="280"/>
      <c r="AW274" s="280">
        <f>4*AW72/(BS!AT10+BS!AT11+BS!AT22)</f>
        <v>1.9588358931070231E-2</v>
      </c>
      <c r="AX274" s="280">
        <f>4*AX72/(BS!AX10+BS!AX11+BS!AX22)</f>
        <v>2.8936166908965982E-2</v>
      </c>
      <c r="AY274" s="280">
        <f>4*AY72/(BS!AY10+BS!AY11+BS!AY22)</f>
        <v>2.6954691746130237E-2</v>
      </c>
      <c r="AZ274" s="280">
        <f>4*AZ72/(BS!AZ10+BS!AZ11+BS!AZ22)</f>
        <v>2.461541312111765E-2</v>
      </c>
      <c r="BA274" s="898"/>
      <c r="BB274" s="280"/>
      <c r="BC274" s="280">
        <f>BC72/SUM(BS!BC10+BS!BC11+BS!BC22)*4</f>
        <v>1.6565450885278731E-2</v>
      </c>
      <c r="BD274" s="280">
        <f>BD72/SUM(BS!BD10+BS!BD11+BS!BD22)*4</f>
        <v>1.8795779072669837E-2</v>
      </c>
      <c r="BE274" s="280">
        <f>BE72/SUM(BS!BE10+BS!BE11+BS!BE22)*4</f>
        <v>2.5962584052728523E-2</v>
      </c>
      <c r="BF274" s="280">
        <f>BF72/SUM(BS!BF10+BS!BF11+BS!BF22)*4</f>
        <v>2.6786837051714425E-2</v>
      </c>
      <c r="BG274" s="898"/>
      <c r="BH274" s="280"/>
      <c r="BI274" s="280">
        <f>BI72/SUM(BS!BI10+BS!BI11+BS!BI22)*4</f>
        <v>2.116555047182361E-2</v>
      </c>
      <c r="BJ274" s="280">
        <f>BJ72/SUM(BS!BJ10+BS!BJ11+BS!BJ22)*4</f>
        <v>1.5892335026090852E-2</v>
      </c>
      <c r="BK274" s="280">
        <f>BK72/SUM(BS!BK10+BS!BK11+BS!BK22)*4</f>
        <v>1.5843380044466965E-2</v>
      </c>
      <c r="BL274" s="280">
        <f>BL72/SUM(BS!BL10+BS!BL11+BS!BL22)*4</f>
        <v>1.3723297958642154E-2</v>
      </c>
      <c r="BM274" s="898"/>
      <c r="BN274" s="280"/>
      <c r="BO274" s="280">
        <f>BO72/SUM(BS!BO10+BS!BO11+BS!BO22)*4</f>
        <v>1.0768281003615376E-2</v>
      </c>
      <c r="BP274" s="280">
        <f>BP72/SUM(BS!BP10+BS!BP11+BS!BP22)*4</f>
        <v>1.5902320335427447E-2</v>
      </c>
      <c r="BQ274" s="280">
        <f>BQ72/SUM(BS!BQ10+BS!BQ11+BS!BQ22)*4</f>
        <v>1.097983828254652E-2</v>
      </c>
      <c r="BR274" s="280">
        <f>BR72/SUM(BS!BR10+BS!BR11+BS!BR22)*4</f>
        <v>9.1930489084534085E-3</v>
      </c>
      <c r="BS274" s="898"/>
      <c r="BT274" s="280"/>
      <c r="BU274" s="280">
        <f>BU72/SUM(BS!BU10+BS!BU11+BS!BU22)*4</f>
        <v>4.3566122209207662E-3</v>
      </c>
      <c r="BV274" s="280">
        <v>5.0000000000000001E-3</v>
      </c>
      <c r="BW274" s="280">
        <v>5.0000000000000001E-3</v>
      </c>
      <c r="BX274" s="280">
        <v>5.0000000000000001E-3</v>
      </c>
      <c r="BY274" s="898"/>
      <c r="BZ274" s="280"/>
      <c r="CA274" s="280">
        <v>6.0000000000000001E-3</v>
      </c>
      <c r="CB274" s="280">
        <v>7.0000000000000001E-3</v>
      </c>
      <c r="CC274" s="280">
        <v>8.0000000000000002E-3</v>
      </c>
      <c r="CD274" s="280">
        <v>8.9999999999999993E-3</v>
      </c>
      <c r="CE274" s="898"/>
      <c r="CF274" s="280"/>
      <c r="CG274" s="280">
        <v>1E-3</v>
      </c>
      <c r="CH274" s="280">
        <v>1E-3</v>
      </c>
      <c r="CI274" s="280">
        <v>1E-3</v>
      </c>
      <c r="CJ274" s="280">
        <v>1E-3</v>
      </c>
      <c r="CK274" s="898"/>
      <c r="CL274" s="280"/>
      <c r="CM274" s="280">
        <f>CM72/SUM(BS!CM10,BS!CM11,BS!CM22)</f>
        <v>2.1860059018391298E-3</v>
      </c>
      <c r="CN274" s="280">
        <f>CN72/SUM(BS!CN10,BS!CN11,BS!CN22)</f>
        <v>6.9281244876292624E-3</v>
      </c>
      <c r="CO274" s="280">
        <f>CO72/SUM(BS!CO10,BS!CO11,BS!CO22)</f>
        <v>2.1180609092414609E-3</v>
      </c>
      <c r="CP274" s="280">
        <f>CO274</f>
        <v>2.1180609092414609E-3</v>
      </c>
      <c r="CQ274" s="898"/>
      <c r="CR274" s="280"/>
      <c r="CS274" s="280">
        <f>CP274</f>
        <v>2.1180609092414609E-3</v>
      </c>
      <c r="CT274" s="280">
        <f>CS274</f>
        <v>2.1180609092414609E-3</v>
      </c>
      <c r="CU274" s="280">
        <f t="shared" ref="CU274" si="67">CT274</f>
        <v>2.1180609092414609E-3</v>
      </c>
      <c r="CV274" s="280">
        <f>CU274+0.003</f>
        <v>5.1180609092414606E-3</v>
      </c>
      <c r="CW274" s="898"/>
      <c r="CX274" s="280"/>
      <c r="CY274" s="280">
        <f>CV274-0.004</f>
        <v>1.1180609092414605E-3</v>
      </c>
      <c r="CZ274" s="280">
        <f>CY274</f>
        <v>1.1180609092414605E-3</v>
      </c>
      <c r="DA274" s="280">
        <f t="shared" ref="DA274:DB274" si="68">CZ274</f>
        <v>1.1180609092414605E-3</v>
      </c>
      <c r="DB274" s="280">
        <f t="shared" si="68"/>
        <v>1.1180609092414605E-3</v>
      </c>
      <c r="DC274" s="898"/>
      <c r="DD274" s="280"/>
      <c r="DE274" s="280">
        <f>DB274</f>
        <v>1.1180609092414605E-3</v>
      </c>
      <c r="DF274" s="280">
        <f>DE274</f>
        <v>1.1180609092414605E-3</v>
      </c>
      <c r="DG274" s="280">
        <f t="shared" ref="DG274" si="69">DF274</f>
        <v>1.1180609092414605E-3</v>
      </c>
      <c r="DH274" s="280">
        <f t="shared" ref="DH274" si="70">DG274</f>
        <v>1.1180609092414605E-3</v>
      </c>
      <c r="DI274" s="898"/>
      <c r="DJ274" s="280"/>
      <c r="DK274" s="280">
        <f>DH274</f>
        <v>1.1180609092414605E-3</v>
      </c>
      <c r="DL274" s="280">
        <f>DK274</f>
        <v>1.1180609092414605E-3</v>
      </c>
      <c r="DM274" s="280">
        <f t="shared" ref="DM274" si="71">DL274</f>
        <v>1.1180609092414605E-3</v>
      </c>
      <c r="DN274" s="280">
        <f t="shared" ref="DN274" si="72">DM274</f>
        <v>1.1180609092414605E-3</v>
      </c>
      <c r="DO274" s="898"/>
      <c r="DP274" s="260"/>
    </row>
    <row r="275" spans="1:120" ht="12.75" hidden="1" customHeight="1" outlineLevel="1">
      <c r="A275" s="260" t="s">
        <v>439</v>
      </c>
      <c r="B275" s="730"/>
      <c r="C275" s="268"/>
      <c r="D275" s="892"/>
      <c r="E275" s="892"/>
      <c r="F275" s="260"/>
      <c r="G275" s="892">
        <v>500</v>
      </c>
      <c r="H275" s="892">
        <v>500</v>
      </c>
      <c r="I275" s="892">
        <v>500</v>
      </c>
      <c r="J275" s="892">
        <v>500</v>
      </c>
      <c r="K275" s="870"/>
      <c r="L275" s="260"/>
      <c r="M275" s="892">
        <v>500</v>
      </c>
      <c r="N275" s="892">
        <v>500</v>
      </c>
      <c r="O275" s="892">
        <v>500</v>
      </c>
      <c r="P275" s="892">
        <v>500</v>
      </c>
      <c r="Q275" s="870"/>
      <c r="R275" s="260"/>
      <c r="S275" s="892">
        <v>500</v>
      </c>
      <c r="T275" s="892">
        <v>500</v>
      </c>
      <c r="U275" s="892">
        <v>500</v>
      </c>
      <c r="V275" s="892">
        <v>500</v>
      </c>
      <c r="W275" s="870"/>
      <c r="X275" s="260"/>
      <c r="Y275" s="892">
        <v>500</v>
      </c>
      <c r="Z275" s="892">
        <v>500</v>
      </c>
      <c r="AA275" s="892">
        <v>500</v>
      </c>
      <c r="AB275" s="892">
        <v>500</v>
      </c>
      <c r="AC275" s="892"/>
      <c r="AD275" s="876"/>
      <c r="AE275" s="899">
        <v>500</v>
      </c>
      <c r="AF275" s="899">
        <v>500</v>
      </c>
      <c r="AG275" s="899">
        <v>500</v>
      </c>
      <c r="AH275" s="899">
        <v>501</v>
      </c>
      <c r="AI275" s="892"/>
      <c r="AJ275" s="876"/>
      <c r="AK275" s="899">
        <v>500</v>
      </c>
      <c r="AL275" s="899">
        <v>500</v>
      </c>
      <c r="AM275" s="899">
        <v>500</v>
      </c>
      <c r="AN275" s="899">
        <v>500</v>
      </c>
      <c r="AO275" s="892"/>
      <c r="AP275" s="876"/>
      <c r="AQ275" s="899">
        <v>500</v>
      </c>
      <c r="AR275" s="899">
        <v>500</v>
      </c>
      <c r="AS275" s="899">
        <v>500</v>
      </c>
      <c r="AT275" s="899">
        <v>500</v>
      </c>
      <c r="AU275" s="892"/>
      <c r="AV275" s="876"/>
      <c r="AW275" s="899">
        <v>500</v>
      </c>
      <c r="AX275" s="899">
        <v>500</v>
      </c>
      <c r="AY275" s="899">
        <v>500</v>
      </c>
      <c r="AZ275" s="899">
        <v>500</v>
      </c>
      <c r="BA275" s="892"/>
      <c r="BB275" s="876"/>
      <c r="BC275" s="899">
        <v>500</v>
      </c>
      <c r="BD275" s="899">
        <v>500</v>
      </c>
      <c r="BE275" s="899">
        <v>500</v>
      </c>
      <c r="BF275" s="899">
        <v>500</v>
      </c>
      <c r="BG275" s="892"/>
      <c r="BH275" s="876"/>
      <c r="BI275" s="899">
        <v>500</v>
      </c>
      <c r="BJ275" s="899">
        <v>500</v>
      </c>
      <c r="BK275" s="899">
        <v>500</v>
      </c>
      <c r="BL275" s="899">
        <v>500</v>
      </c>
      <c r="BM275" s="892"/>
      <c r="BN275" s="876"/>
      <c r="BO275" s="899">
        <v>500</v>
      </c>
      <c r="BP275" s="899">
        <v>500</v>
      </c>
      <c r="BQ275" s="899">
        <v>500</v>
      </c>
      <c r="BR275" s="899">
        <v>500</v>
      </c>
      <c r="BS275" s="892"/>
      <c r="BT275" s="876"/>
      <c r="BU275" s="899">
        <v>500</v>
      </c>
      <c r="BV275" s="899">
        <v>500</v>
      </c>
      <c r="BW275" s="899">
        <v>500</v>
      </c>
      <c r="BX275" s="899">
        <v>500</v>
      </c>
      <c r="BY275" s="892"/>
      <c r="BZ275" s="876"/>
      <c r="CA275" s="899">
        <v>500</v>
      </c>
      <c r="CB275" s="899">
        <v>500</v>
      </c>
      <c r="CC275" s="899">
        <v>500</v>
      </c>
      <c r="CD275" s="899">
        <v>500</v>
      </c>
      <c r="CE275" s="892"/>
      <c r="CF275" s="876"/>
      <c r="CG275" s="899">
        <v>500</v>
      </c>
      <c r="CH275" s="899">
        <v>500</v>
      </c>
      <c r="CI275" s="899">
        <v>500</v>
      </c>
      <c r="CJ275" s="899">
        <v>500</v>
      </c>
      <c r="CK275" s="892"/>
      <c r="CL275" s="876"/>
      <c r="CM275" s="899">
        <v>500</v>
      </c>
      <c r="CN275" s="899">
        <v>500</v>
      </c>
      <c r="CO275" s="899">
        <v>500</v>
      </c>
      <c r="CP275" s="899">
        <v>500</v>
      </c>
      <c r="CQ275" s="892"/>
      <c r="CR275" s="876"/>
      <c r="CS275" s="899">
        <v>500</v>
      </c>
      <c r="CT275" s="899">
        <v>500</v>
      </c>
      <c r="CU275" s="899">
        <v>500</v>
      </c>
      <c r="CV275" s="899">
        <v>500</v>
      </c>
      <c r="CW275" s="892"/>
      <c r="CX275" s="876"/>
      <c r="CY275" s="899">
        <v>500</v>
      </c>
      <c r="CZ275" s="899">
        <v>500</v>
      </c>
      <c r="DA275" s="899">
        <v>500</v>
      </c>
      <c r="DB275" s="899">
        <v>500</v>
      </c>
      <c r="DC275" s="892"/>
      <c r="DD275" s="876"/>
      <c r="DE275" s="899">
        <v>500</v>
      </c>
      <c r="DF275" s="899">
        <v>500</v>
      </c>
      <c r="DG275" s="899">
        <v>500</v>
      </c>
      <c r="DH275" s="899">
        <v>500</v>
      </c>
      <c r="DI275" s="892"/>
      <c r="DJ275" s="876"/>
      <c r="DK275" s="899">
        <v>500</v>
      </c>
      <c r="DL275" s="899">
        <v>500</v>
      </c>
      <c r="DM275" s="899">
        <v>500</v>
      </c>
      <c r="DN275" s="899">
        <v>500</v>
      </c>
      <c r="DO275" s="892"/>
      <c r="DP275" s="260"/>
    </row>
    <row r="276" spans="1:120" ht="12.75" hidden="1" customHeight="1" outlineLevel="1">
      <c r="A276" s="260" t="s">
        <v>440</v>
      </c>
      <c r="B276" s="730"/>
      <c r="C276" s="268"/>
      <c r="D276" s="892"/>
      <c r="E276" s="892"/>
      <c r="F276" s="260"/>
      <c r="G276" s="280">
        <f>IF(ISERROR(4*G73/(BS!D34+BS!D39+BS!D40)),G272+(G275/10000),(4*G73/(BS!D34+BS!D39+BS!D40)))</f>
        <v>-3.700144161460836E-2</v>
      </c>
      <c r="H276" s="280">
        <f>IF(ISERROR(4*H73/(BS!G34+BS!G39+BS!G40)),H272+(H275/10000),(4*H73/(BS!G34+BS!G39+BS!G40)))</f>
        <v>-4.835164835164836E-2</v>
      </c>
      <c r="I276" s="280">
        <f>IF(ISERROR(4*I73/(BS!H34+BS!H39+BS!H40)),I272+(I275/10000),(4*I73/(BS!H34+BS!H39+BS!H40)))</f>
        <v>-6.6551426101987887E-2</v>
      </c>
      <c r="J276" s="280">
        <f>IF(ISERROR(4*J73/(BS!I34+BS!I39+BS!I40)),J272+(J275/10000),(4*J73/(BS!I34+BS!I39+BS!I40)))</f>
        <v>-8.2662372517445015E-2</v>
      </c>
      <c r="K276" s="280"/>
      <c r="L276" s="260"/>
      <c r="M276" s="280">
        <f>IF(ISERROR(4*M73/(BS!J34+BS!J39+BS!J40)),M272+(M275/10000),(4*M73/(BS!J34+BS!J39+BS!J40)))</f>
        <v>-5.9113300492610835E-2</v>
      </c>
      <c r="N276" s="280">
        <f>IF(ISERROR(4*N73/(BS!M34+BS!M39+BS!M40)),N272+(N275/10000),(4*N73/(BS!M34+BS!M39+BS!M40)))</f>
        <v>-0.06</v>
      </c>
      <c r="O276" s="280">
        <f>IF(ISERROR(4*O73/(BS!N34+BS!N39+BS!N40)),O272+(O275/10000),(4*O73/(BS!N34+BS!N39+BS!N40)))</f>
        <v>-5.3846153846153849E-2</v>
      </c>
      <c r="P276" s="280">
        <f>IF(ISERROR(4*P73/(BS!O34+BS!O39+BS!O40)),P272+(P275/10000),(4*P73/(BS!O34+BS!O39+BS!O40)))</f>
        <v>-8.5889570552147229E-2</v>
      </c>
      <c r="Q276" s="280"/>
      <c r="R276" s="260"/>
      <c r="S276" s="280">
        <f>IF(ISERROR(4*S73/(BS!P34+BS!P39+BS!P40)),S272+(S275/10000),(4*S73/(BS!P34+BS!P39+BS!P40)))</f>
        <v>-5.128205128205128E-2</v>
      </c>
      <c r="T276" s="280">
        <f>IF(ISERROR(4*T73/(BS!S34+BS!S39+BS!S40)),T272+(T275/10000),(4*T73/(BS!S34+BS!S39+BS!S40)))</f>
        <v>-1</v>
      </c>
      <c r="U276" s="280">
        <f>IF(ISERROR(4*U73/(BS!T34+BS!T39+BS!T40)),U272+(U275/10000),(4*U73/(BS!T34+BS!T39+BS!T40)))</f>
        <v>-3.5851472471190783E-2</v>
      </c>
      <c r="V276" s="280">
        <f>-V274-(V275/10000)</f>
        <v>-7.4582182706274841E-2</v>
      </c>
      <c r="W276" s="280"/>
      <c r="X276" s="260"/>
      <c r="Y276" s="280">
        <f>IF(ISERROR(4*Y73/(BS!V34+BS!V39+BS!V40)),Y272+(Y275/10000),(4*Y73/(BS!V34+BS!V39+BS!V40)))</f>
        <v>0</v>
      </c>
      <c r="Z276" s="280">
        <f>IF(ISERROR(4*Z73/(BS!W34+BS!W39+BS!W40)),Z272+(Z275/10000),(4*Z73/(BS!W34+BS!W39+BS!W40)))</f>
        <v>0</v>
      </c>
      <c r="AA276" s="280">
        <f>IF(ISERROR(4*AA73/(BS!X34+BS!X39+BS!X40)),AA272+(AA275/10000),(4*AA73/(BS!X34+BS!X39+BS!X40)))</f>
        <v>8.7499999999999994E-2</v>
      </c>
      <c r="AB276" s="280">
        <f>IF(ISERROR(4*AB73/(BS!Y34+BS!Y39+BS!Y40)),AB272+(AB275/10000),(4*AB73/(BS!Y34+BS!Y39+BS!Y40)))</f>
        <v>0</v>
      </c>
      <c r="AC276" s="280"/>
      <c r="AD276" s="876"/>
      <c r="AE276" s="280">
        <f>-AE274-(AE275/10000)</f>
        <v>-9.0149330170624542E-2</v>
      </c>
      <c r="AF276" s="280">
        <f>-AF274-(AF275/10000)</f>
        <v>-9.2505690331966761E-2</v>
      </c>
      <c r="AG276" s="280">
        <f>-AG274-(AG275/10000)</f>
        <v>-9.9469182028511821E-2</v>
      </c>
      <c r="AH276" s="280">
        <f>-AH274-(AH275/10000)</f>
        <v>-9.8613512785567681E-2</v>
      </c>
      <c r="AI276" s="280"/>
      <c r="AJ276" s="876"/>
      <c r="AK276" s="280">
        <f>-AK274-(AK275/10000)</f>
        <v>-9.8551314870840123E-2</v>
      </c>
      <c r="AL276" s="280">
        <f>-AL274-(AL275/10000)</f>
        <v>-0.10012598449799251</v>
      </c>
      <c r="AM276" s="280">
        <f>-AM274-(AM275/10000)</f>
        <v>-0.10274431757614277</v>
      </c>
      <c r="AN276" s="280">
        <f>-AN274-(AN275/10000)</f>
        <v>-0.10124316334590187</v>
      </c>
      <c r="AO276" s="280"/>
      <c r="AP276" s="876"/>
      <c r="AQ276" s="280">
        <f>-AQ274-(AQ275/10000)</f>
        <v>-9.014332636607944E-2</v>
      </c>
      <c r="AR276" s="280">
        <f>-AR274-(AR275/10000)</f>
        <v>-8.574583051904193E-2</v>
      </c>
      <c r="AS276" s="280">
        <f>-AS274-(AS275/10000)</f>
        <v>-6.8653974838994103E-2</v>
      </c>
      <c r="AT276" s="280">
        <f>-AT274-(AT275/10000)</f>
        <v>-7.6830523262317207E-2</v>
      </c>
      <c r="AU276" s="280"/>
      <c r="AV276" s="876"/>
      <c r="AW276" s="280">
        <f>-AW274-(AW275/10000)</f>
        <v>-6.9588358931070238E-2</v>
      </c>
      <c r="AX276" s="280">
        <f>-AX274-(AX275/10000)</f>
        <v>-7.8936166908965988E-2</v>
      </c>
      <c r="AY276" s="280">
        <f>-AY274-(AY275/10000)</f>
        <v>-7.6954691746130233E-2</v>
      </c>
      <c r="AZ276" s="280">
        <f>-AZ274-(AZ275/10000)</f>
        <v>-7.4615413121117649E-2</v>
      </c>
      <c r="BA276" s="280"/>
      <c r="BB276" s="876"/>
      <c r="BC276" s="280">
        <f>-BC274-(BC275/10000)</f>
        <v>-6.6565450885278737E-2</v>
      </c>
      <c r="BD276" s="280">
        <f>-BD274-(BD275/10000)</f>
        <v>-6.8795779072669844E-2</v>
      </c>
      <c r="BE276" s="280">
        <f>-BE274-(BE275/10000)</f>
        <v>-7.596258405272853E-2</v>
      </c>
      <c r="BF276" s="280">
        <f>-BF274-(BF275/10000)</f>
        <v>-7.6786837051714435E-2</v>
      </c>
      <c r="BG276" s="280"/>
      <c r="BH276" s="876"/>
      <c r="BI276" s="280">
        <f>-BI274-(BI275/10000)</f>
        <v>-7.1165550471823616E-2</v>
      </c>
      <c r="BJ276" s="280">
        <f>-BJ274-(BJ275/10000)</f>
        <v>-6.5892335026090848E-2</v>
      </c>
      <c r="BK276" s="280">
        <f>-BK274-(BK275/10000)</f>
        <v>-6.5843380044466965E-2</v>
      </c>
      <c r="BL276" s="280">
        <f>-BL274-(BL275/10000)</f>
        <v>-6.372329795864215E-2</v>
      </c>
      <c r="BM276" s="280"/>
      <c r="BN276" s="876"/>
      <c r="BO276" s="280">
        <f>-BO274-(BO275/10000)</f>
        <v>-6.0768281003615379E-2</v>
      </c>
      <c r="BP276" s="280">
        <f>-BP274-(BP275/10000)</f>
        <v>-6.590232033542745E-2</v>
      </c>
      <c r="BQ276" s="280">
        <f>-BQ274-(BQ275/10000)</f>
        <v>-6.0979838282546522E-2</v>
      </c>
      <c r="BR276" s="280">
        <f>-BR274-(BR275/10000)</f>
        <v>-5.9193048908453408E-2</v>
      </c>
      <c r="BS276" s="280"/>
      <c r="BT276" s="876"/>
      <c r="BU276" s="280">
        <f>-BU274-(BU275/10000)</f>
        <v>-5.4356612220920766E-2</v>
      </c>
      <c r="BV276" s="280">
        <f>-BV274-(BV275/10000)</f>
        <v>-5.5E-2</v>
      </c>
      <c r="BW276" s="280">
        <f>-BW274-(BW275/10000)</f>
        <v>-5.5E-2</v>
      </c>
      <c r="BX276" s="280">
        <f>-BX274-(BX275/10000)</f>
        <v>-5.5E-2</v>
      </c>
      <c r="BY276" s="280"/>
      <c r="BZ276" s="876"/>
      <c r="CA276" s="280">
        <f>-CA274-(CA275/10000)</f>
        <v>-5.6000000000000001E-2</v>
      </c>
      <c r="CB276" s="280">
        <f>-CB274-(CB275/10000)</f>
        <v>-5.7000000000000002E-2</v>
      </c>
      <c r="CC276" s="280">
        <f>-CC274-(CC275/10000)</f>
        <v>-5.8000000000000003E-2</v>
      </c>
      <c r="CD276" s="280">
        <f>-CD274-(CD275/10000)</f>
        <v>-5.9000000000000004E-2</v>
      </c>
      <c r="CE276" s="280"/>
      <c r="CF276" s="876"/>
      <c r="CG276" s="280">
        <f>-CG274-(CG275/10000)</f>
        <v>-5.1000000000000004E-2</v>
      </c>
      <c r="CH276" s="280">
        <f>-CH274-(CH275/10000)</f>
        <v>-5.1000000000000004E-2</v>
      </c>
      <c r="CI276" s="280">
        <f>-CI274-(CI275/10000)</f>
        <v>-5.1000000000000004E-2</v>
      </c>
      <c r="CJ276" s="280">
        <f>-CJ274-(CJ275/10000)</f>
        <v>-5.1000000000000004E-2</v>
      </c>
      <c r="CK276" s="280"/>
      <c r="CL276" s="876"/>
      <c r="CM276" s="280">
        <f>-CM274-(CM275/10000)</f>
        <v>-5.2186005901839132E-2</v>
      </c>
      <c r="CN276" s="280">
        <f>-CN274-(CN275/10000)</f>
        <v>-5.6928124487629267E-2</v>
      </c>
      <c r="CO276" s="280">
        <f>-CO274-(CO275/10000)</f>
        <v>-5.2118060909241461E-2</v>
      </c>
      <c r="CP276" s="280">
        <f>-CP274-(CP275/10000)</f>
        <v>-5.2118060909241461E-2</v>
      </c>
      <c r="CQ276" s="280"/>
      <c r="CR276" s="876"/>
      <c r="CS276" s="280">
        <f>-CS274-(CS275/10000)</f>
        <v>-5.2118060909241461E-2</v>
      </c>
      <c r="CT276" s="280">
        <f>-CT274-(CT275/10000)</f>
        <v>-5.2118060909241461E-2</v>
      </c>
      <c r="CU276" s="280">
        <f>-CU274-(CU275/10000)</f>
        <v>-5.2118060909241461E-2</v>
      </c>
      <c r="CV276" s="280">
        <f>-CV274-(CV275/10000)</f>
        <v>-5.5118060909241463E-2</v>
      </c>
      <c r="CW276" s="280"/>
      <c r="CX276" s="876"/>
      <c r="CY276" s="280">
        <f>-CY274-(CY275/10000)</f>
        <v>-5.1118060909241467E-2</v>
      </c>
      <c r="CZ276" s="280">
        <f>-CZ274-(CZ275/10000)</f>
        <v>-5.1118060909241467E-2</v>
      </c>
      <c r="DA276" s="280">
        <f>-DA274-(DA275/10000)</f>
        <v>-5.1118060909241467E-2</v>
      </c>
      <c r="DB276" s="280">
        <f>-DB274-(DB275/10000)</f>
        <v>-5.1118060909241467E-2</v>
      </c>
      <c r="DC276" s="280"/>
      <c r="DD276" s="876"/>
      <c r="DE276" s="280">
        <f>-DE274-(DE275/10000)</f>
        <v>-5.1118060909241467E-2</v>
      </c>
      <c r="DF276" s="280">
        <f>-DF274-(DF275/10000)</f>
        <v>-5.1118060909241467E-2</v>
      </c>
      <c r="DG276" s="280">
        <f>-DG274-(DG275/10000)</f>
        <v>-5.1118060909241467E-2</v>
      </c>
      <c r="DH276" s="280">
        <f>-DH274-(DH275/10000)</f>
        <v>-5.1118060909241467E-2</v>
      </c>
      <c r="DI276" s="280"/>
      <c r="DJ276" s="876"/>
      <c r="DK276" s="280">
        <f>-DK274-(DK275/10000)</f>
        <v>-5.1118060909241467E-2</v>
      </c>
      <c r="DL276" s="280">
        <f>-DL274-(DL275/10000)</f>
        <v>-5.1118060909241467E-2</v>
      </c>
      <c r="DM276" s="280">
        <f>-DM274-(DM275/10000)</f>
        <v>-5.1118060909241467E-2</v>
      </c>
      <c r="DN276" s="280">
        <f>-DN274-(DN275/10000)</f>
        <v>-5.1118060909241467E-2</v>
      </c>
      <c r="DO276" s="280"/>
      <c r="DP276" s="260"/>
    </row>
    <row r="277" spans="1:120" collapsed="1">
      <c r="A277" s="260"/>
      <c r="B277" s="730"/>
      <c r="C277" s="260"/>
      <c r="D277" s="260"/>
      <c r="E277" s="260"/>
      <c r="F277" s="260"/>
      <c r="G277" s="260"/>
      <c r="H277" s="260"/>
      <c r="I277" s="260"/>
      <c r="J277" s="260"/>
      <c r="K277" s="260"/>
      <c r="L277" s="260"/>
      <c r="M277" s="260"/>
      <c r="N277" s="260"/>
      <c r="O277" s="260"/>
      <c r="P277" s="260"/>
      <c r="Q277" s="260"/>
      <c r="R277" s="260"/>
      <c r="S277" s="260"/>
      <c r="T277" s="260"/>
      <c r="U277" s="260"/>
      <c r="V277" s="260"/>
      <c r="W277" s="260"/>
      <c r="X277" s="260"/>
      <c r="Y277" s="260"/>
      <c r="Z277" s="260"/>
      <c r="AA277" s="260"/>
      <c r="AB277" s="260"/>
      <c r="AC277" s="260"/>
      <c r="AD277" s="260"/>
      <c r="AE277" s="260"/>
      <c r="AF277" s="260"/>
      <c r="AG277" s="260"/>
      <c r="AH277" s="260"/>
      <c r="AI277" s="260"/>
      <c r="AJ277" s="260"/>
      <c r="AK277" s="260"/>
      <c r="AL277" s="260"/>
      <c r="AM277" s="260"/>
      <c r="AN277" s="260"/>
      <c r="AO277" s="260"/>
      <c r="AP277" s="260"/>
      <c r="AQ277" s="260"/>
      <c r="AR277" s="260"/>
      <c r="AS277" s="260"/>
      <c r="AT277" s="260"/>
      <c r="AU277" s="260"/>
      <c r="AV277" s="260"/>
      <c r="AW277" s="260"/>
      <c r="AX277" s="260"/>
      <c r="AY277" s="260"/>
      <c r="AZ277" s="260"/>
      <c r="BA277" s="260"/>
      <c r="BB277" s="260"/>
      <c r="BC277" s="260"/>
      <c r="BD277" s="260"/>
      <c r="BE277" s="260"/>
      <c r="BF277" s="260"/>
      <c r="BG277" s="260"/>
      <c r="BH277" s="260"/>
      <c r="BI277" s="260"/>
      <c r="BJ277" s="260"/>
      <c r="BK277" s="260"/>
      <c r="BL277" s="260"/>
      <c r="BM277" s="260"/>
      <c r="BN277" s="260"/>
      <c r="BO277" s="260"/>
      <c r="BP277" s="260"/>
      <c r="BQ277" s="260"/>
      <c r="BR277" s="260"/>
      <c r="BS277" s="260"/>
      <c r="BT277" s="260"/>
      <c r="BU277" s="260"/>
      <c r="BV277" s="260"/>
      <c r="BW277" s="260"/>
      <c r="BX277" s="260"/>
      <c r="BY277" s="260"/>
      <c r="BZ277" s="260"/>
      <c r="CA277" s="260"/>
      <c r="CB277" s="260"/>
      <c r="CC277" s="260"/>
      <c r="CD277" s="260"/>
      <c r="CE277" s="260"/>
      <c r="CF277" s="260"/>
      <c r="CG277" s="260"/>
      <c r="CH277" s="260"/>
      <c r="CI277" s="260"/>
      <c r="CJ277" s="260"/>
      <c r="CK277" s="260"/>
      <c r="CL277" s="260"/>
      <c r="CM277" s="260"/>
      <c r="CN277" s="260"/>
      <c r="CO277" s="260"/>
      <c r="CP277" s="260"/>
      <c r="CQ277" s="260"/>
      <c r="CR277" s="260"/>
      <c r="CS277" s="260"/>
      <c r="CT277" s="260"/>
      <c r="CU277" s="260"/>
      <c r="CV277" s="260"/>
      <c r="CW277" s="260"/>
      <c r="CX277" s="260"/>
      <c r="CY277" s="260"/>
      <c r="CZ277" s="260"/>
      <c r="DA277" s="260"/>
      <c r="DB277" s="260"/>
      <c r="DC277" s="260"/>
      <c r="DD277" s="260"/>
      <c r="DE277" s="260"/>
      <c r="DF277" s="260"/>
      <c r="DG277" s="260"/>
      <c r="DH277" s="260"/>
      <c r="DI277" s="260"/>
      <c r="DJ277" s="260"/>
      <c r="DK277" s="260"/>
      <c r="DL277" s="260"/>
      <c r="DM277" s="260"/>
      <c r="DN277" s="260"/>
      <c r="DO277" s="260"/>
      <c r="DP277" s="260"/>
    </row>
    <row r="278" spans="1:120">
      <c r="A278" s="260"/>
      <c r="B278" s="730"/>
      <c r="C278" s="260"/>
      <c r="D278" s="260"/>
      <c r="E278" s="260"/>
      <c r="F278" s="260"/>
      <c r="G278" s="260"/>
      <c r="H278" s="260"/>
      <c r="I278" s="260"/>
      <c r="J278" s="260"/>
      <c r="K278" s="260"/>
      <c r="L278" s="260"/>
      <c r="M278" s="260"/>
      <c r="N278" s="260"/>
      <c r="O278" s="260"/>
      <c r="P278" s="260"/>
      <c r="Q278" s="260"/>
      <c r="R278" s="260"/>
      <c r="S278" s="260"/>
      <c r="T278" s="260"/>
      <c r="U278" s="260"/>
      <c r="V278" s="260"/>
      <c r="W278" s="260"/>
      <c r="X278" s="260"/>
      <c r="Y278" s="260"/>
      <c r="Z278" s="260"/>
      <c r="AA278" s="260"/>
      <c r="AB278" s="260"/>
      <c r="AC278" s="260"/>
      <c r="AD278" s="260"/>
      <c r="AE278" s="260"/>
      <c r="AF278" s="260"/>
      <c r="AG278" s="260"/>
      <c r="AH278" s="260"/>
      <c r="AI278" s="260"/>
      <c r="AJ278" s="260"/>
      <c r="AK278" s="260"/>
      <c r="AL278" s="260"/>
      <c r="AM278" s="260"/>
      <c r="AN278" s="260"/>
      <c r="AO278" s="260"/>
      <c r="AP278" s="260"/>
      <c r="AQ278" s="260"/>
      <c r="AR278" s="260"/>
      <c r="AS278" s="260"/>
      <c r="AT278" s="260"/>
      <c r="AU278" s="260"/>
      <c r="AV278" s="260"/>
      <c r="AW278" s="260"/>
      <c r="AX278" s="260"/>
      <c r="AY278" s="260"/>
      <c r="AZ278" s="260"/>
      <c r="BA278" s="260"/>
      <c r="BB278" s="260"/>
      <c r="BC278" s="260"/>
      <c r="BD278" s="260"/>
      <c r="BE278" s="260"/>
      <c r="BF278" s="260"/>
      <c r="BG278" s="260"/>
      <c r="BH278" s="260"/>
      <c r="BI278" s="260"/>
      <c r="BJ278" s="260"/>
      <c r="BK278" s="260"/>
      <c r="BL278" s="260"/>
      <c r="BM278" s="260"/>
      <c r="BN278" s="260"/>
      <c r="BO278" s="260"/>
      <c r="BP278" s="260"/>
      <c r="BQ278" s="260"/>
      <c r="BR278" s="260"/>
      <c r="BS278" s="260"/>
      <c r="BT278" s="260"/>
      <c r="BU278" s="260"/>
      <c r="BV278" s="260"/>
      <c r="BW278" s="260"/>
      <c r="BX278" s="260"/>
      <c r="BY278" s="260"/>
      <c r="BZ278" s="260"/>
      <c r="CA278" s="260"/>
      <c r="CB278" s="260"/>
      <c r="CC278" s="260"/>
      <c r="CD278" s="260"/>
      <c r="CE278" s="260"/>
      <c r="CF278" s="260"/>
      <c r="CG278" s="260"/>
      <c r="CH278" s="260"/>
      <c r="CI278" s="260"/>
      <c r="CJ278" s="260"/>
      <c r="CK278" s="260"/>
      <c r="CL278" s="260"/>
      <c r="CM278" s="260"/>
      <c r="CN278" s="260"/>
      <c r="CO278" s="260"/>
      <c r="CP278" s="260"/>
      <c r="CQ278" s="260"/>
      <c r="CR278" s="260"/>
      <c r="CS278" s="260"/>
      <c r="CT278" s="260"/>
      <c r="CU278" s="260"/>
      <c r="CV278" s="260"/>
      <c r="CW278" s="260"/>
      <c r="CX278" s="260"/>
      <c r="CY278" s="260"/>
      <c r="CZ278" s="260"/>
      <c r="DA278" s="260"/>
      <c r="DB278" s="260"/>
      <c r="DC278" s="260"/>
      <c r="DD278" s="260"/>
      <c r="DE278" s="260"/>
      <c r="DF278" s="260"/>
      <c r="DG278" s="260"/>
      <c r="DH278" s="260"/>
      <c r="DI278" s="260"/>
      <c r="DJ278" s="260"/>
      <c r="DK278" s="260"/>
      <c r="DL278" s="260"/>
      <c r="DM278" s="260"/>
      <c r="DN278" s="260"/>
      <c r="DO278" s="260"/>
      <c r="DP278" s="260"/>
    </row>
    <row r="279" spans="1:120" ht="12.75" hidden="1" customHeight="1" outlineLevel="1">
      <c r="A279" s="1" t="s">
        <v>1009</v>
      </c>
      <c r="B279" s="2"/>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c r="BA279" s="1"/>
      <c r="BB279" s="1"/>
      <c r="BC279" s="1"/>
      <c r="BD279" s="1"/>
      <c r="BE279" s="1"/>
      <c r="BF279" s="1"/>
      <c r="BG279" s="1"/>
      <c r="BH279" s="1"/>
      <c r="BI279" s="1"/>
      <c r="BJ279" s="1"/>
      <c r="BK279" s="1"/>
      <c r="BL279" s="1"/>
      <c r="BM279" s="1"/>
      <c r="BN279" s="1"/>
      <c r="BO279" s="1"/>
      <c r="BP279" s="1"/>
      <c r="BQ279" s="1"/>
      <c r="BR279" s="1"/>
      <c r="BS279" s="1"/>
      <c r="BT279" s="1"/>
      <c r="BU279" s="1"/>
      <c r="BV279" s="1"/>
      <c r="BW279" s="1"/>
      <c r="BX279" s="1"/>
      <c r="BY279" s="1"/>
      <c r="BZ279" s="1"/>
      <c r="CA279" s="1"/>
      <c r="CB279" s="1"/>
      <c r="CC279" s="1"/>
      <c r="CD279" s="1"/>
      <c r="CE279" s="1"/>
      <c r="CF279" s="1"/>
      <c r="CG279" s="1"/>
      <c r="CH279" s="1"/>
      <c r="CI279" s="1"/>
      <c r="CJ279" s="1"/>
      <c r="CK279" s="1"/>
      <c r="CL279" s="1"/>
      <c r="CM279" s="1"/>
      <c r="CN279" s="1"/>
      <c r="CO279" s="1"/>
      <c r="CP279" s="1"/>
      <c r="CQ279" s="1"/>
      <c r="CR279" s="1"/>
      <c r="CS279" s="1"/>
      <c r="CT279" s="1"/>
      <c r="CU279" s="1"/>
      <c r="CV279" s="1"/>
      <c r="CW279" s="1"/>
      <c r="CX279" s="1"/>
      <c r="CY279" s="1"/>
      <c r="CZ279" s="1"/>
      <c r="DA279" s="1"/>
      <c r="DB279" s="1"/>
      <c r="DC279" s="1"/>
      <c r="DD279" s="1"/>
      <c r="DE279" s="1"/>
      <c r="DF279" s="1"/>
      <c r="DG279" s="1"/>
      <c r="DH279" s="1"/>
      <c r="DI279" s="1"/>
      <c r="DJ279" s="1"/>
      <c r="DK279" s="1"/>
      <c r="DL279" s="1"/>
      <c r="DM279" s="1"/>
      <c r="DN279" s="1"/>
      <c r="DO279" s="1"/>
      <c r="DP279" s="316"/>
    </row>
    <row r="280" spans="1:120" ht="15.75" hidden="1" customHeight="1" outlineLevel="1">
      <c r="A280" s="900" t="s">
        <v>392</v>
      </c>
      <c r="B280" s="901"/>
      <c r="C280" s="902"/>
      <c r="D280" s="902"/>
      <c r="E280" s="902"/>
      <c r="F280" s="902"/>
      <c r="G280" s="902"/>
      <c r="H280" s="902"/>
      <c r="I280" s="902"/>
      <c r="J280" s="902"/>
      <c r="K280" s="902"/>
      <c r="L280" s="902"/>
      <c r="M280" s="902"/>
      <c r="N280" s="901"/>
      <c r="O280" s="903"/>
      <c r="P280" s="903"/>
      <c r="Q280" s="903"/>
      <c r="R280" s="903"/>
      <c r="S280" s="902"/>
      <c r="T280" s="901"/>
      <c r="U280" s="903"/>
      <c r="V280" s="903"/>
      <c r="W280" s="903"/>
      <c r="X280" s="903"/>
      <c r="Y280" s="902"/>
      <c r="Z280" s="901"/>
      <c r="AA280" s="903"/>
      <c r="AB280" s="903"/>
      <c r="AC280" s="903"/>
      <c r="AD280" s="903"/>
      <c r="AE280" s="902"/>
      <c r="AF280" s="901"/>
      <c r="AG280" s="903"/>
      <c r="AH280" s="903"/>
      <c r="AI280" s="903"/>
      <c r="AJ280" s="903"/>
      <c r="AK280" s="902"/>
      <c r="AL280" s="901"/>
      <c r="AM280" s="903"/>
      <c r="AN280" s="903"/>
      <c r="AO280" s="903"/>
      <c r="AP280" s="903"/>
      <c r="AQ280" s="902"/>
      <c r="AR280" s="901"/>
      <c r="AS280" s="903"/>
      <c r="AT280" s="903"/>
      <c r="AU280" s="903"/>
      <c r="AV280" s="903"/>
      <c r="AW280" s="902"/>
      <c r="AX280" s="901"/>
      <c r="AY280" s="903"/>
      <c r="AZ280" s="903"/>
      <c r="BA280" s="903"/>
      <c r="BB280" s="903"/>
      <c r="BC280" s="902"/>
      <c r="BD280" s="901"/>
      <c r="BE280" s="903"/>
      <c r="BF280" s="903"/>
      <c r="BG280" s="903"/>
      <c r="BH280" s="903"/>
      <c r="BI280" s="902"/>
      <c r="BJ280" s="901"/>
      <c r="BK280" s="903"/>
      <c r="BL280" s="903"/>
      <c r="BM280" s="903"/>
      <c r="BN280" s="903"/>
      <c r="BO280" s="902"/>
      <c r="BP280" s="901"/>
      <c r="BQ280" s="903"/>
      <c r="BR280" s="903"/>
      <c r="BS280" s="903"/>
      <c r="BT280" s="903"/>
      <c r="BU280" s="902"/>
      <c r="BV280" s="901"/>
      <c r="BW280" s="903"/>
      <c r="BX280" s="903"/>
      <c r="BY280" s="903"/>
      <c r="BZ280" s="903"/>
      <c r="CA280" s="902"/>
      <c r="CB280" s="901"/>
      <c r="CC280" s="903"/>
      <c r="CD280" s="903"/>
      <c r="CE280" s="903"/>
      <c r="CF280" s="903"/>
      <c r="CG280" s="902"/>
      <c r="CH280" s="901"/>
      <c r="CI280" s="903"/>
      <c r="CJ280" s="903"/>
      <c r="CK280" s="903"/>
      <c r="CL280" s="903"/>
      <c r="CM280" s="902"/>
      <c r="CN280" s="901"/>
      <c r="CO280" s="903"/>
      <c r="CP280" s="903"/>
      <c r="CQ280" s="903"/>
      <c r="CR280" s="903"/>
      <c r="CS280" s="902"/>
      <c r="CT280" s="901"/>
      <c r="CU280" s="903"/>
      <c r="CV280" s="903"/>
      <c r="CW280" s="903"/>
      <c r="CX280" s="903"/>
      <c r="CY280" s="902"/>
      <c r="CZ280" s="901"/>
      <c r="DA280" s="903"/>
      <c r="DB280" s="903"/>
      <c r="DC280" s="903"/>
      <c r="DD280" s="903"/>
      <c r="DE280" s="902"/>
      <c r="DF280" s="901"/>
      <c r="DG280" s="903"/>
      <c r="DH280" s="903"/>
      <c r="DI280" s="903"/>
      <c r="DJ280" s="903"/>
      <c r="DK280" s="902"/>
      <c r="DL280" s="901"/>
      <c r="DM280" s="903"/>
      <c r="DN280" s="903"/>
      <c r="DO280" s="903"/>
      <c r="DP280" s="902"/>
    </row>
    <row r="281" spans="1:120" ht="12.75" hidden="1" customHeight="1" outlineLevel="1">
      <c r="A281" s="904" t="s">
        <v>696</v>
      </c>
      <c r="B281" s="260"/>
      <c r="C281" s="261"/>
      <c r="D281" s="261"/>
      <c r="E281" s="261"/>
      <c r="F281" s="261"/>
      <c r="G281" s="261"/>
      <c r="H281" s="261"/>
      <c r="I281" s="261"/>
      <c r="J281" s="261"/>
      <c r="K281" s="261"/>
      <c r="L281" s="261"/>
      <c r="M281" s="261"/>
      <c r="N281" s="260"/>
      <c r="O281" s="905"/>
      <c r="P281" s="905"/>
      <c r="Q281" s="905"/>
      <c r="R281" s="905"/>
      <c r="S281" s="261"/>
      <c r="T281" s="905"/>
      <c r="U281" s="905"/>
      <c r="V281" s="905"/>
      <c r="W281" s="261"/>
      <c r="X281" s="260"/>
      <c r="Y281" s="905"/>
      <c r="Z281" s="905"/>
      <c r="AA281" s="905"/>
      <c r="AB281" s="905"/>
      <c r="AC281" s="905"/>
      <c r="AD281" s="905"/>
      <c r="AE281" s="261"/>
      <c r="AF281" s="260"/>
      <c r="AG281" s="905"/>
      <c r="AH281" s="905"/>
      <c r="AI281" s="905"/>
      <c r="AJ281" s="905"/>
      <c r="AK281" s="261"/>
      <c r="AL281" s="260"/>
      <c r="AM281" s="905"/>
      <c r="AN281" s="905"/>
      <c r="AO281" s="905"/>
      <c r="AP281" s="905"/>
      <c r="AQ281" s="261"/>
      <c r="AR281" s="260"/>
      <c r="AS281" s="905"/>
      <c r="AT281" s="905"/>
      <c r="AU281" s="905"/>
      <c r="AV281" s="905"/>
      <c r="AW281" s="261"/>
      <c r="AX281" s="260"/>
      <c r="AY281" s="905"/>
      <c r="AZ281" s="905"/>
      <c r="BA281" s="905"/>
      <c r="BB281" s="905"/>
      <c r="BC281" s="261"/>
      <c r="BD281" s="260"/>
      <c r="BE281" s="905"/>
      <c r="BF281" s="905"/>
      <c r="BG281" s="905"/>
      <c r="BH281" s="905"/>
      <c r="BI281" s="261"/>
      <c r="BJ281" s="260"/>
      <c r="BK281" s="905"/>
      <c r="BL281" s="905"/>
      <c r="BM281" s="905"/>
      <c r="BN281" s="905"/>
      <c r="BO281" s="261"/>
      <c r="BP281" s="260"/>
      <c r="BQ281" s="905"/>
      <c r="BR281" s="905"/>
      <c r="BS281" s="905"/>
      <c r="BT281" s="905"/>
      <c r="BU281" s="261"/>
      <c r="BV281" s="260"/>
      <c r="BW281" s="905"/>
      <c r="BX281" s="905"/>
      <c r="BY281" s="905"/>
      <c r="BZ281" s="905"/>
      <c r="CA281" s="261"/>
      <c r="CB281" s="260"/>
      <c r="CC281" s="905"/>
      <c r="CD281" s="905"/>
      <c r="CE281" s="905"/>
      <c r="CF281" s="905"/>
      <c r="CG281" s="261"/>
      <c r="CH281" s="260"/>
      <c r="CI281" s="905"/>
      <c r="CJ281" s="905"/>
      <c r="CK281" s="905"/>
      <c r="CL281" s="905"/>
      <c r="CM281" s="261"/>
      <c r="CN281" s="260"/>
      <c r="CO281" s="905"/>
      <c r="CP281" s="905"/>
      <c r="CQ281" s="905"/>
      <c r="CR281" s="905"/>
      <c r="CS281" s="261"/>
      <c r="CT281" s="260"/>
      <c r="CU281" s="905"/>
      <c r="CV281" s="905"/>
      <c r="CW281" s="905"/>
      <c r="CX281" s="905"/>
      <c r="CY281" s="261"/>
      <c r="CZ281" s="260"/>
      <c r="DA281" s="905"/>
      <c r="DB281" s="905"/>
      <c r="DC281" s="905"/>
      <c r="DD281" s="905"/>
      <c r="DE281" s="261"/>
      <c r="DF281" s="260"/>
      <c r="DG281" s="905"/>
      <c r="DH281" s="905"/>
      <c r="DI281" s="905"/>
      <c r="DJ281" s="905"/>
      <c r="DK281" s="261"/>
      <c r="DL281" s="260"/>
      <c r="DM281" s="905"/>
      <c r="DN281" s="905"/>
      <c r="DO281" s="905"/>
      <c r="DP281" s="261"/>
    </row>
    <row r="282" spans="1:120" ht="12" hidden="1" customHeight="1" outlineLevel="1">
      <c r="A282" s="260" t="s">
        <v>393</v>
      </c>
      <c r="B282" s="260"/>
      <c r="C282" s="261"/>
      <c r="D282" s="261"/>
      <c r="E282" s="261"/>
      <c r="F282" s="261"/>
      <c r="G282" s="261"/>
      <c r="H282" s="261"/>
      <c r="I282" s="261"/>
      <c r="J282" s="261"/>
      <c r="K282" s="261"/>
      <c r="L282" s="261"/>
      <c r="M282" s="261"/>
      <c r="N282" s="260"/>
      <c r="O282" s="905"/>
      <c r="P282" s="905"/>
      <c r="Q282" s="905"/>
      <c r="R282" s="905"/>
      <c r="S282" s="261"/>
      <c r="T282" s="714" t="s">
        <v>860</v>
      </c>
      <c r="U282" s="906">
        <v>43</v>
      </c>
      <c r="V282" s="906">
        <f>V325-U19-T19-S19</f>
        <v>50.218999999999994</v>
      </c>
      <c r="W282" s="261"/>
      <c r="X282" s="260"/>
      <c r="Y282" s="906">
        <v>58</v>
      </c>
      <c r="Z282" s="906">
        <v>68</v>
      </c>
      <c r="AA282" s="263">
        <v>78</v>
      </c>
      <c r="AB282" s="263">
        <v>88</v>
      </c>
      <c r="AC282" s="905"/>
      <c r="AD282" s="905"/>
      <c r="AE282" s="261">
        <v>99</v>
      </c>
      <c r="AF282" s="260">
        <v>112</v>
      </c>
      <c r="AG282" s="905">
        <v>126</v>
      </c>
      <c r="AH282" s="905">
        <v>140</v>
      </c>
      <c r="AI282" s="905"/>
      <c r="AJ282" s="905"/>
      <c r="AK282" s="261">
        <v>155</v>
      </c>
      <c r="AL282" s="260">
        <v>171</v>
      </c>
      <c r="AM282" s="260">
        <v>187</v>
      </c>
      <c r="AN282" s="905">
        <v>206</v>
      </c>
      <c r="AO282" s="905"/>
      <c r="AP282" s="905"/>
      <c r="AQ282" s="677">
        <v>233</v>
      </c>
      <c r="AR282" s="677">
        <v>258</v>
      </c>
      <c r="AS282" s="677">
        <v>273</v>
      </c>
      <c r="AT282" s="905">
        <v>284</v>
      </c>
      <c r="AU282" s="905"/>
      <c r="AV282" s="905"/>
      <c r="AW282" s="905">
        <v>304</v>
      </c>
      <c r="AX282" s="260">
        <v>312</v>
      </c>
      <c r="AY282" s="260">
        <v>323</v>
      </c>
      <c r="AZ282" s="260">
        <v>340</v>
      </c>
      <c r="BA282" s="905"/>
      <c r="BB282" s="905"/>
      <c r="BC282" s="261">
        <v>365</v>
      </c>
      <c r="BD282" s="260">
        <v>381</v>
      </c>
      <c r="BE282" s="905">
        <v>408</v>
      </c>
      <c r="BF282" s="905">
        <v>447</v>
      </c>
      <c r="BG282" s="905"/>
      <c r="BH282" s="905"/>
      <c r="BI282" s="905">
        <v>480</v>
      </c>
      <c r="BJ282" s="905">
        <v>526</v>
      </c>
      <c r="BK282" s="905">
        <v>568</v>
      </c>
      <c r="BL282" s="905"/>
      <c r="BM282" s="905"/>
      <c r="BN282" s="905"/>
      <c r="BO282" s="261"/>
      <c r="BP282" s="260"/>
      <c r="BQ282" s="905"/>
      <c r="BR282" s="905"/>
      <c r="BS282" s="905"/>
      <c r="BT282" s="905"/>
      <c r="BU282" s="261"/>
      <c r="BV282" s="260"/>
      <c r="BW282" s="905"/>
      <c r="BX282" s="905"/>
      <c r="BY282" s="905"/>
      <c r="BZ282" s="905"/>
      <c r="CA282" s="261"/>
      <c r="CB282" s="260"/>
      <c r="CC282" s="905"/>
      <c r="CD282" s="905"/>
      <c r="CE282" s="905"/>
      <c r="CF282" s="905"/>
      <c r="CG282" s="261"/>
      <c r="CH282" s="260"/>
      <c r="CI282" s="905"/>
      <c r="CJ282" s="905"/>
      <c r="CK282" s="905"/>
      <c r="CL282" s="905"/>
      <c r="CM282" s="261"/>
      <c r="CN282" s="260"/>
      <c r="CO282" s="905"/>
      <c r="CP282" s="905"/>
      <c r="CQ282" s="905"/>
      <c r="CR282" s="905"/>
      <c r="CS282" s="261"/>
      <c r="CT282" s="260"/>
      <c r="CU282" s="905"/>
      <c r="CV282" s="905"/>
      <c r="CW282" s="905"/>
      <c r="CX282" s="905"/>
      <c r="CY282" s="261"/>
      <c r="CZ282" s="260"/>
      <c r="DA282" s="905"/>
      <c r="DB282" s="905"/>
      <c r="DC282" s="905"/>
      <c r="DD282" s="905"/>
      <c r="DE282" s="261"/>
      <c r="DF282" s="260"/>
      <c r="DG282" s="905"/>
      <c r="DH282" s="905"/>
      <c r="DI282" s="905"/>
      <c r="DJ282" s="905"/>
      <c r="DK282" s="261"/>
      <c r="DL282" s="260"/>
      <c r="DM282" s="905"/>
      <c r="DN282" s="905"/>
      <c r="DO282" s="905"/>
      <c r="DP282" s="261"/>
    </row>
    <row r="283" spans="1:120" ht="12" hidden="1" customHeight="1" outlineLevel="1">
      <c r="A283" s="260" t="s">
        <v>394</v>
      </c>
      <c r="B283" s="260"/>
      <c r="C283" s="261"/>
      <c r="D283" s="261"/>
      <c r="E283" s="261"/>
      <c r="F283" s="261"/>
      <c r="G283" s="261"/>
      <c r="H283" s="261"/>
      <c r="I283" s="261"/>
      <c r="J283" s="261"/>
      <c r="K283" s="261"/>
      <c r="L283" s="261"/>
      <c r="M283" s="261"/>
      <c r="N283" s="260"/>
      <c r="O283" s="905"/>
      <c r="P283" s="905"/>
      <c r="Q283" s="905"/>
      <c r="R283" s="905"/>
      <c r="S283" s="261"/>
      <c r="T283" s="714" t="s">
        <v>860</v>
      </c>
      <c r="U283" s="906">
        <v>45</v>
      </c>
      <c r="V283" s="906">
        <f>V326-U19-T19-S19</f>
        <v>52.218999999999994</v>
      </c>
      <c r="W283" s="261"/>
      <c r="X283" s="260"/>
      <c r="Y283" s="906">
        <v>60</v>
      </c>
      <c r="Z283" s="906">
        <v>70</v>
      </c>
      <c r="AA283" s="263">
        <v>80</v>
      </c>
      <c r="AB283" s="263">
        <v>90</v>
      </c>
      <c r="AC283" s="905"/>
      <c r="AD283" s="905"/>
      <c r="AE283" s="261">
        <v>100</v>
      </c>
      <c r="AF283" s="260">
        <v>114</v>
      </c>
      <c r="AG283" s="905">
        <v>128</v>
      </c>
      <c r="AH283" s="905">
        <v>142</v>
      </c>
      <c r="AI283" s="905"/>
      <c r="AJ283" s="905"/>
      <c r="AK283" s="261">
        <v>157</v>
      </c>
      <c r="AL283" s="260">
        <v>173</v>
      </c>
      <c r="AM283" s="260">
        <v>189</v>
      </c>
      <c r="AN283" s="905">
        <v>208</v>
      </c>
      <c r="AO283" s="905"/>
      <c r="AP283" s="905"/>
      <c r="AQ283" s="677">
        <v>235</v>
      </c>
      <c r="AR283" s="677">
        <v>259</v>
      </c>
      <c r="AS283" s="677">
        <v>274</v>
      </c>
      <c r="AT283" s="905">
        <v>285</v>
      </c>
      <c r="AU283" s="905"/>
      <c r="AV283" s="905"/>
      <c r="AW283" s="905">
        <v>305</v>
      </c>
      <c r="AX283" s="260">
        <v>313</v>
      </c>
      <c r="AY283" s="260">
        <v>324</v>
      </c>
      <c r="AZ283" s="260">
        <v>342</v>
      </c>
      <c r="BA283" s="905"/>
      <c r="BB283" s="905"/>
      <c r="BC283" s="261">
        <v>367</v>
      </c>
      <c r="BD283" s="260">
        <v>383</v>
      </c>
      <c r="BE283" s="905">
        <v>410</v>
      </c>
      <c r="BF283" s="905">
        <v>449</v>
      </c>
      <c r="BG283" s="905"/>
      <c r="BH283" s="905"/>
      <c r="BI283" s="905">
        <v>482</v>
      </c>
      <c r="BJ283" s="905">
        <v>528</v>
      </c>
      <c r="BK283" s="905">
        <v>570</v>
      </c>
      <c r="BL283" s="905"/>
      <c r="BM283" s="905"/>
      <c r="BN283" s="905"/>
      <c r="BO283" s="261"/>
      <c r="BP283" s="260"/>
      <c r="BQ283" s="905"/>
      <c r="BR283" s="905"/>
      <c r="BS283" s="905"/>
      <c r="BT283" s="905"/>
      <c r="BU283" s="261"/>
      <c r="BV283" s="260"/>
      <c r="BW283" s="905"/>
      <c r="BX283" s="905"/>
      <c r="BY283" s="905"/>
      <c r="BZ283" s="905"/>
      <c r="CA283" s="261"/>
      <c r="CB283" s="260"/>
      <c r="CC283" s="905"/>
      <c r="CD283" s="905"/>
      <c r="CE283" s="905"/>
      <c r="CF283" s="905"/>
      <c r="CG283" s="261"/>
      <c r="CH283" s="260"/>
      <c r="CI283" s="905"/>
      <c r="CJ283" s="905"/>
      <c r="CK283" s="905"/>
      <c r="CL283" s="905"/>
      <c r="CM283" s="261"/>
      <c r="CN283" s="260"/>
      <c r="CO283" s="905"/>
      <c r="CP283" s="905"/>
      <c r="CQ283" s="905"/>
      <c r="CR283" s="905"/>
      <c r="CS283" s="261"/>
      <c r="CT283" s="260"/>
      <c r="CU283" s="905"/>
      <c r="CV283" s="905"/>
      <c r="CW283" s="905"/>
      <c r="CX283" s="905"/>
      <c r="CY283" s="261"/>
      <c r="CZ283" s="260"/>
      <c r="DA283" s="905"/>
      <c r="DB283" s="905"/>
      <c r="DC283" s="905"/>
      <c r="DD283" s="905"/>
      <c r="DE283" s="261"/>
      <c r="DF283" s="260"/>
      <c r="DG283" s="905"/>
      <c r="DH283" s="905"/>
      <c r="DI283" s="905"/>
      <c r="DJ283" s="905"/>
      <c r="DK283" s="261"/>
      <c r="DL283" s="260"/>
      <c r="DM283" s="905"/>
      <c r="DN283" s="905"/>
      <c r="DO283" s="905"/>
      <c r="DP283" s="261"/>
    </row>
    <row r="284" spans="1:120" ht="12" hidden="1" customHeight="1" outlineLevel="1">
      <c r="A284" s="260" t="s">
        <v>395</v>
      </c>
      <c r="B284" s="260"/>
      <c r="C284" s="261"/>
      <c r="D284" s="261"/>
      <c r="E284" s="261"/>
      <c r="F284" s="261"/>
      <c r="G284" s="261"/>
      <c r="H284" s="261"/>
      <c r="I284" s="261"/>
      <c r="J284" s="261"/>
      <c r="K284" s="261"/>
      <c r="L284" s="261"/>
      <c r="M284" s="261"/>
      <c r="N284" s="260"/>
      <c r="O284" s="905"/>
      <c r="P284" s="905"/>
      <c r="Q284" s="905"/>
      <c r="R284" s="905"/>
      <c r="S284" s="261"/>
      <c r="T284" s="906">
        <f>T19</f>
        <v>40.581000000000003</v>
      </c>
      <c r="U284" s="906">
        <f>U19</f>
        <v>46.361000000000004</v>
      </c>
      <c r="V284" s="906">
        <f>V19</f>
        <v>54.593999999999994</v>
      </c>
      <c r="W284" s="261"/>
      <c r="X284" s="260"/>
      <c r="Y284" s="906">
        <f>Y19</f>
        <v>64.176999999999992</v>
      </c>
      <c r="Z284" s="906">
        <f>Z19</f>
        <v>71.943000000000012</v>
      </c>
      <c r="AA284" s="906">
        <f>AA19</f>
        <v>82.673000000000002</v>
      </c>
      <c r="AB284" s="906">
        <f>AB19</f>
        <v>91.063999999999993</v>
      </c>
      <c r="AC284" s="905"/>
      <c r="AD284" s="905"/>
      <c r="AE284" s="906">
        <f>AE19</f>
        <v>104.68599999999999</v>
      </c>
      <c r="AF284" s="906">
        <f>AF19</f>
        <v>118.137</v>
      </c>
      <c r="AG284" s="906">
        <f>AG19</f>
        <v>130.053</v>
      </c>
      <c r="AH284" s="906">
        <f>AH19</f>
        <v>144.22200000000001</v>
      </c>
      <c r="AI284" s="905"/>
      <c r="AJ284" s="905"/>
      <c r="AK284" s="906">
        <f>AK19</f>
        <v>162.41200000000001</v>
      </c>
      <c r="AL284" s="906">
        <f>AL19</f>
        <v>176.57899999999998</v>
      </c>
      <c r="AM284" s="906">
        <f>AM19</f>
        <v>192.803</v>
      </c>
      <c r="AN284" s="906">
        <f>AN19</f>
        <v>216.90600000000001</v>
      </c>
      <c r="AO284" s="905"/>
      <c r="AP284" s="905"/>
      <c r="AQ284" s="907">
        <f>AQ19</f>
        <v>247.62200000000001</v>
      </c>
      <c r="AR284" s="907">
        <f>AR19</f>
        <v>263.077</v>
      </c>
      <c r="AS284" s="907">
        <f>AS19</f>
        <v>276.48699999999997</v>
      </c>
      <c r="AT284" s="907">
        <f>AT19</f>
        <v>289.58300000000003</v>
      </c>
      <c r="AU284" s="905"/>
      <c r="AV284" s="905"/>
      <c r="AW284" s="907">
        <f>AW19</f>
        <v>304.92399999999998</v>
      </c>
      <c r="AX284" s="907">
        <f>AX19</f>
        <v>316.06099999999998</v>
      </c>
      <c r="AY284" s="907">
        <f>AY19</f>
        <v>330.54899999999998</v>
      </c>
      <c r="AZ284" s="907">
        <f>AZ19</f>
        <v>354.04899999999998</v>
      </c>
      <c r="BA284" s="905"/>
      <c r="BB284" s="905"/>
      <c r="BC284" s="907">
        <f>BC19</f>
        <v>376.81299999999999</v>
      </c>
      <c r="BD284" s="907">
        <f>BD19</f>
        <v>394.37200000000001</v>
      </c>
      <c r="BE284" s="907">
        <f>BE19</f>
        <v>429.08699999999999</v>
      </c>
      <c r="BF284" s="907">
        <f>BF19</f>
        <v>456.86699999999996</v>
      </c>
      <c r="BG284" s="905"/>
      <c r="BH284" s="907"/>
      <c r="BI284" s="907">
        <f>BI19</f>
        <v>504.36400000000003</v>
      </c>
      <c r="BJ284" s="907">
        <f>BJ19</f>
        <v>546.00199999999995</v>
      </c>
      <c r="BK284" s="907">
        <f>BK19</f>
        <v>584.26</v>
      </c>
      <c r="BL284" s="905"/>
      <c r="BM284" s="905"/>
      <c r="BN284" s="905"/>
      <c r="BO284" s="261"/>
      <c r="BP284" s="260"/>
      <c r="BQ284" s="905"/>
      <c r="BR284" s="905"/>
      <c r="BS284" s="905"/>
      <c r="BT284" s="905"/>
      <c r="BU284" s="261"/>
      <c r="BV284" s="260"/>
      <c r="BW284" s="905"/>
      <c r="BX284" s="905"/>
      <c r="BY284" s="905"/>
      <c r="BZ284" s="905"/>
      <c r="CA284" s="261"/>
      <c r="CB284" s="260"/>
      <c r="CC284" s="905"/>
      <c r="CD284" s="905"/>
      <c r="CE284" s="905"/>
      <c r="CF284" s="905"/>
      <c r="CG284" s="261"/>
      <c r="CH284" s="260"/>
      <c r="CI284" s="905"/>
      <c r="CJ284" s="905"/>
      <c r="CK284" s="905"/>
      <c r="CL284" s="905"/>
      <c r="CM284" s="261"/>
      <c r="CN284" s="260"/>
      <c r="CO284" s="905"/>
      <c r="CP284" s="905"/>
      <c r="CQ284" s="905"/>
      <c r="CR284" s="905"/>
      <c r="CS284" s="261"/>
      <c r="CT284" s="260"/>
      <c r="CU284" s="905"/>
      <c r="CV284" s="905"/>
      <c r="CW284" s="905"/>
      <c r="CX284" s="905"/>
      <c r="CY284" s="261"/>
      <c r="CZ284" s="260"/>
      <c r="DA284" s="905"/>
      <c r="DB284" s="905"/>
      <c r="DC284" s="905"/>
      <c r="DD284" s="905"/>
      <c r="DE284" s="261"/>
      <c r="DF284" s="260"/>
      <c r="DG284" s="905"/>
      <c r="DH284" s="905"/>
      <c r="DI284" s="905"/>
      <c r="DJ284" s="905"/>
      <c r="DK284" s="261"/>
      <c r="DL284" s="260"/>
      <c r="DM284" s="905"/>
      <c r="DN284" s="905"/>
      <c r="DO284" s="905"/>
      <c r="DP284" s="261"/>
    </row>
    <row r="285" spans="1:120" ht="12" hidden="1" customHeight="1" outlineLevel="1">
      <c r="A285" s="260" t="s">
        <v>947</v>
      </c>
      <c r="B285" s="260"/>
      <c r="C285" s="261"/>
      <c r="D285" s="261"/>
      <c r="E285" s="261"/>
      <c r="F285" s="261"/>
      <c r="G285" s="261"/>
      <c r="H285" s="261"/>
      <c r="I285" s="261"/>
      <c r="J285" s="261"/>
      <c r="K285" s="261"/>
      <c r="L285" s="261"/>
      <c r="M285" s="261"/>
      <c r="N285" s="260"/>
      <c r="O285" s="905"/>
      <c r="P285" s="905"/>
      <c r="Q285" s="905"/>
      <c r="R285" s="905"/>
      <c r="S285" s="261"/>
      <c r="T285" s="908" t="s">
        <v>860</v>
      </c>
      <c r="U285" s="908">
        <f>U284/AVERAGE(U282:U283)-1</f>
        <v>5.3659090909091045E-2</v>
      </c>
      <c r="V285" s="908">
        <f>V284/AVERAGE(V282:V283)-1</f>
        <v>6.5893516078017855E-2</v>
      </c>
      <c r="W285" s="261"/>
      <c r="X285" s="260"/>
      <c r="Y285" s="908">
        <f>Y284/AVERAGE(Y282:Y283)-1</f>
        <v>8.7745762711864295E-2</v>
      </c>
      <c r="Z285" s="908">
        <f>Z284/AVERAGE(Z282:Z283)-1</f>
        <v>4.2652173913043656E-2</v>
      </c>
      <c r="AA285" s="908">
        <f>AA284/AVERAGE(AA282:AA283)-1</f>
        <v>4.6493670886075922E-2</v>
      </c>
      <c r="AB285" s="908">
        <f>AB284/AVERAGE(AB282:AB283)-1</f>
        <v>2.3191011235955017E-2</v>
      </c>
      <c r="AC285" s="905"/>
      <c r="AD285" s="905"/>
      <c r="AE285" s="908">
        <f>AE284/AVERAGE(AE282:AE283)-1</f>
        <v>5.2120603015075373E-2</v>
      </c>
      <c r="AF285" s="908">
        <f>AF284/AVERAGE(AF282:AF283)-1</f>
        <v>4.5460176991150458E-2</v>
      </c>
      <c r="AG285" s="908">
        <f>AG284/AVERAGE(AG282:AG283)-1</f>
        <v>2.4039370078740241E-2</v>
      </c>
      <c r="AH285" s="908">
        <f>AH284/AVERAGE(AH282:AH283)-1</f>
        <v>2.2851063829787188E-2</v>
      </c>
      <c r="AI285" s="905"/>
      <c r="AJ285" s="905"/>
      <c r="AK285" s="908">
        <f>AK284/AVERAGE(AK282:AK283)-1</f>
        <v>4.1102564102564187E-2</v>
      </c>
      <c r="AL285" s="908">
        <f>AL284/AVERAGE(AL282:AL283)-1</f>
        <v>2.6622093023255688E-2</v>
      </c>
      <c r="AM285" s="908">
        <f>AM284/AVERAGE(AM282:AM283)-1</f>
        <v>2.5547872340425437E-2</v>
      </c>
      <c r="AN285" s="908">
        <f>AN284/AVERAGE(AN282:AN283)-1</f>
        <v>4.7855072463768078E-2</v>
      </c>
      <c r="AO285" s="905"/>
      <c r="AP285" s="905"/>
      <c r="AQ285" s="908">
        <f>AQ284/AVERAGE(AQ282:AQ283)-1</f>
        <v>5.8213675213675264E-2</v>
      </c>
      <c r="AR285" s="908">
        <f>AR284/AVERAGE(AR282:AR283)-1</f>
        <v>1.7705996131528012E-2</v>
      </c>
      <c r="AS285" s="908">
        <f>AS284/AVERAGE(AS282:AS283)-1</f>
        <v>1.092138939670928E-2</v>
      </c>
      <c r="AT285" s="908">
        <f>AT284/AVERAGE(AT282:AT283)-1</f>
        <v>1.7866432337434235E-2</v>
      </c>
      <c r="AU285" s="905"/>
      <c r="AV285" s="905"/>
      <c r="AW285" s="908">
        <f>AW284/AVERAGE(AW282:AW283)-1</f>
        <v>1.3924466338259833E-3</v>
      </c>
      <c r="AX285" s="908">
        <f>AX284/AVERAGE(AX282:AX283)-1</f>
        <v>1.1395199999999939E-2</v>
      </c>
      <c r="AY285" s="908">
        <f>AY284/AVERAGE(AY282:AY283)-1</f>
        <v>2.1789799072643001E-2</v>
      </c>
      <c r="AZ285" s="908">
        <f>AZ284/AVERAGE(AZ282:AZ283)-1</f>
        <v>3.8266862170087901E-2</v>
      </c>
      <c r="BA285" s="905"/>
      <c r="BB285" s="905"/>
      <c r="BC285" s="908">
        <f>BC284/AVERAGE(BC282:BC283)-1</f>
        <v>2.9543715846994445E-2</v>
      </c>
      <c r="BD285" s="908">
        <f>BD284/AVERAGE(BD282:BD283)-1</f>
        <v>3.2387434554973948E-2</v>
      </c>
      <c r="BE285" s="908">
        <f>BE284/AVERAGE(BE282:BE283)-1</f>
        <v>4.9112469437652795E-2</v>
      </c>
      <c r="BF285" s="908">
        <f>BF284/AVERAGE(BF282:BF283)-1</f>
        <v>1.9792410714285724E-2</v>
      </c>
      <c r="BG285" s="905"/>
      <c r="BH285" s="908"/>
      <c r="BI285" s="908">
        <f>BI284/AVERAGE(BI282:BI283)-1</f>
        <v>4.8573804573804669E-2</v>
      </c>
      <c r="BJ285" s="908">
        <f>BJ284/AVERAGE(BJ282:BJ283)-1</f>
        <v>3.6056925996204914E-2</v>
      </c>
      <c r="BK285" s="908">
        <f>BK284/AVERAGE(BK282:BK283)-1</f>
        <v>2.6818980667838277E-2</v>
      </c>
      <c r="BL285" s="905"/>
      <c r="BM285" s="905"/>
      <c r="BN285" s="905"/>
      <c r="BO285" s="261"/>
      <c r="BP285" s="260"/>
      <c r="BQ285" s="905"/>
      <c r="BR285" s="905"/>
      <c r="BS285" s="905"/>
      <c r="BT285" s="905"/>
      <c r="BU285" s="261"/>
      <c r="BV285" s="260"/>
      <c r="BW285" s="905"/>
      <c r="BX285" s="905"/>
      <c r="BY285" s="905"/>
      <c r="BZ285" s="905"/>
      <c r="CA285" s="261"/>
      <c r="CB285" s="260"/>
      <c r="CC285" s="905"/>
      <c r="CD285" s="905"/>
      <c r="CE285" s="905"/>
      <c r="CF285" s="905"/>
      <c r="CG285" s="261"/>
      <c r="CH285" s="260"/>
      <c r="CI285" s="905"/>
      <c r="CJ285" s="905"/>
      <c r="CK285" s="905"/>
      <c r="CL285" s="905"/>
      <c r="CM285" s="261"/>
      <c r="CN285" s="260"/>
      <c r="CO285" s="905"/>
      <c r="CP285" s="905"/>
      <c r="CQ285" s="905"/>
      <c r="CR285" s="905"/>
      <c r="CS285" s="261"/>
      <c r="CT285" s="260"/>
      <c r="CU285" s="905"/>
      <c r="CV285" s="905"/>
      <c r="CW285" s="905"/>
      <c r="CX285" s="905"/>
      <c r="CY285" s="261"/>
      <c r="CZ285" s="260"/>
      <c r="DA285" s="905"/>
      <c r="DB285" s="905"/>
      <c r="DC285" s="905"/>
      <c r="DD285" s="905"/>
      <c r="DE285" s="261"/>
      <c r="DF285" s="260"/>
      <c r="DG285" s="905"/>
      <c r="DH285" s="905"/>
      <c r="DI285" s="905"/>
      <c r="DJ285" s="905"/>
      <c r="DK285" s="261"/>
      <c r="DL285" s="260"/>
      <c r="DM285" s="905"/>
      <c r="DN285" s="905"/>
      <c r="DO285" s="905"/>
      <c r="DP285" s="261"/>
    </row>
    <row r="286" spans="1:120" ht="12.75" hidden="1" customHeight="1" outlineLevel="1">
      <c r="A286" s="260"/>
      <c r="B286" s="260"/>
      <c r="C286" s="261"/>
      <c r="D286" s="261"/>
      <c r="E286" s="261"/>
      <c r="F286" s="261"/>
      <c r="G286" s="261"/>
      <c r="H286" s="261"/>
      <c r="I286" s="261"/>
      <c r="J286" s="261"/>
      <c r="K286" s="261"/>
      <c r="L286" s="261"/>
      <c r="M286" s="261"/>
      <c r="N286" s="260"/>
      <c r="O286" s="905"/>
      <c r="P286" s="905"/>
      <c r="Q286" s="905"/>
      <c r="R286" s="905"/>
      <c r="S286" s="261"/>
      <c r="T286" s="905"/>
      <c r="U286" s="905"/>
      <c r="V286" s="905"/>
      <c r="W286" s="261"/>
      <c r="X286" s="260"/>
      <c r="Y286" s="905"/>
      <c r="Z286" s="905"/>
      <c r="AA286" s="261"/>
      <c r="AB286" s="261"/>
      <c r="AC286" s="905"/>
      <c r="AD286" s="905"/>
      <c r="AE286" s="261"/>
      <c r="AF286" s="260"/>
      <c r="AG286" s="905"/>
      <c r="AH286" s="905"/>
      <c r="AI286" s="905"/>
      <c r="AJ286" s="905"/>
      <c r="AK286" s="261"/>
      <c r="AL286" s="260"/>
      <c r="AM286" s="260"/>
      <c r="AN286" s="905"/>
      <c r="AO286" s="905"/>
      <c r="AP286" s="905"/>
      <c r="AQ286" s="677"/>
      <c r="AR286" s="677"/>
      <c r="AS286" s="677"/>
      <c r="AT286" s="905"/>
      <c r="AU286" s="905"/>
      <c r="AV286" s="905"/>
      <c r="AW286" s="905"/>
      <c r="AX286" s="260"/>
      <c r="AY286" s="260"/>
      <c r="AZ286" s="260"/>
      <c r="BA286" s="905"/>
      <c r="BB286" s="905"/>
      <c r="BC286" s="261"/>
      <c r="BD286" s="260"/>
      <c r="BE286" s="905"/>
      <c r="BF286" s="905"/>
      <c r="BG286" s="905"/>
      <c r="BH286" s="905"/>
      <c r="BI286" s="905"/>
      <c r="BJ286" s="905"/>
      <c r="BK286" s="905"/>
      <c r="BL286" s="905"/>
      <c r="BM286" s="905"/>
      <c r="BN286" s="905"/>
      <c r="BO286" s="261"/>
      <c r="BP286" s="260"/>
      <c r="BQ286" s="905"/>
      <c r="BR286" s="905"/>
      <c r="BS286" s="905"/>
      <c r="BT286" s="905"/>
      <c r="BU286" s="261"/>
      <c r="BV286" s="260"/>
      <c r="BW286" s="905"/>
      <c r="BX286" s="905"/>
      <c r="BY286" s="905"/>
      <c r="BZ286" s="905"/>
      <c r="CA286" s="261"/>
      <c r="CB286" s="260"/>
      <c r="CC286" s="905"/>
      <c r="CD286" s="905"/>
      <c r="CE286" s="905"/>
      <c r="CF286" s="905"/>
      <c r="CG286" s="261"/>
      <c r="CH286" s="260"/>
      <c r="CI286" s="905"/>
      <c r="CJ286" s="905"/>
      <c r="CK286" s="905"/>
      <c r="CL286" s="905"/>
      <c r="CM286" s="261"/>
      <c r="CN286" s="260"/>
      <c r="CO286" s="905"/>
      <c r="CP286" s="905"/>
      <c r="CQ286" s="905"/>
      <c r="CR286" s="905"/>
      <c r="CS286" s="261"/>
      <c r="CT286" s="260"/>
      <c r="CU286" s="905"/>
      <c r="CV286" s="905"/>
      <c r="CW286" s="905"/>
      <c r="CX286" s="905"/>
      <c r="CY286" s="261"/>
      <c r="CZ286" s="260"/>
      <c r="DA286" s="905"/>
      <c r="DB286" s="905"/>
      <c r="DC286" s="905"/>
      <c r="DD286" s="905"/>
      <c r="DE286" s="261"/>
      <c r="DF286" s="260"/>
      <c r="DG286" s="905"/>
      <c r="DH286" s="905"/>
      <c r="DI286" s="905"/>
      <c r="DJ286" s="905"/>
      <c r="DK286" s="261"/>
      <c r="DL286" s="260"/>
      <c r="DM286" s="905"/>
      <c r="DN286" s="905"/>
      <c r="DO286" s="905"/>
      <c r="DP286" s="261"/>
    </row>
    <row r="287" spans="1:120" ht="12.75" hidden="1" customHeight="1" outlineLevel="1">
      <c r="A287" s="904" t="s">
        <v>879</v>
      </c>
      <c r="B287" s="260"/>
      <c r="C287" s="261"/>
      <c r="D287" s="261"/>
      <c r="E287" s="261"/>
      <c r="F287" s="261"/>
      <c r="G287" s="261"/>
      <c r="H287" s="261"/>
      <c r="I287" s="261"/>
      <c r="J287" s="261"/>
      <c r="K287" s="261"/>
      <c r="L287" s="261"/>
      <c r="M287" s="261"/>
      <c r="N287" s="260"/>
      <c r="O287" s="905"/>
      <c r="P287" s="905"/>
      <c r="Q287" s="905"/>
      <c r="R287" s="905"/>
      <c r="S287" s="261"/>
      <c r="T287" s="905"/>
      <c r="U287" s="905"/>
      <c r="V287" s="905"/>
      <c r="W287" s="261"/>
      <c r="X287" s="260"/>
      <c r="Y287" s="905"/>
      <c r="Z287" s="905"/>
      <c r="AA287" s="261"/>
      <c r="AB287" s="261"/>
      <c r="AC287" s="905"/>
      <c r="AD287" s="905"/>
      <c r="AE287" s="261"/>
      <c r="AF287" s="260"/>
      <c r="AG287" s="905"/>
      <c r="AH287" s="905"/>
      <c r="AI287" s="905"/>
      <c r="AJ287" s="905"/>
      <c r="AK287" s="261"/>
      <c r="AL287" s="260"/>
      <c r="AM287" s="260"/>
      <c r="AN287" s="905"/>
      <c r="AO287" s="905"/>
      <c r="AP287" s="905"/>
      <c r="AQ287" s="677"/>
      <c r="AR287" s="677"/>
      <c r="AS287" s="677"/>
      <c r="AT287" s="905"/>
      <c r="AU287" s="905"/>
      <c r="AV287" s="905"/>
      <c r="AW287" s="905"/>
      <c r="AX287" s="260"/>
      <c r="AY287" s="260"/>
      <c r="AZ287" s="260"/>
      <c r="BA287" s="905"/>
      <c r="BB287" s="905"/>
      <c r="BC287" s="261"/>
      <c r="BD287" s="260"/>
      <c r="BE287" s="905"/>
      <c r="BF287" s="905"/>
      <c r="BG287" s="905"/>
      <c r="BH287" s="905"/>
      <c r="BI287" s="905"/>
      <c r="BJ287" s="905"/>
      <c r="BK287" s="905"/>
      <c r="BL287" s="905"/>
      <c r="BM287" s="905"/>
      <c r="BN287" s="905"/>
      <c r="BO287" s="261"/>
      <c r="BP287" s="260"/>
      <c r="BQ287" s="905"/>
      <c r="BR287" s="905"/>
      <c r="BS287" s="905"/>
      <c r="BT287" s="905"/>
      <c r="BU287" s="261"/>
      <c r="BV287" s="260"/>
      <c r="BW287" s="905"/>
      <c r="BX287" s="905"/>
      <c r="BY287" s="905"/>
      <c r="BZ287" s="905"/>
      <c r="CA287" s="261"/>
      <c r="CB287" s="260"/>
      <c r="CC287" s="905"/>
      <c r="CD287" s="905"/>
      <c r="CE287" s="905"/>
      <c r="CF287" s="905"/>
      <c r="CG287" s="261"/>
      <c r="CH287" s="260"/>
      <c r="CI287" s="905"/>
      <c r="CJ287" s="905"/>
      <c r="CK287" s="905"/>
      <c r="CL287" s="905"/>
      <c r="CM287" s="261"/>
      <c r="CN287" s="260"/>
      <c r="CO287" s="905"/>
      <c r="CP287" s="905"/>
      <c r="CQ287" s="905"/>
      <c r="CR287" s="905"/>
      <c r="CS287" s="261"/>
      <c r="CT287" s="260"/>
      <c r="CU287" s="905"/>
      <c r="CV287" s="905"/>
      <c r="CW287" s="905"/>
      <c r="CX287" s="905"/>
      <c r="CY287" s="261"/>
      <c r="CZ287" s="260"/>
      <c r="DA287" s="905"/>
      <c r="DB287" s="905"/>
      <c r="DC287" s="905"/>
      <c r="DD287" s="905"/>
      <c r="DE287" s="261"/>
      <c r="DF287" s="260"/>
      <c r="DG287" s="905"/>
      <c r="DH287" s="905"/>
      <c r="DI287" s="905"/>
      <c r="DJ287" s="905"/>
      <c r="DK287" s="261"/>
      <c r="DL287" s="260"/>
      <c r="DM287" s="905"/>
      <c r="DN287" s="905"/>
      <c r="DO287" s="905"/>
      <c r="DP287" s="261"/>
    </row>
    <row r="288" spans="1:120" ht="12" hidden="1" customHeight="1" outlineLevel="1">
      <c r="A288" s="260" t="s">
        <v>393</v>
      </c>
      <c r="B288" s="260"/>
      <c r="C288" s="261"/>
      <c r="D288" s="261"/>
      <c r="E288" s="261"/>
      <c r="F288" s="261"/>
      <c r="G288" s="261"/>
      <c r="H288" s="261"/>
      <c r="I288" s="261"/>
      <c r="J288" s="261"/>
      <c r="K288" s="261"/>
      <c r="L288" s="261"/>
      <c r="M288" s="261"/>
      <c r="N288" s="260"/>
      <c r="O288" s="905"/>
      <c r="P288" s="905"/>
      <c r="Q288" s="905"/>
      <c r="R288" s="905"/>
      <c r="S288" s="261"/>
      <c r="T288" s="714" t="s">
        <v>860</v>
      </c>
      <c r="U288" s="714" t="s">
        <v>860</v>
      </c>
      <c r="V288" s="909">
        <f>V331-U86-T86-S86</f>
        <v>3.1564131808200502E-2</v>
      </c>
      <c r="W288" s="261"/>
      <c r="X288" s="260"/>
      <c r="Y288" s="909">
        <v>0.01</v>
      </c>
      <c r="Z288" s="909">
        <v>0.02</v>
      </c>
      <c r="AA288" s="909">
        <v>0.02</v>
      </c>
      <c r="AB288" s="721">
        <v>0.02</v>
      </c>
      <c r="AC288" s="905"/>
      <c r="AD288" s="905"/>
      <c r="AE288" s="721">
        <v>0.02</v>
      </c>
      <c r="AF288" s="260">
        <v>0.03</v>
      </c>
      <c r="AG288" s="260">
        <v>0.04</v>
      </c>
      <c r="AH288" s="260">
        <v>0.04</v>
      </c>
      <c r="AI288" s="905"/>
      <c r="AJ288" s="905"/>
      <c r="AK288" s="721">
        <v>-0.01</v>
      </c>
      <c r="AL288" s="721">
        <v>0</v>
      </c>
      <c r="AM288" s="721">
        <v>0.01</v>
      </c>
      <c r="AN288" s="721">
        <v>0.03</v>
      </c>
      <c r="AO288" s="905"/>
      <c r="AP288" s="905"/>
      <c r="AQ288" s="721">
        <v>0.06</v>
      </c>
      <c r="AR288" s="721">
        <v>7.0000000000000007E-2</v>
      </c>
      <c r="AS288" s="721">
        <v>0.06</v>
      </c>
      <c r="AT288" s="909">
        <v>0.06</v>
      </c>
      <c r="AU288" s="905"/>
      <c r="AV288" s="905"/>
      <c r="AW288" s="909">
        <v>0.1</v>
      </c>
      <c r="AX288" s="260">
        <v>0.14000000000000001</v>
      </c>
      <c r="AY288" s="260">
        <v>0.15</v>
      </c>
      <c r="AZ288" s="260">
        <v>0.14000000000000001</v>
      </c>
      <c r="BA288" s="905"/>
      <c r="BB288" s="905"/>
      <c r="BC288" s="721">
        <v>0.12</v>
      </c>
      <c r="BD288" s="260">
        <v>7.0000000000000007E-2</v>
      </c>
      <c r="BE288" s="721">
        <v>0.14000000000000001</v>
      </c>
      <c r="BF288" s="721">
        <v>0.06</v>
      </c>
      <c r="BG288" s="905"/>
      <c r="BH288" s="721"/>
      <c r="BI288" s="721"/>
      <c r="BJ288" s="721"/>
      <c r="BK288" s="721"/>
      <c r="BL288" s="905"/>
      <c r="BM288" s="905"/>
      <c r="BN288" s="905"/>
      <c r="BO288" s="261"/>
      <c r="BP288" s="260"/>
      <c r="BQ288" s="905"/>
      <c r="BR288" s="905"/>
      <c r="BS288" s="905"/>
      <c r="BT288" s="905"/>
      <c r="BU288" s="261"/>
      <c r="BV288" s="260"/>
      <c r="BW288" s="905"/>
      <c r="BX288" s="905"/>
      <c r="BY288" s="905"/>
      <c r="BZ288" s="905"/>
      <c r="CA288" s="261"/>
      <c r="CB288" s="260"/>
      <c r="CC288" s="905"/>
      <c r="CD288" s="905"/>
      <c r="CE288" s="905"/>
      <c r="CF288" s="905"/>
      <c r="CG288" s="261"/>
      <c r="CH288" s="260"/>
      <c r="CI288" s="905"/>
      <c r="CJ288" s="905"/>
      <c r="CK288" s="905"/>
      <c r="CL288" s="905"/>
      <c r="CM288" s="261"/>
      <c r="CN288" s="260"/>
      <c r="CO288" s="905"/>
      <c r="CP288" s="905"/>
      <c r="CQ288" s="905"/>
      <c r="CR288" s="905"/>
      <c r="CS288" s="261"/>
      <c r="CT288" s="260"/>
      <c r="CU288" s="905"/>
      <c r="CV288" s="905"/>
      <c r="CW288" s="905"/>
      <c r="CX288" s="905"/>
      <c r="CY288" s="261"/>
      <c r="CZ288" s="260"/>
      <c r="DA288" s="905"/>
      <c r="DB288" s="905"/>
      <c r="DC288" s="905"/>
      <c r="DD288" s="905"/>
      <c r="DE288" s="261"/>
      <c r="DF288" s="260"/>
      <c r="DG288" s="905"/>
      <c r="DH288" s="905"/>
      <c r="DI288" s="905"/>
      <c r="DJ288" s="905"/>
      <c r="DK288" s="261"/>
      <c r="DL288" s="260"/>
      <c r="DM288" s="905"/>
      <c r="DN288" s="905"/>
      <c r="DO288" s="905"/>
      <c r="DP288" s="261"/>
    </row>
    <row r="289" spans="1:120" ht="12" hidden="1" customHeight="1" outlineLevel="1">
      <c r="A289" s="260" t="s">
        <v>394</v>
      </c>
      <c r="B289" s="260"/>
      <c r="C289" s="261"/>
      <c r="D289" s="261"/>
      <c r="E289" s="261"/>
      <c r="F289" s="261"/>
      <c r="G289" s="261"/>
      <c r="H289" s="261"/>
      <c r="I289" s="261"/>
      <c r="J289" s="261"/>
      <c r="K289" s="261"/>
      <c r="L289" s="261"/>
      <c r="M289" s="261"/>
      <c r="N289" s="260"/>
      <c r="O289" s="905"/>
      <c r="P289" s="905"/>
      <c r="Q289" s="905"/>
      <c r="R289" s="905"/>
      <c r="S289" s="261"/>
      <c r="T289" s="714" t="s">
        <v>860</v>
      </c>
      <c r="U289" s="714" t="s">
        <v>860</v>
      </c>
      <c r="V289" s="909">
        <f>V332-U86-T86-S86</f>
        <v>4.1564131808200504E-2</v>
      </c>
      <c r="W289" s="261"/>
      <c r="X289" s="260"/>
      <c r="Y289" s="909">
        <v>0.03</v>
      </c>
      <c r="Z289" s="909">
        <v>0.04</v>
      </c>
      <c r="AA289" s="909">
        <v>0.04</v>
      </c>
      <c r="AB289" s="721">
        <v>0.04</v>
      </c>
      <c r="AC289" s="905"/>
      <c r="AD289" s="905"/>
      <c r="AE289" s="721">
        <v>0.04</v>
      </c>
      <c r="AF289" s="260">
        <v>0.04</v>
      </c>
      <c r="AG289" s="260">
        <v>0.05</v>
      </c>
      <c r="AH289" s="260">
        <v>7.0000000000000007E-2</v>
      </c>
      <c r="AI289" s="905"/>
      <c r="AJ289" s="905"/>
      <c r="AK289" s="721">
        <v>0.01</v>
      </c>
      <c r="AL289" s="721">
        <v>0.01</v>
      </c>
      <c r="AM289" s="721">
        <v>0.02</v>
      </c>
      <c r="AN289" s="721">
        <v>0.04</v>
      </c>
      <c r="AO289" s="905"/>
      <c r="AP289" s="905"/>
      <c r="AQ289" s="721">
        <v>7.0000000000000007E-2</v>
      </c>
      <c r="AR289" s="721">
        <v>0.08</v>
      </c>
      <c r="AS289" s="721">
        <v>7.0000000000000007E-2</v>
      </c>
      <c r="AT289" s="909">
        <f>AS332-AS289-AR290-AQ290</f>
        <v>0.19093945193120843</v>
      </c>
      <c r="AU289" s="905"/>
      <c r="AV289" s="905"/>
      <c r="AW289" s="909">
        <v>0.11</v>
      </c>
      <c r="AX289" s="260">
        <v>0.15</v>
      </c>
      <c r="AY289" s="260">
        <v>0.16</v>
      </c>
      <c r="AZ289" s="260">
        <v>0.15</v>
      </c>
      <c r="BA289" s="905"/>
      <c r="BB289" s="905"/>
      <c r="BC289" s="721">
        <v>0.13</v>
      </c>
      <c r="BD289" s="260">
        <v>0.08</v>
      </c>
      <c r="BE289" s="260">
        <v>0.16</v>
      </c>
      <c r="BF289" s="260">
        <v>7.0000000000000007E-2</v>
      </c>
      <c r="BG289" s="905"/>
      <c r="BH289" s="260"/>
      <c r="BI289" s="260"/>
      <c r="BJ289" s="260"/>
      <c r="BK289" s="260"/>
      <c r="BL289" s="905"/>
      <c r="BM289" s="905"/>
      <c r="BN289" s="905"/>
      <c r="BO289" s="261"/>
      <c r="BP289" s="260"/>
      <c r="BQ289" s="905"/>
      <c r="BR289" s="905"/>
      <c r="BS289" s="905"/>
      <c r="BT289" s="905"/>
      <c r="BU289" s="261"/>
      <c r="BV289" s="260"/>
      <c r="BW289" s="905"/>
      <c r="BX289" s="905"/>
      <c r="BY289" s="905"/>
      <c r="BZ289" s="905"/>
      <c r="CA289" s="261"/>
      <c r="CB289" s="260"/>
      <c r="CC289" s="905"/>
      <c r="CD289" s="905"/>
      <c r="CE289" s="905"/>
      <c r="CF289" s="905"/>
      <c r="CG289" s="261"/>
      <c r="CH289" s="260"/>
      <c r="CI289" s="905"/>
      <c r="CJ289" s="905"/>
      <c r="CK289" s="905"/>
      <c r="CL289" s="905"/>
      <c r="CM289" s="261"/>
      <c r="CN289" s="260"/>
      <c r="CO289" s="905"/>
      <c r="CP289" s="905"/>
      <c r="CQ289" s="905"/>
      <c r="CR289" s="905"/>
      <c r="CS289" s="261"/>
      <c r="CT289" s="260"/>
      <c r="CU289" s="905"/>
      <c r="CV289" s="905"/>
      <c r="CW289" s="905"/>
      <c r="CX289" s="905"/>
      <c r="CY289" s="261"/>
      <c r="CZ289" s="260"/>
      <c r="DA289" s="905"/>
      <c r="DB289" s="905"/>
      <c r="DC289" s="905"/>
      <c r="DD289" s="905"/>
      <c r="DE289" s="261"/>
      <c r="DF289" s="260"/>
      <c r="DG289" s="905"/>
      <c r="DH289" s="905"/>
      <c r="DI289" s="905"/>
      <c r="DJ289" s="905"/>
      <c r="DK289" s="261"/>
      <c r="DL289" s="260"/>
      <c r="DM289" s="905"/>
      <c r="DN289" s="905"/>
      <c r="DO289" s="905"/>
      <c r="DP289" s="261"/>
    </row>
    <row r="290" spans="1:120" ht="12" hidden="1" customHeight="1" outlineLevel="1">
      <c r="A290" s="260" t="s">
        <v>869</v>
      </c>
      <c r="B290" s="260"/>
      <c r="C290" s="261"/>
      <c r="D290" s="261"/>
      <c r="E290" s="261"/>
      <c r="F290" s="261"/>
      <c r="G290" s="261"/>
      <c r="H290" s="261"/>
      <c r="I290" s="261"/>
      <c r="J290" s="261"/>
      <c r="K290" s="261"/>
      <c r="L290" s="261"/>
      <c r="M290" s="261"/>
      <c r="N290" s="260"/>
      <c r="O290" s="905"/>
      <c r="P290" s="905"/>
      <c r="Q290" s="905"/>
      <c r="R290" s="905"/>
      <c r="S290" s="261"/>
      <c r="T290" s="909">
        <f>T86</f>
        <v>2.714642363270224E-3</v>
      </c>
      <c r="U290" s="909">
        <f>U86</f>
        <v>4.6330567414956687E-3</v>
      </c>
      <c r="V290" s="909">
        <f>V86</f>
        <v>7.6749880145195451E-3</v>
      </c>
      <c r="W290" s="261"/>
      <c r="X290" s="260"/>
      <c r="Y290" s="909">
        <f>Y86</f>
        <v>8.920054654670136E-3</v>
      </c>
      <c r="Z290" s="909">
        <f>Z86</f>
        <v>1.0680319392408492E-2</v>
      </c>
      <c r="AA290" s="909">
        <f>AA86</f>
        <v>1.3332771480342138E-2</v>
      </c>
      <c r="AB290" s="909">
        <f>AB86</f>
        <v>1.2309580684889571E-2</v>
      </c>
      <c r="AC290" s="905"/>
      <c r="AD290" s="905"/>
      <c r="AE290" s="909">
        <f>AE86</f>
        <v>1.0409366970334037E-2</v>
      </c>
      <c r="AF290" s="909">
        <f>AF86</f>
        <v>1.3799705449189981E-2</v>
      </c>
      <c r="AG290" s="909">
        <f>AG86</f>
        <v>1.5462237545203641E-2</v>
      </c>
      <c r="AH290" s="909">
        <f>AH86</f>
        <v>1.5597996475060164E-2</v>
      </c>
      <c r="AI290" s="905"/>
      <c r="AJ290" s="905"/>
      <c r="AK290" s="909">
        <f>AK108</f>
        <v>1.5128279520868809E-3</v>
      </c>
      <c r="AL290" s="909">
        <f>AL108</f>
        <v>7.6957629004475751E-3</v>
      </c>
      <c r="AM290" s="909">
        <f>AM108</f>
        <v>1.3325802781393028E-2</v>
      </c>
      <c r="AN290" s="909">
        <f>AN108</f>
        <v>1.4915507761966335E-2</v>
      </c>
      <c r="AO290" s="905"/>
      <c r="AP290" s="905"/>
      <c r="AQ290" s="909">
        <f>AQ108</f>
        <v>1.9200009645216783E-2</v>
      </c>
      <c r="AR290" s="909">
        <f>AR108</f>
        <v>1.9860538423574773E-2</v>
      </c>
      <c r="AS290" s="909">
        <f>AS108</f>
        <v>2.1225416157208715E-2</v>
      </c>
      <c r="AT290" s="909">
        <f>AT108</f>
        <v>2.7609147776091483E-2</v>
      </c>
      <c r="AU290" s="905"/>
      <c r="AV290" s="905"/>
      <c r="AW290" s="909">
        <f>AW108</f>
        <v>3.3777692682031742E-2</v>
      </c>
      <c r="AX290" s="909">
        <f>AX108</f>
        <v>4.1871434666498099E-2</v>
      </c>
      <c r="AY290" s="909">
        <f>AY108</f>
        <v>4.0224812591371409E-2</v>
      </c>
      <c r="AZ290" s="909">
        <f>AZ108</f>
        <v>3.9028365483942576E-2</v>
      </c>
      <c r="BA290" s="905"/>
      <c r="BB290" s="905"/>
      <c r="BC290" s="909">
        <f>BC108</f>
        <v>3.3551731177836171E-2</v>
      </c>
      <c r="BD290" s="909">
        <f>BD108</f>
        <v>2.7471380872883394E-2</v>
      </c>
      <c r="BE290" s="909">
        <f>BE108</f>
        <v>3.8440208983975953E-2</v>
      </c>
      <c r="BF290" s="909"/>
      <c r="BG290" s="905"/>
      <c r="BH290" s="909"/>
      <c r="BI290" s="909"/>
      <c r="BJ290" s="909"/>
      <c r="BK290" s="909"/>
      <c r="BL290" s="905"/>
      <c r="BM290" s="905"/>
      <c r="BN290" s="905"/>
      <c r="BO290" s="261"/>
      <c r="BP290" s="260"/>
      <c r="BQ290" s="905"/>
      <c r="BR290" s="905"/>
      <c r="BS290" s="905"/>
      <c r="BT290" s="905"/>
      <c r="BU290" s="261"/>
      <c r="BV290" s="260"/>
      <c r="BW290" s="905"/>
      <c r="BX290" s="905"/>
      <c r="BY290" s="905"/>
      <c r="BZ290" s="905"/>
      <c r="CA290" s="261"/>
      <c r="CB290" s="260"/>
      <c r="CC290" s="905"/>
      <c r="CD290" s="905"/>
      <c r="CE290" s="905"/>
      <c r="CF290" s="905"/>
      <c r="CG290" s="261"/>
      <c r="CH290" s="260"/>
      <c r="CI290" s="905"/>
      <c r="CJ290" s="905"/>
      <c r="CK290" s="905"/>
      <c r="CL290" s="905"/>
      <c r="CM290" s="261"/>
      <c r="CN290" s="260"/>
      <c r="CO290" s="905"/>
      <c r="CP290" s="905"/>
      <c r="CQ290" s="905"/>
      <c r="CR290" s="905"/>
      <c r="CS290" s="261"/>
      <c r="CT290" s="260"/>
      <c r="CU290" s="905"/>
      <c r="CV290" s="905"/>
      <c r="CW290" s="905"/>
      <c r="CX290" s="905"/>
      <c r="CY290" s="261"/>
      <c r="CZ290" s="260"/>
      <c r="DA290" s="905"/>
      <c r="DB290" s="905"/>
      <c r="DC290" s="905"/>
      <c r="DD290" s="905"/>
      <c r="DE290" s="261"/>
      <c r="DF290" s="260"/>
      <c r="DG290" s="905"/>
      <c r="DH290" s="905"/>
      <c r="DI290" s="905"/>
      <c r="DJ290" s="905"/>
      <c r="DK290" s="261"/>
      <c r="DL290" s="260"/>
      <c r="DM290" s="905"/>
      <c r="DN290" s="905"/>
      <c r="DO290" s="905"/>
      <c r="DP290" s="261"/>
    </row>
    <row r="291" spans="1:120" ht="12" hidden="1" customHeight="1" outlineLevel="1">
      <c r="A291" s="260" t="s">
        <v>947</v>
      </c>
      <c r="B291" s="260"/>
      <c r="C291" s="261"/>
      <c r="D291" s="261"/>
      <c r="E291" s="261"/>
      <c r="F291" s="261"/>
      <c r="G291" s="261"/>
      <c r="H291" s="261"/>
      <c r="I291" s="261"/>
      <c r="J291" s="261"/>
      <c r="K291" s="261"/>
      <c r="L291" s="261"/>
      <c r="M291" s="261"/>
      <c r="N291" s="260"/>
      <c r="O291" s="905"/>
      <c r="P291" s="905"/>
      <c r="Q291" s="905"/>
      <c r="R291" s="905"/>
      <c r="S291" s="261"/>
      <c r="T291" s="908" t="s">
        <v>860</v>
      </c>
      <c r="U291" s="908" t="s">
        <v>860</v>
      </c>
      <c r="V291" s="908">
        <f>V290/AVERAGE(V288:V289)-1</f>
        <v>-0.79009516608300223</v>
      </c>
      <c r="W291" s="261"/>
      <c r="X291" s="260"/>
      <c r="Y291" s="908">
        <f>Y290/AVERAGE(Y288:Y289)-1</f>
        <v>-0.55399726726649323</v>
      </c>
      <c r="Z291" s="908">
        <f>Z290/AVERAGE(Z288:Z289)-1</f>
        <v>-0.64398935358638365</v>
      </c>
      <c r="AA291" s="908">
        <f>AA290/AVERAGE(AA288:AA289)-1</f>
        <v>-0.55557428398859532</v>
      </c>
      <c r="AB291" s="908">
        <f>AB290/AVERAGE(AB288:AB289)-1</f>
        <v>-0.58968064383701435</v>
      </c>
      <c r="AC291" s="905"/>
      <c r="AD291" s="905"/>
      <c r="AE291" s="908">
        <f>AE290/AVERAGE(AE288:AE289)-1</f>
        <v>-0.65302110098886534</v>
      </c>
      <c r="AF291" s="908">
        <f>AF290/AVERAGE(AF288:AF289)-1</f>
        <v>-0.60572270145171481</v>
      </c>
      <c r="AG291" s="908">
        <f>AG290/AVERAGE(AG288:AG289)-1</f>
        <v>-0.65639472121769682</v>
      </c>
      <c r="AH291" s="908">
        <f>AH290/AVERAGE(AH288:AH289)-1</f>
        <v>-0.71640006408981516</v>
      </c>
      <c r="AI291" s="905"/>
      <c r="AJ291" s="905"/>
      <c r="AK291" s="908" t="s">
        <v>236</v>
      </c>
      <c r="AL291" s="908">
        <f>AL290/AVERAGE(AL288:AL289)-1</f>
        <v>0.53915258008951494</v>
      </c>
      <c r="AM291" s="908">
        <f>AM290/AVERAGE(AM288:AM289)-1</f>
        <v>-0.11161314790713139</v>
      </c>
      <c r="AN291" s="908">
        <f>AN290/AVERAGE(AN288:AN289)-1</f>
        <v>-0.57384263537239044</v>
      </c>
      <c r="AO291" s="905"/>
      <c r="AP291" s="905"/>
      <c r="AQ291" s="908">
        <f>AQ290/AVERAGE(AQ288:AQ289)-1</f>
        <v>-0.70461523622743405</v>
      </c>
      <c r="AR291" s="908">
        <f>AR290/AVERAGE(AR288:AR289)-1</f>
        <v>-0.73519282101900307</v>
      </c>
      <c r="AS291" s="908">
        <f>AS290/AVERAGE(AS288:AS289)-1</f>
        <v>-0.67345513604294283</v>
      </c>
      <c r="AT291" s="908">
        <f>AT290/AVERAGE(AT288:AT289)-1</f>
        <v>-0.77995370944174891</v>
      </c>
      <c r="AU291" s="905"/>
      <c r="AV291" s="905"/>
      <c r="AW291" s="908">
        <f>AW290/AVERAGE(AW288:AW289)-1</f>
        <v>-0.67830768874255487</v>
      </c>
      <c r="AX291" s="908">
        <f>AX290/AVERAGE(AX288:AX289)-1</f>
        <v>-0.71123148505863387</v>
      </c>
      <c r="AY291" s="908">
        <f>AY290/AVERAGE(AY288:AY289)-1</f>
        <v>-0.74048508005566838</v>
      </c>
      <c r="AZ291" s="908">
        <f>AZ290/AVERAGE(AZ288:AZ289)-1</f>
        <v>-0.73083885873143051</v>
      </c>
      <c r="BA291" s="905"/>
      <c r="BB291" s="905"/>
      <c r="BC291" s="908">
        <f>BC290/AVERAGE(BC288:BC289)-1</f>
        <v>-0.73158615057731069</v>
      </c>
      <c r="BD291" s="908">
        <f>BD290/AVERAGE(BD288:BD289)-1</f>
        <v>-0.63371492169488808</v>
      </c>
      <c r="BE291" s="908">
        <f>BE290/AVERAGE(BE288:BE289)-1</f>
        <v>-0.74373194010682697</v>
      </c>
      <c r="BF291" s="908"/>
      <c r="BG291" s="905"/>
      <c r="BH291" s="908"/>
      <c r="BI291" s="908"/>
      <c r="BJ291" s="908"/>
      <c r="BK291" s="908"/>
      <c r="BL291" s="905"/>
      <c r="BM291" s="905"/>
      <c r="BN291" s="905"/>
      <c r="BO291" s="261"/>
      <c r="BP291" s="260"/>
      <c r="BQ291" s="905"/>
      <c r="BR291" s="905"/>
      <c r="BS291" s="905"/>
      <c r="BT291" s="905"/>
      <c r="BU291" s="261"/>
      <c r="BV291" s="260"/>
      <c r="BW291" s="905"/>
      <c r="BX291" s="905"/>
      <c r="BY291" s="905"/>
      <c r="BZ291" s="905"/>
      <c r="CA291" s="261"/>
      <c r="CB291" s="260"/>
      <c r="CC291" s="905"/>
      <c r="CD291" s="905"/>
      <c r="CE291" s="905"/>
      <c r="CF291" s="905"/>
      <c r="CG291" s="261"/>
      <c r="CH291" s="260"/>
      <c r="CI291" s="905"/>
      <c r="CJ291" s="905"/>
      <c r="CK291" s="905"/>
      <c r="CL291" s="905"/>
      <c r="CM291" s="261"/>
      <c r="CN291" s="260"/>
      <c r="CO291" s="905"/>
      <c r="CP291" s="905"/>
      <c r="CQ291" s="905"/>
      <c r="CR291" s="905"/>
      <c r="CS291" s="261"/>
      <c r="CT291" s="260"/>
      <c r="CU291" s="905"/>
      <c r="CV291" s="905"/>
      <c r="CW291" s="905"/>
      <c r="CX291" s="905"/>
      <c r="CY291" s="261"/>
      <c r="CZ291" s="260"/>
      <c r="DA291" s="905"/>
      <c r="DB291" s="905"/>
      <c r="DC291" s="905"/>
      <c r="DD291" s="905"/>
      <c r="DE291" s="261"/>
      <c r="DF291" s="260"/>
      <c r="DG291" s="905"/>
      <c r="DH291" s="905"/>
      <c r="DI291" s="905"/>
      <c r="DJ291" s="905"/>
      <c r="DK291" s="261"/>
      <c r="DL291" s="260"/>
      <c r="DM291" s="905"/>
      <c r="DN291" s="905"/>
      <c r="DO291" s="905"/>
      <c r="DP291" s="261"/>
    </row>
    <row r="292" spans="1:120" ht="12.75" hidden="1" customHeight="1" outlineLevel="1">
      <c r="A292" s="260"/>
      <c r="B292" s="260"/>
      <c r="C292" s="261"/>
      <c r="D292" s="261"/>
      <c r="E292" s="261"/>
      <c r="F292" s="261"/>
      <c r="G292" s="261"/>
      <c r="H292" s="261"/>
      <c r="I292" s="261"/>
      <c r="J292" s="261"/>
      <c r="K292" s="261"/>
      <c r="L292" s="261"/>
      <c r="M292" s="261"/>
      <c r="N292" s="260"/>
      <c r="O292" s="905"/>
      <c r="P292" s="905"/>
      <c r="Q292" s="905"/>
      <c r="R292" s="905"/>
      <c r="S292" s="261"/>
      <c r="T292" s="905"/>
      <c r="U292" s="905"/>
      <c r="V292" s="905"/>
      <c r="W292" s="261"/>
      <c r="X292" s="260"/>
      <c r="Y292" s="905"/>
      <c r="Z292" s="905"/>
      <c r="AA292" s="261"/>
      <c r="AB292" s="261"/>
      <c r="AC292" s="905"/>
      <c r="AD292" s="905"/>
      <c r="AE292" s="261"/>
      <c r="AF292" s="260"/>
      <c r="AG292" s="905"/>
      <c r="AH292" s="905"/>
      <c r="AI292" s="905"/>
      <c r="AJ292" s="905"/>
      <c r="AK292" s="261"/>
      <c r="AL292" s="260"/>
      <c r="AM292" s="260"/>
      <c r="AN292" s="905"/>
      <c r="AO292" s="905"/>
      <c r="AP292" s="905"/>
      <c r="AQ292" s="677"/>
      <c r="AR292" s="677"/>
      <c r="AS292" s="677"/>
      <c r="AT292" s="905"/>
      <c r="AU292" s="905"/>
      <c r="AV292" s="905"/>
      <c r="AW292" s="905"/>
      <c r="AX292" s="260"/>
      <c r="AY292" s="260"/>
      <c r="AZ292" s="260"/>
      <c r="BA292" s="905"/>
      <c r="BB292" s="905"/>
      <c r="BC292" s="261"/>
      <c r="BD292" s="260"/>
      <c r="BE292" s="905"/>
      <c r="BF292" s="905"/>
      <c r="BG292" s="905"/>
      <c r="BH292" s="905"/>
      <c r="BI292" s="905"/>
      <c r="BJ292" s="905"/>
      <c r="BK292" s="905"/>
      <c r="BL292" s="905"/>
      <c r="BM292" s="905"/>
      <c r="BN292" s="905"/>
      <c r="BO292" s="261"/>
      <c r="BP292" s="260"/>
      <c r="BQ292" s="905"/>
      <c r="BR292" s="905"/>
      <c r="BS292" s="905"/>
      <c r="BT292" s="905"/>
      <c r="BU292" s="261"/>
      <c r="BV292" s="260"/>
      <c r="BW292" s="905"/>
      <c r="BX292" s="905"/>
      <c r="BY292" s="905"/>
      <c r="BZ292" s="905"/>
      <c r="CA292" s="261"/>
      <c r="CB292" s="260"/>
      <c r="CC292" s="905"/>
      <c r="CD292" s="905"/>
      <c r="CE292" s="905"/>
      <c r="CF292" s="905"/>
      <c r="CG292" s="261"/>
      <c r="CH292" s="260"/>
      <c r="CI292" s="905"/>
      <c r="CJ292" s="905"/>
      <c r="CK292" s="905"/>
      <c r="CL292" s="905"/>
      <c r="CM292" s="261"/>
      <c r="CN292" s="260"/>
      <c r="CO292" s="905"/>
      <c r="CP292" s="905"/>
      <c r="CQ292" s="905"/>
      <c r="CR292" s="905"/>
      <c r="CS292" s="261"/>
      <c r="CT292" s="260"/>
      <c r="CU292" s="905"/>
      <c r="CV292" s="905"/>
      <c r="CW292" s="905"/>
      <c r="CX292" s="905"/>
      <c r="CY292" s="261"/>
      <c r="CZ292" s="260"/>
      <c r="DA292" s="905"/>
      <c r="DB292" s="905"/>
      <c r="DC292" s="905"/>
      <c r="DD292" s="905"/>
      <c r="DE292" s="261"/>
      <c r="DF292" s="260"/>
      <c r="DG292" s="905"/>
      <c r="DH292" s="905"/>
      <c r="DI292" s="905"/>
      <c r="DJ292" s="905"/>
      <c r="DK292" s="261"/>
      <c r="DL292" s="260"/>
      <c r="DM292" s="905"/>
      <c r="DN292" s="905"/>
      <c r="DO292" s="905"/>
      <c r="DP292" s="261"/>
    </row>
    <row r="293" spans="1:120" ht="12.75" hidden="1" customHeight="1" outlineLevel="1">
      <c r="A293" s="904" t="s">
        <v>676</v>
      </c>
      <c r="B293" s="260"/>
      <c r="C293" s="261"/>
      <c r="D293" s="261"/>
      <c r="E293" s="261"/>
      <c r="F293" s="261"/>
      <c r="G293" s="261"/>
      <c r="H293" s="261"/>
      <c r="I293" s="261"/>
      <c r="J293" s="261"/>
      <c r="K293" s="261"/>
      <c r="L293" s="261"/>
      <c r="M293" s="261"/>
      <c r="N293" s="260"/>
      <c r="O293" s="905"/>
      <c r="P293" s="905"/>
      <c r="Q293" s="905"/>
      <c r="R293" s="905"/>
      <c r="S293" s="261"/>
      <c r="T293" s="905"/>
      <c r="U293" s="905"/>
      <c r="V293" s="905"/>
      <c r="W293" s="261"/>
      <c r="X293" s="260"/>
      <c r="Y293" s="905"/>
      <c r="Z293" s="905"/>
      <c r="AA293" s="261"/>
      <c r="AB293" s="261"/>
      <c r="AC293" s="905"/>
      <c r="AD293" s="905"/>
      <c r="AE293" s="261"/>
      <c r="AF293" s="260"/>
      <c r="AG293" s="905"/>
      <c r="AH293" s="905"/>
      <c r="AI293" s="905"/>
      <c r="AJ293" s="905"/>
      <c r="AK293" s="261"/>
      <c r="AL293" s="260"/>
      <c r="AM293" s="260"/>
      <c r="AN293" s="905"/>
      <c r="AO293" s="905"/>
      <c r="AP293" s="905"/>
      <c r="AQ293" s="677"/>
      <c r="AR293" s="677"/>
      <c r="AS293" s="677"/>
      <c r="AT293" s="905"/>
      <c r="AU293" s="905"/>
      <c r="AV293" s="905"/>
      <c r="AW293" s="905"/>
      <c r="AX293" s="260"/>
      <c r="AY293" s="260"/>
      <c r="AZ293" s="260"/>
      <c r="BA293" s="905"/>
      <c r="BB293" s="905"/>
      <c r="BC293" s="261"/>
      <c r="BD293" s="260"/>
      <c r="BE293" s="905"/>
      <c r="BF293" s="905"/>
      <c r="BG293" s="905"/>
      <c r="BH293" s="905"/>
      <c r="BI293" s="905"/>
      <c r="BJ293" s="905"/>
      <c r="BK293" s="905"/>
      <c r="BL293" s="905"/>
      <c r="BM293" s="905"/>
      <c r="BN293" s="905"/>
      <c r="BO293" s="261"/>
      <c r="BP293" s="260"/>
      <c r="BQ293" s="905"/>
      <c r="BR293" s="905"/>
      <c r="BS293" s="905"/>
      <c r="BT293" s="905"/>
      <c r="BU293" s="261"/>
      <c r="BV293" s="260"/>
      <c r="BW293" s="905"/>
      <c r="BX293" s="905"/>
      <c r="BY293" s="905"/>
      <c r="BZ293" s="905"/>
      <c r="CA293" s="261"/>
      <c r="CB293" s="260"/>
      <c r="CC293" s="905"/>
      <c r="CD293" s="905"/>
      <c r="CE293" s="905"/>
      <c r="CF293" s="905"/>
      <c r="CG293" s="261"/>
      <c r="CH293" s="260"/>
      <c r="CI293" s="905"/>
      <c r="CJ293" s="905"/>
      <c r="CK293" s="905"/>
      <c r="CL293" s="905"/>
      <c r="CM293" s="261"/>
      <c r="CN293" s="260"/>
      <c r="CO293" s="905"/>
      <c r="CP293" s="905"/>
      <c r="CQ293" s="905"/>
      <c r="CR293" s="905"/>
      <c r="CS293" s="261"/>
      <c r="CT293" s="260"/>
      <c r="CU293" s="905"/>
      <c r="CV293" s="905"/>
      <c r="CW293" s="905"/>
      <c r="CX293" s="905"/>
      <c r="CY293" s="261"/>
      <c r="CZ293" s="260"/>
      <c r="DA293" s="905"/>
      <c r="DB293" s="905"/>
      <c r="DC293" s="905"/>
      <c r="DD293" s="905"/>
      <c r="DE293" s="261"/>
      <c r="DF293" s="260"/>
      <c r="DG293" s="905"/>
      <c r="DH293" s="905"/>
      <c r="DI293" s="905"/>
      <c r="DJ293" s="905"/>
      <c r="DK293" s="261"/>
      <c r="DL293" s="260"/>
      <c r="DM293" s="905"/>
      <c r="DN293" s="905"/>
      <c r="DO293" s="905"/>
      <c r="DP293" s="261"/>
    </row>
    <row r="294" spans="1:120" ht="12.75" hidden="1" customHeight="1" outlineLevel="1">
      <c r="A294" s="260" t="s">
        <v>393</v>
      </c>
      <c r="B294" s="260"/>
      <c r="C294" s="261"/>
      <c r="D294" s="261"/>
      <c r="E294" s="261"/>
      <c r="F294" s="261"/>
      <c r="G294" s="261"/>
      <c r="H294" s="261"/>
      <c r="I294" s="261"/>
      <c r="J294" s="261"/>
      <c r="K294" s="261"/>
      <c r="L294" s="261"/>
      <c r="M294" s="261"/>
      <c r="N294" s="260"/>
      <c r="O294" s="905"/>
      <c r="P294" s="905"/>
      <c r="Q294" s="905"/>
      <c r="R294" s="905"/>
      <c r="S294" s="261"/>
      <c r="T294" s="905"/>
      <c r="U294" s="905"/>
      <c r="V294" s="905"/>
      <c r="W294" s="261"/>
      <c r="X294" s="260"/>
      <c r="Y294" s="905"/>
      <c r="Z294" s="905"/>
      <c r="AA294" s="261"/>
      <c r="AB294" s="261"/>
      <c r="AC294" s="905"/>
      <c r="AD294" s="905"/>
      <c r="AE294" s="261"/>
      <c r="AF294" s="260"/>
      <c r="AG294" s="905"/>
      <c r="AH294" s="905"/>
      <c r="AI294" s="905"/>
      <c r="AJ294" s="905"/>
      <c r="AK294" s="261"/>
      <c r="AL294" s="260"/>
      <c r="AM294" s="260"/>
      <c r="AN294" s="905"/>
      <c r="AO294" s="905"/>
      <c r="AP294" s="905"/>
      <c r="AQ294" s="677"/>
      <c r="AR294" s="677"/>
      <c r="AS294" s="677"/>
      <c r="AT294" s="905"/>
      <c r="AU294" s="905"/>
      <c r="AV294" s="905"/>
      <c r="AW294" s="905"/>
      <c r="AX294" s="260"/>
      <c r="AY294" s="260"/>
      <c r="AZ294" s="260"/>
      <c r="BA294" s="905"/>
      <c r="BB294" s="905"/>
      <c r="BC294" s="261"/>
      <c r="BD294" s="260">
        <v>0.26</v>
      </c>
      <c r="BE294" s="721">
        <v>0.3</v>
      </c>
      <c r="BF294" s="721">
        <v>0.27</v>
      </c>
      <c r="BG294" s="905"/>
      <c r="BH294" s="721"/>
      <c r="BI294" s="721">
        <v>0.26</v>
      </c>
      <c r="BJ294" s="721">
        <v>0.28999999999999998</v>
      </c>
      <c r="BK294" s="721">
        <v>0.3</v>
      </c>
      <c r="BL294" s="905"/>
      <c r="BM294" s="905"/>
      <c r="BN294" s="905"/>
      <c r="BO294" s="261"/>
      <c r="BP294" s="260"/>
      <c r="BQ294" s="905"/>
      <c r="BR294" s="905"/>
      <c r="BS294" s="905"/>
      <c r="BT294" s="905"/>
      <c r="BU294" s="261"/>
      <c r="BV294" s="260"/>
      <c r="BW294" s="905"/>
      <c r="BX294" s="905"/>
      <c r="BY294" s="905"/>
      <c r="BZ294" s="905"/>
      <c r="CA294" s="261"/>
      <c r="CB294" s="260"/>
      <c r="CC294" s="905"/>
      <c r="CD294" s="905"/>
      <c r="CE294" s="905"/>
      <c r="CF294" s="905"/>
      <c r="CG294" s="261"/>
      <c r="CH294" s="260"/>
      <c r="CI294" s="905"/>
      <c r="CJ294" s="905"/>
      <c r="CK294" s="905"/>
      <c r="CL294" s="905"/>
      <c r="CM294" s="261"/>
      <c r="CN294" s="260"/>
      <c r="CO294" s="905"/>
      <c r="CP294" s="905"/>
      <c r="CQ294" s="905"/>
      <c r="CR294" s="905"/>
      <c r="CS294" s="261"/>
      <c r="CT294" s="260"/>
      <c r="CU294" s="905"/>
      <c r="CV294" s="905"/>
      <c r="CW294" s="905"/>
      <c r="CX294" s="905"/>
      <c r="CY294" s="261"/>
      <c r="CZ294" s="260"/>
      <c r="DA294" s="905"/>
      <c r="DB294" s="905"/>
      <c r="DC294" s="905"/>
      <c r="DD294" s="905"/>
      <c r="DE294" s="261"/>
      <c r="DF294" s="260"/>
      <c r="DG294" s="905"/>
      <c r="DH294" s="905"/>
      <c r="DI294" s="905"/>
      <c r="DJ294" s="905"/>
      <c r="DK294" s="261"/>
      <c r="DL294" s="260"/>
      <c r="DM294" s="905"/>
      <c r="DN294" s="905"/>
      <c r="DO294" s="905"/>
      <c r="DP294" s="261"/>
    </row>
    <row r="295" spans="1:120" ht="12.75" hidden="1" customHeight="1" outlineLevel="1">
      <c r="A295" s="260" t="s">
        <v>394</v>
      </c>
      <c r="B295" s="260"/>
      <c r="C295" s="261"/>
      <c r="D295" s="261"/>
      <c r="E295" s="261"/>
      <c r="F295" s="261"/>
      <c r="G295" s="261"/>
      <c r="H295" s="261"/>
      <c r="I295" s="261"/>
      <c r="J295" s="261"/>
      <c r="K295" s="261"/>
      <c r="L295" s="261"/>
      <c r="M295" s="261"/>
      <c r="N295" s="260"/>
      <c r="O295" s="905"/>
      <c r="P295" s="905"/>
      <c r="Q295" s="905"/>
      <c r="R295" s="905"/>
      <c r="S295" s="261"/>
      <c r="T295" s="905"/>
      <c r="U295" s="905"/>
      <c r="V295" s="905"/>
      <c r="W295" s="261"/>
      <c r="X295" s="260"/>
      <c r="Y295" s="905"/>
      <c r="Z295" s="905"/>
      <c r="AA295" s="261"/>
      <c r="AB295" s="261"/>
      <c r="AC295" s="905"/>
      <c r="AD295" s="905"/>
      <c r="AE295" s="261"/>
      <c r="AF295" s="260"/>
      <c r="AG295" s="905"/>
      <c r="AH295" s="905"/>
      <c r="AI295" s="905"/>
      <c r="AJ295" s="905"/>
      <c r="AK295" s="261"/>
      <c r="AL295" s="260"/>
      <c r="AM295" s="260"/>
      <c r="AN295" s="905"/>
      <c r="AO295" s="905"/>
      <c r="AP295" s="905"/>
      <c r="AQ295" s="677"/>
      <c r="AR295" s="677"/>
      <c r="AS295" s="677"/>
      <c r="AT295" s="905"/>
      <c r="AU295" s="905"/>
      <c r="AV295" s="905"/>
      <c r="AW295" s="905"/>
      <c r="AX295" s="260"/>
      <c r="AY295" s="260"/>
      <c r="AZ295" s="260"/>
      <c r="BA295" s="905"/>
      <c r="BB295" s="905"/>
      <c r="BC295" s="261"/>
      <c r="BD295" s="260">
        <v>0.27</v>
      </c>
      <c r="BE295" s="260">
        <v>0.31</v>
      </c>
      <c r="BF295" s="260">
        <v>0.28000000000000003</v>
      </c>
      <c r="BG295" s="905"/>
      <c r="BH295" s="260"/>
      <c r="BI295" s="260">
        <v>0.27</v>
      </c>
      <c r="BJ295" s="721">
        <v>0.3</v>
      </c>
      <c r="BK295" s="260">
        <v>0.31</v>
      </c>
      <c r="BL295" s="905"/>
      <c r="BM295" s="905"/>
      <c r="BN295" s="905"/>
      <c r="BO295" s="261"/>
      <c r="BP295" s="260"/>
      <c r="BQ295" s="905"/>
      <c r="BR295" s="905"/>
      <c r="BS295" s="905"/>
      <c r="BT295" s="905"/>
      <c r="BU295" s="261"/>
      <c r="BV295" s="260"/>
      <c r="BW295" s="905"/>
      <c r="BX295" s="905"/>
      <c r="BY295" s="905"/>
      <c r="BZ295" s="905"/>
      <c r="CA295" s="261"/>
      <c r="CB295" s="260"/>
      <c r="CC295" s="905"/>
      <c r="CD295" s="905"/>
      <c r="CE295" s="905"/>
      <c r="CF295" s="905"/>
      <c r="CG295" s="261"/>
      <c r="CH295" s="260"/>
      <c r="CI295" s="905"/>
      <c r="CJ295" s="905"/>
      <c r="CK295" s="905"/>
      <c r="CL295" s="905"/>
      <c r="CM295" s="261"/>
      <c r="CN295" s="260"/>
      <c r="CO295" s="905"/>
      <c r="CP295" s="905"/>
      <c r="CQ295" s="905"/>
      <c r="CR295" s="905"/>
      <c r="CS295" s="261"/>
      <c r="CT295" s="260"/>
      <c r="CU295" s="905"/>
      <c r="CV295" s="905"/>
      <c r="CW295" s="905"/>
      <c r="CX295" s="905"/>
      <c r="CY295" s="261"/>
      <c r="CZ295" s="260"/>
      <c r="DA295" s="905"/>
      <c r="DB295" s="905"/>
      <c r="DC295" s="905"/>
      <c r="DD295" s="905"/>
      <c r="DE295" s="261"/>
      <c r="DF295" s="260"/>
      <c r="DG295" s="905"/>
      <c r="DH295" s="905"/>
      <c r="DI295" s="905"/>
      <c r="DJ295" s="905"/>
      <c r="DK295" s="261"/>
      <c r="DL295" s="260"/>
      <c r="DM295" s="905"/>
      <c r="DN295" s="905"/>
      <c r="DO295" s="905"/>
      <c r="DP295" s="261"/>
    </row>
    <row r="296" spans="1:120" ht="12.75" hidden="1" customHeight="1" outlineLevel="1">
      <c r="A296" s="260" t="s">
        <v>395</v>
      </c>
      <c r="B296" s="260"/>
      <c r="C296" s="261"/>
      <c r="D296" s="261"/>
      <c r="E296" s="261"/>
      <c r="F296" s="261"/>
      <c r="G296" s="261"/>
      <c r="H296" s="261"/>
      <c r="I296" s="261"/>
      <c r="J296" s="261"/>
      <c r="K296" s="261"/>
      <c r="L296" s="261"/>
      <c r="M296" s="261"/>
      <c r="N296" s="260"/>
      <c r="O296" s="905"/>
      <c r="P296" s="905"/>
      <c r="Q296" s="905"/>
      <c r="R296" s="905"/>
      <c r="S296" s="261"/>
      <c r="T296" s="905"/>
      <c r="U296" s="905"/>
      <c r="V296" s="905"/>
      <c r="W296" s="261"/>
      <c r="X296" s="260"/>
      <c r="Y296" s="905"/>
      <c r="Z296" s="905"/>
      <c r="AA296" s="261"/>
      <c r="AB296" s="261"/>
      <c r="AC296" s="905"/>
      <c r="AD296" s="905"/>
      <c r="AE296" s="261"/>
      <c r="AF296" s="260"/>
      <c r="AG296" s="905"/>
      <c r="AH296" s="905"/>
      <c r="AI296" s="905"/>
      <c r="AJ296" s="905"/>
      <c r="AK296" s="261"/>
      <c r="AL296" s="260"/>
      <c r="AM296" s="260"/>
      <c r="AN296" s="905"/>
      <c r="AO296" s="905"/>
      <c r="AP296" s="905"/>
      <c r="AQ296" s="677"/>
      <c r="AR296" s="677"/>
      <c r="AS296" s="677"/>
      <c r="AT296" s="905"/>
      <c r="AU296" s="905"/>
      <c r="AV296" s="905"/>
      <c r="AW296" s="905"/>
      <c r="AX296" s="260"/>
      <c r="AY296" s="260"/>
      <c r="AZ296" s="260"/>
      <c r="BA296" s="905"/>
      <c r="BB296" s="905"/>
      <c r="BC296" s="261"/>
      <c r="BD296" s="909">
        <f>BD86</f>
        <v>7.2170134748390194E-2</v>
      </c>
      <c r="BE296" s="909">
        <f>BE86</f>
        <v>8.0910145646653622E-2</v>
      </c>
      <c r="BF296" s="909">
        <f>BF86</f>
        <v>7.6801546373369278E-2</v>
      </c>
      <c r="BG296" s="905"/>
      <c r="BH296" s="909"/>
      <c r="BI296" s="909">
        <f>BI86</f>
        <v>7.0695864229913127E-2</v>
      </c>
      <c r="BJ296" s="909">
        <f>BJ86</f>
        <v>7.5078769797011002E-2</v>
      </c>
      <c r="BK296" s="909">
        <f>BK86</f>
        <v>8.6165603393096979E-2</v>
      </c>
      <c r="BL296" s="905"/>
      <c r="BM296" s="905"/>
      <c r="BN296" s="905"/>
      <c r="BO296" s="261"/>
      <c r="BP296" s="260"/>
      <c r="BQ296" s="905"/>
      <c r="BR296" s="905"/>
      <c r="BS296" s="905"/>
      <c r="BT296" s="905"/>
      <c r="BU296" s="261"/>
      <c r="BV296" s="260"/>
      <c r="BW296" s="905"/>
      <c r="BX296" s="905"/>
      <c r="BY296" s="905"/>
      <c r="BZ296" s="905"/>
      <c r="CA296" s="261"/>
      <c r="CB296" s="260"/>
      <c r="CC296" s="905"/>
      <c r="CD296" s="905"/>
      <c r="CE296" s="905"/>
      <c r="CF296" s="905"/>
      <c r="CG296" s="261"/>
      <c r="CH296" s="260"/>
      <c r="CI296" s="905"/>
      <c r="CJ296" s="905"/>
      <c r="CK296" s="905"/>
      <c r="CL296" s="905"/>
      <c r="CM296" s="261"/>
      <c r="CN296" s="260"/>
      <c r="CO296" s="905"/>
      <c r="CP296" s="905"/>
      <c r="CQ296" s="905"/>
      <c r="CR296" s="905"/>
      <c r="CS296" s="261"/>
      <c r="CT296" s="260"/>
      <c r="CU296" s="905"/>
      <c r="CV296" s="905"/>
      <c r="CW296" s="905"/>
      <c r="CX296" s="905"/>
      <c r="CY296" s="261"/>
      <c r="CZ296" s="260"/>
      <c r="DA296" s="905"/>
      <c r="DB296" s="905"/>
      <c r="DC296" s="905"/>
      <c r="DD296" s="905"/>
      <c r="DE296" s="261"/>
      <c r="DF296" s="260"/>
      <c r="DG296" s="905"/>
      <c r="DH296" s="905"/>
      <c r="DI296" s="905"/>
      <c r="DJ296" s="905"/>
      <c r="DK296" s="261"/>
      <c r="DL296" s="260"/>
      <c r="DM296" s="905"/>
      <c r="DN296" s="905"/>
      <c r="DO296" s="905"/>
      <c r="DP296" s="261"/>
    </row>
    <row r="297" spans="1:120" ht="12.75" hidden="1" customHeight="1" outlineLevel="1">
      <c r="A297" s="260" t="s">
        <v>947</v>
      </c>
      <c r="B297" s="260"/>
      <c r="C297" s="261"/>
      <c r="D297" s="261"/>
      <c r="E297" s="261"/>
      <c r="F297" s="261"/>
      <c r="G297" s="261"/>
      <c r="H297" s="261"/>
      <c r="I297" s="261"/>
      <c r="J297" s="261"/>
      <c r="K297" s="261"/>
      <c r="L297" s="261"/>
      <c r="M297" s="261"/>
      <c r="N297" s="260"/>
      <c r="O297" s="905"/>
      <c r="P297" s="905"/>
      <c r="Q297" s="905"/>
      <c r="R297" s="905"/>
      <c r="S297" s="261"/>
      <c r="T297" s="905"/>
      <c r="U297" s="905"/>
      <c r="V297" s="905"/>
      <c r="W297" s="261"/>
      <c r="X297" s="260"/>
      <c r="Y297" s="905"/>
      <c r="Z297" s="905"/>
      <c r="AA297" s="261"/>
      <c r="AB297" s="261"/>
      <c r="AC297" s="905"/>
      <c r="AD297" s="905"/>
      <c r="AE297" s="261"/>
      <c r="AF297" s="260"/>
      <c r="AG297" s="905"/>
      <c r="AH297" s="905"/>
      <c r="AI297" s="905"/>
      <c r="AJ297" s="905"/>
      <c r="AK297" s="261"/>
      <c r="AL297" s="260"/>
      <c r="AM297" s="260"/>
      <c r="AN297" s="905"/>
      <c r="AO297" s="905"/>
      <c r="AP297" s="905"/>
      <c r="AQ297" s="677"/>
      <c r="AR297" s="677"/>
      <c r="AS297" s="677"/>
      <c r="AT297" s="905"/>
      <c r="AU297" s="905"/>
      <c r="AV297" s="905"/>
      <c r="AW297" s="905"/>
      <c r="AX297" s="260"/>
      <c r="AY297" s="260"/>
      <c r="AZ297" s="260"/>
      <c r="BA297" s="905"/>
      <c r="BB297" s="905"/>
      <c r="BC297" s="261"/>
      <c r="BD297" s="908">
        <f>BD296/AVERAGE(BD294:BD295)-1</f>
        <v>-0.72765986887399925</v>
      </c>
      <c r="BE297" s="908">
        <f>BE296/AVERAGE(BE294:BE295)-1</f>
        <v>-0.73472083394539789</v>
      </c>
      <c r="BF297" s="908">
        <f>BF296/AVERAGE(BF294:BF295)-1</f>
        <v>-0.7207216495513844</v>
      </c>
      <c r="BG297" s="905"/>
      <c r="BH297" s="908"/>
      <c r="BI297" s="908">
        <f>BI296/AVERAGE(BI294:BI295)-1</f>
        <v>-0.73322315384938441</v>
      </c>
      <c r="BJ297" s="908">
        <f>BJ296/AVERAGE(BJ294:BJ295)-1</f>
        <v>-0.74549569560335249</v>
      </c>
      <c r="BK297" s="908">
        <f>BK296/AVERAGE(BK294:BK295)-1</f>
        <v>-0.7174898249406656</v>
      </c>
      <c r="BL297" s="905"/>
      <c r="BM297" s="905"/>
      <c r="BN297" s="905"/>
      <c r="BO297" s="261"/>
      <c r="BP297" s="260"/>
      <c r="BQ297" s="905"/>
      <c r="BR297" s="905"/>
      <c r="BS297" s="905"/>
      <c r="BT297" s="905"/>
      <c r="BU297" s="261"/>
      <c r="BV297" s="260"/>
      <c r="BW297" s="905"/>
      <c r="BX297" s="905"/>
      <c r="BY297" s="905"/>
      <c r="BZ297" s="905"/>
      <c r="CA297" s="261"/>
      <c r="CB297" s="260"/>
      <c r="CC297" s="905"/>
      <c r="CD297" s="905"/>
      <c r="CE297" s="905"/>
      <c r="CF297" s="905"/>
      <c r="CG297" s="261"/>
      <c r="CH297" s="260"/>
      <c r="CI297" s="905"/>
      <c r="CJ297" s="905"/>
      <c r="CK297" s="905"/>
      <c r="CL297" s="905"/>
      <c r="CM297" s="261"/>
      <c r="CN297" s="260"/>
      <c r="CO297" s="905"/>
      <c r="CP297" s="905"/>
      <c r="CQ297" s="905"/>
      <c r="CR297" s="905"/>
      <c r="CS297" s="261"/>
      <c r="CT297" s="260"/>
      <c r="CU297" s="905"/>
      <c r="CV297" s="905"/>
      <c r="CW297" s="905"/>
      <c r="CX297" s="905"/>
      <c r="CY297" s="261"/>
      <c r="CZ297" s="260"/>
      <c r="DA297" s="905"/>
      <c r="DB297" s="905"/>
      <c r="DC297" s="905"/>
      <c r="DD297" s="905"/>
      <c r="DE297" s="261"/>
      <c r="DF297" s="260"/>
      <c r="DG297" s="905"/>
      <c r="DH297" s="905"/>
      <c r="DI297" s="905"/>
      <c r="DJ297" s="905"/>
      <c r="DK297" s="261"/>
      <c r="DL297" s="260"/>
      <c r="DM297" s="905"/>
      <c r="DN297" s="905"/>
      <c r="DO297" s="905"/>
      <c r="DP297" s="261"/>
    </row>
    <row r="298" spans="1:120" ht="12.75" hidden="1" customHeight="1" outlineLevel="1">
      <c r="A298" s="260"/>
      <c r="B298" s="260"/>
      <c r="C298" s="261"/>
      <c r="D298" s="261"/>
      <c r="E298" s="261"/>
      <c r="F298" s="261"/>
      <c r="G298" s="261"/>
      <c r="H298" s="261"/>
      <c r="I298" s="261"/>
      <c r="J298" s="261"/>
      <c r="K298" s="261"/>
      <c r="L298" s="261"/>
      <c r="M298" s="261"/>
      <c r="N298" s="260"/>
      <c r="O298" s="905"/>
      <c r="P298" s="905"/>
      <c r="Q298" s="905"/>
      <c r="R298" s="905"/>
      <c r="S298" s="261"/>
      <c r="T298" s="905"/>
      <c r="U298" s="905"/>
      <c r="V298" s="905"/>
      <c r="W298" s="261"/>
      <c r="X298" s="260"/>
      <c r="Y298" s="905"/>
      <c r="Z298" s="905"/>
      <c r="AA298" s="261"/>
      <c r="AB298" s="261"/>
      <c r="AC298" s="905"/>
      <c r="AD298" s="905"/>
      <c r="AE298" s="261"/>
      <c r="AF298" s="260"/>
      <c r="AG298" s="905"/>
      <c r="AH298" s="905"/>
      <c r="AI298" s="905"/>
      <c r="AJ298" s="905"/>
      <c r="AK298" s="261"/>
      <c r="AL298" s="260"/>
      <c r="AM298" s="260"/>
      <c r="AN298" s="905"/>
      <c r="AO298" s="905"/>
      <c r="AP298" s="905"/>
      <c r="AQ298" s="677"/>
      <c r="AR298" s="677"/>
      <c r="AS298" s="677"/>
      <c r="AT298" s="905"/>
      <c r="AU298" s="905"/>
      <c r="AV298" s="905"/>
      <c r="AW298" s="905"/>
      <c r="AX298" s="260"/>
      <c r="AY298" s="260"/>
      <c r="AZ298" s="260"/>
      <c r="BA298" s="905"/>
      <c r="BB298" s="905"/>
      <c r="BC298" s="261"/>
      <c r="BD298" s="260"/>
      <c r="BE298" s="905"/>
      <c r="BF298" s="905"/>
      <c r="BG298" s="905"/>
      <c r="BH298" s="905"/>
      <c r="BI298" s="261"/>
      <c r="BJ298" s="260"/>
      <c r="BK298" s="905"/>
      <c r="BL298" s="905"/>
      <c r="BM298" s="905"/>
      <c r="BN298" s="905"/>
      <c r="BO298" s="261"/>
      <c r="BP298" s="260"/>
      <c r="BQ298" s="905"/>
      <c r="BR298" s="905"/>
      <c r="BS298" s="905"/>
      <c r="BT298" s="905"/>
      <c r="BU298" s="261"/>
      <c r="BV298" s="260"/>
      <c r="BW298" s="905"/>
      <c r="BX298" s="905"/>
      <c r="BY298" s="905"/>
      <c r="BZ298" s="905"/>
      <c r="CA298" s="261"/>
      <c r="CB298" s="260"/>
      <c r="CC298" s="905"/>
      <c r="CD298" s="905"/>
      <c r="CE298" s="905"/>
      <c r="CF298" s="905"/>
      <c r="CG298" s="261"/>
      <c r="CH298" s="260"/>
      <c r="CI298" s="905"/>
      <c r="CJ298" s="905"/>
      <c r="CK298" s="905"/>
      <c r="CL298" s="905"/>
      <c r="CM298" s="261"/>
      <c r="CN298" s="260"/>
      <c r="CO298" s="905"/>
      <c r="CP298" s="905"/>
      <c r="CQ298" s="905"/>
      <c r="CR298" s="905"/>
      <c r="CS298" s="261"/>
      <c r="CT298" s="260"/>
      <c r="CU298" s="905"/>
      <c r="CV298" s="905"/>
      <c r="CW298" s="905"/>
      <c r="CX298" s="905"/>
      <c r="CY298" s="261"/>
      <c r="CZ298" s="260"/>
      <c r="DA298" s="905"/>
      <c r="DB298" s="905"/>
      <c r="DC298" s="905"/>
      <c r="DD298" s="905"/>
      <c r="DE298" s="261"/>
      <c r="DF298" s="260"/>
      <c r="DG298" s="905"/>
      <c r="DH298" s="905"/>
      <c r="DI298" s="905"/>
      <c r="DJ298" s="905"/>
      <c r="DK298" s="261"/>
      <c r="DL298" s="260"/>
      <c r="DM298" s="905"/>
      <c r="DN298" s="905"/>
      <c r="DO298" s="905"/>
      <c r="DP298" s="261"/>
    </row>
    <row r="299" spans="1:120" ht="12.75" hidden="1" customHeight="1" outlineLevel="1">
      <c r="A299" s="904" t="s">
        <v>852</v>
      </c>
      <c r="B299" s="260"/>
      <c r="C299" s="261"/>
      <c r="D299" s="261"/>
      <c r="E299" s="261"/>
      <c r="F299" s="261"/>
      <c r="G299" s="261"/>
      <c r="H299" s="261"/>
      <c r="I299" s="261"/>
      <c r="J299" s="261"/>
      <c r="K299" s="261"/>
      <c r="L299" s="261"/>
      <c r="M299" s="261"/>
      <c r="N299" s="260"/>
      <c r="O299" s="905"/>
      <c r="P299" s="905"/>
      <c r="Q299" s="905"/>
      <c r="R299" s="905"/>
      <c r="S299" s="261"/>
      <c r="T299" s="260"/>
      <c r="U299" s="260"/>
      <c r="V299" s="260"/>
      <c r="W299" s="260"/>
      <c r="X299" s="260"/>
      <c r="Y299" s="260"/>
      <c r="Z299" s="260"/>
      <c r="AA299" s="261"/>
      <c r="AB299" s="261"/>
      <c r="AC299" s="905"/>
      <c r="AD299" s="905"/>
      <c r="AE299" s="261"/>
      <c r="AF299" s="260"/>
      <c r="AG299" s="905"/>
      <c r="AH299" s="905"/>
      <c r="AI299" s="905"/>
      <c r="AJ299" s="905"/>
      <c r="AK299" s="261"/>
      <c r="AL299" s="260"/>
      <c r="AM299" s="260"/>
      <c r="AN299" s="905"/>
      <c r="AO299" s="905"/>
      <c r="AP299" s="905"/>
      <c r="AQ299" s="910"/>
      <c r="AR299" s="910"/>
      <c r="AS299" s="910"/>
      <c r="AT299" s="905"/>
      <c r="AU299" s="905"/>
      <c r="AV299" s="905"/>
      <c r="AW299" s="905"/>
      <c r="AX299" s="260"/>
      <c r="AY299" s="260"/>
      <c r="AZ299" s="260"/>
      <c r="BA299" s="905"/>
      <c r="BB299" s="905"/>
      <c r="BC299" s="261"/>
      <c r="BD299" s="260"/>
      <c r="BE299" s="905"/>
      <c r="BF299" s="905"/>
      <c r="BG299" s="905"/>
      <c r="BH299" s="905"/>
      <c r="BI299" s="261"/>
      <c r="BJ299" s="260"/>
      <c r="BK299" s="905"/>
      <c r="BL299" s="905"/>
      <c r="BM299" s="905"/>
      <c r="BN299" s="905"/>
      <c r="BO299" s="261"/>
      <c r="BP299" s="260"/>
      <c r="BQ299" s="905"/>
      <c r="BR299" s="905"/>
      <c r="BS299" s="905"/>
      <c r="BT299" s="905"/>
      <c r="BU299" s="261"/>
      <c r="BV299" s="260"/>
      <c r="BW299" s="905"/>
      <c r="BX299" s="905"/>
      <c r="BY299" s="905"/>
      <c r="BZ299" s="905"/>
      <c r="CA299" s="261"/>
      <c r="CB299" s="260"/>
      <c r="CC299" s="905"/>
      <c r="CD299" s="905"/>
      <c r="CE299" s="905"/>
      <c r="CF299" s="905"/>
      <c r="CG299" s="261"/>
      <c r="CH299" s="260"/>
      <c r="CI299" s="905"/>
      <c r="CJ299" s="905"/>
      <c r="CK299" s="905"/>
      <c r="CL299" s="905"/>
      <c r="CM299" s="261"/>
      <c r="CN299" s="260"/>
      <c r="CO299" s="905"/>
      <c r="CP299" s="905"/>
      <c r="CQ299" s="905"/>
      <c r="CR299" s="905"/>
      <c r="CS299" s="261"/>
      <c r="CT299" s="260"/>
      <c r="CU299" s="905"/>
      <c r="CV299" s="905"/>
      <c r="CW299" s="905"/>
      <c r="CX299" s="905"/>
      <c r="CY299" s="261"/>
      <c r="CZ299" s="260"/>
      <c r="DA299" s="905"/>
      <c r="DB299" s="905"/>
      <c r="DC299" s="905"/>
      <c r="DD299" s="905"/>
      <c r="DE299" s="261"/>
      <c r="DF299" s="260"/>
      <c r="DG299" s="905"/>
      <c r="DH299" s="905"/>
      <c r="DI299" s="905"/>
      <c r="DJ299" s="905"/>
      <c r="DK299" s="261"/>
      <c r="DL299" s="260"/>
      <c r="DM299" s="905"/>
      <c r="DN299" s="905"/>
      <c r="DO299" s="905"/>
      <c r="DP299" s="261"/>
    </row>
    <row r="300" spans="1:120" ht="12.75" hidden="1" customHeight="1" outlineLevel="1">
      <c r="A300" s="904" t="s">
        <v>880</v>
      </c>
      <c r="B300" s="260"/>
      <c r="C300" s="261"/>
      <c r="D300" s="261"/>
      <c r="E300" s="261"/>
      <c r="F300" s="261"/>
      <c r="G300" s="261"/>
      <c r="H300" s="261"/>
      <c r="I300" s="261"/>
      <c r="J300" s="261"/>
      <c r="K300" s="261"/>
      <c r="L300" s="261"/>
      <c r="M300" s="261"/>
      <c r="N300" s="260"/>
      <c r="O300" s="905"/>
      <c r="P300" s="905"/>
      <c r="Q300" s="905"/>
      <c r="R300" s="905"/>
      <c r="S300" s="261"/>
      <c r="T300" s="714" t="s">
        <v>860</v>
      </c>
      <c r="U300" s="714" t="s">
        <v>860</v>
      </c>
      <c r="V300" s="714" t="s">
        <v>860</v>
      </c>
      <c r="W300" s="261"/>
      <c r="X300" s="260"/>
      <c r="Y300" s="714">
        <v>0.25</v>
      </c>
      <c r="Z300" s="714">
        <v>0.2</v>
      </c>
      <c r="AA300" s="714">
        <v>0.2</v>
      </c>
      <c r="AB300" s="714">
        <v>0.2</v>
      </c>
      <c r="AC300" s="905"/>
      <c r="AD300" s="905"/>
      <c r="AE300" s="279">
        <v>0.45</v>
      </c>
      <c r="AF300" s="279">
        <v>0.45</v>
      </c>
      <c r="AG300" s="279">
        <v>0.45</v>
      </c>
      <c r="AH300" s="279">
        <v>1.45</v>
      </c>
      <c r="AI300" s="905"/>
      <c r="AJ300" s="905"/>
      <c r="AK300" s="279">
        <v>0.7</v>
      </c>
      <c r="AL300" s="883">
        <v>0.7</v>
      </c>
      <c r="AM300" s="883">
        <v>0.57999999999999996</v>
      </c>
      <c r="AN300" s="883">
        <v>0.46</v>
      </c>
      <c r="AO300" s="905"/>
      <c r="AP300" s="905"/>
      <c r="AQ300" s="883">
        <v>0.48</v>
      </c>
      <c r="AR300" s="883">
        <v>0.48</v>
      </c>
      <c r="AS300" s="883">
        <v>0.48</v>
      </c>
      <c r="AT300" s="883">
        <v>0.48</v>
      </c>
      <c r="AU300" s="905"/>
      <c r="AV300" s="905"/>
      <c r="AW300" s="883">
        <v>0.43</v>
      </c>
      <c r="AX300" s="883">
        <v>0.43</v>
      </c>
      <c r="AY300" s="883">
        <v>0.42</v>
      </c>
      <c r="AZ300" s="883">
        <v>0.4</v>
      </c>
      <c r="BA300" s="905"/>
      <c r="BB300" s="905"/>
      <c r="BC300" s="883">
        <v>0.4</v>
      </c>
      <c r="BD300" s="883">
        <v>0.43</v>
      </c>
      <c r="BE300" s="895">
        <v>0.41</v>
      </c>
      <c r="BF300" s="905"/>
      <c r="BG300" s="905"/>
      <c r="BH300" s="905"/>
      <c r="BI300" s="261"/>
      <c r="BJ300" s="260"/>
      <c r="BK300" s="905"/>
      <c r="BL300" s="905"/>
      <c r="BM300" s="905"/>
      <c r="BN300" s="905"/>
      <c r="BO300" s="261"/>
      <c r="BP300" s="260"/>
      <c r="BQ300" s="905"/>
      <c r="BR300" s="905"/>
      <c r="BS300" s="905"/>
      <c r="BT300" s="905"/>
      <c r="BU300" s="261"/>
      <c r="BV300" s="260"/>
      <c r="BW300" s="905"/>
      <c r="BX300" s="905"/>
      <c r="BY300" s="905"/>
      <c r="BZ300" s="905"/>
      <c r="CA300" s="261"/>
      <c r="CB300" s="260"/>
      <c r="CC300" s="905"/>
      <c r="CD300" s="905"/>
      <c r="CE300" s="905"/>
      <c r="CF300" s="905"/>
      <c r="CG300" s="261"/>
      <c r="CH300" s="260"/>
      <c r="CI300" s="905"/>
      <c r="CJ300" s="905"/>
      <c r="CK300" s="905"/>
      <c r="CL300" s="905"/>
      <c r="CM300" s="261"/>
      <c r="CN300" s="260"/>
      <c r="CO300" s="905"/>
      <c r="CP300" s="905"/>
      <c r="CQ300" s="905"/>
      <c r="CR300" s="905"/>
      <c r="CS300" s="261"/>
      <c r="CT300" s="260"/>
      <c r="CU300" s="905"/>
      <c r="CV300" s="905"/>
      <c r="CW300" s="905"/>
      <c r="CX300" s="905"/>
      <c r="CY300" s="261"/>
      <c r="CZ300" s="260"/>
      <c r="DA300" s="905"/>
      <c r="DB300" s="905"/>
      <c r="DC300" s="905"/>
      <c r="DD300" s="905"/>
      <c r="DE300" s="261"/>
      <c r="DF300" s="260"/>
      <c r="DG300" s="905"/>
      <c r="DH300" s="905"/>
      <c r="DI300" s="905"/>
      <c r="DJ300" s="905"/>
      <c r="DK300" s="261"/>
      <c r="DL300" s="260"/>
      <c r="DM300" s="905"/>
      <c r="DN300" s="905"/>
      <c r="DO300" s="905"/>
      <c r="DP300" s="261"/>
    </row>
    <row r="301" spans="1:120" ht="12" hidden="1" customHeight="1" outlineLevel="1">
      <c r="A301" s="260" t="s">
        <v>395</v>
      </c>
      <c r="B301" s="260"/>
      <c r="C301" s="261"/>
      <c r="D301" s="261"/>
      <c r="E301" s="261"/>
      <c r="F301" s="261"/>
      <c r="G301" s="261"/>
      <c r="H301" s="261"/>
      <c r="I301" s="261"/>
      <c r="J301" s="261"/>
      <c r="K301" s="261"/>
      <c r="L301" s="261"/>
      <c r="M301" s="261"/>
      <c r="N301" s="260"/>
      <c r="O301" s="905"/>
      <c r="P301" s="905"/>
      <c r="Q301" s="905"/>
      <c r="R301" s="905"/>
      <c r="S301" s="261"/>
      <c r="T301" s="714">
        <f>U80</f>
        <v>0.13297045101088631</v>
      </c>
      <c r="U301" s="714">
        <f>U80</f>
        <v>0.13297045101088631</v>
      </c>
      <c r="V301" s="714">
        <f>V80</f>
        <v>0.13284864507600805</v>
      </c>
      <c r="W301" s="261"/>
      <c r="X301" s="260"/>
      <c r="Y301" s="714">
        <f>Y80</f>
        <v>0.2</v>
      </c>
      <c r="Z301" s="714">
        <f>Z80</f>
        <v>0.19993894993895001</v>
      </c>
      <c r="AA301" s="714">
        <f>AA80</f>
        <v>0.2000719683339334</v>
      </c>
      <c r="AB301" s="714">
        <f>AB80</f>
        <v>0.17606566057717812</v>
      </c>
      <c r="AC301" s="905"/>
      <c r="AD301" s="905"/>
      <c r="AE301" s="714">
        <f>AE80</f>
        <v>0.45002511300853837</v>
      </c>
      <c r="AF301" s="714">
        <f>AF80</f>
        <v>0.45000783576241976</v>
      </c>
      <c r="AG301" s="714">
        <f>AG80</f>
        <v>0.45</v>
      </c>
      <c r="AH301" s="714">
        <f>AH80</f>
        <v>0.45</v>
      </c>
      <c r="AI301" s="905"/>
      <c r="AJ301" s="905"/>
      <c r="AK301" s="714">
        <f>AK104</f>
        <v>0.72627599243856289</v>
      </c>
      <c r="AL301" s="714">
        <f>AL104</f>
        <v>0.50346245401428136</v>
      </c>
      <c r="AM301" s="714">
        <f>AM104</f>
        <v>0.46335464830299988</v>
      </c>
      <c r="AN301" s="714">
        <f>AN104</f>
        <v>0.47541547277937002</v>
      </c>
      <c r="AO301" s="905"/>
      <c r="AP301" s="905"/>
      <c r="AQ301" s="714">
        <f>AQ104</f>
        <v>0.48227315247895225</v>
      </c>
      <c r="AR301" s="714">
        <f>AR104</f>
        <v>0.48100227790432765</v>
      </c>
      <c r="AS301" s="714">
        <f>AS104</f>
        <v>0.42005045937068614</v>
      </c>
      <c r="AT301" s="714">
        <f>AT104</f>
        <v>0.36174617047702279</v>
      </c>
      <c r="AU301" s="905"/>
      <c r="AV301" s="905"/>
      <c r="AW301" s="714">
        <f>AW104</f>
        <v>0.47493696722295614</v>
      </c>
      <c r="AX301" s="714">
        <f>AX104</f>
        <v>0.39112374898943442</v>
      </c>
      <c r="AY301" s="714">
        <f>AY104</f>
        <v>0.42070996325913129</v>
      </c>
      <c r="AZ301" s="714">
        <f>AZ104</f>
        <v>0.35354321628322649</v>
      </c>
      <c r="BA301" s="905"/>
      <c r="BB301" s="905"/>
      <c r="BC301" s="714">
        <f>BC104</f>
        <v>0.3767243541509902</v>
      </c>
      <c r="BD301" s="714">
        <f>BD104</f>
        <v>0.43723487290867735</v>
      </c>
      <c r="BE301" s="714">
        <f>BE104</f>
        <v>0.41991701244813279</v>
      </c>
      <c r="BF301" s="905"/>
      <c r="BG301" s="905"/>
      <c r="BH301" s="905"/>
      <c r="BI301" s="261"/>
      <c r="BJ301" s="260"/>
      <c r="BK301" s="905"/>
      <c r="BL301" s="905"/>
      <c r="BM301" s="905"/>
      <c r="BN301" s="905"/>
      <c r="BO301" s="261"/>
      <c r="BP301" s="260"/>
      <c r="BQ301" s="905"/>
      <c r="BR301" s="905"/>
      <c r="BS301" s="905"/>
      <c r="BT301" s="905"/>
      <c r="BU301" s="261"/>
      <c r="BV301" s="260"/>
      <c r="BW301" s="905"/>
      <c r="BX301" s="905"/>
      <c r="BY301" s="905"/>
      <c r="BZ301" s="905"/>
      <c r="CA301" s="261"/>
      <c r="CB301" s="260"/>
      <c r="CC301" s="905"/>
      <c r="CD301" s="905"/>
      <c r="CE301" s="905"/>
      <c r="CF301" s="905"/>
      <c r="CG301" s="261"/>
      <c r="CH301" s="260"/>
      <c r="CI301" s="905"/>
      <c r="CJ301" s="905"/>
      <c r="CK301" s="905"/>
      <c r="CL301" s="905"/>
      <c r="CM301" s="261"/>
      <c r="CN301" s="260"/>
      <c r="CO301" s="905"/>
      <c r="CP301" s="905"/>
      <c r="CQ301" s="905"/>
      <c r="CR301" s="905"/>
      <c r="CS301" s="261"/>
      <c r="CT301" s="260"/>
      <c r="CU301" s="905"/>
      <c r="CV301" s="905"/>
      <c r="CW301" s="905"/>
      <c r="CX301" s="905"/>
      <c r="CY301" s="261"/>
      <c r="CZ301" s="260"/>
      <c r="DA301" s="905"/>
      <c r="DB301" s="905"/>
      <c r="DC301" s="905"/>
      <c r="DD301" s="905"/>
      <c r="DE301" s="261"/>
      <c r="DF301" s="260"/>
      <c r="DG301" s="905"/>
      <c r="DH301" s="905"/>
      <c r="DI301" s="905"/>
      <c r="DJ301" s="905"/>
      <c r="DK301" s="261"/>
      <c r="DL301" s="260"/>
      <c r="DM301" s="905"/>
      <c r="DN301" s="905"/>
      <c r="DO301" s="905"/>
      <c r="DP301" s="261"/>
    </row>
    <row r="302" spans="1:120" ht="12" hidden="1" customHeight="1" outlineLevel="1">
      <c r="A302" s="260"/>
      <c r="B302" s="260"/>
      <c r="C302" s="261"/>
      <c r="D302" s="261"/>
      <c r="E302" s="261"/>
      <c r="F302" s="261"/>
      <c r="G302" s="261"/>
      <c r="H302" s="261"/>
      <c r="I302" s="261"/>
      <c r="J302" s="261"/>
      <c r="K302" s="261"/>
      <c r="L302" s="261"/>
      <c r="M302" s="261"/>
      <c r="N302" s="260"/>
      <c r="O302" s="905"/>
      <c r="P302" s="905"/>
      <c r="Q302" s="905"/>
      <c r="R302" s="905"/>
      <c r="S302" s="261"/>
      <c r="T302" s="714"/>
      <c r="U302" s="714"/>
      <c r="V302" s="714"/>
      <c r="W302" s="261"/>
      <c r="X302" s="260"/>
      <c r="Y302" s="714"/>
      <c r="Z302" s="714"/>
      <c r="AA302" s="714"/>
      <c r="AB302" s="714"/>
      <c r="AC302" s="905"/>
      <c r="AD302" s="905"/>
      <c r="AE302" s="714"/>
      <c r="AF302" s="714"/>
      <c r="AG302" s="714"/>
      <c r="AH302" s="714"/>
      <c r="AI302" s="905"/>
      <c r="AJ302" s="905"/>
      <c r="AK302" s="714"/>
      <c r="AL302" s="714"/>
      <c r="AM302" s="714"/>
      <c r="AN302" s="714"/>
      <c r="AO302" s="905"/>
      <c r="AP302" s="905"/>
      <c r="AQ302" s="714"/>
      <c r="AR302" s="714"/>
      <c r="AS302" s="714"/>
      <c r="AT302" s="714"/>
      <c r="AU302" s="905"/>
      <c r="AV302" s="905"/>
      <c r="AW302" s="714"/>
      <c r="AX302" s="714"/>
      <c r="AY302" s="714"/>
      <c r="AZ302" s="714"/>
      <c r="BA302" s="905"/>
      <c r="BB302" s="905"/>
      <c r="BC302" s="714"/>
      <c r="BD302" s="714"/>
      <c r="BE302" s="905"/>
      <c r="BF302" s="905"/>
      <c r="BG302" s="905"/>
      <c r="BH302" s="905"/>
      <c r="BI302" s="261"/>
      <c r="BJ302" s="260"/>
      <c r="BK302" s="905"/>
      <c r="BL302" s="905"/>
      <c r="BM302" s="905"/>
      <c r="BN302" s="905"/>
      <c r="BO302" s="261"/>
      <c r="BP302" s="260"/>
      <c r="BQ302" s="905"/>
      <c r="BR302" s="905"/>
      <c r="BS302" s="905"/>
      <c r="BT302" s="905"/>
      <c r="BU302" s="261"/>
      <c r="BV302" s="260"/>
      <c r="BW302" s="905"/>
      <c r="BX302" s="905"/>
      <c r="BY302" s="905"/>
      <c r="BZ302" s="905"/>
      <c r="CA302" s="261"/>
      <c r="CB302" s="260"/>
      <c r="CC302" s="905"/>
      <c r="CD302" s="905"/>
      <c r="CE302" s="905"/>
      <c r="CF302" s="905"/>
      <c r="CG302" s="261"/>
      <c r="CH302" s="260"/>
      <c r="CI302" s="905"/>
      <c r="CJ302" s="905"/>
      <c r="CK302" s="905"/>
      <c r="CL302" s="905"/>
      <c r="CM302" s="261"/>
      <c r="CN302" s="260"/>
      <c r="CO302" s="905"/>
      <c r="CP302" s="905"/>
      <c r="CQ302" s="905"/>
      <c r="CR302" s="905"/>
      <c r="CS302" s="261"/>
      <c r="CT302" s="260"/>
      <c r="CU302" s="905"/>
      <c r="CV302" s="905"/>
      <c r="CW302" s="905"/>
      <c r="CX302" s="905"/>
      <c r="CY302" s="261"/>
      <c r="CZ302" s="260"/>
      <c r="DA302" s="905"/>
      <c r="DB302" s="905"/>
      <c r="DC302" s="905"/>
      <c r="DD302" s="905"/>
      <c r="DE302" s="261"/>
      <c r="DF302" s="260"/>
      <c r="DG302" s="905"/>
      <c r="DH302" s="905"/>
      <c r="DI302" s="905"/>
      <c r="DJ302" s="905"/>
      <c r="DK302" s="261"/>
      <c r="DL302" s="260"/>
      <c r="DM302" s="905"/>
      <c r="DN302" s="905"/>
      <c r="DO302" s="905"/>
      <c r="DP302" s="261"/>
    </row>
    <row r="303" spans="1:120" ht="12" hidden="1" customHeight="1" outlineLevel="1">
      <c r="A303" s="904" t="s">
        <v>51</v>
      </c>
      <c r="B303" s="260"/>
      <c r="C303" s="261"/>
      <c r="D303" s="261"/>
      <c r="E303" s="261"/>
      <c r="F303" s="261"/>
      <c r="G303" s="261"/>
      <c r="H303" s="261"/>
      <c r="I303" s="261"/>
      <c r="J303" s="261"/>
      <c r="K303" s="261"/>
      <c r="L303" s="261"/>
      <c r="M303" s="261"/>
      <c r="N303" s="260"/>
      <c r="O303" s="905"/>
      <c r="P303" s="905"/>
      <c r="Q303" s="905"/>
      <c r="R303" s="905"/>
      <c r="S303" s="261"/>
      <c r="T303" s="714"/>
      <c r="U303" s="714"/>
      <c r="V303" s="714"/>
      <c r="W303" s="261"/>
      <c r="X303" s="260"/>
      <c r="Y303" s="714"/>
      <c r="Z303" s="714"/>
      <c r="AA303" s="714"/>
      <c r="AB303" s="714"/>
      <c r="AC303" s="905"/>
      <c r="AD303" s="905"/>
      <c r="AE303" s="714"/>
      <c r="AF303" s="714"/>
      <c r="AG303" s="714"/>
      <c r="AH303" s="714"/>
      <c r="AI303" s="905"/>
      <c r="AJ303" s="905"/>
      <c r="AK303" s="714"/>
      <c r="AL303" s="714"/>
      <c r="AM303" s="714"/>
      <c r="AN303" s="714"/>
      <c r="AO303" s="905"/>
      <c r="AP303" s="905"/>
      <c r="AQ303" s="714"/>
      <c r="AR303" s="714"/>
      <c r="AS303" s="714"/>
      <c r="AT303" s="714"/>
      <c r="AU303" s="905"/>
      <c r="AV303" s="905"/>
      <c r="AW303" s="714"/>
      <c r="AX303" s="714"/>
      <c r="AY303" s="714"/>
      <c r="AZ303" s="714"/>
      <c r="BA303" s="905"/>
      <c r="BB303" s="905"/>
      <c r="BC303" s="714"/>
      <c r="BD303" s="714">
        <v>0.39</v>
      </c>
      <c r="BE303" s="714">
        <v>0.38</v>
      </c>
      <c r="BF303" s="905"/>
      <c r="BG303" s="905"/>
      <c r="BH303" s="905"/>
      <c r="BI303" s="883">
        <v>0.3</v>
      </c>
      <c r="BJ303" s="883">
        <v>0.3</v>
      </c>
      <c r="BK303" s="883">
        <v>0.33</v>
      </c>
      <c r="BL303" s="883">
        <v>0.33</v>
      </c>
      <c r="BM303" s="905"/>
      <c r="BN303" s="905"/>
      <c r="BO303" s="261"/>
      <c r="BP303" s="260"/>
      <c r="BQ303" s="905"/>
      <c r="BR303" s="905"/>
      <c r="BS303" s="905"/>
      <c r="BT303" s="905"/>
      <c r="BU303" s="261"/>
      <c r="BV303" s="260"/>
      <c r="BW303" s="905"/>
      <c r="BX303" s="905"/>
      <c r="BY303" s="905"/>
      <c r="BZ303" s="905"/>
      <c r="CA303" s="261"/>
      <c r="CB303" s="260"/>
      <c r="CC303" s="905"/>
      <c r="CD303" s="905"/>
      <c r="CE303" s="905"/>
      <c r="CF303" s="905"/>
      <c r="CG303" s="261"/>
      <c r="CH303" s="260"/>
      <c r="CI303" s="905"/>
      <c r="CJ303" s="905"/>
      <c r="CK303" s="905"/>
      <c r="CL303" s="905"/>
      <c r="CM303" s="261"/>
      <c r="CN303" s="260"/>
      <c r="CO303" s="905"/>
      <c r="CP303" s="905"/>
      <c r="CQ303" s="905"/>
      <c r="CR303" s="905"/>
      <c r="CS303" s="261"/>
      <c r="CT303" s="260"/>
      <c r="CU303" s="905"/>
      <c r="CV303" s="905"/>
      <c r="CW303" s="905"/>
      <c r="CX303" s="905"/>
      <c r="CY303" s="261"/>
      <c r="CZ303" s="260"/>
      <c r="DA303" s="905"/>
      <c r="DB303" s="905"/>
      <c r="DC303" s="905"/>
      <c r="DD303" s="905"/>
      <c r="DE303" s="261"/>
      <c r="DF303" s="260"/>
      <c r="DG303" s="905"/>
      <c r="DH303" s="905"/>
      <c r="DI303" s="905"/>
      <c r="DJ303" s="905"/>
      <c r="DK303" s="261"/>
      <c r="DL303" s="260"/>
      <c r="DM303" s="905"/>
      <c r="DN303" s="905"/>
      <c r="DO303" s="905"/>
      <c r="DP303" s="261"/>
    </row>
    <row r="304" spans="1:120" ht="12" hidden="1" customHeight="1" outlineLevel="1">
      <c r="A304" s="260" t="s">
        <v>395</v>
      </c>
      <c r="B304" s="260"/>
      <c r="C304" s="261"/>
      <c r="D304" s="261"/>
      <c r="E304" s="261"/>
      <c r="F304" s="261"/>
      <c r="G304" s="261"/>
      <c r="H304" s="261"/>
      <c r="I304" s="261"/>
      <c r="J304" s="261"/>
      <c r="K304" s="261"/>
      <c r="L304" s="261"/>
      <c r="M304" s="261"/>
      <c r="N304" s="260"/>
      <c r="O304" s="905"/>
      <c r="P304" s="905"/>
      <c r="Q304" s="905"/>
      <c r="R304" s="905"/>
      <c r="S304" s="261"/>
      <c r="T304" s="714"/>
      <c r="U304" s="714"/>
      <c r="V304" s="714"/>
      <c r="W304" s="261"/>
      <c r="X304" s="260"/>
      <c r="Y304" s="714"/>
      <c r="Z304" s="714"/>
      <c r="AA304" s="714"/>
      <c r="AB304" s="714"/>
      <c r="AC304" s="905"/>
      <c r="AD304" s="905"/>
      <c r="AE304" s="714"/>
      <c r="AF304" s="714"/>
      <c r="AG304" s="714"/>
      <c r="AH304" s="714"/>
      <c r="AI304" s="905"/>
      <c r="AJ304" s="905"/>
      <c r="AK304" s="714"/>
      <c r="AL304" s="714"/>
      <c r="AM304" s="714"/>
      <c r="AN304" s="714"/>
      <c r="AO304" s="905"/>
      <c r="AP304" s="905"/>
      <c r="AQ304" s="714"/>
      <c r="AR304" s="714"/>
      <c r="AS304" s="714"/>
      <c r="AT304" s="714"/>
      <c r="AU304" s="905"/>
      <c r="AV304" s="905"/>
      <c r="AW304" s="714"/>
      <c r="AX304" s="714"/>
      <c r="AY304" s="714"/>
      <c r="AZ304" s="714"/>
      <c r="BA304" s="905"/>
      <c r="BB304" s="905"/>
      <c r="BC304" s="714"/>
      <c r="BD304" s="714">
        <f>BD80</f>
        <v>0.39199172798249687</v>
      </c>
      <c r="BE304" s="714">
        <f>BE80</f>
        <v>0.39165489485327437</v>
      </c>
      <c r="BF304" s="905"/>
      <c r="BG304" s="905"/>
      <c r="BH304" s="905"/>
      <c r="BI304" s="714">
        <f>BI80</f>
        <v>0.35066414897773135</v>
      </c>
      <c r="BJ304" s="714">
        <f>BJ80</f>
        <v>0.26067408017572752</v>
      </c>
      <c r="BK304" s="714">
        <f>BK80</f>
        <v>0.29281281570212164</v>
      </c>
      <c r="BL304" s="714">
        <f>BL80</f>
        <v>0.32</v>
      </c>
      <c r="BM304" s="905"/>
      <c r="BN304" s="905"/>
      <c r="BO304" s="261"/>
      <c r="BP304" s="260"/>
      <c r="BQ304" s="905"/>
      <c r="BR304" s="905"/>
      <c r="BS304" s="905"/>
      <c r="BT304" s="905"/>
      <c r="BU304" s="261"/>
      <c r="BV304" s="260"/>
      <c r="BW304" s="905"/>
      <c r="BX304" s="905"/>
      <c r="BY304" s="905"/>
      <c r="BZ304" s="905"/>
      <c r="CA304" s="261"/>
      <c r="CB304" s="260"/>
      <c r="CC304" s="905"/>
      <c r="CD304" s="905"/>
      <c r="CE304" s="905"/>
      <c r="CF304" s="905"/>
      <c r="CG304" s="261"/>
      <c r="CH304" s="260"/>
      <c r="CI304" s="905"/>
      <c r="CJ304" s="905"/>
      <c r="CK304" s="905"/>
      <c r="CL304" s="905"/>
      <c r="CM304" s="261"/>
      <c r="CN304" s="260"/>
      <c r="CO304" s="905"/>
      <c r="CP304" s="905"/>
      <c r="CQ304" s="905"/>
      <c r="CR304" s="905"/>
      <c r="CS304" s="261"/>
      <c r="CT304" s="260"/>
      <c r="CU304" s="905"/>
      <c r="CV304" s="905"/>
      <c r="CW304" s="905"/>
      <c r="CX304" s="905"/>
      <c r="CY304" s="261"/>
      <c r="CZ304" s="260"/>
      <c r="DA304" s="905"/>
      <c r="DB304" s="905"/>
      <c r="DC304" s="905"/>
      <c r="DD304" s="905"/>
      <c r="DE304" s="261"/>
      <c r="DF304" s="260"/>
      <c r="DG304" s="905"/>
      <c r="DH304" s="905"/>
      <c r="DI304" s="905"/>
      <c r="DJ304" s="905"/>
      <c r="DK304" s="261"/>
      <c r="DL304" s="260"/>
      <c r="DM304" s="905"/>
      <c r="DN304" s="905"/>
      <c r="DO304" s="905"/>
      <c r="DP304" s="261"/>
    </row>
    <row r="305" spans="1:120" ht="12" hidden="1" customHeight="1" outlineLevel="1">
      <c r="A305" s="260"/>
      <c r="B305" s="260"/>
      <c r="C305" s="261"/>
      <c r="D305" s="261"/>
      <c r="E305" s="261"/>
      <c r="F305" s="261"/>
      <c r="G305" s="261"/>
      <c r="H305" s="261"/>
      <c r="I305" s="261"/>
      <c r="J305" s="261"/>
      <c r="K305" s="261"/>
      <c r="L305" s="261"/>
      <c r="M305" s="261"/>
      <c r="N305" s="260"/>
      <c r="O305" s="905"/>
      <c r="P305" s="905"/>
      <c r="Q305" s="905"/>
      <c r="R305" s="905"/>
      <c r="S305" s="261"/>
      <c r="T305" s="714"/>
      <c r="U305" s="714"/>
      <c r="V305" s="714"/>
      <c r="W305" s="261"/>
      <c r="X305" s="260"/>
      <c r="Y305" s="714"/>
      <c r="Z305" s="714"/>
      <c r="AA305" s="714"/>
      <c r="AB305" s="714"/>
      <c r="AC305" s="905"/>
      <c r="AD305" s="905"/>
      <c r="AE305" s="714"/>
      <c r="AF305" s="714"/>
      <c r="AG305" s="714"/>
      <c r="AH305" s="714"/>
      <c r="AI305" s="905"/>
      <c r="AJ305" s="905"/>
      <c r="AK305" s="714"/>
      <c r="AL305" s="714"/>
      <c r="AM305" s="714"/>
      <c r="AN305" s="714"/>
      <c r="AO305" s="905"/>
      <c r="AP305" s="905"/>
      <c r="AQ305" s="714"/>
      <c r="AR305" s="714"/>
      <c r="AS305" s="714"/>
      <c r="AT305" s="714"/>
      <c r="AU305" s="905"/>
      <c r="AV305" s="905"/>
      <c r="AW305" s="714"/>
      <c r="AX305" s="714"/>
      <c r="AY305" s="714"/>
      <c r="AZ305" s="714"/>
      <c r="BA305" s="905"/>
      <c r="BB305" s="905"/>
      <c r="BC305" s="714"/>
      <c r="BD305" s="714"/>
      <c r="BE305" s="905"/>
      <c r="BF305" s="905"/>
      <c r="BG305" s="905"/>
      <c r="BH305" s="905"/>
      <c r="BI305" s="261"/>
      <c r="BJ305" s="260"/>
      <c r="BK305" s="905"/>
      <c r="BL305" s="905"/>
      <c r="BM305" s="905"/>
      <c r="BN305" s="905"/>
      <c r="BO305" s="261"/>
      <c r="BP305" s="260"/>
      <c r="BQ305" s="905"/>
      <c r="BR305" s="905"/>
      <c r="BS305" s="905"/>
      <c r="BT305" s="905"/>
      <c r="BU305" s="261"/>
      <c r="BV305" s="260"/>
      <c r="BW305" s="905"/>
      <c r="BX305" s="905"/>
      <c r="BY305" s="905"/>
      <c r="BZ305" s="905"/>
      <c r="CA305" s="261"/>
      <c r="CB305" s="260"/>
      <c r="CC305" s="905"/>
      <c r="CD305" s="905"/>
      <c r="CE305" s="905"/>
      <c r="CF305" s="905"/>
      <c r="CG305" s="261"/>
      <c r="CH305" s="260"/>
      <c r="CI305" s="905"/>
      <c r="CJ305" s="905"/>
      <c r="CK305" s="905"/>
      <c r="CL305" s="905"/>
      <c r="CM305" s="261"/>
      <c r="CN305" s="260"/>
      <c r="CO305" s="905"/>
      <c r="CP305" s="905"/>
      <c r="CQ305" s="905"/>
      <c r="CR305" s="905"/>
      <c r="CS305" s="261"/>
      <c r="CT305" s="260"/>
      <c r="CU305" s="905"/>
      <c r="CV305" s="905"/>
      <c r="CW305" s="905"/>
      <c r="CX305" s="905"/>
      <c r="CY305" s="261"/>
      <c r="CZ305" s="260"/>
      <c r="DA305" s="905"/>
      <c r="DB305" s="905"/>
      <c r="DC305" s="905"/>
      <c r="DD305" s="905"/>
      <c r="DE305" s="261"/>
      <c r="DF305" s="260"/>
      <c r="DG305" s="905"/>
      <c r="DH305" s="905"/>
      <c r="DI305" s="905"/>
      <c r="DJ305" s="905"/>
      <c r="DK305" s="261"/>
      <c r="DL305" s="260"/>
      <c r="DM305" s="905"/>
      <c r="DN305" s="905"/>
      <c r="DO305" s="905"/>
      <c r="DP305" s="261"/>
    </row>
    <row r="306" spans="1:120" ht="12.75" hidden="1" customHeight="1" outlineLevel="1">
      <c r="A306" s="904" t="s">
        <v>529</v>
      </c>
      <c r="B306" s="260"/>
      <c r="C306" s="261"/>
      <c r="D306" s="261"/>
      <c r="E306" s="261"/>
      <c r="F306" s="261"/>
      <c r="G306" s="261"/>
      <c r="H306" s="261"/>
      <c r="I306" s="261"/>
      <c r="J306" s="261"/>
      <c r="K306" s="261"/>
      <c r="L306" s="261"/>
      <c r="M306" s="261"/>
      <c r="N306" s="260"/>
      <c r="O306" s="905"/>
      <c r="P306" s="905"/>
      <c r="Q306" s="905"/>
      <c r="R306" s="905"/>
      <c r="S306" s="261"/>
      <c r="T306" s="714" t="s">
        <v>860</v>
      </c>
      <c r="U306" s="714" t="s">
        <v>860</v>
      </c>
      <c r="V306" s="714" t="s">
        <v>860</v>
      </c>
      <c r="W306" s="261"/>
      <c r="X306" s="260"/>
      <c r="Y306" s="906">
        <v>119</v>
      </c>
      <c r="Z306" s="906">
        <v>119</v>
      </c>
      <c r="AA306" s="906">
        <v>120</v>
      </c>
      <c r="AB306" s="906">
        <v>120</v>
      </c>
      <c r="AC306" s="905"/>
      <c r="AD306" s="905"/>
      <c r="AE306" s="906">
        <v>122</v>
      </c>
      <c r="AF306" s="260">
        <v>121</v>
      </c>
      <c r="AG306" s="260">
        <v>121</v>
      </c>
      <c r="AH306" s="260">
        <v>122</v>
      </c>
      <c r="AI306" s="905"/>
      <c r="AJ306" s="905"/>
      <c r="AK306" s="906">
        <v>124</v>
      </c>
      <c r="AL306" s="260">
        <v>122</v>
      </c>
      <c r="AM306" s="260">
        <v>123</v>
      </c>
      <c r="AN306" s="260">
        <v>125</v>
      </c>
      <c r="AO306" s="905"/>
      <c r="AP306" s="905"/>
      <c r="AQ306" s="260">
        <v>124</v>
      </c>
      <c r="AR306" s="260">
        <v>125</v>
      </c>
      <c r="AS306" s="260">
        <v>127</v>
      </c>
      <c r="AT306" s="260">
        <v>127</v>
      </c>
      <c r="AU306" s="905"/>
      <c r="AV306" s="905"/>
      <c r="AW306" s="260">
        <v>126</v>
      </c>
      <c r="AX306" s="260">
        <v>126</v>
      </c>
      <c r="AY306" s="260">
        <v>128</v>
      </c>
      <c r="AZ306" s="260">
        <v>132</v>
      </c>
      <c r="BA306" s="905"/>
      <c r="BB306" s="905"/>
      <c r="BC306" s="261">
        <v>133</v>
      </c>
      <c r="BD306" s="261">
        <v>135</v>
      </c>
      <c r="BE306" s="905">
        <v>137</v>
      </c>
      <c r="BF306" s="905"/>
      <c r="BG306" s="905"/>
      <c r="BH306" s="905"/>
      <c r="BI306" s="261"/>
      <c r="BJ306" s="260"/>
      <c r="BK306" s="905"/>
      <c r="BL306" s="905"/>
      <c r="BM306" s="905"/>
      <c r="BN306" s="905"/>
      <c r="BO306" s="261"/>
      <c r="BP306" s="260"/>
      <c r="BQ306" s="905"/>
      <c r="BR306" s="905"/>
      <c r="BS306" s="905"/>
      <c r="BT306" s="905"/>
      <c r="BU306" s="261"/>
      <c r="BV306" s="260"/>
      <c r="BW306" s="905"/>
      <c r="BX306" s="905"/>
      <c r="BY306" s="905"/>
      <c r="BZ306" s="905"/>
      <c r="CA306" s="261"/>
      <c r="CB306" s="260"/>
      <c r="CC306" s="905"/>
      <c r="CD306" s="905"/>
      <c r="CE306" s="905"/>
      <c r="CF306" s="905"/>
      <c r="CG306" s="261"/>
      <c r="CH306" s="260"/>
      <c r="CI306" s="905"/>
      <c r="CJ306" s="905"/>
      <c r="CK306" s="905"/>
      <c r="CL306" s="905"/>
      <c r="CM306" s="261"/>
      <c r="CN306" s="260"/>
      <c r="CO306" s="905"/>
      <c r="CP306" s="905"/>
      <c r="CQ306" s="905"/>
      <c r="CR306" s="905"/>
      <c r="CS306" s="261"/>
      <c r="CT306" s="260"/>
      <c r="CU306" s="905"/>
      <c r="CV306" s="905"/>
      <c r="CW306" s="905"/>
      <c r="CX306" s="905"/>
      <c r="CY306" s="261"/>
      <c r="CZ306" s="260"/>
      <c r="DA306" s="905"/>
      <c r="DB306" s="905"/>
      <c r="DC306" s="905"/>
      <c r="DD306" s="905"/>
      <c r="DE306" s="261"/>
      <c r="DF306" s="260"/>
      <c r="DG306" s="905"/>
      <c r="DH306" s="905"/>
      <c r="DI306" s="905"/>
      <c r="DJ306" s="905"/>
      <c r="DK306" s="261"/>
      <c r="DL306" s="260"/>
      <c r="DM306" s="905"/>
      <c r="DN306" s="905"/>
      <c r="DO306" s="905"/>
      <c r="DP306" s="261"/>
    </row>
    <row r="307" spans="1:120" ht="12" hidden="1" customHeight="1" outlineLevel="1">
      <c r="A307" s="260" t="s">
        <v>395</v>
      </c>
      <c r="B307" s="260"/>
      <c r="C307" s="261"/>
      <c r="D307" s="261"/>
      <c r="E307" s="261"/>
      <c r="F307" s="261"/>
      <c r="G307" s="261"/>
      <c r="H307" s="261"/>
      <c r="I307" s="261"/>
      <c r="J307" s="261"/>
      <c r="K307" s="261"/>
      <c r="L307" s="261"/>
      <c r="M307" s="261"/>
      <c r="N307" s="260"/>
      <c r="O307" s="905"/>
      <c r="P307" s="905"/>
      <c r="Q307" s="905"/>
      <c r="R307" s="905"/>
      <c r="S307" s="261"/>
      <c r="T307" s="906">
        <f>U111</f>
        <v>464.70400000000001</v>
      </c>
      <c r="U307" s="906">
        <f>U111</f>
        <v>464.70400000000001</v>
      </c>
      <c r="V307" s="906">
        <f>V111</f>
        <v>467.23200000000003</v>
      </c>
      <c r="W307" s="261"/>
      <c r="X307" s="260"/>
      <c r="Y307" s="906">
        <f>Y111</f>
        <v>465.46800000000002</v>
      </c>
      <c r="Z307" s="906">
        <f>Z111</f>
        <v>471.89600000000002</v>
      </c>
      <c r="AA307" s="906">
        <f>AA111</f>
        <v>474.62</v>
      </c>
      <c r="AB307" s="906">
        <f>AB111</f>
        <v>483.93200000000002</v>
      </c>
      <c r="AC307" s="905"/>
      <c r="AD307" s="905"/>
      <c r="AE307" s="906">
        <f>AE111</f>
        <v>479.47199999999998</v>
      </c>
      <c r="AF307" s="906">
        <f>AF111</f>
        <v>475.3</v>
      </c>
      <c r="AG307" s="906">
        <f>AG111</f>
        <v>481.11599999999999</v>
      </c>
      <c r="AH307" s="906">
        <f>AH111</f>
        <v>485.036</v>
      </c>
      <c r="AI307" s="905"/>
      <c r="AJ307" s="905"/>
      <c r="AK307" s="906">
        <f>AK111</f>
        <v>482.54</v>
      </c>
      <c r="AL307" s="906">
        <f>AL111</f>
        <v>485.33199999999999</v>
      </c>
      <c r="AM307" s="906">
        <f>AM111</f>
        <v>488.67599999999999</v>
      </c>
      <c r="AN307" s="906">
        <f>AN111</f>
        <v>494.72</v>
      </c>
      <c r="AO307" s="905"/>
      <c r="AP307" s="905"/>
      <c r="AQ307" s="906">
        <f>AQ111</f>
        <v>497.65600000000001</v>
      </c>
      <c r="AR307" s="906">
        <f>AR111</f>
        <v>502.50400000000002</v>
      </c>
      <c r="AS307" s="906">
        <f>AS111</f>
        <v>500.53199999999998</v>
      </c>
      <c r="AT307" s="906">
        <f>AT111</f>
        <v>498.13200000000001</v>
      </c>
      <c r="AU307" s="905"/>
      <c r="AV307" s="905"/>
      <c r="AW307" s="906">
        <f>AW111</f>
        <v>501.39600000000002</v>
      </c>
      <c r="AX307" s="906">
        <f>AX111</f>
        <v>506.26400000000001</v>
      </c>
      <c r="AY307" s="906">
        <f>AY111</f>
        <v>514.38400000000001</v>
      </c>
      <c r="AZ307" s="906">
        <f>AZ111</f>
        <v>522.74800000000005</v>
      </c>
      <c r="BA307" s="905"/>
      <c r="BB307" s="905"/>
      <c r="BC307" s="906">
        <f>BC111</f>
        <v>529.00400000000002</v>
      </c>
      <c r="BD307" s="906">
        <f>BD111</f>
        <v>536.70399999999995</v>
      </c>
      <c r="BE307" s="906">
        <f>BE111</f>
        <v>548.17600000000004</v>
      </c>
      <c r="BF307" s="905"/>
      <c r="BG307" s="905"/>
      <c r="BH307" s="905"/>
      <c r="BI307" s="261"/>
      <c r="BJ307" s="260"/>
      <c r="BK307" s="905"/>
      <c r="BL307" s="905"/>
      <c r="BM307" s="905"/>
      <c r="BN307" s="905"/>
      <c r="BO307" s="261"/>
      <c r="BP307" s="260"/>
      <c r="BQ307" s="905"/>
      <c r="BR307" s="905"/>
      <c r="BS307" s="905"/>
      <c r="BT307" s="905"/>
      <c r="BU307" s="261"/>
      <c r="BV307" s="260"/>
      <c r="BW307" s="905"/>
      <c r="BX307" s="905"/>
      <c r="BY307" s="905"/>
      <c r="BZ307" s="905"/>
      <c r="CA307" s="261"/>
      <c r="CB307" s="260"/>
      <c r="CC307" s="905"/>
      <c r="CD307" s="905"/>
      <c r="CE307" s="905"/>
      <c r="CF307" s="905"/>
      <c r="CG307" s="261"/>
      <c r="CH307" s="260"/>
      <c r="CI307" s="905"/>
      <c r="CJ307" s="905"/>
      <c r="CK307" s="905"/>
      <c r="CL307" s="905"/>
      <c r="CM307" s="261"/>
      <c r="CN307" s="260"/>
      <c r="CO307" s="905"/>
      <c r="CP307" s="905"/>
      <c r="CQ307" s="905"/>
      <c r="CR307" s="905"/>
      <c r="CS307" s="261"/>
      <c r="CT307" s="260"/>
      <c r="CU307" s="905"/>
      <c r="CV307" s="905"/>
      <c r="CW307" s="905"/>
      <c r="CX307" s="905"/>
      <c r="CY307" s="261"/>
      <c r="CZ307" s="260"/>
      <c r="DA307" s="905"/>
      <c r="DB307" s="905"/>
      <c r="DC307" s="905"/>
      <c r="DD307" s="905"/>
      <c r="DE307" s="261"/>
      <c r="DF307" s="260"/>
      <c r="DG307" s="905"/>
      <c r="DH307" s="905"/>
      <c r="DI307" s="905"/>
      <c r="DJ307" s="905"/>
      <c r="DK307" s="261"/>
      <c r="DL307" s="260"/>
      <c r="DM307" s="905"/>
      <c r="DN307" s="905"/>
      <c r="DO307" s="905"/>
      <c r="DP307" s="261"/>
    </row>
    <row r="308" spans="1:120" ht="12.75" hidden="1" customHeight="1" outlineLevel="1">
      <c r="A308" s="260"/>
      <c r="B308" s="260"/>
      <c r="C308" s="261"/>
      <c r="D308" s="261"/>
      <c r="E308" s="261"/>
      <c r="F308" s="261"/>
      <c r="G308" s="261"/>
      <c r="H308" s="261"/>
      <c r="I308" s="261"/>
      <c r="J308" s="261"/>
      <c r="K308" s="261"/>
      <c r="L308" s="261"/>
      <c r="M308" s="261"/>
      <c r="N308" s="260"/>
      <c r="O308" s="905"/>
      <c r="P308" s="905"/>
      <c r="Q308" s="905"/>
      <c r="R308" s="905"/>
      <c r="S308" s="261"/>
      <c r="T308" s="906"/>
      <c r="U308" s="906"/>
      <c r="V308" s="906"/>
      <c r="W308" s="261"/>
      <c r="X308" s="260"/>
      <c r="Y308" s="906"/>
      <c r="Z308" s="906"/>
      <c r="AA308" s="906"/>
      <c r="AB308" s="906"/>
      <c r="AC308" s="905"/>
      <c r="AD308" s="905"/>
      <c r="AE308" s="906"/>
      <c r="AF308" s="906"/>
      <c r="AG308" s="906"/>
      <c r="AH308" s="906"/>
      <c r="AI308" s="905"/>
      <c r="AJ308" s="905"/>
      <c r="AK308" s="906"/>
      <c r="AL308" s="260"/>
      <c r="AM308" s="260"/>
      <c r="AN308" s="905"/>
      <c r="AO308" s="905"/>
      <c r="AP308" s="905"/>
      <c r="AQ308" s="261"/>
      <c r="AR308" s="261"/>
      <c r="AS308" s="261"/>
      <c r="AT308" s="905"/>
      <c r="AU308" s="905"/>
      <c r="AV308" s="905"/>
      <c r="AW308" s="905"/>
      <c r="AX308" s="260"/>
      <c r="AY308" s="260"/>
      <c r="AZ308" s="260"/>
      <c r="BA308" s="905"/>
      <c r="BB308" s="905"/>
      <c r="BC308" s="261"/>
      <c r="BD308" s="260"/>
      <c r="BE308" s="905"/>
      <c r="BF308" s="905"/>
      <c r="BG308" s="905"/>
      <c r="BH308" s="905"/>
      <c r="BI308" s="261"/>
      <c r="BJ308" s="260"/>
      <c r="BK308" s="905"/>
      <c r="BL308" s="905"/>
      <c r="BM308" s="905"/>
      <c r="BN308" s="905"/>
      <c r="BO308" s="261"/>
      <c r="BP308" s="260"/>
      <c r="BQ308" s="905"/>
      <c r="BR308" s="905"/>
      <c r="BS308" s="905"/>
      <c r="BT308" s="905"/>
      <c r="BU308" s="261"/>
      <c r="BV308" s="260"/>
      <c r="BW308" s="905"/>
      <c r="BX308" s="905"/>
      <c r="BY308" s="905"/>
      <c r="BZ308" s="905"/>
      <c r="CA308" s="261"/>
      <c r="CB308" s="260"/>
      <c r="CC308" s="905"/>
      <c r="CD308" s="905"/>
      <c r="CE308" s="905"/>
      <c r="CF308" s="905"/>
      <c r="CG308" s="261"/>
      <c r="CH308" s="260"/>
      <c r="CI308" s="905"/>
      <c r="CJ308" s="905"/>
      <c r="CK308" s="905"/>
      <c r="CL308" s="905"/>
      <c r="CM308" s="261"/>
      <c r="CN308" s="260"/>
      <c r="CO308" s="905"/>
      <c r="CP308" s="905"/>
      <c r="CQ308" s="905"/>
      <c r="CR308" s="905"/>
      <c r="CS308" s="261"/>
      <c r="CT308" s="260"/>
      <c r="CU308" s="905"/>
      <c r="CV308" s="905"/>
      <c r="CW308" s="905"/>
      <c r="CX308" s="905"/>
      <c r="CY308" s="261"/>
      <c r="CZ308" s="260"/>
      <c r="DA308" s="905"/>
      <c r="DB308" s="905"/>
      <c r="DC308" s="905"/>
      <c r="DD308" s="905"/>
      <c r="DE308" s="261"/>
      <c r="DF308" s="260"/>
      <c r="DG308" s="905"/>
      <c r="DH308" s="905"/>
      <c r="DI308" s="905"/>
      <c r="DJ308" s="905"/>
      <c r="DK308" s="261"/>
      <c r="DL308" s="260"/>
      <c r="DM308" s="905"/>
      <c r="DN308" s="905"/>
      <c r="DO308" s="905"/>
      <c r="DP308" s="261"/>
    </row>
    <row r="309" spans="1:120" ht="12" hidden="1" customHeight="1" outlineLevel="1">
      <c r="A309" s="904" t="s">
        <v>881</v>
      </c>
      <c r="B309" s="260"/>
      <c r="C309" s="261"/>
      <c r="D309" s="261"/>
      <c r="E309" s="261"/>
      <c r="F309" s="261"/>
      <c r="G309" s="261"/>
      <c r="H309" s="261"/>
      <c r="I309" s="261"/>
      <c r="J309" s="261"/>
      <c r="K309" s="261"/>
      <c r="L309" s="261"/>
      <c r="M309" s="261"/>
      <c r="N309" s="260"/>
      <c r="O309" s="905"/>
      <c r="P309" s="905"/>
      <c r="Q309" s="905"/>
      <c r="R309" s="905"/>
      <c r="S309" s="261"/>
      <c r="T309" s="906"/>
      <c r="U309" s="906"/>
      <c r="V309" s="906"/>
      <c r="W309" s="261"/>
      <c r="X309" s="260"/>
      <c r="Y309" s="906"/>
      <c r="Z309" s="906"/>
      <c r="AA309" s="906"/>
      <c r="AB309" s="906"/>
      <c r="AC309" s="905"/>
      <c r="AD309" s="905"/>
      <c r="AE309" s="906"/>
      <c r="AF309" s="906"/>
      <c r="AG309" s="906"/>
      <c r="AH309" s="906"/>
      <c r="AI309" s="905"/>
      <c r="AJ309" s="905"/>
      <c r="AK309" s="905"/>
      <c r="AL309" s="260"/>
      <c r="AM309" s="260"/>
      <c r="AN309" s="905"/>
      <c r="AO309" s="905"/>
      <c r="AP309" s="905"/>
      <c r="AQ309" s="261"/>
      <c r="AR309" s="261"/>
      <c r="AS309" s="261"/>
      <c r="AT309" s="905"/>
      <c r="AU309" s="905"/>
      <c r="AV309" s="905"/>
      <c r="AW309" s="905"/>
      <c r="AX309" s="260"/>
      <c r="AY309" s="260"/>
      <c r="AZ309" s="260"/>
      <c r="BA309" s="905"/>
      <c r="BB309" s="905"/>
      <c r="BC309" s="261"/>
      <c r="BD309" s="260"/>
      <c r="BE309" s="905"/>
      <c r="BF309" s="905"/>
      <c r="BG309" s="905"/>
      <c r="BH309" s="905"/>
      <c r="BI309" s="261"/>
      <c r="BJ309" s="260"/>
      <c r="BK309" s="905"/>
      <c r="BL309" s="905"/>
      <c r="BM309" s="905"/>
      <c r="BN309" s="905"/>
      <c r="BO309" s="261"/>
      <c r="BP309" s="260"/>
      <c r="BQ309" s="905"/>
      <c r="BR309" s="905"/>
      <c r="BS309" s="905"/>
      <c r="BT309" s="905"/>
      <c r="BU309" s="261"/>
      <c r="BV309" s="260"/>
      <c r="BW309" s="905"/>
      <c r="BX309" s="905"/>
      <c r="BY309" s="905"/>
      <c r="BZ309" s="905"/>
      <c r="CA309" s="261"/>
      <c r="CB309" s="260"/>
      <c r="CC309" s="905"/>
      <c r="CD309" s="905"/>
      <c r="CE309" s="905"/>
      <c r="CF309" s="905"/>
      <c r="CG309" s="261"/>
      <c r="CH309" s="260"/>
      <c r="CI309" s="905"/>
      <c r="CJ309" s="905"/>
      <c r="CK309" s="905"/>
      <c r="CL309" s="905"/>
      <c r="CM309" s="261"/>
      <c r="CN309" s="260"/>
      <c r="CO309" s="905"/>
      <c r="CP309" s="905"/>
      <c r="CQ309" s="905"/>
      <c r="CR309" s="905"/>
      <c r="CS309" s="261"/>
      <c r="CT309" s="260"/>
      <c r="CU309" s="905"/>
      <c r="CV309" s="905"/>
      <c r="CW309" s="905"/>
      <c r="CX309" s="905"/>
      <c r="CY309" s="261"/>
      <c r="CZ309" s="260"/>
      <c r="DA309" s="905"/>
      <c r="DB309" s="905"/>
      <c r="DC309" s="905"/>
      <c r="DD309" s="905"/>
      <c r="DE309" s="261"/>
      <c r="DF309" s="260"/>
      <c r="DG309" s="905"/>
      <c r="DH309" s="905"/>
      <c r="DI309" s="905"/>
      <c r="DJ309" s="905"/>
      <c r="DK309" s="261"/>
      <c r="DL309" s="260"/>
      <c r="DM309" s="905"/>
      <c r="DN309" s="905"/>
      <c r="DO309" s="905"/>
      <c r="DP309" s="261"/>
    </row>
    <row r="310" spans="1:120" ht="12" hidden="1" customHeight="1" outlineLevel="1">
      <c r="A310" s="260" t="s">
        <v>393</v>
      </c>
      <c r="B310" s="260"/>
      <c r="C310" s="261"/>
      <c r="D310" s="261"/>
      <c r="E310" s="261"/>
      <c r="F310" s="261"/>
      <c r="G310" s="261"/>
      <c r="H310" s="261"/>
      <c r="I310" s="261"/>
      <c r="J310" s="261"/>
      <c r="K310" s="261"/>
      <c r="L310" s="261"/>
      <c r="M310" s="261"/>
      <c r="N310" s="260"/>
      <c r="O310" s="905"/>
      <c r="P310" s="905"/>
      <c r="Q310" s="905"/>
      <c r="R310" s="905"/>
      <c r="S310" s="261"/>
      <c r="T310" s="906"/>
      <c r="U310" s="906"/>
      <c r="V310" s="906"/>
      <c r="W310" s="261"/>
      <c r="X310" s="260"/>
      <c r="Y310" s="906"/>
      <c r="Z310" s="906"/>
      <c r="AA310" s="906"/>
      <c r="AB310" s="906"/>
      <c r="AC310" s="905"/>
      <c r="AD310" s="905"/>
      <c r="AE310" s="906"/>
      <c r="AF310" s="906"/>
      <c r="AG310" s="906"/>
      <c r="AH310" s="906"/>
      <c r="AI310" s="905"/>
      <c r="AJ310" s="905"/>
      <c r="AK310" s="905">
        <v>11</v>
      </c>
      <c r="AL310" s="260">
        <v>13</v>
      </c>
      <c r="AM310" s="260">
        <v>14</v>
      </c>
      <c r="AN310" s="905">
        <v>16</v>
      </c>
      <c r="AO310" s="905"/>
      <c r="AP310" s="905"/>
      <c r="AQ310" s="261"/>
      <c r="AR310" s="261"/>
      <c r="AS310" s="261"/>
      <c r="AT310" s="905"/>
      <c r="AU310" s="905"/>
      <c r="AV310" s="905"/>
      <c r="AW310" s="905"/>
      <c r="AX310" s="260"/>
      <c r="AY310" s="260"/>
      <c r="AZ310" s="260"/>
      <c r="BA310" s="905"/>
      <c r="BB310" s="905"/>
      <c r="BC310" s="261"/>
      <c r="BD310" s="260"/>
      <c r="BE310" s="905"/>
      <c r="BF310" s="905"/>
      <c r="BG310" s="905"/>
      <c r="BH310" s="905"/>
      <c r="BI310" s="261"/>
      <c r="BJ310" s="260"/>
      <c r="BK310" s="905"/>
      <c r="BL310" s="905"/>
      <c r="BM310" s="905"/>
      <c r="BN310" s="905"/>
      <c r="BO310" s="261"/>
      <c r="BP310" s="260"/>
      <c r="BQ310" s="905"/>
      <c r="BR310" s="905"/>
      <c r="BS310" s="905"/>
      <c r="BT310" s="905"/>
      <c r="BU310" s="261"/>
      <c r="BV310" s="260"/>
      <c r="BW310" s="905"/>
      <c r="BX310" s="905"/>
      <c r="BY310" s="905"/>
      <c r="BZ310" s="905"/>
      <c r="CA310" s="261"/>
      <c r="CB310" s="260"/>
      <c r="CC310" s="905"/>
      <c r="CD310" s="905"/>
      <c r="CE310" s="905"/>
      <c r="CF310" s="905"/>
      <c r="CG310" s="261"/>
      <c r="CH310" s="260"/>
      <c r="CI310" s="905"/>
      <c r="CJ310" s="905"/>
      <c r="CK310" s="905"/>
      <c r="CL310" s="905"/>
      <c r="CM310" s="261"/>
      <c r="CN310" s="260"/>
      <c r="CO310" s="905"/>
      <c r="CP310" s="905"/>
      <c r="CQ310" s="905"/>
      <c r="CR310" s="905"/>
      <c r="CS310" s="261"/>
      <c r="CT310" s="260"/>
      <c r="CU310" s="905"/>
      <c r="CV310" s="905"/>
      <c r="CW310" s="905"/>
      <c r="CX310" s="905"/>
      <c r="CY310" s="261"/>
      <c r="CZ310" s="260"/>
      <c r="DA310" s="905"/>
      <c r="DB310" s="905"/>
      <c r="DC310" s="905"/>
      <c r="DD310" s="905"/>
      <c r="DE310" s="261"/>
      <c r="DF310" s="260"/>
      <c r="DG310" s="905"/>
      <c r="DH310" s="905"/>
      <c r="DI310" s="905"/>
      <c r="DJ310" s="905"/>
      <c r="DK310" s="261"/>
      <c r="DL310" s="260"/>
      <c r="DM310" s="905"/>
      <c r="DN310" s="905"/>
      <c r="DO310" s="905"/>
      <c r="DP310" s="261"/>
    </row>
    <row r="311" spans="1:120" ht="12" hidden="1" customHeight="1" outlineLevel="1">
      <c r="A311" s="260" t="s">
        <v>394</v>
      </c>
      <c r="B311" s="260"/>
      <c r="C311" s="261"/>
      <c r="D311" s="261"/>
      <c r="E311" s="261"/>
      <c r="F311" s="261"/>
      <c r="G311" s="261"/>
      <c r="H311" s="261"/>
      <c r="I311" s="261"/>
      <c r="J311" s="261"/>
      <c r="K311" s="261"/>
      <c r="L311" s="261"/>
      <c r="M311" s="261"/>
      <c r="N311" s="260"/>
      <c r="O311" s="905"/>
      <c r="P311" s="905"/>
      <c r="Q311" s="905"/>
      <c r="R311" s="905"/>
      <c r="S311" s="261"/>
      <c r="T311" s="906"/>
      <c r="U311" s="906"/>
      <c r="V311" s="906"/>
      <c r="W311" s="261"/>
      <c r="X311" s="260"/>
      <c r="Y311" s="906"/>
      <c r="Z311" s="906"/>
      <c r="AA311" s="906"/>
      <c r="AB311" s="906"/>
      <c r="AC311" s="905"/>
      <c r="AD311" s="905"/>
      <c r="AE311" s="906"/>
      <c r="AF311" s="906"/>
      <c r="AG311" s="906"/>
      <c r="AH311" s="906"/>
      <c r="AI311" s="905"/>
      <c r="AJ311" s="905"/>
      <c r="AK311" s="905">
        <v>13</v>
      </c>
      <c r="AL311" s="260">
        <v>15</v>
      </c>
      <c r="AM311" s="260">
        <v>16</v>
      </c>
      <c r="AN311" s="905">
        <v>18</v>
      </c>
      <c r="AO311" s="905"/>
      <c r="AP311" s="905"/>
      <c r="AQ311" s="261">
        <v>17</v>
      </c>
      <c r="AR311" s="261">
        <v>19</v>
      </c>
      <c r="AS311" s="261">
        <v>20</v>
      </c>
      <c r="AT311" s="261">
        <v>22</v>
      </c>
      <c r="AU311" s="905"/>
      <c r="AV311" s="905"/>
      <c r="AW311" s="261">
        <v>22</v>
      </c>
      <c r="AX311" s="260">
        <v>22</v>
      </c>
      <c r="AY311" s="260">
        <v>20</v>
      </c>
      <c r="AZ311" s="260">
        <v>26</v>
      </c>
      <c r="BA311" s="905"/>
      <c r="BB311" s="905"/>
      <c r="BC311" s="261">
        <v>26.4</v>
      </c>
      <c r="BD311" s="260">
        <v>28</v>
      </c>
      <c r="BE311" s="905">
        <v>27</v>
      </c>
      <c r="BF311" s="905"/>
      <c r="BG311" s="906"/>
      <c r="BH311" s="905"/>
      <c r="BI311" s="261"/>
      <c r="BJ311" s="260"/>
      <c r="BK311" s="905"/>
      <c r="BL311" s="905"/>
      <c r="BM311" s="906"/>
      <c r="BN311" s="905"/>
      <c r="BO311" s="261"/>
      <c r="BP311" s="260"/>
      <c r="BQ311" s="905"/>
      <c r="BR311" s="905"/>
      <c r="BS311" s="906"/>
      <c r="BT311" s="905"/>
      <c r="BU311" s="261"/>
      <c r="BV311" s="260"/>
      <c r="BW311" s="905"/>
      <c r="BX311" s="905"/>
      <c r="BY311" s="906"/>
      <c r="BZ311" s="905"/>
      <c r="CA311" s="261"/>
      <c r="CB311" s="260"/>
      <c r="CC311" s="905"/>
      <c r="CD311" s="905"/>
      <c r="CE311" s="906"/>
      <c r="CF311" s="905"/>
      <c r="CG311" s="261"/>
      <c r="CH311" s="260"/>
      <c r="CI311" s="905"/>
      <c r="CJ311" s="905"/>
      <c r="CK311" s="906"/>
      <c r="CL311" s="905"/>
      <c r="CM311" s="261"/>
      <c r="CN311" s="260"/>
      <c r="CO311" s="905"/>
      <c r="CP311" s="905"/>
      <c r="CQ311" s="906"/>
      <c r="CR311" s="905"/>
      <c r="CS311" s="261"/>
      <c r="CT311" s="260"/>
      <c r="CU311" s="905"/>
      <c r="CV311" s="905"/>
      <c r="CW311" s="906"/>
      <c r="CX311" s="905"/>
      <c r="CY311" s="261"/>
      <c r="CZ311" s="260"/>
      <c r="DA311" s="905"/>
      <c r="DB311" s="905"/>
      <c r="DC311" s="906"/>
      <c r="DD311" s="905"/>
      <c r="DE311" s="261"/>
      <c r="DF311" s="260"/>
      <c r="DG311" s="905"/>
      <c r="DH311" s="905"/>
      <c r="DI311" s="906"/>
      <c r="DJ311" s="905"/>
      <c r="DK311" s="261"/>
      <c r="DL311" s="260"/>
      <c r="DM311" s="905"/>
      <c r="DN311" s="905"/>
      <c r="DO311" s="906"/>
      <c r="DP311" s="261"/>
    </row>
    <row r="312" spans="1:120" ht="12" hidden="1" customHeight="1" outlineLevel="1">
      <c r="A312" s="260" t="s">
        <v>395</v>
      </c>
      <c r="B312" s="260"/>
      <c r="C312" s="261"/>
      <c r="D312" s="261"/>
      <c r="E312" s="261"/>
      <c r="F312" s="261"/>
      <c r="G312" s="261"/>
      <c r="H312" s="261"/>
      <c r="I312" s="261"/>
      <c r="J312" s="261"/>
      <c r="K312" s="261"/>
      <c r="L312" s="261"/>
      <c r="M312" s="261"/>
      <c r="N312" s="260"/>
      <c r="O312" s="905"/>
      <c r="P312" s="905"/>
      <c r="Q312" s="905"/>
      <c r="R312" s="905"/>
      <c r="S312" s="261"/>
      <c r="T312" s="906"/>
      <c r="U312" s="906"/>
      <c r="V312" s="906"/>
      <c r="W312" s="261"/>
      <c r="X312" s="260"/>
      <c r="Y312" s="906"/>
      <c r="Z312" s="906"/>
      <c r="AA312" s="906"/>
      <c r="AB312" s="906"/>
      <c r="AC312" s="905"/>
      <c r="AD312" s="905"/>
      <c r="AE312" s="906"/>
      <c r="AF312" s="906"/>
      <c r="AG312" s="906"/>
      <c r="AH312" s="906"/>
      <c r="AI312" s="905"/>
      <c r="AJ312" s="905"/>
      <c r="AK312" s="906">
        <f>AK56</f>
        <v>12.012</v>
      </c>
      <c r="AL312" s="906">
        <f>AL56</f>
        <v>13.430999999999999</v>
      </c>
      <c r="AM312" s="906">
        <f>AM56</f>
        <v>14.178000000000001</v>
      </c>
      <c r="AN312" s="906">
        <f>AN56</f>
        <v>15.586</v>
      </c>
      <c r="AO312" s="905"/>
      <c r="AP312" s="905"/>
      <c r="AQ312" s="906">
        <f>AQ56</f>
        <v>18.065000000000001</v>
      </c>
      <c r="AR312" s="906">
        <f>AR56</f>
        <v>18.899999999999999</v>
      </c>
      <c r="AS312" s="906">
        <f>AS56</f>
        <v>19.276</v>
      </c>
      <c r="AT312" s="906">
        <f>AT56</f>
        <v>21.140999999999998</v>
      </c>
      <c r="AU312" s="905"/>
      <c r="AV312" s="905"/>
      <c r="AW312" s="906">
        <f>AW56</f>
        <v>21.663</v>
      </c>
      <c r="AX312" s="906">
        <f>AX56</f>
        <v>20.877000000000002</v>
      </c>
      <c r="AY312" s="906">
        <f>AY56</f>
        <v>20.407</v>
      </c>
      <c r="AZ312" s="906">
        <f>AZ56</f>
        <v>25.945</v>
      </c>
      <c r="BA312" s="905"/>
      <c r="BB312" s="905"/>
      <c r="BC312" s="906">
        <f>BC56</f>
        <v>26.468000000000004</v>
      </c>
      <c r="BD312" s="906">
        <f>BD56</f>
        <v>26.615000000000002</v>
      </c>
      <c r="BE312" s="906">
        <f>BE56</f>
        <v>25.631999999999998</v>
      </c>
      <c r="BF312" s="905"/>
      <c r="BG312" s="905"/>
      <c r="BH312" s="905"/>
      <c r="BI312" s="261"/>
      <c r="BJ312" s="260"/>
      <c r="BK312" s="905"/>
      <c r="BL312" s="905"/>
      <c r="BM312" s="905"/>
      <c r="BN312" s="905"/>
      <c r="BO312" s="261"/>
      <c r="BP312" s="260"/>
      <c r="BQ312" s="905"/>
      <c r="BR312" s="905"/>
      <c r="BS312" s="905"/>
      <c r="BT312" s="905"/>
      <c r="BU312" s="261"/>
      <c r="BV312" s="260"/>
      <c r="BW312" s="905"/>
      <c r="BX312" s="905"/>
      <c r="BY312" s="905"/>
      <c r="BZ312" s="905"/>
      <c r="CA312" s="261"/>
      <c r="CB312" s="260"/>
      <c r="CC312" s="905"/>
      <c r="CD312" s="905"/>
      <c r="CE312" s="905"/>
      <c r="CF312" s="905"/>
      <c r="CG312" s="261"/>
      <c r="CH312" s="260"/>
      <c r="CI312" s="905"/>
      <c r="CJ312" s="905"/>
      <c r="CK312" s="905"/>
      <c r="CL312" s="905"/>
      <c r="CM312" s="261"/>
      <c r="CN312" s="260"/>
      <c r="CO312" s="905"/>
      <c r="CP312" s="905"/>
      <c r="CQ312" s="905"/>
      <c r="CR312" s="905"/>
      <c r="CS312" s="261"/>
      <c r="CT312" s="260"/>
      <c r="CU312" s="905"/>
      <c r="CV312" s="905"/>
      <c r="CW312" s="905"/>
      <c r="CX312" s="905"/>
      <c r="CY312" s="261"/>
      <c r="CZ312" s="260"/>
      <c r="DA312" s="905"/>
      <c r="DB312" s="905"/>
      <c r="DC312" s="905"/>
      <c r="DD312" s="905"/>
      <c r="DE312" s="261"/>
      <c r="DF312" s="260"/>
      <c r="DG312" s="905"/>
      <c r="DH312" s="905"/>
      <c r="DI312" s="905"/>
      <c r="DJ312" s="905"/>
      <c r="DK312" s="261"/>
      <c r="DL312" s="260"/>
      <c r="DM312" s="905"/>
      <c r="DN312" s="905"/>
      <c r="DO312" s="905"/>
      <c r="DP312" s="261"/>
    </row>
    <row r="313" spans="1:120" ht="12.75" hidden="1" customHeight="1" outlineLevel="1">
      <c r="A313" s="260"/>
      <c r="B313" s="260"/>
      <c r="C313" s="261"/>
      <c r="D313" s="261"/>
      <c r="E313" s="261"/>
      <c r="F313" s="261"/>
      <c r="G313" s="261"/>
      <c r="H313" s="261"/>
      <c r="I313" s="261"/>
      <c r="J313" s="261"/>
      <c r="K313" s="261"/>
      <c r="L313" s="261"/>
      <c r="M313" s="261"/>
      <c r="N313" s="260"/>
      <c r="O313" s="905"/>
      <c r="P313" s="905"/>
      <c r="Q313" s="905"/>
      <c r="R313" s="905"/>
      <c r="S313" s="261"/>
      <c r="T313" s="906"/>
      <c r="U313" s="906"/>
      <c r="V313" s="906"/>
      <c r="W313" s="261"/>
      <c r="X313" s="260"/>
      <c r="Y313" s="906"/>
      <c r="Z313" s="906"/>
      <c r="AA313" s="906"/>
      <c r="AB313" s="906"/>
      <c r="AC313" s="905"/>
      <c r="AD313" s="905"/>
      <c r="AE313" s="906"/>
      <c r="AF313" s="906"/>
      <c r="AG313" s="906"/>
      <c r="AH313" s="906"/>
      <c r="AI313" s="905"/>
      <c r="AJ313" s="905"/>
      <c r="AK313" s="906"/>
      <c r="AL313" s="260"/>
      <c r="AM313" s="260"/>
      <c r="AN313" s="905"/>
      <c r="AO313" s="905"/>
      <c r="AP313" s="905"/>
      <c r="AQ313" s="261"/>
      <c r="AR313" s="261"/>
      <c r="AS313" s="261"/>
      <c r="AT313" s="261"/>
      <c r="AU313" s="905"/>
      <c r="AV313" s="905"/>
      <c r="AW313" s="261"/>
      <c r="AX313" s="260"/>
      <c r="AY313" s="260"/>
      <c r="AZ313" s="260"/>
      <c r="BA313" s="905"/>
      <c r="BB313" s="905"/>
      <c r="BC313" s="261"/>
      <c r="BD313" s="260"/>
      <c r="BE313" s="905"/>
      <c r="BF313" s="905"/>
      <c r="BG313" s="905"/>
      <c r="BH313" s="905"/>
      <c r="BI313" s="261"/>
      <c r="BJ313" s="260"/>
      <c r="BK313" s="905"/>
      <c r="BL313" s="905"/>
      <c r="BM313" s="905"/>
      <c r="BN313" s="905"/>
      <c r="BO313" s="261"/>
      <c r="BP313" s="260"/>
      <c r="BQ313" s="905"/>
      <c r="BR313" s="905"/>
      <c r="BS313" s="905"/>
      <c r="BT313" s="905"/>
      <c r="BU313" s="261"/>
      <c r="BV313" s="260"/>
      <c r="BW313" s="905"/>
      <c r="BX313" s="905"/>
      <c r="BY313" s="905"/>
      <c r="BZ313" s="905"/>
      <c r="CA313" s="261"/>
      <c r="CB313" s="260"/>
      <c r="CC313" s="905"/>
      <c r="CD313" s="905"/>
      <c r="CE313" s="905"/>
      <c r="CF313" s="905"/>
      <c r="CG313" s="261"/>
      <c r="CH313" s="260"/>
      <c r="CI313" s="905"/>
      <c r="CJ313" s="905"/>
      <c r="CK313" s="905"/>
      <c r="CL313" s="905"/>
      <c r="CM313" s="261"/>
      <c r="CN313" s="260"/>
      <c r="CO313" s="905"/>
      <c r="CP313" s="905"/>
      <c r="CQ313" s="905"/>
      <c r="CR313" s="905"/>
      <c r="CS313" s="261"/>
      <c r="CT313" s="260"/>
      <c r="CU313" s="905"/>
      <c r="CV313" s="905"/>
      <c r="CW313" s="905"/>
      <c r="CX313" s="905"/>
      <c r="CY313" s="261"/>
      <c r="CZ313" s="260"/>
      <c r="DA313" s="905"/>
      <c r="DB313" s="905"/>
      <c r="DC313" s="905"/>
      <c r="DD313" s="905"/>
      <c r="DE313" s="261"/>
      <c r="DF313" s="260"/>
      <c r="DG313" s="905"/>
      <c r="DH313" s="905"/>
      <c r="DI313" s="905"/>
      <c r="DJ313" s="905"/>
      <c r="DK313" s="261"/>
      <c r="DL313" s="260"/>
      <c r="DM313" s="905"/>
      <c r="DN313" s="905"/>
      <c r="DO313" s="905"/>
      <c r="DP313" s="261"/>
    </row>
    <row r="314" spans="1:120" ht="12" hidden="1" customHeight="1" outlineLevel="1">
      <c r="A314" s="911" t="s">
        <v>882</v>
      </c>
      <c r="B314" s="260"/>
      <c r="C314" s="261"/>
      <c r="D314" s="261"/>
      <c r="E314" s="261"/>
      <c r="F314" s="261"/>
      <c r="G314" s="261"/>
      <c r="H314" s="261"/>
      <c r="I314" s="261"/>
      <c r="J314" s="261"/>
      <c r="K314" s="261"/>
      <c r="L314" s="261"/>
      <c r="M314" s="261"/>
      <c r="N314" s="260"/>
      <c r="O314" s="905"/>
      <c r="P314" s="905"/>
      <c r="Q314" s="905"/>
      <c r="R314" s="905"/>
      <c r="S314" s="261"/>
      <c r="T314" s="906"/>
      <c r="U314" s="906"/>
      <c r="V314" s="906"/>
      <c r="W314" s="261"/>
      <c r="X314" s="260"/>
      <c r="Y314" s="906"/>
      <c r="Z314" s="906"/>
      <c r="AA314" s="906"/>
      <c r="AB314" s="906"/>
      <c r="AC314" s="905"/>
      <c r="AD314" s="905"/>
      <c r="AE314" s="906"/>
      <c r="AF314" s="906"/>
      <c r="AG314" s="906"/>
      <c r="AH314" s="906"/>
      <c r="AI314" s="905"/>
      <c r="AJ314" s="905"/>
      <c r="AK314" s="906">
        <v>0.5</v>
      </c>
      <c r="AL314" s="260">
        <v>1.5</v>
      </c>
      <c r="AM314" s="260">
        <v>1.5</v>
      </c>
      <c r="AN314" s="260">
        <v>1.5</v>
      </c>
      <c r="AO314" s="905"/>
      <c r="AP314" s="905"/>
      <c r="AQ314" s="260">
        <v>1.3</v>
      </c>
      <c r="AR314" s="260">
        <v>1.3</v>
      </c>
      <c r="AS314" s="263">
        <v>2</v>
      </c>
      <c r="AT314" s="260">
        <v>4.2</v>
      </c>
      <c r="AU314" s="905"/>
      <c r="AV314" s="905"/>
      <c r="AW314" s="260">
        <v>2.6</v>
      </c>
      <c r="AX314" s="260">
        <v>2.2000000000000002</v>
      </c>
      <c r="AY314" s="260">
        <v>2.2000000000000002</v>
      </c>
      <c r="AZ314" s="260">
        <v>2.6</v>
      </c>
      <c r="BA314" s="905"/>
      <c r="BB314" s="905"/>
      <c r="BC314" s="263">
        <v>2.5</v>
      </c>
      <c r="BD314" s="263">
        <v>7</v>
      </c>
      <c r="BE314" s="906">
        <v>5</v>
      </c>
      <c r="BF314" s="905"/>
      <c r="BG314" s="905"/>
      <c r="BH314" s="905"/>
      <c r="BI314" s="261"/>
      <c r="BJ314" s="260"/>
      <c r="BK314" s="905"/>
      <c r="BL314" s="905"/>
      <c r="BM314" s="905"/>
      <c r="BN314" s="905"/>
      <c r="BO314" s="261"/>
      <c r="BP314" s="260"/>
      <c r="BQ314" s="905"/>
      <c r="BR314" s="905"/>
      <c r="BS314" s="905"/>
      <c r="BT314" s="905"/>
      <c r="BU314" s="261"/>
      <c r="BV314" s="260"/>
      <c r="BW314" s="905"/>
      <c r="BX314" s="905"/>
      <c r="BY314" s="905"/>
      <c r="BZ314" s="905"/>
      <c r="CA314" s="261"/>
      <c r="CB314" s="260"/>
      <c r="CC314" s="905"/>
      <c r="CD314" s="905"/>
      <c r="CE314" s="905"/>
      <c r="CF314" s="905"/>
      <c r="CG314" s="261"/>
      <c r="CH314" s="260"/>
      <c r="CI314" s="905"/>
      <c r="CJ314" s="905"/>
      <c r="CK314" s="905"/>
      <c r="CL314" s="905"/>
      <c r="CM314" s="261"/>
      <c r="CN314" s="260"/>
      <c r="CO314" s="905"/>
      <c r="CP314" s="905"/>
      <c r="CQ314" s="905"/>
      <c r="CR314" s="905"/>
      <c r="CS314" s="261"/>
      <c r="CT314" s="260"/>
      <c r="CU314" s="905"/>
      <c r="CV314" s="905"/>
      <c r="CW314" s="905"/>
      <c r="CX314" s="905"/>
      <c r="CY314" s="261"/>
      <c r="CZ314" s="260"/>
      <c r="DA314" s="905"/>
      <c r="DB314" s="905"/>
      <c r="DC314" s="905"/>
      <c r="DD314" s="905"/>
      <c r="DE314" s="261"/>
      <c r="DF314" s="260"/>
      <c r="DG314" s="905"/>
      <c r="DH314" s="905"/>
      <c r="DI314" s="905"/>
      <c r="DJ314" s="905"/>
      <c r="DK314" s="261"/>
      <c r="DL314" s="260"/>
      <c r="DM314" s="905"/>
      <c r="DN314" s="905"/>
      <c r="DO314" s="905"/>
      <c r="DP314" s="261"/>
    </row>
    <row r="315" spans="1:120" ht="12" hidden="1" customHeight="1" outlineLevel="1">
      <c r="A315" s="260" t="s">
        <v>395</v>
      </c>
      <c r="B315" s="260"/>
      <c r="C315" s="261"/>
      <c r="D315" s="261"/>
      <c r="E315" s="261"/>
      <c r="F315" s="261"/>
      <c r="G315" s="261"/>
      <c r="H315" s="261"/>
      <c r="I315" s="261"/>
      <c r="J315" s="261"/>
      <c r="K315" s="261"/>
      <c r="L315" s="261"/>
      <c r="M315" s="261"/>
      <c r="N315" s="260"/>
      <c r="O315" s="905"/>
      <c r="P315" s="905"/>
      <c r="Q315" s="905"/>
      <c r="R315" s="905"/>
      <c r="S315" s="261"/>
      <c r="T315" s="906"/>
      <c r="U315" s="906"/>
      <c r="V315" s="906"/>
      <c r="W315" s="261"/>
      <c r="X315" s="260"/>
      <c r="Y315" s="906"/>
      <c r="Z315" s="906"/>
      <c r="AA315" s="906"/>
      <c r="AB315" s="906"/>
      <c r="AC315" s="905"/>
      <c r="AD315" s="905"/>
      <c r="AE315" s="906"/>
      <c r="AF315" s="906"/>
      <c r="AG315" s="906"/>
      <c r="AH315" s="906"/>
      <c r="AI315" s="905"/>
      <c r="AJ315" s="905"/>
      <c r="AK315" s="906">
        <f>AK55</f>
        <v>0.5</v>
      </c>
      <c r="AL315" s="906">
        <f>AL55</f>
        <v>1.5</v>
      </c>
      <c r="AM315" s="906">
        <f>AM55</f>
        <v>1.5</v>
      </c>
      <c r="AN315" s="906">
        <f>AN55</f>
        <v>1.3</v>
      </c>
      <c r="AO315" s="905"/>
      <c r="AP315" s="905"/>
      <c r="AQ315" s="906">
        <f>AQ55</f>
        <v>1.3</v>
      </c>
      <c r="AR315" s="906">
        <f>AR55</f>
        <v>1.3</v>
      </c>
      <c r="AS315" s="906">
        <f>AS55</f>
        <v>2</v>
      </c>
      <c r="AT315" s="906">
        <f>AT55</f>
        <v>2.9</v>
      </c>
      <c r="AU315" s="905"/>
      <c r="AV315" s="905"/>
      <c r="AW315" s="906">
        <f>AW55</f>
        <v>2.2999999999999998</v>
      </c>
      <c r="AX315" s="906">
        <f>AX55</f>
        <v>2.2000000000000002</v>
      </c>
      <c r="AY315" s="906">
        <f>AY55</f>
        <v>2.2000000000000002</v>
      </c>
      <c r="AZ315" s="906">
        <f>AZ55</f>
        <v>2.9</v>
      </c>
      <c r="BA315" s="905"/>
      <c r="BB315" s="905"/>
      <c r="BC315" s="906">
        <f>BC55</f>
        <v>2.5</v>
      </c>
      <c r="BD315" s="906">
        <f>BD55</f>
        <v>5.1159999999999997</v>
      </c>
      <c r="BE315" s="906">
        <f>BE55</f>
        <v>5.181</v>
      </c>
      <c r="BF315" s="905"/>
      <c r="BG315" s="905"/>
      <c r="BH315" s="905"/>
      <c r="BI315" s="261"/>
      <c r="BJ315" s="260"/>
      <c r="BK315" s="905"/>
      <c r="BL315" s="905"/>
      <c r="BM315" s="905"/>
      <c r="BN315" s="905"/>
      <c r="BO315" s="261"/>
      <c r="BP315" s="260"/>
      <c r="BQ315" s="905"/>
      <c r="BR315" s="905"/>
      <c r="BS315" s="905"/>
      <c r="BT315" s="905"/>
      <c r="BU315" s="261"/>
      <c r="BV315" s="260"/>
      <c r="BW315" s="905"/>
      <c r="BX315" s="905"/>
      <c r="BY315" s="905"/>
      <c r="BZ315" s="905"/>
      <c r="CA315" s="261"/>
      <c r="CB315" s="260"/>
      <c r="CC315" s="905"/>
      <c r="CD315" s="905"/>
      <c r="CE315" s="905"/>
      <c r="CF315" s="905"/>
      <c r="CG315" s="261"/>
      <c r="CH315" s="260"/>
      <c r="CI315" s="905"/>
      <c r="CJ315" s="905"/>
      <c r="CK315" s="905"/>
      <c r="CL315" s="905"/>
      <c r="CM315" s="261"/>
      <c r="CN315" s="260"/>
      <c r="CO315" s="905"/>
      <c r="CP315" s="905"/>
      <c r="CQ315" s="905"/>
      <c r="CR315" s="905"/>
      <c r="CS315" s="261"/>
      <c r="CT315" s="260"/>
      <c r="CU315" s="905"/>
      <c r="CV315" s="905"/>
      <c r="CW315" s="905"/>
      <c r="CX315" s="905"/>
      <c r="CY315" s="261"/>
      <c r="CZ315" s="260"/>
      <c r="DA315" s="905"/>
      <c r="DB315" s="905"/>
      <c r="DC315" s="905"/>
      <c r="DD315" s="905"/>
      <c r="DE315" s="261"/>
      <c r="DF315" s="260"/>
      <c r="DG315" s="905"/>
      <c r="DH315" s="905"/>
      <c r="DI315" s="905"/>
      <c r="DJ315" s="905"/>
      <c r="DK315" s="261"/>
      <c r="DL315" s="260"/>
      <c r="DM315" s="905"/>
      <c r="DN315" s="905"/>
      <c r="DO315" s="905"/>
      <c r="DP315" s="261"/>
    </row>
    <row r="316" spans="1:120" ht="12" hidden="1" customHeight="1" outlineLevel="1">
      <c r="A316" s="260"/>
      <c r="B316" s="260"/>
      <c r="C316" s="261"/>
      <c r="D316" s="261"/>
      <c r="E316" s="261"/>
      <c r="F316" s="261"/>
      <c r="G316" s="261"/>
      <c r="H316" s="261"/>
      <c r="I316" s="261"/>
      <c r="J316" s="261"/>
      <c r="K316" s="261"/>
      <c r="L316" s="261"/>
      <c r="M316" s="261"/>
      <c r="N316" s="260"/>
      <c r="O316" s="905"/>
      <c r="P316" s="905"/>
      <c r="Q316" s="905"/>
      <c r="R316" s="905"/>
      <c r="S316" s="261"/>
      <c r="T316" s="906"/>
      <c r="U316" s="906"/>
      <c r="V316" s="906"/>
      <c r="W316" s="261"/>
      <c r="X316" s="260"/>
      <c r="Y316" s="906"/>
      <c r="Z316" s="906"/>
      <c r="AA316" s="906"/>
      <c r="AB316" s="906"/>
      <c r="AC316" s="905"/>
      <c r="AD316" s="905"/>
      <c r="AE316" s="906"/>
      <c r="AF316" s="906"/>
      <c r="AG316" s="906"/>
      <c r="AH316" s="906"/>
      <c r="AI316" s="905"/>
      <c r="AJ316" s="905"/>
      <c r="AK316" s="906"/>
      <c r="AL316" s="906"/>
      <c r="AM316" s="906"/>
      <c r="AN316" s="906"/>
      <c r="AO316" s="905"/>
      <c r="AP316" s="905"/>
      <c r="AQ316" s="906"/>
      <c r="AR316" s="906"/>
      <c r="AS316" s="906"/>
      <c r="AT316" s="906"/>
      <c r="AU316" s="905"/>
      <c r="AV316" s="905"/>
      <c r="AW316" s="906"/>
      <c r="AX316" s="260"/>
      <c r="AY316" s="260"/>
      <c r="AZ316" s="260"/>
      <c r="BA316" s="905"/>
      <c r="BB316" s="905"/>
      <c r="BC316" s="261"/>
      <c r="BD316" s="261"/>
      <c r="BE316" s="905"/>
      <c r="BF316" s="905"/>
      <c r="BG316" s="905"/>
      <c r="BH316" s="905"/>
      <c r="BI316" s="261"/>
      <c r="BJ316" s="260"/>
      <c r="BK316" s="905"/>
      <c r="BL316" s="905"/>
      <c r="BM316" s="905"/>
      <c r="BN316" s="905"/>
      <c r="BO316" s="261"/>
      <c r="BP316" s="260"/>
      <c r="BQ316" s="905"/>
      <c r="BR316" s="905"/>
      <c r="BS316" s="905"/>
      <c r="BT316" s="905"/>
      <c r="BU316" s="261"/>
      <c r="BV316" s="260"/>
      <c r="BW316" s="905"/>
      <c r="BX316" s="905"/>
      <c r="BY316" s="905"/>
      <c r="BZ316" s="905"/>
      <c r="CA316" s="261"/>
      <c r="CB316" s="260"/>
      <c r="CC316" s="905"/>
      <c r="CD316" s="905"/>
      <c r="CE316" s="905"/>
      <c r="CF316" s="905"/>
      <c r="CG316" s="261"/>
      <c r="CH316" s="260"/>
      <c r="CI316" s="905"/>
      <c r="CJ316" s="905"/>
      <c r="CK316" s="905"/>
      <c r="CL316" s="905"/>
      <c r="CM316" s="261"/>
      <c r="CN316" s="260"/>
      <c r="CO316" s="905"/>
      <c r="CP316" s="905"/>
      <c r="CQ316" s="905"/>
      <c r="CR316" s="905"/>
      <c r="CS316" s="261"/>
      <c r="CT316" s="260"/>
      <c r="CU316" s="905"/>
      <c r="CV316" s="905"/>
      <c r="CW316" s="905"/>
      <c r="CX316" s="905"/>
      <c r="CY316" s="261"/>
      <c r="CZ316" s="260"/>
      <c r="DA316" s="905"/>
      <c r="DB316" s="905"/>
      <c r="DC316" s="905"/>
      <c r="DD316" s="905"/>
      <c r="DE316" s="261"/>
      <c r="DF316" s="260"/>
      <c r="DG316" s="905"/>
      <c r="DH316" s="905"/>
      <c r="DI316" s="905"/>
      <c r="DJ316" s="905"/>
      <c r="DK316" s="261"/>
      <c r="DL316" s="260"/>
      <c r="DM316" s="905"/>
      <c r="DN316" s="905"/>
      <c r="DO316" s="905"/>
      <c r="DP316" s="261"/>
    </row>
    <row r="317" spans="1:120" ht="12" hidden="1" customHeight="1" outlineLevel="1">
      <c r="A317" s="904" t="s">
        <v>677</v>
      </c>
      <c r="B317" s="260"/>
      <c r="C317" s="261"/>
      <c r="D317" s="261"/>
      <c r="E317" s="261"/>
      <c r="F317" s="261"/>
      <c r="G317" s="261"/>
      <c r="H317" s="261"/>
      <c r="I317" s="261"/>
      <c r="J317" s="261"/>
      <c r="K317" s="261"/>
      <c r="L317" s="261"/>
      <c r="M317" s="261"/>
      <c r="N317" s="260"/>
      <c r="O317" s="905"/>
      <c r="P317" s="905"/>
      <c r="Q317" s="905"/>
      <c r="R317" s="905"/>
      <c r="S317" s="261"/>
      <c r="T317" s="906"/>
      <c r="U317" s="906"/>
      <c r="V317" s="906"/>
      <c r="W317" s="261"/>
      <c r="X317" s="260"/>
      <c r="Y317" s="906"/>
      <c r="Z317" s="906"/>
      <c r="AA317" s="906"/>
      <c r="AB317" s="906"/>
      <c r="AC317" s="905"/>
      <c r="AD317" s="905"/>
      <c r="AE317" s="906"/>
      <c r="AF317" s="906"/>
      <c r="AG317" s="906"/>
      <c r="AH317" s="906"/>
      <c r="AI317" s="905"/>
      <c r="AJ317" s="905"/>
      <c r="AK317" s="906"/>
      <c r="AL317" s="906"/>
      <c r="AM317" s="906"/>
      <c r="AN317" s="906"/>
      <c r="AO317" s="905"/>
      <c r="AP317" s="905"/>
      <c r="AQ317" s="906"/>
      <c r="AR317" s="906"/>
      <c r="AS317" s="906"/>
      <c r="AT317" s="906"/>
      <c r="AU317" s="905"/>
      <c r="AV317" s="905"/>
      <c r="AW317" s="906"/>
      <c r="AX317" s="260"/>
      <c r="AY317" s="260"/>
      <c r="AZ317" s="260"/>
      <c r="BA317" s="905"/>
      <c r="BB317" s="905"/>
      <c r="BC317" s="263"/>
      <c r="BD317" s="263">
        <v>-6</v>
      </c>
      <c r="BE317" s="905">
        <v>-6</v>
      </c>
      <c r="BF317" s="905"/>
      <c r="BG317" s="905"/>
      <c r="BH317" s="905"/>
      <c r="BI317" s="261"/>
      <c r="BJ317" s="260"/>
      <c r="BK317" s="905"/>
      <c r="BL317" s="905"/>
      <c r="BM317" s="905"/>
      <c r="BN317" s="905"/>
      <c r="BO317" s="261"/>
      <c r="BP317" s="260"/>
      <c r="BQ317" s="905"/>
      <c r="BR317" s="905"/>
      <c r="BS317" s="905"/>
      <c r="BT317" s="905"/>
      <c r="BU317" s="261"/>
      <c r="BV317" s="260"/>
      <c r="BW317" s="905"/>
      <c r="BX317" s="905"/>
      <c r="BY317" s="905"/>
      <c r="BZ317" s="905"/>
      <c r="CA317" s="261"/>
      <c r="CB317" s="260"/>
      <c r="CC317" s="905"/>
      <c r="CD317" s="905"/>
      <c r="CE317" s="905"/>
      <c r="CF317" s="905"/>
      <c r="CG317" s="261"/>
      <c r="CH317" s="260"/>
      <c r="CI317" s="905"/>
      <c r="CJ317" s="905"/>
      <c r="CK317" s="905"/>
      <c r="CL317" s="905"/>
      <c r="CM317" s="261"/>
      <c r="CN317" s="260"/>
      <c r="CO317" s="905"/>
      <c r="CP317" s="905"/>
      <c r="CQ317" s="905"/>
      <c r="CR317" s="905"/>
      <c r="CS317" s="261"/>
      <c r="CT317" s="260"/>
      <c r="CU317" s="905"/>
      <c r="CV317" s="905"/>
      <c r="CW317" s="905"/>
      <c r="CX317" s="905"/>
      <c r="CY317" s="261"/>
      <c r="CZ317" s="260"/>
      <c r="DA317" s="905"/>
      <c r="DB317" s="905"/>
      <c r="DC317" s="905"/>
      <c r="DD317" s="905"/>
      <c r="DE317" s="261"/>
      <c r="DF317" s="260"/>
      <c r="DG317" s="905"/>
      <c r="DH317" s="905"/>
      <c r="DI317" s="905"/>
      <c r="DJ317" s="905"/>
      <c r="DK317" s="261"/>
      <c r="DL317" s="260"/>
      <c r="DM317" s="905"/>
      <c r="DN317" s="905"/>
      <c r="DO317" s="905"/>
      <c r="DP317" s="261"/>
    </row>
    <row r="318" spans="1:120" ht="12" hidden="1" customHeight="1" outlineLevel="1">
      <c r="A318" s="260" t="s">
        <v>395</v>
      </c>
      <c r="B318" s="260"/>
      <c r="C318" s="261"/>
      <c r="D318" s="261"/>
      <c r="E318" s="261"/>
      <c r="F318" s="261"/>
      <c r="G318" s="261"/>
      <c r="H318" s="261"/>
      <c r="I318" s="261"/>
      <c r="J318" s="261"/>
      <c r="K318" s="261"/>
      <c r="L318" s="261"/>
      <c r="M318" s="261"/>
      <c r="N318" s="260"/>
      <c r="O318" s="905"/>
      <c r="P318" s="905"/>
      <c r="Q318" s="905"/>
      <c r="R318" s="905"/>
      <c r="S318" s="261"/>
      <c r="T318" s="906"/>
      <c r="U318" s="906"/>
      <c r="V318" s="906"/>
      <c r="W318" s="261"/>
      <c r="X318" s="260"/>
      <c r="Y318" s="906"/>
      <c r="Z318" s="906"/>
      <c r="AA318" s="906"/>
      <c r="AB318" s="906"/>
      <c r="AC318" s="905"/>
      <c r="AD318" s="905"/>
      <c r="AE318" s="906"/>
      <c r="AF318" s="906"/>
      <c r="AG318" s="906"/>
      <c r="AH318" s="906"/>
      <c r="AI318" s="905"/>
      <c r="AJ318" s="905"/>
      <c r="AK318" s="906"/>
      <c r="AL318" s="906"/>
      <c r="AM318" s="906"/>
      <c r="AN318" s="906"/>
      <c r="AO318" s="905"/>
      <c r="AP318" s="905"/>
      <c r="AQ318" s="906"/>
      <c r="AR318" s="906"/>
      <c r="AS318" s="906"/>
      <c r="AT318" s="906"/>
      <c r="AU318" s="905"/>
      <c r="AV318" s="905"/>
      <c r="AW318" s="906"/>
      <c r="AX318" s="906"/>
      <c r="AY318" s="906"/>
      <c r="AZ318" s="906"/>
      <c r="BA318" s="905"/>
      <c r="BB318" s="905"/>
      <c r="BC318" s="906"/>
      <c r="BD318" s="906">
        <f>BD74</f>
        <v>-5.5330000000000004</v>
      </c>
      <c r="BE318" s="906">
        <f>BE74</f>
        <v>-5.665</v>
      </c>
      <c r="BF318" s="905"/>
      <c r="BG318" s="905"/>
      <c r="BH318" s="905"/>
      <c r="BI318" s="261"/>
      <c r="BJ318" s="260"/>
      <c r="BK318" s="905"/>
      <c r="BL318" s="905"/>
      <c r="BM318" s="905"/>
      <c r="BN318" s="905"/>
      <c r="BO318" s="261"/>
      <c r="BP318" s="260"/>
      <c r="BQ318" s="905"/>
      <c r="BR318" s="905"/>
      <c r="BS318" s="905"/>
      <c r="BT318" s="905"/>
      <c r="BU318" s="261"/>
      <c r="BV318" s="260"/>
      <c r="BW318" s="905"/>
      <c r="BX318" s="905"/>
      <c r="BY318" s="905"/>
      <c r="BZ318" s="905"/>
      <c r="CA318" s="261"/>
      <c r="CB318" s="260"/>
      <c r="CC318" s="905"/>
      <c r="CD318" s="905"/>
      <c r="CE318" s="905"/>
      <c r="CF318" s="905"/>
      <c r="CG318" s="261"/>
      <c r="CH318" s="260"/>
      <c r="CI318" s="905"/>
      <c r="CJ318" s="905"/>
      <c r="CK318" s="905"/>
      <c r="CL318" s="905"/>
      <c r="CM318" s="261"/>
      <c r="CN318" s="260"/>
      <c r="CO318" s="905"/>
      <c r="CP318" s="905"/>
      <c r="CQ318" s="905"/>
      <c r="CR318" s="905"/>
      <c r="CS318" s="261"/>
      <c r="CT318" s="260"/>
      <c r="CU318" s="905"/>
      <c r="CV318" s="905"/>
      <c r="CW318" s="905"/>
      <c r="CX318" s="905"/>
      <c r="CY318" s="261"/>
      <c r="CZ318" s="260"/>
      <c r="DA318" s="905"/>
      <c r="DB318" s="905"/>
      <c r="DC318" s="905"/>
      <c r="DD318" s="905"/>
      <c r="DE318" s="261"/>
      <c r="DF318" s="260"/>
      <c r="DG318" s="905"/>
      <c r="DH318" s="905"/>
      <c r="DI318" s="905"/>
      <c r="DJ318" s="905"/>
      <c r="DK318" s="261"/>
      <c r="DL318" s="260"/>
      <c r="DM318" s="905"/>
      <c r="DN318" s="905"/>
      <c r="DO318" s="905"/>
      <c r="DP318" s="261"/>
    </row>
    <row r="319" spans="1:120" ht="12" hidden="1" customHeight="1" outlineLevel="1">
      <c r="A319" s="260"/>
      <c r="B319" s="260"/>
      <c r="C319" s="261"/>
      <c r="D319" s="261"/>
      <c r="E319" s="261"/>
      <c r="F319" s="261"/>
      <c r="G319" s="261"/>
      <c r="H319" s="261"/>
      <c r="I319" s="261"/>
      <c r="J319" s="261"/>
      <c r="K319" s="261"/>
      <c r="L319" s="261"/>
      <c r="M319" s="261"/>
      <c r="N319" s="260"/>
      <c r="O319" s="905"/>
      <c r="P319" s="905"/>
      <c r="Q319" s="905"/>
      <c r="R319" s="905"/>
      <c r="S319" s="261"/>
      <c r="T319" s="906"/>
      <c r="U319" s="906"/>
      <c r="V319" s="906"/>
      <c r="W319" s="261"/>
      <c r="X319" s="260"/>
      <c r="Y319" s="906"/>
      <c r="Z319" s="906"/>
      <c r="AA319" s="906"/>
      <c r="AB319" s="906"/>
      <c r="AC319" s="905"/>
      <c r="AD319" s="905"/>
      <c r="AE319" s="906"/>
      <c r="AF319" s="906"/>
      <c r="AG319" s="906"/>
      <c r="AH319" s="906"/>
      <c r="AI319" s="905"/>
      <c r="AJ319" s="905"/>
      <c r="AK319" s="906"/>
      <c r="AL319" s="906"/>
      <c r="AM319" s="906"/>
      <c r="AN319" s="906"/>
      <c r="AO319" s="905"/>
      <c r="AP319" s="905"/>
      <c r="AQ319" s="906"/>
      <c r="AR319" s="906"/>
      <c r="AS319" s="906"/>
      <c r="AT319" s="906"/>
      <c r="AU319" s="905"/>
      <c r="AV319" s="905"/>
      <c r="AW319" s="906"/>
      <c r="AX319" s="260"/>
      <c r="AY319" s="260"/>
      <c r="AZ319" s="260"/>
      <c r="BA319" s="905"/>
      <c r="BB319" s="905"/>
      <c r="BC319" s="261"/>
      <c r="BD319" s="261"/>
      <c r="BE319" s="905"/>
      <c r="BF319" s="905"/>
      <c r="BG319" s="905"/>
      <c r="BH319" s="905"/>
      <c r="BI319" s="261"/>
      <c r="BJ319" s="260"/>
      <c r="BK319" s="905"/>
      <c r="BL319" s="905"/>
      <c r="BM319" s="905"/>
      <c r="BN319" s="905"/>
      <c r="BO319" s="261"/>
      <c r="BP319" s="260"/>
      <c r="BQ319" s="905"/>
      <c r="BR319" s="905"/>
      <c r="BS319" s="905"/>
      <c r="BT319" s="905"/>
      <c r="BU319" s="261"/>
      <c r="BV319" s="260"/>
      <c r="BW319" s="905"/>
      <c r="BX319" s="905"/>
      <c r="BY319" s="905"/>
      <c r="BZ319" s="905"/>
      <c r="CA319" s="261"/>
      <c r="CB319" s="260"/>
      <c r="CC319" s="905"/>
      <c r="CD319" s="905"/>
      <c r="CE319" s="905"/>
      <c r="CF319" s="905"/>
      <c r="CG319" s="261"/>
      <c r="CH319" s="260"/>
      <c r="CI319" s="905"/>
      <c r="CJ319" s="905"/>
      <c r="CK319" s="905"/>
      <c r="CL319" s="905"/>
      <c r="CM319" s="261"/>
      <c r="CN319" s="260"/>
      <c r="CO319" s="905"/>
      <c r="CP319" s="905"/>
      <c r="CQ319" s="905"/>
      <c r="CR319" s="905"/>
      <c r="CS319" s="261"/>
      <c r="CT319" s="260"/>
      <c r="CU319" s="905"/>
      <c r="CV319" s="905"/>
      <c r="CW319" s="905"/>
      <c r="CX319" s="905"/>
      <c r="CY319" s="261"/>
      <c r="CZ319" s="260"/>
      <c r="DA319" s="905"/>
      <c r="DB319" s="905"/>
      <c r="DC319" s="905"/>
      <c r="DD319" s="905"/>
      <c r="DE319" s="261"/>
      <c r="DF319" s="260"/>
      <c r="DG319" s="905"/>
      <c r="DH319" s="905"/>
      <c r="DI319" s="905"/>
      <c r="DJ319" s="905"/>
      <c r="DK319" s="261"/>
      <c r="DL319" s="260"/>
      <c r="DM319" s="905"/>
      <c r="DN319" s="905"/>
      <c r="DO319" s="905"/>
      <c r="DP319" s="261"/>
    </row>
    <row r="320" spans="1:120" ht="12" hidden="1" customHeight="1" outlineLevel="1">
      <c r="A320" s="904" t="s">
        <v>805</v>
      </c>
      <c r="B320" s="260"/>
      <c r="C320" s="261"/>
      <c r="D320" s="261"/>
      <c r="E320" s="261"/>
      <c r="F320" s="261"/>
      <c r="G320" s="261"/>
      <c r="H320" s="261"/>
      <c r="I320" s="261"/>
      <c r="J320" s="261"/>
      <c r="K320" s="261"/>
      <c r="L320" s="261"/>
      <c r="M320" s="261"/>
      <c r="N320" s="260"/>
      <c r="O320" s="905"/>
      <c r="P320" s="905"/>
      <c r="Q320" s="905"/>
      <c r="R320" s="905"/>
      <c r="S320" s="261"/>
      <c r="T320" s="906"/>
      <c r="U320" s="906"/>
      <c r="V320" s="906"/>
      <c r="W320" s="261"/>
      <c r="X320" s="260"/>
      <c r="Y320" s="906"/>
      <c r="Z320" s="906"/>
      <c r="AA320" s="906"/>
      <c r="AB320" s="906"/>
      <c r="AC320" s="905"/>
      <c r="AD320" s="905"/>
      <c r="AE320" s="906"/>
      <c r="AF320" s="906"/>
      <c r="AG320" s="906"/>
      <c r="AH320" s="906"/>
      <c r="AI320" s="905"/>
      <c r="AJ320" s="905"/>
      <c r="AK320" s="906"/>
      <c r="AL320" s="906"/>
      <c r="AM320" s="906"/>
      <c r="AN320" s="906"/>
      <c r="AO320" s="905"/>
      <c r="AP320" s="905"/>
      <c r="AQ320" s="906"/>
      <c r="AR320" s="906"/>
      <c r="AS320" s="906"/>
      <c r="AT320" s="906"/>
      <c r="AU320" s="905"/>
      <c r="AV320" s="905"/>
      <c r="AW320" s="906">
        <v>-0.2</v>
      </c>
      <c r="AX320" s="260">
        <v>-0.5</v>
      </c>
      <c r="AY320" s="260">
        <v>-0.6</v>
      </c>
      <c r="AZ320" s="260">
        <v>-1.5</v>
      </c>
      <c r="BA320" s="905"/>
      <c r="BB320" s="905"/>
      <c r="BC320" s="263">
        <v>-2</v>
      </c>
      <c r="BD320" s="263">
        <v>-2</v>
      </c>
      <c r="BE320" s="905"/>
      <c r="BF320" s="905"/>
      <c r="BG320" s="905"/>
      <c r="BH320" s="905"/>
      <c r="BI320" s="261"/>
      <c r="BJ320" s="260"/>
      <c r="BK320" s="905"/>
      <c r="BL320" s="905"/>
      <c r="BM320" s="905"/>
      <c r="BN320" s="905"/>
      <c r="BO320" s="261"/>
      <c r="BP320" s="260"/>
      <c r="BQ320" s="905"/>
      <c r="BR320" s="905"/>
      <c r="BS320" s="905"/>
      <c r="BT320" s="905"/>
      <c r="BU320" s="261"/>
      <c r="BV320" s="260"/>
      <c r="BW320" s="905"/>
      <c r="BX320" s="905"/>
      <c r="BY320" s="905"/>
      <c r="BZ320" s="905"/>
      <c r="CA320" s="261"/>
      <c r="CB320" s="260"/>
      <c r="CC320" s="905"/>
      <c r="CD320" s="905"/>
      <c r="CE320" s="905"/>
      <c r="CF320" s="905"/>
      <c r="CG320" s="261"/>
      <c r="CH320" s="260"/>
      <c r="CI320" s="905"/>
      <c r="CJ320" s="905"/>
      <c r="CK320" s="905"/>
      <c r="CL320" s="905"/>
      <c r="CM320" s="261"/>
      <c r="CN320" s="260"/>
      <c r="CO320" s="905"/>
      <c r="CP320" s="905"/>
      <c r="CQ320" s="905"/>
      <c r="CR320" s="905"/>
      <c r="CS320" s="261"/>
      <c r="CT320" s="260"/>
      <c r="CU320" s="905"/>
      <c r="CV320" s="905"/>
      <c r="CW320" s="905"/>
      <c r="CX320" s="905"/>
      <c r="CY320" s="261"/>
      <c r="CZ320" s="260"/>
      <c r="DA320" s="905"/>
      <c r="DB320" s="905"/>
      <c r="DC320" s="905"/>
      <c r="DD320" s="905"/>
      <c r="DE320" s="261"/>
      <c r="DF320" s="260"/>
      <c r="DG320" s="905"/>
      <c r="DH320" s="905"/>
      <c r="DI320" s="905"/>
      <c r="DJ320" s="905"/>
      <c r="DK320" s="261"/>
      <c r="DL320" s="260"/>
      <c r="DM320" s="905"/>
      <c r="DN320" s="905"/>
      <c r="DO320" s="905"/>
      <c r="DP320" s="261"/>
    </row>
    <row r="321" spans="1:120" ht="12" hidden="1" customHeight="1" outlineLevel="1">
      <c r="A321" s="260" t="s">
        <v>395</v>
      </c>
      <c r="B321" s="260"/>
      <c r="C321" s="261"/>
      <c r="D321" s="261"/>
      <c r="E321" s="261"/>
      <c r="F321" s="261"/>
      <c r="G321" s="261"/>
      <c r="H321" s="261"/>
      <c r="I321" s="261"/>
      <c r="J321" s="261"/>
      <c r="K321" s="261"/>
      <c r="L321" s="261"/>
      <c r="M321" s="261"/>
      <c r="N321" s="260"/>
      <c r="O321" s="905"/>
      <c r="P321" s="905"/>
      <c r="Q321" s="905"/>
      <c r="R321" s="905"/>
      <c r="S321" s="261"/>
      <c r="T321" s="906"/>
      <c r="U321" s="906"/>
      <c r="V321" s="906"/>
      <c r="W321" s="261"/>
      <c r="X321" s="260"/>
      <c r="Y321" s="906"/>
      <c r="Z321" s="906"/>
      <c r="AA321" s="906"/>
      <c r="AB321" s="906"/>
      <c r="AC321" s="905"/>
      <c r="AD321" s="905"/>
      <c r="AE321" s="906"/>
      <c r="AF321" s="906"/>
      <c r="AG321" s="906"/>
      <c r="AH321" s="906"/>
      <c r="AI321" s="905"/>
      <c r="AJ321" s="905"/>
      <c r="AK321" s="906"/>
      <c r="AL321" s="906"/>
      <c r="AM321" s="906"/>
      <c r="AN321" s="906"/>
      <c r="AO321" s="905"/>
      <c r="AP321" s="905"/>
      <c r="AQ321" s="906"/>
      <c r="AR321" s="906"/>
      <c r="AS321" s="906"/>
      <c r="AT321" s="906"/>
      <c r="AU321" s="905"/>
      <c r="AV321" s="905"/>
      <c r="AW321" s="906">
        <f>AW82</f>
        <v>-0.55700000000000005</v>
      </c>
      <c r="AX321" s="906">
        <f>AX82</f>
        <v>-0.64300000000000002</v>
      </c>
      <c r="AY321" s="906">
        <f>AY82</f>
        <v>-0.752</v>
      </c>
      <c r="AZ321" s="906">
        <f>AZ82</f>
        <v>-2.0209999999999999</v>
      </c>
      <c r="BA321" s="905"/>
      <c r="BB321" s="905"/>
      <c r="BC321" s="906">
        <f>BC82</f>
        <v>-2.1309999999999998</v>
      </c>
      <c r="BD321" s="906">
        <f>BD82</f>
        <v>-1.839</v>
      </c>
      <c r="BE321" s="905"/>
      <c r="BF321" s="905"/>
      <c r="BG321" s="905"/>
      <c r="BH321" s="905"/>
      <c r="BI321" s="261"/>
      <c r="BJ321" s="260"/>
      <c r="BK321" s="905"/>
      <c r="BL321" s="905"/>
      <c r="BM321" s="905"/>
      <c r="BN321" s="905"/>
      <c r="BO321" s="261"/>
      <c r="BP321" s="260"/>
      <c r="BQ321" s="905"/>
      <c r="BR321" s="905"/>
      <c r="BS321" s="905"/>
      <c r="BT321" s="905"/>
      <c r="BU321" s="261"/>
      <c r="BV321" s="260"/>
      <c r="BW321" s="905"/>
      <c r="BX321" s="905"/>
      <c r="BY321" s="905"/>
      <c r="BZ321" s="905"/>
      <c r="CA321" s="261"/>
      <c r="CB321" s="260"/>
      <c r="CC321" s="905"/>
      <c r="CD321" s="905"/>
      <c r="CE321" s="905"/>
      <c r="CF321" s="905"/>
      <c r="CG321" s="261"/>
      <c r="CH321" s="260"/>
      <c r="CI321" s="905"/>
      <c r="CJ321" s="905"/>
      <c r="CK321" s="905"/>
      <c r="CL321" s="905"/>
      <c r="CM321" s="261"/>
      <c r="CN321" s="260"/>
      <c r="CO321" s="905"/>
      <c r="CP321" s="905"/>
      <c r="CQ321" s="905"/>
      <c r="CR321" s="905"/>
      <c r="CS321" s="261"/>
      <c r="CT321" s="260"/>
      <c r="CU321" s="905"/>
      <c r="CV321" s="905"/>
      <c r="CW321" s="905"/>
      <c r="CX321" s="905"/>
      <c r="CY321" s="261"/>
      <c r="CZ321" s="260"/>
      <c r="DA321" s="905"/>
      <c r="DB321" s="905"/>
      <c r="DC321" s="905"/>
      <c r="DD321" s="905"/>
      <c r="DE321" s="261"/>
      <c r="DF321" s="260"/>
      <c r="DG321" s="905"/>
      <c r="DH321" s="905"/>
      <c r="DI321" s="905"/>
      <c r="DJ321" s="905"/>
      <c r="DK321" s="261"/>
      <c r="DL321" s="260"/>
      <c r="DM321" s="905"/>
      <c r="DN321" s="905"/>
      <c r="DO321" s="905"/>
      <c r="DP321" s="261"/>
    </row>
    <row r="322" spans="1:120" ht="12.75" hidden="1" customHeight="1" outlineLevel="1">
      <c r="A322" s="260"/>
      <c r="B322" s="260"/>
      <c r="C322" s="261"/>
      <c r="D322" s="261"/>
      <c r="E322" s="261"/>
      <c r="F322" s="261"/>
      <c r="G322" s="261"/>
      <c r="H322" s="261"/>
      <c r="I322" s="261"/>
      <c r="J322" s="261"/>
      <c r="K322" s="261"/>
      <c r="L322" s="261"/>
      <c r="M322" s="261"/>
      <c r="N322" s="260"/>
      <c r="O322" s="905"/>
      <c r="P322" s="905"/>
      <c r="Q322" s="905"/>
      <c r="R322" s="905"/>
      <c r="S322" s="261"/>
      <c r="T322" s="260"/>
      <c r="U322" s="905"/>
      <c r="V322" s="905"/>
      <c r="W322" s="905"/>
      <c r="X322" s="905"/>
      <c r="Y322" s="261"/>
      <c r="Z322" s="260"/>
      <c r="AA322" s="905"/>
      <c r="AB322" s="905"/>
      <c r="AC322" s="905"/>
      <c r="AD322" s="905"/>
      <c r="AE322" s="261"/>
      <c r="AF322" s="260"/>
      <c r="AG322" s="905"/>
      <c r="AH322" s="905"/>
      <c r="AI322" s="905"/>
      <c r="AJ322" s="905"/>
      <c r="AK322" s="261"/>
      <c r="AL322" s="260"/>
      <c r="AM322" s="260"/>
      <c r="AN322" s="905"/>
      <c r="AO322" s="905"/>
      <c r="AP322" s="905"/>
      <c r="AQ322" s="261"/>
      <c r="AR322" s="260"/>
      <c r="AS322" s="260"/>
      <c r="AT322" s="905"/>
      <c r="AU322" s="905"/>
      <c r="AV322" s="905"/>
      <c r="AW322" s="905"/>
      <c r="AX322" s="260"/>
      <c r="AY322" s="260"/>
      <c r="AZ322" s="260"/>
      <c r="BA322" s="905"/>
      <c r="BB322" s="905"/>
      <c r="BC322" s="261"/>
      <c r="BD322" s="260"/>
      <c r="BE322" s="905"/>
      <c r="BF322" s="905"/>
      <c r="BG322" s="905"/>
      <c r="BH322" s="905"/>
      <c r="BI322" s="261"/>
      <c r="BJ322" s="260"/>
      <c r="BK322" s="905"/>
      <c r="BL322" s="905"/>
      <c r="BM322" s="905"/>
      <c r="BN322" s="905"/>
      <c r="BO322" s="261"/>
      <c r="BP322" s="260"/>
      <c r="BQ322" s="905"/>
      <c r="BR322" s="905"/>
      <c r="BS322" s="905"/>
      <c r="BT322" s="905"/>
      <c r="BU322" s="261"/>
      <c r="BV322" s="260"/>
      <c r="BW322" s="905"/>
      <c r="BX322" s="905"/>
      <c r="BY322" s="905"/>
      <c r="BZ322" s="905"/>
      <c r="CA322" s="261"/>
      <c r="CB322" s="260"/>
      <c r="CC322" s="905"/>
      <c r="CD322" s="905"/>
      <c r="CE322" s="905"/>
      <c r="CF322" s="905"/>
      <c r="CG322" s="261"/>
      <c r="CH322" s="260"/>
      <c r="CI322" s="905"/>
      <c r="CJ322" s="905"/>
      <c r="CK322" s="905"/>
      <c r="CL322" s="905"/>
      <c r="CM322" s="261"/>
      <c r="CN322" s="260"/>
      <c r="CO322" s="905"/>
      <c r="CP322" s="905"/>
      <c r="CQ322" s="905"/>
      <c r="CR322" s="905"/>
      <c r="CS322" s="261"/>
      <c r="CT322" s="260"/>
      <c r="CU322" s="905"/>
      <c r="CV322" s="905"/>
      <c r="CW322" s="905"/>
      <c r="CX322" s="905"/>
      <c r="CY322" s="261"/>
      <c r="CZ322" s="260"/>
      <c r="DA322" s="905"/>
      <c r="DB322" s="905"/>
      <c r="DC322" s="905"/>
      <c r="DD322" s="905"/>
      <c r="DE322" s="261"/>
      <c r="DF322" s="260"/>
      <c r="DG322" s="905"/>
      <c r="DH322" s="905"/>
      <c r="DI322" s="905"/>
      <c r="DJ322" s="905"/>
      <c r="DK322" s="261"/>
      <c r="DL322" s="260"/>
      <c r="DM322" s="905"/>
      <c r="DN322" s="905"/>
      <c r="DO322" s="905"/>
      <c r="DP322" s="261"/>
    </row>
    <row r="323" spans="1:120" ht="15.75" hidden="1" customHeight="1" outlineLevel="2">
      <c r="A323" s="900" t="s">
        <v>853</v>
      </c>
      <c r="B323" s="901"/>
      <c r="C323" s="902"/>
      <c r="D323" s="902"/>
      <c r="E323" s="902"/>
      <c r="F323" s="902"/>
      <c r="G323" s="902"/>
      <c r="H323" s="902"/>
      <c r="I323" s="902"/>
      <c r="J323" s="902"/>
      <c r="K323" s="902"/>
      <c r="L323" s="902"/>
      <c r="M323" s="902"/>
      <c r="N323" s="901"/>
      <c r="O323" s="903"/>
      <c r="P323" s="903"/>
      <c r="Q323" s="903"/>
      <c r="R323" s="903"/>
      <c r="S323" s="902"/>
      <c r="T323" s="901"/>
      <c r="U323" s="903"/>
      <c r="V323" s="903"/>
      <c r="W323" s="903"/>
      <c r="X323" s="903"/>
      <c r="Y323" s="902"/>
      <c r="Z323" s="901"/>
      <c r="AA323" s="903"/>
      <c r="AB323" s="903"/>
      <c r="AC323" s="903"/>
      <c r="AD323" s="903"/>
      <c r="AE323" s="902"/>
      <c r="AF323" s="901"/>
      <c r="AG323" s="903"/>
      <c r="AH323" s="903"/>
      <c r="AI323" s="903"/>
      <c r="AJ323" s="903"/>
      <c r="AK323" s="902"/>
      <c r="AL323" s="901"/>
      <c r="AM323" s="901"/>
      <c r="AN323" s="903"/>
      <c r="AO323" s="903"/>
      <c r="AP323" s="903"/>
      <c r="AQ323" s="902"/>
      <c r="AR323" s="901"/>
      <c r="AS323" s="901"/>
      <c r="AT323" s="903"/>
      <c r="AU323" s="903"/>
      <c r="AV323" s="903"/>
      <c r="AW323" s="903"/>
      <c r="AX323" s="901"/>
      <c r="AY323" s="901"/>
      <c r="AZ323" s="901"/>
      <c r="BA323" s="903"/>
      <c r="BB323" s="903"/>
      <c r="BC323" s="902"/>
      <c r="BD323" s="901"/>
      <c r="BE323" s="903"/>
      <c r="BF323" s="903"/>
      <c r="BG323" s="903"/>
      <c r="BH323" s="903"/>
      <c r="BI323" s="902"/>
      <c r="BJ323" s="901"/>
      <c r="BK323" s="903"/>
      <c r="BL323" s="903"/>
      <c r="BM323" s="903"/>
      <c r="BN323" s="903"/>
      <c r="BO323" s="902"/>
      <c r="BP323" s="901"/>
      <c r="BQ323" s="903"/>
      <c r="BR323" s="903"/>
      <c r="BS323" s="903"/>
      <c r="BT323" s="903"/>
      <c r="BU323" s="902"/>
      <c r="BV323" s="901"/>
      <c r="BW323" s="903"/>
      <c r="BX323" s="903"/>
      <c r="BY323" s="903"/>
      <c r="BZ323" s="903"/>
      <c r="CA323" s="902"/>
      <c r="CB323" s="901"/>
      <c r="CC323" s="903"/>
      <c r="CD323" s="903"/>
      <c r="CE323" s="903"/>
      <c r="CF323" s="903"/>
      <c r="CG323" s="902"/>
      <c r="CH323" s="901"/>
      <c r="CI323" s="903"/>
      <c r="CJ323" s="903"/>
      <c r="CK323" s="903"/>
      <c r="CL323" s="903"/>
      <c r="CM323" s="902"/>
      <c r="CN323" s="901"/>
      <c r="CO323" s="903"/>
      <c r="CP323" s="903"/>
      <c r="CQ323" s="903"/>
      <c r="CR323" s="903"/>
      <c r="CS323" s="902"/>
      <c r="CT323" s="901"/>
      <c r="CU323" s="903"/>
      <c r="CV323" s="903"/>
      <c r="CW323" s="903"/>
      <c r="CX323" s="903"/>
      <c r="CY323" s="902"/>
      <c r="CZ323" s="901"/>
      <c r="DA323" s="903"/>
      <c r="DB323" s="903"/>
      <c r="DC323" s="903"/>
      <c r="DD323" s="903"/>
      <c r="DE323" s="902"/>
      <c r="DF323" s="901"/>
      <c r="DG323" s="903"/>
      <c r="DH323" s="903"/>
      <c r="DI323" s="903"/>
      <c r="DJ323" s="903"/>
      <c r="DK323" s="902"/>
      <c r="DL323" s="901"/>
      <c r="DM323" s="903"/>
      <c r="DN323" s="903"/>
      <c r="DO323" s="903"/>
      <c r="DP323" s="902"/>
    </row>
    <row r="324" spans="1:120" ht="12.75" hidden="1" customHeight="1" outlineLevel="2">
      <c r="A324" s="904" t="s">
        <v>696</v>
      </c>
      <c r="B324" s="260"/>
      <c r="C324" s="261"/>
      <c r="D324" s="261"/>
      <c r="E324" s="261"/>
      <c r="F324" s="261"/>
      <c r="G324" s="261"/>
      <c r="H324" s="261"/>
      <c r="I324" s="261"/>
      <c r="J324" s="261"/>
      <c r="K324" s="261"/>
      <c r="L324" s="261"/>
      <c r="M324" s="261"/>
      <c r="N324" s="260"/>
      <c r="O324" s="905"/>
      <c r="P324" s="905"/>
      <c r="Q324" s="905"/>
      <c r="R324" s="905"/>
      <c r="S324" s="261"/>
      <c r="T324" s="905"/>
      <c r="U324" s="905"/>
      <c r="V324" s="905"/>
      <c r="W324" s="261"/>
      <c r="X324" s="260"/>
      <c r="Y324" s="905"/>
      <c r="Z324" s="905"/>
      <c r="AA324" s="905"/>
      <c r="AB324" s="905"/>
      <c r="AC324" s="905"/>
      <c r="AD324" s="905"/>
      <c r="AE324" s="261"/>
      <c r="AF324" s="260"/>
      <c r="AG324" s="905"/>
      <c r="AH324" s="905"/>
      <c r="AI324" s="905"/>
      <c r="AJ324" s="905"/>
      <c r="AK324" s="261"/>
      <c r="AL324" s="260"/>
      <c r="AM324" s="260"/>
      <c r="AN324" s="905"/>
      <c r="AO324" s="905"/>
      <c r="AP324" s="905"/>
      <c r="AQ324" s="261"/>
      <c r="AR324" s="260"/>
      <c r="AS324" s="260"/>
      <c r="AT324" s="905"/>
      <c r="AU324" s="905"/>
      <c r="AV324" s="905"/>
      <c r="AW324" s="905"/>
      <c r="AX324" s="260"/>
      <c r="AY324" s="260"/>
      <c r="AZ324" s="260"/>
      <c r="BA324" s="905"/>
      <c r="BB324" s="905"/>
      <c r="BC324" s="261"/>
      <c r="BD324" s="260"/>
      <c r="BE324" s="905"/>
      <c r="BF324" s="905"/>
      <c r="BG324" s="905"/>
      <c r="BH324" s="905"/>
      <c r="BI324" s="261"/>
      <c r="BJ324" s="260"/>
      <c r="BK324" s="905"/>
      <c r="BL324" s="905"/>
      <c r="BM324" s="905"/>
      <c r="BN324" s="905"/>
      <c r="BO324" s="261"/>
      <c r="BP324" s="260"/>
      <c r="BQ324" s="905"/>
      <c r="BR324" s="905"/>
      <c r="BS324" s="905"/>
      <c r="BT324" s="905"/>
      <c r="BU324" s="261"/>
      <c r="BV324" s="260"/>
      <c r="BW324" s="905"/>
      <c r="BX324" s="905"/>
      <c r="BY324" s="905"/>
      <c r="BZ324" s="905"/>
      <c r="CA324" s="261"/>
      <c r="CB324" s="260"/>
      <c r="CC324" s="905"/>
      <c r="CD324" s="905"/>
      <c r="CE324" s="905"/>
      <c r="CF324" s="905"/>
      <c r="CG324" s="261"/>
      <c r="CH324" s="260"/>
      <c r="CI324" s="905"/>
      <c r="CJ324" s="905"/>
      <c r="CK324" s="905"/>
      <c r="CL324" s="905"/>
      <c r="CM324" s="261"/>
      <c r="CN324" s="260"/>
      <c r="CO324" s="905"/>
      <c r="CP324" s="905"/>
      <c r="CQ324" s="905"/>
      <c r="CR324" s="905"/>
      <c r="CS324" s="261"/>
      <c r="CT324" s="260"/>
      <c r="CU324" s="905"/>
      <c r="CV324" s="905"/>
      <c r="CW324" s="905"/>
      <c r="CX324" s="905"/>
      <c r="CY324" s="261"/>
      <c r="CZ324" s="260"/>
      <c r="DA324" s="905"/>
      <c r="DB324" s="905"/>
      <c r="DC324" s="905"/>
      <c r="DD324" s="905"/>
      <c r="DE324" s="261"/>
      <c r="DF324" s="260"/>
      <c r="DG324" s="905"/>
      <c r="DH324" s="905"/>
      <c r="DI324" s="905"/>
      <c r="DJ324" s="905"/>
      <c r="DK324" s="261"/>
      <c r="DL324" s="260"/>
      <c r="DM324" s="905"/>
      <c r="DN324" s="905"/>
      <c r="DO324" s="905"/>
      <c r="DP324" s="261"/>
    </row>
    <row r="325" spans="1:120" ht="12" hidden="1" customHeight="1" outlineLevel="2">
      <c r="A325" s="260" t="s">
        <v>393</v>
      </c>
      <c r="B325" s="260"/>
      <c r="C325" s="261"/>
      <c r="D325" s="261"/>
      <c r="E325" s="261"/>
      <c r="F325" s="261"/>
      <c r="G325" s="261"/>
      <c r="H325" s="261"/>
      <c r="I325" s="261"/>
      <c r="J325" s="261"/>
      <c r="K325" s="261"/>
      <c r="L325" s="261"/>
      <c r="M325" s="261"/>
      <c r="N325" s="260"/>
      <c r="O325" s="905"/>
      <c r="P325" s="905"/>
      <c r="Q325" s="905"/>
      <c r="R325" s="905"/>
      <c r="S325" s="261"/>
      <c r="T325" s="906">
        <v>160</v>
      </c>
      <c r="U325" s="906">
        <v>165</v>
      </c>
      <c r="V325" s="906">
        <v>172</v>
      </c>
      <c r="W325" s="261"/>
      <c r="X325" s="260"/>
      <c r="Y325" s="906">
        <v>282</v>
      </c>
      <c r="Z325" s="906">
        <v>297</v>
      </c>
      <c r="AA325" s="906">
        <v>298</v>
      </c>
      <c r="AB325" s="906">
        <v>307</v>
      </c>
      <c r="AC325" s="905"/>
      <c r="AD325" s="905"/>
      <c r="AE325" s="261">
        <v>470</v>
      </c>
      <c r="AF325" s="260">
        <v>478</v>
      </c>
      <c r="AG325" s="260">
        <v>488</v>
      </c>
      <c r="AH325" s="905">
        <v>493</v>
      </c>
      <c r="AI325" s="905"/>
      <c r="AJ325" s="905"/>
      <c r="AK325" s="261">
        <v>710</v>
      </c>
      <c r="AL325" s="260">
        <v>722</v>
      </c>
      <c r="AM325" s="260">
        <v>727</v>
      </c>
      <c r="AN325" s="905">
        <v>737</v>
      </c>
      <c r="AO325" s="905"/>
      <c r="AP325" s="905"/>
      <c r="AQ325" s="905">
        <v>1030</v>
      </c>
      <c r="AR325" s="905">
        <v>1060</v>
      </c>
      <c r="AS325" s="905">
        <v>1070</v>
      </c>
      <c r="AT325" s="905">
        <v>1071</v>
      </c>
      <c r="AU325" s="905"/>
      <c r="AV325" s="905"/>
      <c r="AW325" s="905">
        <v>1300</v>
      </c>
      <c r="AX325" s="260">
        <v>1250</v>
      </c>
      <c r="AY325" s="260">
        <v>1270</v>
      </c>
      <c r="AZ325" s="260">
        <v>1292</v>
      </c>
      <c r="BA325" s="905"/>
      <c r="BB325" s="905"/>
      <c r="BC325" s="261">
        <f>BA19*(1.16)</f>
        <v>1514.4762800000001</v>
      </c>
      <c r="BD325" s="260">
        <v>1545</v>
      </c>
      <c r="BE325" s="905">
        <v>1595</v>
      </c>
      <c r="BF325" s="905"/>
      <c r="BG325" s="905"/>
      <c r="BH325" s="905"/>
      <c r="BI325" s="261"/>
      <c r="BJ325" s="260"/>
      <c r="BK325" s="905"/>
      <c r="BL325" s="905"/>
      <c r="BM325" s="905"/>
      <c r="BN325" s="905"/>
      <c r="BO325" s="261"/>
      <c r="BP325" s="260"/>
      <c r="BQ325" s="905"/>
      <c r="BR325" s="905"/>
      <c r="BS325" s="905"/>
      <c r="BT325" s="905"/>
      <c r="BU325" s="261"/>
      <c r="BV325" s="260"/>
      <c r="BW325" s="905"/>
      <c r="BX325" s="905"/>
      <c r="BY325" s="905"/>
      <c r="BZ325" s="905"/>
      <c r="CA325" s="261"/>
      <c r="CB325" s="260"/>
      <c r="CC325" s="905"/>
      <c r="CD325" s="905"/>
      <c r="CE325" s="905"/>
      <c r="CF325" s="905"/>
      <c r="CG325" s="261"/>
      <c r="CH325" s="260"/>
      <c r="CI325" s="905"/>
      <c r="CJ325" s="905"/>
      <c r="CK325" s="905"/>
      <c r="CL325" s="905"/>
      <c r="CM325" s="261"/>
      <c r="CN325" s="260"/>
      <c r="CO325" s="905"/>
      <c r="CP325" s="905"/>
      <c r="CQ325" s="905"/>
      <c r="CR325" s="905"/>
      <c r="CS325" s="261"/>
      <c r="CT325" s="260"/>
      <c r="CU325" s="905"/>
      <c r="CV325" s="905"/>
      <c r="CW325" s="905"/>
      <c r="CX325" s="905"/>
      <c r="CY325" s="261"/>
      <c r="CZ325" s="260"/>
      <c r="DA325" s="905"/>
      <c r="DB325" s="905"/>
      <c r="DC325" s="905"/>
      <c r="DD325" s="905"/>
      <c r="DE325" s="261"/>
      <c r="DF325" s="260"/>
      <c r="DG325" s="905"/>
      <c r="DH325" s="905"/>
      <c r="DI325" s="905"/>
      <c r="DJ325" s="905"/>
      <c r="DK325" s="261"/>
      <c r="DL325" s="260"/>
      <c r="DM325" s="905"/>
      <c r="DN325" s="905"/>
      <c r="DO325" s="905"/>
      <c r="DP325" s="261"/>
    </row>
    <row r="326" spans="1:120" ht="12" hidden="1" customHeight="1" outlineLevel="2">
      <c r="A326" s="260" t="s">
        <v>394</v>
      </c>
      <c r="B326" s="260"/>
      <c r="C326" s="261"/>
      <c r="D326" s="261"/>
      <c r="E326" s="261"/>
      <c r="F326" s="261"/>
      <c r="G326" s="261"/>
      <c r="H326" s="261"/>
      <c r="I326" s="261"/>
      <c r="J326" s="261"/>
      <c r="K326" s="261"/>
      <c r="L326" s="261"/>
      <c r="M326" s="261"/>
      <c r="N326" s="260"/>
      <c r="O326" s="905"/>
      <c r="P326" s="905"/>
      <c r="Q326" s="905"/>
      <c r="R326" s="905"/>
      <c r="S326" s="261"/>
      <c r="T326" s="906">
        <v>165</v>
      </c>
      <c r="U326" s="906">
        <v>170</v>
      </c>
      <c r="V326" s="906">
        <v>174</v>
      </c>
      <c r="W326" s="261"/>
      <c r="X326" s="260"/>
      <c r="Y326" s="906">
        <v>287</v>
      </c>
      <c r="Z326" s="906">
        <v>302</v>
      </c>
      <c r="AA326" s="906">
        <v>306</v>
      </c>
      <c r="AB326" s="906">
        <v>309</v>
      </c>
      <c r="AC326" s="905"/>
      <c r="AD326" s="905"/>
      <c r="AE326" s="261">
        <v>475</v>
      </c>
      <c r="AF326" s="260">
        <v>483</v>
      </c>
      <c r="AG326" s="260">
        <v>493</v>
      </c>
      <c r="AH326" s="905">
        <v>495</v>
      </c>
      <c r="AI326" s="905"/>
      <c r="AJ326" s="905"/>
      <c r="AK326" s="261">
        <v>720</v>
      </c>
      <c r="AL326" s="260">
        <v>728</v>
      </c>
      <c r="AM326" s="260">
        <v>732</v>
      </c>
      <c r="AN326" s="905">
        <v>739</v>
      </c>
      <c r="AO326" s="905"/>
      <c r="AP326" s="905"/>
      <c r="AQ326" s="905">
        <v>1035</v>
      </c>
      <c r="AR326" s="905">
        <v>1065</v>
      </c>
      <c r="AS326" s="905">
        <v>1075</v>
      </c>
      <c r="AT326" s="905">
        <v>1072</v>
      </c>
      <c r="AU326" s="905"/>
      <c r="AV326" s="905"/>
      <c r="AW326" s="905">
        <v>1330</v>
      </c>
      <c r="AX326" s="260">
        <v>1270</v>
      </c>
      <c r="AY326" s="260">
        <v>1280</v>
      </c>
      <c r="AZ326" s="260">
        <v>1294</v>
      </c>
      <c r="BA326" s="905"/>
      <c r="BB326" s="905"/>
      <c r="BC326" s="261">
        <f>BA19*(1.17)</f>
        <v>1527.5321100000001</v>
      </c>
      <c r="BD326" s="260">
        <v>1555</v>
      </c>
      <c r="BE326" s="905">
        <v>1600</v>
      </c>
      <c r="BF326" s="905"/>
      <c r="BG326" s="905"/>
      <c r="BH326" s="905"/>
      <c r="BI326" s="261"/>
      <c r="BJ326" s="260"/>
      <c r="BK326" s="905"/>
      <c r="BL326" s="905"/>
      <c r="BM326" s="905"/>
      <c r="BN326" s="905"/>
      <c r="BO326" s="261"/>
      <c r="BP326" s="260"/>
      <c r="BQ326" s="905"/>
      <c r="BR326" s="905"/>
      <c r="BS326" s="905"/>
      <c r="BT326" s="905"/>
      <c r="BU326" s="261"/>
      <c r="BV326" s="260"/>
      <c r="BW326" s="905"/>
      <c r="BX326" s="905"/>
      <c r="BY326" s="905"/>
      <c r="BZ326" s="905"/>
      <c r="CA326" s="261"/>
      <c r="CB326" s="260"/>
      <c r="CC326" s="905"/>
      <c r="CD326" s="905"/>
      <c r="CE326" s="905"/>
      <c r="CF326" s="905"/>
      <c r="CG326" s="261"/>
      <c r="CH326" s="260"/>
      <c r="CI326" s="905"/>
      <c r="CJ326" s="905"/>
      <c r="CK326" s="905"/>
      <c r="CL326" s="905"/>
      <c r="CM326" s="261"/>
      <c r="CN326" s="260"/>
      <c r="CO326" s="905"/>
      <c r="CP326" s="905"/>
      <c r="CQ326" s="905"/>
      <c r="CR326" s="905"/>
      <c r="CS326" s="261"/>
      <c r="CT326" s="260"/>
      <c r="CU326" s="905"/>
      <c r="CV326" s="905"/>
      <c r="CW326" s="905"/>
      <c r="CX326" s="905"/>
      <c r="CY326" s="261"/>
      <c r="CZ326" s="260"/>
      <c r="DA326" s="905"/>
      <c r="DB326" s="905"/>
      <c r="DC326" s="905"/>
      <c r="DD326" s="905"/>
      <c r="DE326" s="261"/>
      <c r="DF326" s="260"/>
      <c r="DG326" s="905"/>
      <c r="DH326" s="905"/>
      <c r="DI326" s="905"/>
      <c r="DJ326" s="905"/>
      <c r="DK326" s="261"/>
      <c r="DL326" s="260"/>
      <c r="DM326" s="905"/>
      <c r="DN326" s="905"/>
      <c r="DO326" s="905"/>
      <c r="DP326" s="261"/>
    </row>
    <row r="327" spans="1:120" ht="12" hidden="1" customHeight="1" outlineLevel="2">
      <c r="A327" s="260" t="s">
        <v>395</v>
      </c>
      <c r="B327" s="260"/>
      <c r="C327" s="261"/>
      <c r="D327" s="261"/>
      <c r="E327" s="261"/>
      <c r="F327" s="261"/>
      <c r="G327" s="261"/>
      <c r="H327" s="261"/>
      <c r="I327" s="261"/>
      <c r="J327" s="261"/>
      <c r="K327" s="261"/>
      <c r="L327" s="261"/>
      <c r="M327" s="261"/>
      <c r="N327" s="260"/>
      <c r="O327" s="905"/>
      <c r="P327" s="905"/>
      <c r="Q327" s="905"/>
      <c r="R327" s="905"/>
      <c r="S327" s="261"/>
      <c r="T327" s="906">
        <f>W19</f>
        <v>176.375</v>
      </c>
      <c r="U327" s="906">
        <f>W19</f>
        <v>176.375</v>
      </c>
      <c r="V327" s="906">
        <f>W19</f>
        <v>176.375</v>
      </c>
      <c r="W327" s="261"/>
      <c r="X327" s="260"/>
      <c r="Y327" s="263">
        <f>AC19</f>
        <v>309.85700000000003</v>
      </c>
      <c r="Z327" s="263">
        <f>AC19</f>
        <v>309.85700000000003</v>
      </c>
      <c r="AA327" s="263">
        <f>$AC19</f>
        <v>309.85700000000003</v>
      </c>
      <c r="AB327" s="263">
        <f>$AC19</f>
        <v>309.85700000000003</v>
      </c>
      <c r="AC327" s="905"/>
      <c r="AD327" s="905"/>
      <c r="AE327" s="261">
        <f>$AI$19</f>
        <v>497.09799999999996</v>
      </c>
      <c r="AF327" s="261">
        <f>$AI$19</f>
        <v>497.09799999999996</v>
      </c>
      <c r="AG327" s="261">
        <f>$AI$19</f>
        <v>497.09799999999996</v>
      </c>
      <c r="AH327" s="261">
        <f>$AI$19</f>
        <v>497.09799999999996</v>
      </c>
      <c r="AI327" s="905"/>
      <c r="AJ327" s="905"/>
      <c r="AK327" s="261">
        <f>$AO$19</f>
        <v>748.69999999999993</v>
      </c>
      <c r="AL327" s="261">
        <f>$AO$19</f>
        <v>748.69999999999993</v>
      </c>
      <c r="AM327" s="261">
        <f>$AO$19</f>
        <v>748.69999999999993</v>
      </c>
      <c r="AN327" s="261">
        <f>$AO$19</f>
        <v>748.69999999999993</v>
      </c>
      <c r="AO327" s="905"/>
      <c r="AP327" s="905"/>
      <c r="AQ327" s="261">
        <f>$AU$19</f>
        <v>1076.769</v>
      </c>
      <c r="AR327" s="261">
        <f>$AU$19</f>
        <v>1076.769</v>
      </c>
      <c r="AS327" s="261">
        <f>$AU$19</f>
        <v>1076.769</v>
      </c>
      <c r="AT327" s="261">
        <f>$AU$19</f>
        <v>1076.769</v>
      </c>
      <c r="AU327" s="905"/>
      <c r="AV327" s="905"/>
      <c r="AW327" s="261">
        <f>$BA$19</f>
        <v>1305.5830000000001</v>
      </c>
      <c r="AX327" s="261">
        <f>$BA$19</f>
        <v>1305.5830000000001</v>
      </c>
      <c r="AY327" s="261">
        <f>$BA$19</f>
        <v>1305.5830000000001</v>
      </c>
      <c r="AZ327" s="261">
        <f>$BA$19</f>
        <v>1305.5830000000001</v>
      </c>
      <c r="BA327" s="905"/>
      <c r="BB327" s="905"/>
      <c r="BC327" s="261">
        <f>$BG$19</f>
        <v>1657.1389999999999</v>
      </c>
      <c r="BD327" s="261">
        <f>$BG$19</f>
        <v>1657.1389999999999</v>
      </c>
      <c r="BE327" s="261">
        <f>$BG$19</f>
        <v>1657.1389999999999</v>
      </c>
      <c r="BF327" s="905"/>
      <c r="BG327" s="905"/>
      <c r="BH327" s="905"/>
      <c r="BI327" s="261"/>
      <c r="BJ327" s="260"/>
      <c r="BK327" s="905"/>
      <c r="BL327" s="905"/>
      <c r="BM327" s="905"/>
      <c r="BN327" s="905"/>
      <c r="BO327" s="261"/>
      <c r="BP327" s="260"/>
      <c r="BQ327" s="905"/>
      <c r="BR327" s="905"/>
      <c r="BS327" s="905"/>
      <c r="BT327" s="905"/>
      <c r="BU327" s="261"/>
      <c r="BV327" s="260"/>
      <c r="BW327" s="905"/>
      <c r="BX327" s="905"/>
      <c r="BY327" s="905"/>
      <c r="BZ327" s="905"/>
      <c r="CA327" s="261"/>
      <c r="CB327" s="260"/>
      <c r="CC327" s="905"/>
      <c r="CD327" s="905"/>
      <c r="CE327" s="905"/>
      <c r="CF327" s="905"/>
      <c r="CG327" s="261"/>
      <c r="CH327" s="260"/>
      <c r="CI327" s="905"/>
      <c r="CJ327" s="905"/>
      <c r="CK327" s="905"/>
      <c r="CL327" s="905"/>
      <c r="CM327" s="261"/>
      <c r="CN327" s="260"/>
      <c r="CO327" s="905"/>
      <c r="CP327" s="905"/>
      <c r="CQ327" s="905"/>
      <c r="CR327" s="905"/>
      <c r="CS327" s="261"/>
      <c r="CT327" s="260"/>
      <c r="CU327" s="905"/>
      <c r="CV327" s="905"/>
      <c r="CW327" s="905"/>
      <c r="CX327" s="905"/>
      <c r="CY327" s="261"/>
      <c r="CZ327" s="260"/>
      <c r="DA327" s="905"/>
      <c r="DB327" s="905"/>
      <c r="DC327" s="905"/>
      <c r="DD327" s="905"/>
      <c r="DE327" s="261"/>
      <c r="DF327" s="260"/>
      <c r="DG327" s="905"/>
      <c r="DH327" s="905"/>
      <c r="DI327" s="905"/>
      <c r="DJ327" s="905"/>
      <c r="DK327" s="261"/>
      <c r="DL327" s="260"/>
      <c r="DM327" s="905"/>
      <c r="DN327" s="905"/>
      <c r="DO327" s="905"/>
      <c r="DP327" s="261"/>
    </row>
    <row r="328" spans="1:120" ht="12" hidden="1" customHeight="1" outlineLevel="2">
      <c r="A328" s="260" t="s">
        <v>947</v>
      </c>
      <c r="B328" s="260"/>
      <c r="C328" s="261"/>
      <c r="D328" s="261"/>
      <c r="E328" s="261"/>
      <c r="F328" s="261"/>
      <c r="G328" s="261"/>
      <c r="H328" s="261"/>
      <c r="I328" s="261"/>
      <c r="J328" s="261"/>
      <c r="K328" s="261"/>
      <c r="L328" s="261"/>
      <c r="M328" s="261"/>
      <c r="N328" s="260"/>
      <c r="O328" s="905"/>
      <c r="P328" s="905"/>
      <c r="Q328" s="905"/>
      <c r="R328" s="905"/>
      <c r="S328" s="261"/>
      <c r="T328" s="908">
        <f>T327/AVERAGE(T325:T326)-1</f>
        <v>8.5384615384615392E-2</v>
      </c>
      <c r="U328" s="908">
        <f>U327/AVERAGE(U325:U326)-1</f>
        <v>5.2985074626865636E-2</v>
      </c>
      <c r="V328" s="908">
        <f>V327/AVERAGE(V325:V326)-1</f>
        <v>1.9508670520231197E-2</v>
      </c>
      <c r="W328" s="261"/>
      <c r="X328" s="260"/>
      <c r="Y328" s="908">
        <f>Y327/AVERAGE(Y325:Y326)-1</f>
        <v>8.9128295254833123E-2</v>
      </c>
      <c r="Z328" s="908">
        <f>Z327/AVERAGE(Z325:Z326)-1</f>
        <v>3.4580968280467639E-2</v>
      </c>
      <c r="AA328" s="908">
        <f>AA327/AVERAGE(AA325:AA326)-1</f>
        <v>2.6016556291390769E-2</v>
      </c>
      <c r="AB328" s="908">
        <f>AB327/AVERAGE(AB325:AB326)-1</f>
        <v>6.0292207792209673E-3</v>
      </c>
      <c r="AC328" s="905"/>
      <c r="AD328" s="905"/>
      <c r="AE328" s="908">
        <f>AE327/AVERAGE(AE325:AE326)-1</f>
        <v>5.205925925925925E-2</v>
      </c>
      <c r="AF328" s="908">
        <f>AF327/AVERAGE(AF325:AF326)-1</f>
        <v>3.4543184183142506E-2</v>
      </c>
      <c r="AG328" s="908">
        <f>AG327/AVERAGE(AG325:AG326)-1</f>
        <v>1.3451580020387377E-2</v>
      </c>
      <c r="AH328" s="908">
        <f>AH327/AVERAGE(AH325:AH326)-1</f>
        <v>6.2712550607286754E-3</v>
      </c>
      <c r="AI328" s="905"/>
      <c r="AJ328" s="905"/>
      <c r="AK328" s="908">
        <f>AK327/AVERAGE(AK325:AK326)-1</f>
        <v>4.7132867132867018E-2</v>
      </c>
      <c r="AL328" s="908">
        <f>AL327/AVERAGE(AL325:AL326)-1</f>
        <v>3.2689655172413623E-2</v>
      </c>
      <c r="AM328" s="908">
        <f>AM327/AVERAGE(AM325:AM326)-1</f>
        <v>2.6319396847155563E-2</v>
      </c>
      <c r="AN328" s="908">
        <f>AN327/AVERAGE(AN325:AN326)-1</f>
        <v>1.4498644986449705E-2</v>
      </c>
      <c r="AO328" s="905"/>
      <c r="AP328" s="905"/>
      <c r="AQ328" s="908">
        <f>AQ327/AVERAGE(AQ325:AQ326)-1</f>
        <v>4.2875544794188869E-2</v>
      </c>
      <c r="AR328" s="908">
        <f>AR327/AVERAGE(AR325:AR326)-1</f>
        <v>1.3429647058823546E-2</v>
      </c>
      <c r="AS328" s="908">
        <f>AS327/AVERAGE(AS325:AS326)-1</f>
        <v>3.9804195804196141E-3</v>
      </c>
      <c r="AT328" s="908">
        <f>AT327/AVERAGE(AT325:AT326)-1</f>
        <v>4.9174055062994881E-3</v>
      </c>
      <c r="AU328" s="905"/>
      <c r="AV328" s="905"/>
      <c r="AW328" s="908">
        <f>AW327/AVERAGE(AW325:AW326)-1</f>
        <v>-7.1612167300380003E-3</v>
      </c>
      <c r="AX328" s="908">
        <f>AX327/AVERAGE(AX325:AX326)-1</f>
        <v>3.6176984126984113E-2</v>
      </c>
      <c r="AY328" s="908">
        <f>AY327/AVERAGE(AY325:AY326)-1</f>
        <v>2.3986666666666823E-2</v>
      </c>
      <c r="AZ328" s="908">
        <f>AZ327/AVERAGE(AZ325:AZ326)-1</f>
        <v>9.7316318638824839E-3</v>
      </c>
      <c r="BA328" s="905"/>
      <c r="BB328" s="905"/>
      <c r="BC328" s="908">
        <f>BC327/AVERAGE(BC325:BC326)-1</f>
        <v>8.9503240982185428E-2</v>
      </c>
      <c r="BD328" s="908">
        <f>BD327/AVERAGE(BD325:BD326)-1</f>
        <v>6.91219354838708E-2</v>
      </c>
      <c r="BE328" s="908">
        <f>BE327/AVERAGE(BE325:BE326)-1</f>
        <v>3.7332707355242523E-2</v>
      </c>
      <c r="BF328" s="905"/>
      <c r="BG328" s="905"/>
      <c r="BH328" s="905"/>
      <c r="BI328" s="261"/>
      <c r="BJ328" s="260"/>
      <c r="BK328" s="905"/>
      <c r="BL328" s="905"/>
      <c r="BM328" s="905"/>
      <c r="BN328" s="905"/>
      <c r="BO328" s="261"/>
      <c r="BP328" s="260"/>
      <c r="BQ328" s="905"/>
      <c r="BR328" s="905"/>
      <c r="BS328" s="905"/>
      <c r="BT328" s="905"/>
      <c r="BU328" s="261"/>
      <c r="BV328" s="260"/>
      <c r="BW328" s="905"/>
      <c r="BX328" s="905"/>
      <c r="BY328" s="905"/>
      <c r="BZ328" s="905"/>
      <c r="CA328" s="261"/>
      <c r="CB328" s="260"/>
      <c r="CC328" s="905"/>
      <c r="CD328" s="905"/>
      <c r="CE328" s="905"/>
      <c r="CF328" s="905"/>
      <c r="CG328" s="261"/>
      <c r="CH328" s="260"/>
      <c r="CI328" s="905"/>
      <c r="CJ328" s="905"/>
      <c r="CK328" s="905"/>
      <c r="CL328" s="905"/>
      <c r="CM328" s="261"/>
      <c r="CN328" s="260"/>
      <c r="CO328" s="905"/>
      <c r="CP328" s="905"/>
      <c r="CQ328" s="905"/>
      <c r="CR328" s="905"/>
      <c r="CS328" s="261"/>
      <c r="CT328" s="260"/>
      <c r="CU328" s="905"/>
      <c r="CV328" s="905"/>
      <c r="CW328" s="905"/>
      <c r="CX328" s="905"/>
      <c r="CY328" s="261"/>
      <c r="CZ328" s="260"/>
      <c r="DA328" s="905"/>
      <c r="DB328" s="905"/>
      <c r="DC328" s="905"/>
      <c r="DD328" s="905"/>
      <c r="DE328" s="261"/>
      <c r="DF328" s="260"/>
      <c r="DG328" s="905"/>
      <c r="DH328" s="905"/>
      <c r="DI328" s="905"/>
      <c r="DJ328" s="905"/>
      <c r="DK328" s="261"/>
      <c r="DL328" s="260"/>
      <c r="DM328" s="905"/>
      <c r="DN328" s="905"/>
      <c r="DO328" s="905"/>
      <c r="DP328" s="261"/>
    </row>
    <row r="329" spans="1:120" ht="12.75" hidden="1" customHeight="1" outlineLevel="2">
      <c r="A329" s="260"/>
      <c r="B329" s="260"/>
      <c r="C329" s="261"/>
      <c r="D329" s="261"/>
      <c r="E329" s="261"/>
      <c r="F329" s="261"/>
      <c r="G329" s="261"/>
      <c r="H329" s="261"/>
      <c r="I329" s="261"/>
      <c r="J329" s="261"/>
      <c r="K329" s="261"/>
      <c r="L329" s="261"/>
      <c r="M329" s="261"/>
      <c r="N329" s="260"/>
      <c r="O329" s="905"/>
      <c r="P329" s="905"/>
      <c r="Q329" s="905"/>
      <c r="R329" s="905"/>
      <c r="S329" s="261"/>
      <c r="T329" s="905"/>
      <c r="U329" s="905"/>
      <c r="V329" s="905"/>
      <c r="W329" s="261"/>
      <c r="X329" s="260"/>
      <c r="Y329" s="905"/>
      <c r="Z329" s="905"/>
      <c r="AA329" s="261"/>
      <c r="AB329" s="261"/>
      <c r="AC329" s="905"/>
      <c r="AD329" s="905"/>
      <c r="AE329" s="261"/>
      <c r="AF329" s="260"/>
      <c r="AG329" s="905"/>
      <c r="AH329" s="905"/>
      <c r="AI329" s="905"/>
      <c r="AJ329" s="905"/>
      <c r="AK329" s="261"/>
      <c r="AL329" s="260"/>
      <c r="AM329" s="260"/>
      <c r="AN329" s="905"/>
      <c r="AO329" s="905"/>
      <c r="AP329" s="905"/>
      <c r="AQ329" s="261"/>
      <c r="AR329" s="261"/>
      <c r="AS329" s="261"/>
      <c r="AT329" s="905"/>
      <c r="AU329" s="905"/>
      <c r="AV329" s="905"/>
      <c r="AW329" s="905"/>
      <c r="AX329" s="260"/>
      <c r="AY329" s="260"/>
      <c r="AZ329" s="260"/>
      <c r="BA329" s="905"/>
      <c r="BB329" s="905"/>
      <c r="BC329" s="261"/>
      <c r="BD329" s="260"/>
      <c r="BE329" s="905"/>
      <c r="BF329" s="905"/>
      <c r="BG329" s="905"/>
      <c r="BH329" s="905"/>
      <c r="BI329" s="261"/>
      <c r="BJ329" s="260"/>
      <c r="BK329" s="905"/>
      <c r="BL329" s="905"/>
      <c r="BM329" s="905"/>
      <c r="BN329" s="905"/>
      <c r="BO329" s="261"/>
      <c r="BP329" s="260"/>
      <c r="BQ329" s="905"/>
      <c r="BR329" s="905"/>
      <c r="BS329" s="905"/>
      <c r="BT329" s="905"/>
      <c r="BU329" s="261"/>
      <c r="BV329" s="260"/>
      <c r="BW329" s="905"/>
      <c r="BX329" s="905"/>
      <c r="BY329" s="905"/>
      <c r="BZ329" s="905"/>
      <c r="CA329" s="261"/>
      <c r="CB329" s="260"/>
      <c r="CC329" s="905"/>
      <c r="CD329" s="905"/>
      <c r="CE329" s="905"/>
      <c r="CF329" s="905"/>
      <c r="CG329" s="261"/>
      <c r="CH329" s="260"/>
      <c r="CI329" s="905"/>
      <c r="CJ329" s="905"/>
      <c r="CK329" s="905"/>
      <c r="CL329" s="905"/>
      <c r="CM329" s="261"/>
      <c r="CN329" s="260"/>
      <c r="CO329" s="905"/>
      <c r="CP329" s="905"/>
      <c r="CQ329" s="905"/>
      <c r="CR329" s="905"/>
      <c r="CS329" s="261"/>
      <c r="CT329" s="260"/>
      <c r="CU329" s="905"/>
      <c r="CV329" s="905"/>
      <c r="CW329" s="905"/>
      <c r="CX329" s="905"/>
      <c r="CY329" s="261"/>
      <c r="CZ329" s="260"/>
      <c r="DA329" s="905"/>
      <c r="DB329" s="905"/>
      <c r="DC329" s="905"/>
      <c r="DD329" s="905"/>
      <c r="DE329" s="261"/>
      <c r="DF329" s="260"/>
      <c r="DG329" s="905"/>
      <c r="DH329" s="905"/>
      <c r="DI329" s="905"/>
      <c r="DJ329" s="905"/>
      <c r="DK329" s="261"/>
      <c r="DL329" s="260"/>
      <c r="DM329" s="905"/>
      <c r="DN329" s="905"/>
      <c r="DO329" s="905"/>
      <c r="DP329" s="261"/>
    </row>
    <row r="330" spans="1:120" ht="12.75" hidden="1" customHeight="1" outlineLevel="2">
      <c r="A330" s="904" t="s">
        <v>427</v>
      </c>
      <c r="B330" s="260"/>
      <c r="C330" s="261"/>
      <c r="D330" s="261"/>
      <c r="E330" s="261"/>
      <c r="F330" s="261"/>
      <c r="G330" s="261"/>
      <c r="H330" s="261"/>
      <c r="I330" s="261"/>
      <c r="J330" s="261"/>
      <c r="K330" s="261"/>
      <c r="L330" s="261"/>
      <c r="M330" s="261"/>
      <c r="N330" s="260"/>
      <c r="O330" s="905"/>
      <c r="P330" s="905"/>
      <c r="Q330" s="905"/>
      <c r="R330" s="905"/>
      <c r="S330" s="261"/>
      <c r="T330" s="905"/>
      <c r="U330" s="905"/>
      <c r="V330" s="905"/>
      <c r="W330" s="261"/>
      <c r="X330" s="260"/>
      <c r="Y330" s="905"/>
      <c r="Z330" s="905"/>
      <c r="AA330" s="261"/>
      <c r="AB330" s="261"/>
      <c r="AC330" s="905"/>
      <c r="AD330" s="905"/>
      <c r="AE330" s="261"/>
      <c r="AF330" s="260"/>
      <c r="AG330" s="905"/>
      <c r="AH330" s="905"/>
      <c r="AI330" s="905"/>
      <c r="AJ330" s="905"/>
      <c r="AK330" s="261"/>
      <c r="AL330" s="260"/>
      <c r="AM330" s="260"/>
      <c r="AN330" s="905"/>
      <c r="AO330" s="905"/>
      <c r="AP330" s="905"/>
      <c r="AQ330" s="261"/>
      <c r="AR330" s="261"/>
      <c r="AS330" s="261"/>
      <c r="AT330" s="905"/>
      <c r="AU330" s="905"/>
      <c r="AV330" s="905"/>
      <c r="AW330" s="905"/>
      <c r="AX330" s="260"/>
      <c r="AY330" s="260"/>
      <c r="AZ330" s="260"/>
      <c r="BA330" s="905"/>
      <c r="BB330" s="905"/>
      <c r="BC330" s="261"/>
      <c r="BD330" s="260"/>
      <c r="BE330" s="905"/>
      <c r="BF330" s="905"/>
      <c r="BG330" s="905"/>
      <c r="BH330" s="905"/>
      <c r="BI330" s="261"/>
      <c r="BJ330" s="260"/>
      <c r="BK330" s="905"/>
      <c r="BL330" s="905"/>
      <c r="BM330" s="905"/>
      <c r="BN330" s="905"/>
      <c r="BO330" s="261"/>
      <c r="BP330" s="260"/>
      <c r="BQ330" s="905"/>
      <c r="BR330" s="905"/>
      <c r="BS330" s="905"/>
      <c r="BT330" s="905"/>
      <c r="BU330" s="261"/>
      <c r="BV330" s="260"/>
      <c r="BW330" s="905"/>
      <c r="BX330" s="905"/>
      <c r="BY330" s="905"/>
      <c r="BZ330" s="905"/>
      <c r="CA330" s="261"/>
      <c r="CB330" s="260"/>
      <c r="CC330" s="905"/>
      <c r="CD330" s="905"/>
      <c r="CE330" s="905"/>
      <c r="CF330" s="905"/>
      <c r="CG330" s="261"/>
      <c r="CH330" s="260"/>
      <c r="CI330" s="905"/>
      <c r="CJ330" s="905"/>
      <c r="CK330" s="905"/>
      <c r="CL330" s="905"/>
      <c r="CM330" s="261"/>
      <c r="CN330" s="260"/>
      <c r="CO330" s="905"/>
      <c r="CP330" s="905"/>
      <c r="CQ330" s="905"/>
      <c r="CR330" s="905"/>
      <c r="CS330" s="261"/>
      <c r="CT330" s="260"/>
      <c r="CU330" s="905"/>
      <c r="CV330" s="905"/>
      <c r="CW330" s="905"/>
      <c r="CX330" s="905"/>
      <c r="CY330" s="261"/>
      <c r="CZ330" s="260"/>
      <c r="DA330" s="905"/>
      <c r="DB330" s="905"/>
      <c r="DC330" s="905"/>
      <c r="DD330" s="905"/>
      <c r="DE330" s="261"/>
      <c r="DF330" s="260"/>
      <c r="DG330" s="905"/>
      <c r="DH330" s="905"/>
      <c r="DI330" s="905"/>
      <c r="DJ330" s="905"/>
      <c r="DK330" s="261"/>
      <c r="DL330" s="260"/>
      <c r="DM330" s="905"/>
      <c r="DN330" s="905"/>
      <c r="DO330" s="905"/>
      <c r="DP330" s="261"/>
    </row>
    <row r="331" spans="1:120" ht="12" hidden="1" customHeight="1" outlineLevel="2">
      <c r="A331" s="260" t="s">
        <v>393</v>
      </c>
      <c r="B331" s="260"/>
      <c r="C331" s="261"/>
      <c r="D331" s="261"/>
      <c r="E331" s="261"/>
      <c r="F331" s="261"/>
      <c r="G331" s="261"/>
      <c r="H331" s="261"/>
      <c r="I331" s="261"/>
      <c r="J331" s="261"/>
      <c r="K331" s="261"/>
      <c r="L331" s="261"/>
      <c r="M331" s="261"/>
      <c r="N331" s="260"/>
      <c r="O331" s="905"/>
      <c r="P331" s="905"/>
      <c r="Q331" s="905"/>
      <c r="R331" s="905"/>
      <c r="S331" s="261"/>
      <c r="T331" s="909">
        <v>0</v>
      </c>
      <c r="U331" s="909">
        <v>0.02</v>
      </c>
      <c r="V331" s="909">
        <v>0.04</v>
      </c>
      <c r="W331" s="261"/>
      <c r="X331" s="260"/>
      <c r="Y331" s="909">
        <v>0.11</v>
      </c>
      <c r="Z331" s="909">
        <v>0.11</v>
      </c>
      <c r="AA331" s="909">
        <v>0.13</v>
      </c>
      <c r="AB331" s="909">
        <v>0.15</v>
      </c>
      <c r="AC331" s="905"/>
      <c r="AD331" s="905"/>
      <c r="AE331" s="721">
        <v>0.2</v>
      </c>
      <c r="AF331" s="260">
        <v>0.17</v>
      </c>
      <c r="AG331" s="909">
        <v>0.19</v>
      </c>
      <c r="AH331" s="909">
        <f>SUM(AE$86:AG$86)+AH288</f>
        <v>7.9671309964727655E-2</v>
      </c>
      <c r="AI331" s="905"/>
      <c r="AJ331" s="905"/>
      <c r="AK331" s="721">
        <v>7.0000000000000007E-2</v>
      </c>
      <c r="AL331" s="260">
        <v>7.0000000000000007E-2</v>
      </c>
      <c r="AM331" s="260">
        <v>0.08</v>
      </c>
      <c r="AN331" s="260">
        <v>0.12</v>
      </c>
      <c r="AO331" s="905"/>
      <c r="AP331" s="905"/>
      <c r="AQ331" s="260">
        <v>0.32</v>
      </c>
      <c r="AR331" s="260">
        <v>0.33</v>
      </c>
      <c r="AS331" s="260">
        <v>0.28999999999999998</v>
      </c>
      <c r="AT331" s="721">
        <v>0.3</v>
      </c>
      <c r="AU331" s="905"/>
      <c r="AV331" s="905"/>
      <c r="AW331" s="721">
        <v>0.54</v>
      </c>
      <c r="AX331" s="721">
        <v>0.59</v>
      </c>
      <c r="AY331" s="721">
        <v>0.6</v>
      </c>
      <c r="AZ331" s="721">
        <v>0.62</v>
      </c>
      <c r="BA331" s="905"/>
      <c r="BB331" s="905"/>
      <c r="BC331" s="721">
        <v>0.57999999999999996</v>
      </c>
      <c r="BD331" s="721">
        <v>0.38</v>
      </c>
      <c r="BE331" s="909">
        <v>0.43</v>
      </c>
      <c r="BF331" s="905"/>
      <c r="BG331" s="905"/>
      <c r="BH331" s="905"/>
      <c r="BI331" s="261"/>
      <c r="BJ331" s="260"/>
      <c r="BK331" s="905"/>
      <c r="BL331" s="905"/>
      <c r="BM331" s="905"/>
      <c r="BN331" s="905"/>
      <c r="BO331" s="261"/>
      <c r="BP331" s="260"/>
      <c r="BQ331" s="905"/>
      <c r="BR331" s="905"/>
      <c r="BS331" s="905"/>
      <c r="BT331" s="905"/>
      <c r="BU331" s="261"/>
      <c r="BV331" s="260"/>
      <c r="BW331" s="905"/>
      <c r="BX331" s="905"/>
      <c r="BY331" s="905"/>
      <c r="BZ331" s="905"/>
      <c r="CA331" s="261"/>
      <c r="CB331" s="260"/>
      <c r="CC331" s="905"/>
      <c r="CD331" s="905"/>
      <c r="CE331" s="905"/>
      <c r="CF331" s="905"/>
      <c r="CG331" s="261"/>
      <c r="CH331" s="260"/>
      <c r="CI331" s="905"/>
      <c r="CJ331" s="905"/>
      <c r="CK331" s="905"/>
      <c r="CL331" s="905"/>
      <c r="CM331" s="261"/>
      <c r="CN331" s="260"/>
      <c r="CO331" s="905"/>
      <c r="CP331" s="905"/>
      <c r="CQ331" s="905"/>
      <c r="CR331" s="905"/>
      <c r="CS331" s="261"/>
      <c r="CT331" s="260"/>
      <c r="CU331" s="905"/>
      <c r="CV331" s="905"/>
      <c r="CW331" s="905"/>
      <c r="CX331" s="905"/>
      <c r="CY331" s="261"/>
      <c r="CZ331" s="260"/>
      <c r="DA331" s="905"/>
      <c r="DB331" s="905"/>
      <c r="DC331" s="905"/>
      <c r="DD331" s="905"/>
      <c r="DE331" s="261"/>
      <c r="DF331" s="260"/>
      <c r="DG331" s="905"/>
      <c r="DH331" s="905"/>
      <c r="DI331" s="905"/>
      <c r="DJ331" s="905"/>
      <c r="DK331" s="261"/>
      <c r="DL331" s="260"/>
      <c r="DM331" s="905"/>
      <c r="DN331" s="905"/>
      <c r="DO331" s="905"/>
      <c r="DP331" s="261"/>
    </row>
    <row r="332" spans="1:120" ht="12" hidden="1" customHeight="1" outlineLevel="2">
      <c r="A332" s="260" t="s">
        <v>394</v>
      </c>
      <c r="B332" s="260"/>
      <c r="C332" s="261"/>
      <c r="D332" s="261"/>
      <c r="E332" s="261"/>
      <c r="F332" s="261"/>
      <c r="G332" s="261"/>
      <c r="H332" s="261"/>
      <c r="I332" s="261"/>
      <c r="J332" s="261"/>
      <c r="K332" s="261"/>
      <c r="L332" s="261"/>
      <c r="M332" s="261"/>
      <c r="N332" s="260"/>
      <c r="O332" s="905"/>
      <c r="P332" s="905"/>
      <c r="Q332" s="905"/>
      <c r="R332" s="905"/>
      <c r="S332" s="261"/>
      <c r="T332" s="909">
        <v>0.03</v>
      </c>
      <c r="U332" s="909">
        <v>0.04</v>
      </c>
      <c r="V332" s="909">
        <v>0.05</v>
      </c>
      <c r="W332" s="261"/>
      <c r="X332" s="260"/>
      <c r="Y332" s="909">
        <v>0.13</v>
      </c>
      <c r="Z332" s="909">
        <v>0.14000000000000001</v>
      </c>
      <c r="AA332" s="909">
        <v>0.16</v>
      </c>
      <c r="AB332" s="909">
        <v>0.17</v>
      </c>
      <c r="AC332" s="905"/>
      <c r="AD332" s="905"/>
      <c r="AE332" s="721">
        <v>0.22</v>
      </c>
      <c r="AF332" s="260">
        <v>0.19</v>
      </c>
      <c r="AG332" s="909">
        <v>0.21</v>
      </c>
      <c r="AH332" s="909">
        <f>SUM(AE$86:AG$86)+AH289</f>
        <v>0.10967130996472767</v>
      </c>
      <c r="AI332" s="905"/>
      <c r="AJ332" s="905"/>
      <c r="AK332" s="721">
        <v>0.09</v>
      </c>
      <c r="AL332" s="260">
        <v>0.09</v>
      </c>
      <c r="AM332" s="721">
        <v>0.1</v>
      </c>
      <c r="AN332" s="721">
        <v>0.13</v>
      </c>
      <c r="AO332" s="905"/>
      <c r="AP332" s="905"/>
      <c r="AQ332" s="721">
        <v>0.33</v>
      </c>
      <c r="AR332" s="721">
        <v>0.34</v>
      </c>
      <c r="AS332" s="721">
        <v>0.3</v>
      </c>
      <c r="AT332" s="721">
        <v>0.31</v>
      </c>
      <c r="AU332" s="905"/>
      <c r="AV332" s="905"/>
      <c r="AW332" s="721">
        <v>0.55000000000000004</v>
      </c>
      <c r="AX332" s="721">
        <v>0.6</v>
      </c>
      <c r="AY332" s="721">
        <v>0.61</v>
      </c>
      <c r="AZ332" s="721">
        <v>0.63</v>
      </c>
      <c r="BA332" s="905"/>
      <c r="BB332" s="905"/>
      <c r="BC332" s="721">
        <v>0.6</v>
      </c>
      <c r="BD332" s="721">
        <v>0.4</v>
      </c>
      <c r="BE332" s="909">
        <v>0.45</v>
      </c>
      <c r="BF332" s="905"/>
      <c r="BG332" s="905"/>
      <c r="BH332" s="905"/>
      <c r="BI332" s="261"/>
      <c r="BJ332" s="260"/>
      <c r="BK332" s="905"/>
      <c r="BL332" s="905"/>
      <c r="BM332" s="905"/>
      <c r="BN332" s="905"/>
      <c r="BO332" s="261"/>
      <c r="BP332" s="260"/>
      <c r="BQ332" s="905"/>
      <c r="BR332" s="905"/>
      <c r="BS332" s="905"/>
      <c r="BT332" s="905"/>
      <c r="BU332" s="261"/>
      <c r="BV332" s="260"/>
      <c r="BW332" s="905"/>
      <c r="BX332" s="905"/>
      <c r="BY332" s="905"/>
      <c r="BZ332" s="905"/>
      <c r="CA332" s="261"/>
      <c r="CB332" s="260"/>
      <c r="CC332" s="905"/>
      <c r="CD332" s="905"/>
      <c r="CE332" s="905"/>
      <c r="CF332" s="905"/>
      <c r="CG332" s="261"/>
      <c r="CH332" s="260"/>
      <c r="CI332" s="905"/>
      <c r="CJ332" s="905"/>
      <c r="CK332" s="905"/>
      <c r="CL332" s="905"/>
      <c r="CM332" s="261"/>
      <c r="CN332" s="260"/>
      <c r="CO332" s="905"/>
      <c r="CP332" s="905"/>
      <c r="CQ332" s="905"/>
      <c r="CR332" s="905"/>
      <c r="CS332" s="261"/>
      <c r="CT332" s="260"/>
      <c r="CU332" s="905"/>
      <c r="CV332" s="905"/>
      <c r="CW332" s="905"/>
      <c r="CX332" s="905"/>
      <c r="CY332" s="261"/>
      <c r="CZ332" s="260"/>
      <c r="DA332" s="905"/>
      <c r="DB332" s="905"/>
      <c r="DC332" s="905"/>
      <c r="DD332" s="905"/>
      <c r="DE332" s="261"/>
      <c r="DF332" s="260"/>
      <c r="DG332" s="905"/>
      <c r="DH332" s="905"/>
      <c r="DI332" s="905"/>
      <c r="DJ332" s="905"/>
      <c r="DK332" s="261"/>
      <c r="DL332" s="260"/>
      <c r="DM332" s="905"/>
      <c r="DN332" s="905"/>
      <c r="DO332" s="905"/>
      <c r="DP332" s="261"/>
    </row>
    <row r="333" spans="1:120" ht="12" hidden="1" customHeight="1" outlineLevel="2">
      <c r="A333" s="260" t="s">
        <v>395</v>
      </c>
      <c r="B333" s="260"/>
      <c r="C333" s="261"/>
      <c r="D333" s="261"/>
      <c r="E333" s="261"/>
      <c r="F333" s="261"/>
      <c r="G333" s="261"/>
      <c r="H333" s="261"/>
      <c r="I333" s="261"/>
      <c r="J333" s="261"/>
      <c r="K333" s="261"/>
      <c r="L333" s="261"/>
      <c r="M333" s="261"/>
      <c r="N333" s="260"/>
      <c r="O333" s="905"/>
      <c r="P333" s="905"/>
      <c r="Q333" s="905"/>
      <c r="R333" s="905"/>
      <c r="S333" s="261"/>
      <c r="T333" s="909">
        <f>W86</f>
        <v>1.6563847250031596E-2</v>
      </c>
      <c r="U333" s="909">
        <f>W86</f>
        <v>1.6563847250031596E-2</v>
      </c>
      <c r="V333" s="909">
        <f>W86</f>
        <v>1.6563847250031596E-2</v>
      </c>
      <c r="W333" s="261"/>
      <c r="X333" s="260"/>
      <c r="Y333" s="721">
        <f>AC86</f>
        <v>4.521968720786268E-2</v>
      </c>
      <c r="Z333" s="721">
        <f>AC86</f>
        <v>4.521968720786268E-2</v>
      </c>
      <c r="AA333" s="721">
        <f>$AC86</f>
        <v>4.521968720786268E-2</v>
      </c>
      <c r="AB333" s="721">
        <f>$AC86</f>
        <v>4.521968720786268E-2</v>
      </c>
      <c r="AC333" s="905"/>
      <c r="AD333" s="905"/>
      <c r="AE333" s="721">
        <f>$AI86</f>
        <v>5.5295721636203159E-2</v>
      </c>
      <c r="AF333" s="721">
        <f>$AI86</f>
        <v>5.5295721636203159E-2</v>
      </c>
      <c r="AG333" s="721">
        <f>$AI86</f>
        <v>5.5295721636203159E-2</v>
      </c>
      <c r="AH333" s="721">
        <f>$AI86</f>
        <v>5.5295721636203159E-2</v>
      </c>
      <c r="AI333" s="905"/>
      <c r="AJ333" s="905"/>
      <c r="AK333" s="721">
        <f>$AO108</f>
        <v>3.7628864922706728E-2</v>
      </c>
      <c r="AL333" s="721">
        <f>$AO108</f>
        <v>3.7628864922706728E-2</v>
      </c>
      <c r="AM333" s="721">
        <f>$AO108</f>
        <v>3.7628864922706728E-2</v>
      </c>
      <c r="AN333" s="721">
        <f>$AO108</f>
        <v>3.7628864922706728E-2</v>
      </c>
      <c r="AO333" s="905"/>
      <c r="AP333" s="905"/>
      <c r="AQ333" s="721">
        <f>$AU108</f>
        <v>8.7875670894486002E-2</v>
      </c>
      <c r="AR333" s="721">
        <f>$AU108</f>
        <v>8.7875670894486002E-2</v>
      </c>
      <c r="AS333" s="721">
        <f>$AU108</f>
        <v>8.7875670894486002E-2</v>
      </c>
      <c r="AT333" s="721">
        <f>$AU108</f>
        <v>8.7875670894486002E-2</v>
      </c>
      <c r="AU333" s="905"/>
      <c r="AV333" s="905"/>
      <c r="AW333" s="721">
        <f>$BA108</f>
        <v>0.15595866141732281</v>
      </c>
      <c r="AX333" s="721">
        <f>$BA108</f>
        <v>0.15595866141732281</v>
      </c>
      <c r="AY333" s="721">
        <f>$BA108</f>
        <v>0.15595866141732281</v>
      </c>
      <c r="AZ333" s="721">
        <f>$BA108</f>
        <v>0.15595866141732281</v>
      </c>
      <c r="BA333" s="905"/>
      <c r="BB333" s="905"/>
      <c r="BC333" s="721">
        <f>$BG108</f>
        <v>0.11859767873894098</v>
      </c>
      <c r="BD333" s="721">
        <f>$BG108</f>
        <v>0.11859767873894098</v>
      </c>
      <c r="BE333" s="721">
        <f>$BG108</f>
        <v>0.11859767873894098</v>
      </c>
      <c r="BF333" s="905"/>
      <c r="BG333" s="905"/>
      <c r="BH333" s="905"/>
      <c r="BI333" s="261"/>
      <c r="BJ333" s="260"/>
      <c r="BK333" s="905"/>
      <c r="BL333" s="905"/>
      <c r="BM333" s="905"/>
      <c r="BN333" s="905"/>
      <c r="BO333" s="261"/>
      <c r="BP333" s="260"/>
      <c r="BQ333" s="905"/>
      <c r="BR333" s="905"/>
      <c r="BS333" s="905"/>
      <c r="BT333" s="905"/>
      <c r="BU333" s="261"/>
      <c r="BV333" s="260"/>
      <c r="BW333" s="905"/>
      <c r="BX333" s="905"/>
      <c r="BY333" s="905"/>
      <c r="BZ333" s="905"/>
      <c r="CA333" s="261"/>
      <c r="CB333" s="260"/>
      <c r="CC333" s="905"/>
      <c r="CD333" s="905"/>
      <c r="CE333" s="905"/>
      <c r="CF333" s="905"/>
      <c r="CG333" s="261"/>
      <c r="CH333" s="260"/>
      <c r="CI333" s="905"/>
      <c r="CJ333" s="905"/>
      <c r="CK333" s="905"/>
      <c r="CL333" s="905"/>
      <c r="CM333" s="261"/>
      <c r="CN333" s="260"/>
      <c r="CO333" s="905"/>
      <c r="CP333" s="905"/>
      <c r="CQ333" s="905"/>
      <c r="CR333" s="905"/>
      <c r="CS333" s="261"/>
      <c r="CT333" s="260"/>
      <c r="CU333" s="905"/>
      <c r="CV333" s="905"/>
      <c r="CW333" s="905"/>
      <c r="CX333" s="905"/>
      <c r="CY333" s="261"/>
      <c r="CZ333" s="260"/>
      <c r="DA333" s="905"/>
      <c r="DB333" s="905"/>
      <c r="DC333" s="905"/>
      <c r="DD333" s="905"/>
      <c r="DE333" s="261"/>
      <c r="DF333" s="260"/>
      <c r="DG333" s="905"/>
      <c r="DH333" s="905"/>
      <c r="DI333" s="905"/>
      <c r="DJ333" s="905"/>
      <c r="DK333" s="261"/>
      <c r="DL333" s="260"/>
      <c r="DM333" s="905"/>
      <c r="DN333" s="905"/>
      <c r="DO333" s="905"/>
      <c r="DP333" s="261"/>
    </row>
    <row r="334" spans="1:120" ht="12" hidden="1" customHeight="1" outlineLevel="2">
      <c r="A334" s="260" t="s">
        <v>947</v>
      </c>
      <c r="B334" s="260"/>
      <c r="C334" s="261"/>
      <c r="D334" s="261"/>
      <c r="E334" s="261"/>
      <c r="F334" s="261"/>
      <c r="G334" s="261"/>
      <c r="H334" s="261"/>
      <c r="I334" s="261"/>
      <c r="J334" s="261"/>
      <c r="K334" s="261"/>
      <c r="L334" s="261"/>
      <c r="M334" s="261"/>
      <c r="N334" s="260"/>
      <c r="O334" s="905"/>
      <c r="P334" s="905"/>
      <c r="Q334" s="905"/>
      <c r="R334" s="905"/>
      <c r="S334" s="261"/>
      <c r="T334" s="908">
        <f>T333/AVERAGE(T331:T332)-1</f>
        <v>0.1042564833354398</v>
      </c>
      <c r="U334" s="908">
        <f>U333/AVERAGE(U331:U332)-1</f>
        <v>-0.4478717583322801</v>
      </c>
      <c r="V334" s="908">
        <f>V333/AVERAGE(V331:V332)-1</f>
        <v>-0.6319145055548534</v>
      </c>
      <c r="W334" s="261"/>
      <c r="X334" s="260"/>
      <c r="Y334" s="908">
        <f>Y333/AVERAGE(Y331:Y332)-1</f>
        <v>-0.62316927326781091</v>
      </c>
      <c r="Z334" s="908">
        <f>Z333/AVERAGE(Z331:Z332)-1</f>
        <v>-0.63824250233709856</v>
      </c>
      <c r="AA334" s="908">
        <f>AA333/AVERAGE(AA331:AA332)-1</f>
        <v>-0.68814008822163675</v>
      </c>
      <c r="AB334" s="908">
        <f>AB333/AVERAGE(AB331:AB332)-1</f>
        <v>-0.71737695495085818</v>
      </c>
      <c r="AC334" s="905"/>
      <c r="AD334" s="905"/>
      <c r="AE334" s="908">
        <f>AE333/AVERAGE(AE331:AE332)-1</f>
        <v>-0.73668703982760397</v>
      </c>
      <c r="AF334" s="908">
        <f>AF333/AVERAGE(AF331:AF332)-1</f>
        <v>-0.69280154646553793</v>
      </c>
      <c r="AG334" s="908">
        <f>AG333/AVERAGE(AG331:AG332)-1</f>
        <v>-0.72352139181898423</v>
      </c>
      <c r="AH334" s="908">
        <f>AH333/AVERAGE(AH331:AH332)-1</f>
        <v>-0.41591891295467376</v>
      </c>
      <c r="AI334" s="905"/>
      <c r="AJ334" s="905"/>
      <c r="AK334" s="908">
        <f>AK333/AVERAGE(AK331:AK332)-1</f>
        <v>-0.52963918846616598</v>
      </c>
      <c r="AL334" s="908">
        <f>AL333/AVERAGE(AL331:AL332)-1</f>
        <v>-0.52963918846616598</v>
      </c>
      <c r="AM334" s="908">
        <f>AM333/AVERAGE(AM331:AM332)-1</f>
        <v>-0.58190150085881409</v>
      </c>
      <c r="AN334" s="908">
        <f>AN333/AVERAGE(AN331:AN332)-1</f>
        <v>-0.69896908061834617</v>
      </c>
      <c r="AO334" s="905"/>
      <c r="AP334" s="905"/>
      <c r="AQ334" s="908">
        <f>AQ333/AVERAGE(AQ331:AQ332)-1</f>
        <v>-0.72961332032465842</v>
      </c>
      <c r="AR334" s="908">
        <f>AR333/AVERAGE(AR331:AR332)-1</f>
        <v>-0.73768456449407172</v>
      </c>
      <c r="AS334" s="908">
        <f>AS333/AVERAGE(AS331:AS332)-1</f>
        <v>-0.7021163698491999</v>
      </c>
      <c r="AT334" s="908">
        <f>AT333/AVERAGE(AT331:AT332)-1</f>
        <v>-0.71188304624758691</v>
      </c>
      <c r="AU334" s="905"/>
      <c r="AV334" s="905"/>
      <c r="AW334" s="908">
        <f>AW333/AVERAGE(AW331:AW332)-1</f>
        <v>-0.71383731850032506</v>
      </c>
      <c r="AX334" s="908">
        <f>AX333/AVERAGE(AX331:AX332)-1</f>
        <v>-0.7378846026599617</v>
      </c>
      <c r="AY334" s="908">
        <f>AY333/AVERAGE(AY331:AY332)-1</f>
        <v>-0.74221708856640856</v>
      </c>
      <c r="AZ334" s="908">
        <f>AZ333/AVERAGE(AZ331:AZ332)-1</f>
        <v>-0.75046614173228354</v>
      </c>
      <c r="BA334" s="905"/>
      <c r="BB334" s="905"/>
      <c r="BC334" s="908">
        <f>BC333/AVERAGE(BC331:BC332)-1</f>
        <v>-0.79898698518823563</v>
      </c>
      <c r="BD334" s="908">
        <f>BD333/AVERAGE(BD331:BD332)-1</f>
        <v>-0.69590338784886929</v>
      </c>
      <c r="BE334" s="908">
        <f>BE333/AVERAGE(BE331:BE332)-1</f>
        <v>-0.73045982104786145</v>
      </c>
      <c r="BF334" s="905"/>
      <c r="BG334" s="905"/>
      <c r="BH334" s="905"/>
      <c r="BI334" s="261"/>
      <c r="BJ334" s="260"/>
      <c r="BK334" s="905"/>
      <c r="BL334" s="905"/>
      <c r="BM334" s="905"/>
      <c r="BN334" s="905"/>
      <c r="BO334" s="261"/>
      <c r="BP334" s="260"/>
      <c r="BQ334" s="905"/>
      <c r="BR334" s="905"/>
      <c r="BS334" s="905"/>
      <c r="BT334" s="905"/>
      <c r="BU334" s="261"/>
      <c r="BV334" s="260"/>
      <c r="BW334" s="905"/>
      <c r="BX334" s="905"/>
      <c r="BY334" s="905"/>
      <c r="BZ334" s="905"/>
      <c r="CA334" s="261"/>
      <c r="CB334" s="260"/>
      <c r="CC334" s="905"/>
      <c r="CD334" s="905"/>
      <c r="CE334" s="905"/>
      <c r="CF334" s="905"/>
      <c r="CG334" s="261"/>
      <c r="CH334" s="260"/>
      <c r="CI334" s="905"/>
      <c r="CJ334" s="905"/>
      <c r="CK334" s="905"/>
      <c r="CL334" s="905"/>
      <c r="CM334" s="261"/>
      <c r="CN334" s="260"/>
      <c r="CO334" s="905"/>
      <c r="CP334" s="905"/>
      <c r="CQ334" s="905"/>
      <c r="CR334" s="905"/>
      <c r="CS334" s="261"/>
      <c r="CT334" s="260"/>
      <c r="CU334" s="905"/>
      <c r="CV334" s="905"/>
      <c r="CW334" s="905"/>
      <c r="CX334" s="905"/>
      <c r="CY334" s="261"/>
      <c r="CZ334" s="260"/>
      <c r="DA334" s="905"/>
      <c r="DB334" s="905"/>
      <c r="DC334" s="905"/>
      <c r="DD334" s="905"/>
      <c r="DE334" s="261"/>
      <c r="DF334" s="260"/>
      <c r="DG334" s="905"/>
      <c r="DH334" s="905"/>
      <c r="DI334" s="905"/>
      <c r="DJ334" s="905"/>
      <c r="DK334" s="261"/>
      <c r="DL334" s="260"/>
      <c r="DM334" s="905"/>
      <c r="DN334" s="905"/>
      <c r="DO334" s="905"/>
      <c r="DP334" s="261"/>
    </row>
    <row r="335" spans="1:120" ht="12.75" hidden="1" customHeight="1" outlineLevel="2">
      <c r="A335" s="260"/>
      <c r="B335" s="260"/>
      <c r="C335" s="261"/>
      <c r="D335" s="261"/>
      <c r="E335" s="261"/>
      <c r="F335" s="261"/>
      <c r="G335" s="261"/>
      <c r="H335" s="261"/>
      <c r="I335" s="261"/>
      <c r="J335" s="261"/>
      <c r="K335" s="261"/>
      <c r="L335" s="261"/>
      <c r="M335" s="261"/>
      <c r="N335" s="260"/>
      <c r="O335" s="905"/>
      <c r="P335" s="905"/>
      <c r="Q335" s="905"/>
      <c r="R335" s="905"/>
      <c r="S335" s="261"/>
      <c r="T335" s="905"/>
      <c r="U335" s="905"/>
      <c r="V335" s="905"/>
      <c r="W335" s="261"/>
      <c r="X335" s="260"/>
      <c r="Y335" s="905"/>
      <c r="Z335" s="905"/>
      <c r="AA335" s="261"/>
      <c r="AB335" s="261"/>
      <c r="AC335" s="905"/>
      <c r="AD335" s="905"/>
      <c r="AE335" s="261"/>
      <c r="AF335" s="260"/>
      <c r="AG335" s="905"/>
      <c r="AH335" s="905"/>
      <c r="AI335" s="905"/>
      <c r="AJ335" s="905"/>
      <c r="AK335" s="261"/>
      <c r="AL335" s="260"/>
      <c r="AM335" s="260"/>
      <c r="AN335" s="905"/>
      <c r="AO335" s="905"/>
      <c r="AP335" s="905"/>
      <c r="AQ335" s="261"/>
      <c r="AR335" s="261"/>
      <c r="AS335" s="261"/>
      <c r="AT335" s="905"/>
      <c r="AU335" s="905"/>
      <c r="AV335" s="905"/>
      <c r="AW335" s="905"/>
      <c r="AX335" s="260"/>
      <c r="AY335" s="260"/>
      <c r="AZ335" s="260"/>
      <c r="BA335" s="905"/>
      <c r="BB335" s="905"/>
      <c r="BC335" s="261"/>
      <c r="BD335" s="261"/>
      <c r="BE335" s="905"/>
      <c r="BF335" s="905"/>
      <c r="BG335" s="905"/>
      <c r="BH335" s="905"/>
      <c r="BI335" s="261"/>
      <c r="BJ335" s="260"/>
      <c r="BK335" s="905"/>
      <c r="BL335" s="905"/>
      <c r="BM335" s="905"/>
      <c r="BN335" s="905"/>
      <c r="BO335" s="261"/>
      <c r="BP335" s="260"/>
      <c r="BQ335" s="905"/>
      <c r="BR335" s="905"/>
      <c r="BS335" s="905"/>
      <c r="BT335" s="905"/>
      <c r="BU335" s="261"/>
      <c r="BV335" s="260"/>
      <c r="BW335" s="905"/>
      <c r="BX335" s="905"/>
      <c r="BY335" s="905"/>
      <c r="BZ335" s="905"/>
      <c r="CA335" s="261"/>
      <c r="CB335" s="260"/>
      <c r="CC335" s="905"/>
      <c r="CD335" s="905"/>
      <c r="CE335" s="905"/>
      <c r="CF335" s="905"/>
      <c r="CG335" s="261"/>
      <c r="CH335" s="260"/>
      <c r="CI335" s="905"/>
      <c r="CJ335" s="905"/>
      <c r="CK335" s="905"/>
      <c r="CL335" s="905"/>
      <c r="CM335" s="261"/>
      <c r="CN335" s="260"/>
      <c r="CO335" s="905"/>
      <c r="CP335" s="905"/>
      <c r="CQ335" s="905"/>
      <c r="CR335" s="905"/>
      <c r="CS335" s="261"/>
      <c r="CT335" s="260"/>
      <c r="CU335" s="905"/>
      <c r="CV335" s="905"/>
      <c r="CW335" s="905"/>
      <c r="CX335" s="905"/>
      <c r="CY335" s="261"/>
      <c r="CZ335" s="260"/>
      <c r="DA335" s="905"/>
      <c r="DB335" s="905"/>
      <c r="DC335" s="905"/>
      <c r="DD335" s="905"/>
      <c r="DE335" s="261"/>
      <c r="DF335" s="260"/>
      <c r="DG335" s="905"/>
      <c r="DH335" s="905"/>
      <c r="DI335" s="905"/>
      <c r="DJ335" s="905"/>
      <c r="DK335" s="261"/>
      <c r="DL335" s="260"/>
      <c r="DM335" s="905"/>
      <c r="DN335" s="905"/>
      <c r="DO335" s="905"/>
      <c r="DP335" s="261"/>
    </row>
    <row r="336" spans="1:120" ht="12.75" hidden="1" customHeight="1" outlineLevel="2">
      <c r="A336" s="904" t="s">
        <v>676</v>
      </c>
      <c r="B336" s="260"/>
      <c r="C336" s="261"/>
      <c r="D336" s="261"/>
      <c r="E336" s="261"/>
      <c r="F336" s="261"/>
      <c r="G336" s="261"/>
      <c r="H336" s="261"/>
      <c r="I336" s="261"/>
      <c r="J336" s="261"/>
      <c r="K336" s="261"/>
      <c r="L336" s="261"/>
      <c r="M336" s="261"/>
      <c r="N336" s="260"/>
      <c r="O336" s="905"/>
      <c r="P336" s="905"/>
      <c r="Q336" s="905"/>
      <c r="R336" s="905"/>
      <c r="S336" s="261"/>
      <c r="T336" s="905"/>
      <c r="U336" s="905"/>
      <c r="V336" s="905"/>
      <c r="W336" s="261"/>
      <c r="X336" s="260"/>
      <c r="Y336" s="905"/>
      <c r="Z336" s="905"/>
      <c r="AA336" s="261"/>
      <c r="AB336" s="261"/>
      <c r="AC336" s="905"/>
      <c r="AD336" s="905"/>
      <c r="AE336" s="261"/>
      <c r="AF336" s="260"/>
      <c r="AG336" s="905"/>
      <c r="AH336" s="905"/>
      <c r="AI336" s="905"/>
      <c r="AJ336" s="905"/>
      <c r="AK336" s="261"/>
      <c r="AL336" s="260"/>
      <c r="AM336" s="260"/>
      <c r="AN336" s="905"/>
      <c r="AO336" s="905"/>
      <c r="AP336" s="905"/>
      <c r="AQ336" s="261"/>
      <c r="AR336" s="261"/>
      <c r="AS336" s="261"/>
      <c r="AT336" s="905"/>
      <c r="AU336" s="905"/>
      <c r="AV336" s="905"/>
      <c r="AW336" s="905"/>
      <c r="AX336" s="260"/>
      <c r="AY336" s="260"/>
      <c r="AZ336" s="260"/>
      <c r="BA336" s="905"/>
      <c r="BB336" s="905"/>
      <c r="BC336" s="261"/>
      <c r="BD336" s="261"/>
      <c r="BE336" s="905"/>
      <c r="BF336" s="905"/>
      <c r="BG336" s="905"/>
      <c r="BH336" s="905"/>
      <c r="BI336" s="261"/>
      <c r="BJ336" s="260"/>
      <c r="BK336" s="905"/>
      <c r="BL336" s="905"/>
      <c r="BM336" s="905"/>
      <c r="BN336" s="905"/>
      <c r="BO336" s="261"/>
      <c r="BP336" s="260"/>
      <c r="BQ336" s="905"/>
      <c r="BR336" s="905"/>
      <c r="BS336" s="905"/>
      <c r="BT336" s="905"/>
      <c r="BU336" s="261"/>
      <c r="BV336" s="260"/>
      <c r="BW336" s="905"/>
      <c r="BX336" s="905"/>
      <c r="BY336" s="905"/>
      <c r="BZ336" s="905"/>
      <c r="CA336" s="261"/>
      <c r="CB336" s="260"/>
      <c r="CC336" s="905"/>
      <c r="CD336" s="905"/>
      <c r="CE336" s="905"/>
      <c r="CF336" s="905"/>
      <c r="CG336" s="261"/>
      <c r="CH336" s="260"/>
      <c r="CI336" s="905"/>
      <c r="CJ336" s="905"/>
      <c r="CK336" s="905"/>
      <c r="CL336" s="905"/>
      <c r="CM336" s="261"/>
      <c r="CN336" s="260"/>
      <c r="CO336" s="905"/>
      <c r="CP336" s="905"/>
      <c r="CQ336" s="905"/>
      <c r="CR336" s="905"/>
      <c r="CS336" s="261"/>
      <c r="CT336" s="260"/>
      <c r="CU336" s="905"/>
      <c r="CV336" s="905"/>
      <c r="CW336" s="905"/>
      <c r="CX336" s="905"/>
      <c r="CY336" s="261"/>
      <c r="CZ336" s="260"/>
      <c r="DA336" s="905"/>
      <c r="DB336" s="905"/>
      <c r="DC336" s="905"/>
      <c r="DD336" s="905"/>
      <c r="DE336" s="261"/>
      <c r="DF336" s="260"/>
      <c r="DG336" s="905"/>
      <c r="DH336" s="905"/>
      <c r="DI336" s="905"/>
      <c r="DJ336" s="905"/>
      <c r="DK336" s="261"/>
      <c r="DL336" s="260"/>
      <c r="DM336" s="905"/>
      <c r="DN336" s="905"/>
      <c r="DO336" s="905"/>
      <c r="DP336" s="261"/>
    </row>
    <row r="337" spans="1:120" ht="12" hidden="1" customHeight="1" outlineLevel="2">
      <c r="A337" s="260" t="s">
        <v>393</v>
      </c>
      <c r="B337" s="260"/>
      <c r="C337" s="261"/>
      <c r="D337" s="261"/>
      <c r="E337" s="261"/>
      <c r="F337" s="261"/>
      <c r="G337" s="261"/>
      <c r="H337" s="261"/>
      <c r="I337" s="261"/>
      <c r="J337" s="261"/>
      <c r="K337" s="261"/>
      <c r="L337" s="261"/>
      <c r="M337" s="261"/>
      <c r="N337" s="260"/>
      <c r="O337" s="905"/>
      <c r="P337" s="905"/>
      <c r="Q337" s="905"/>
      <c r="R337" s="905"/>
      <c r="S337" s="261"/>
      <c r="T337" s="909">
        <v>0</v>
      </c>
      <c r="U337" s="909">
        <v>0.02</v>
      </c>
      <c r="V337" s="909">
        <v>0.04</v>
      </c>
      <c r="W337" s="261"/>
      <c r="X337" s="260"/>
      <c r="Y337" s="909">
        <v>0.11</v>
      </c>
      <c r="Z337" s="909">
        <v>0.11</v>
      </c>
      <c r="AA337" s="909">
        <v>0.13</v>
      </c>
      <c r="AB337" s="909">
        <v>0.15</v>
      </c>
      <c r="AC337" s="905"/>
      <c r="AD337" s="905"/>
      <c r="AE337" s="721"/>
      <c r="AF337" s="260"/>
      <c r="AG337" s="909"/>
      <c r="AH337" s="909"/>
      <c r="AI337" s="905"/>
      <c r="AJ337" s="905"/>
      <c r="AK337" s="721"/>
      <c r="AL337" s="260"/>
      <c r="AM337" s="260"/>
      <c r="AN337" s="260"/>
      <c r="AO337" s="905"/>
      <c r="AP337" s="905"/>
      <c r="AQ337" s="260"/>
      <c r="AR337" s="260"/>
      <c r="AS337" s="260"/>
      <c r="AT337" s="721"/>
      <c r="AU337" s="905"/>
      <c r="AV337" s="905"/>
      <c r="AW337" s="721"/>
      <c r="AX337" s="721"/>
      <c r="AY337" s="721"/>
      <c r="AZ337" s="721"/>
      <c r="BA337" s="905"/>
      <c r="BB337" s="905"/>
      <c r="BC337" s="721">
        <v>1.25</v>
      </c>
      <c r="BD337" s="721">
        <v>1.1299999999999999</v>
      </c>
      <c r="BE337" s="909">
        <v>1.1499999999999999</v>
      </c>
      <c r="BF337" s="905"/>
      <c r="BG337" s="905"/>
      <c r="BH337" s="905"/>
      <c r="BI337" s="261"/>
      <c r="BJ337" s="260"/>
      <c r="BK337" s="905"/>
      <c r="BL337" s="905"/>
      <c r="BM337" s="905"/>
      <c r="BN337" s="905"/>
      <c r="BO337" s="261"/>
      <c r="BP337" s="260"/>
      <c r="BQ337" s="905"/>
      <c r="BR337" s="905"/>
      <c r="BS337" s="905"/>
      <c r="BT337" s="905"/>
      <c r="BU337" s="261"/>
      <c r="BV337" s="260"/>
      <c r="BW337" s="905"/>
      <c r="BX337" s="905"/>
      <c r="BY337" s="905"/>
      <c r="BZ337" s="905"/>
      <c r="CA337" s="261"/>
      <c r="CB337" s="260"/>
      <c r="CC337" s="905"/>
      <c r="CD337" s="905"/>
      <c r="CE337" s="905"/>
      <c r="CF337" s="905"/>
      <c r="CG337" s="261"/>
      <c r="CH337" s="260"/>
      <c r="CI337" s="905"/>
      <c r="CJ337" s="905"/>
      <c r="CK337" s="905"/>
      <c r="CL337" s="905"/>
      <c r="CM337" s="261"/>
      <c r="CN337" s="260"/>
      <c r="CO337" s="905"/>
      <c r="CP337" s="905"/>
      <c r="CQ337" s="905"/>
      <c r="CR337" s="905"/>
      <c r="CS337" s="261"/>
      <c r="CT337" s="260"/>
      <c r="CU337" s="905"/>
      <c r="CV337" s="905"/>
      <c r="CW337" s="905"/>
      <c r="CX337" s="905"/>
      <c r="CY337" s="261"/>
      <c r="CZ337" s="260"/>
      <c r="DA337" s="905"/>
      <c r="DB337" s="905"/>
      <c r="DC337" s="905"/>
      <c r="DD337" s="905"/>
      <c r="DE337" s="261"/>
      <c r="DF337" s="260"/>
      <c r="DG337" s="905"/>
      <c r="DH337" s="905"/>
      <c r="DI337" s="905"/>
      <c r="DJ337" s="905"/>
      <c r="DK337" s="261"/>
      <c r="DL337" s="260"/>
      <c r="DM337" s="905"/>
      <c r="DN337" s="905"/>
      <c r="DO337" s="905"/>
      <c r="DP337" s="261"/>
    </row>
    <row r="338" spans="1:120" ht="12" hidden="1" customHeight="1" outlineLevel="2">
      <c r="A338" s="260" t="s">
        <v>394</v>
      </c>
      <c r="B338" s="260"/>
      <c r="C338" s="261"/>
      <c r="D338" s="261"/>
      <c r="E338" s="261"/>
      <c r="F338" s="261"/>
      <c r="G338" s="261"/>
      <c r="H338" s="261"/>
      <c r="I338" s="261"/>
      <c r="J338" s="261"/>
      <c r="K338" s="261"/>
      <c r="L338" s="261"/>
      <c r="M338" s="261"/>
      <c r="N338" s="260"/>
      <c r="O338" s="905"/>
      <c r="P338" s="905"/>
      <c r="Q338" s="905"/>
      <c r="R338" s="905"/>
      <c r="S338" s="261"/>
      <c r="T338" s="909">
        <v>0.03</v>
      </c>
      <c r="U338" s="909">
        <v>0.04</v>
      </c>
      <c r="V338" s="909">
        <v>0.05</v>
      </c>
      <c r="W338" s="261"/>
      <c r="X338" s="260"/>
      <c r="Y338" s="909">
        <v>0.13</v>
      </c>
      <c r="Z338" s="909">
        <v>0.14000000000000001</v>
      </c>
      <c r="AA338" s="909">
        <v>0.16</v>
      </c>
      <c r="AB338" s="909">
        <v>0.17</v>
      </c>
      <c r="AC338" s="905"/>
      <c r="AD338" s="905"/>
      <c r="AE338" s="721"/>
      <c r="AF338" s="260"/>
      <c r="AG338" s="909"/>
      <c r="AH338" s="909"/>
      <c r="AI338" s="905"/>
      <c r="AJ338" s="905"/>
      <c r="AK338" s="721"/>
      <c r="AL338" s="260"/>
      <c r="AM338" s="721"/>
      <c r="AN338" s="721"/>
      <c r="AO338" s="905"/>
      <c r="AP338" s="905"/>
      <c r="AQ338" s="721"/>
      <c r="AR338" s="721"/>
      <c r="AS338" s="721"/>
      <c r="AT338" s="721"/>
      <c r="AU338" s="905"/>
      <c r="AV338" s="905"/>
      <c r="AW338" s="721"/>
      <c r="AX338" s="721"/>
      <c r="AY338" s="721"/>
      <c r="AZ338" s="721"/>
      <c r="BA338" s="905"/>
      <c r="BB338" s="905"/>
      <c r="BC338" s="721">
        <v>1.27</v>
      </c>
      <c r="BD338" s="721">
        <v>1.1499999999999999</v>
      </c>
      <c r="BE338" s="909">
        <v>1.17</v>
      </c>
      <c r="BF338" s="905"/>
      <c r="BG338" s="905"/>
      <c r="BH338" s="905"/>
      <c r="BI338" s="261"/>
      <c r="BJ338" s="260"/>
      <c r="BK338" s="905"/>
      <c r="BL338" s="905"/>
      <c r="BM338" s="905"/>
      <c r="BN338" s="905"/>
      <c r="BO338" s="261"/>
      <c r="BP338" s="260"/>
      <c r="BQ338" s="905"/>
      <c r="BR338" s="905"/>
      <c r="BS338" s="905"/>
      <c r="BT338" s="905"/>
      <c r="BU338" s="261"/>
      <c r="BV338" s="260"/>
      <c r="BW338" s="905"/>
      <c r="BX338" s="905"/>
      <c r="BY338" s="905"/>
      <c r="BZ338" s="905"/>
      <c r="CA338" s="261"/>
      <c r="CB338" s="260"/>
      <c r="CC338" s="905"/>
      <c r="CD338" s="905"/>
      <c r="CE338" s="905"/>
      <c r="CF338" s="905"/>
      <c r="CG338" s="261"/>
      <c r="CH338" s="260"/>
      <c r="CI338" s="905"/>
      <c r="CJ338" s="905"/>
      <c r="CK338" s="905"/>
      <c r="CL338" s="905"/>
      <c r="CM338" s="261"/>
      <c r="CN338" s="260"/>
      <c r="CO338" s="905"/>
      <c r="CP338" s="905"/>
      <c r="CQ338" s="905"/>
      <c r="CR338" s="905"/>
      <c r="CS338" s="261"/>
      <c r="CT338" s="260"/>
      <c r="CU338" s="905"/>
      <c r="CV338" s="905"/>
      <c r="CW338" s="905"/>
      <c r="CX338" s="905"/>
      <c r="CY338" s="261"/>
      <c r="CZ338" s="260"/>
      <c r="DA338" s="905"/>
      <c r="DB338" s="905"/>
      <c r="DC338" s="905"/>
      <c r="DD338" s="905"/>
      <c r="DE338" s="261"/>
      <c r="DF338" s="260"/>
      <c r="DG338" s="905"/>
      <c r="DH338" s="905"/>
      <c r="DI338" s="905"/>
      <c r="DJ338" s="905"/>
      <c r="DK338" s="261"/>
      <c r="DL338" s="260"/>
      <c r="DM338" s="905"/>
      <c r="DN338" s="905"/>
      <c r="DO338" s="905"/>
      <c r="DP338" s="261"/>
    </row>
    <row r="339" spans="1:120" ht="12" hidden="1" customHeight="1" outlineLevel="2">
      <c r="A339" s="260" t="s">
        <v>395</v>
      </c>
      <c r="B339" s="260"/>
      <c r="C339" s="261"/>
      <c r="D339" s="261"/>
      <c r="E339" s="261"/>
      <c r="F339" s="261"/>
      <c r="G339" s="261"/>
      <c r="H339" s="261"/>
      <c r="I339" s="261"/>
      <c r="J339" s="261"/>
      <c r="K339" s="261"/>
      <c r="L339" s="261"/>
      <c r="M339" s="261"/>
      <c r="N339" s="260"/>
      <c r="O339" s="905"/>
      <c r="P339" s="905"/>
      <c r="Q339" s="905"/>
      <c r="R339" s="905"/>
      <c r="S339" s="261"/>
      <c r="T339" s="909">
        <f>W93</f>
        <v>6.5200000000000138</v>
      </c>
      <c r="U339" s="909">
        <f>W93</f>
        <v>6.5200000000000138</v>
      </c>
      <c r="V339" s="909">
        <f>W93</f>
        <v>6.5200000000000138</v>
      </c>
      <c r="W339" s="261"/>
      <c r="X339" s="260"/>
      <c r="Y339" s="721">
        <f>AC93</f>
        <v>19.816999999999965</v>
      </c>
      <c r="Z339" s="721">
        <f>AC93</f>
        <v>19.816999999999965</v>
      </c>
      <c r="AA339" s="721">
        <f>$AC93</f>
        <v>19.816999999999965</v>
      </c>
      <c r="AB339" s="721">
        <f>$AC93</f>
        <v>19.816999999999965</v>
      </c>
      <c r="AC339" s="905"/>
      <c r="AD339" s="905"/>
      <c r="AE339" s="721"/>
      <c r="AF339" s="721"/>
      <c r="AG339" s="721"/>
      <c r="AH339" s="721"/>
      <c r="AI339" s="905"/>
      <c r="AJ339" s="905"/>
      <c r="AK339" s="721"/>
      <c r="AL339" s="721"/>
      <c r="AM339" s="721"/>
      <c r="AN339" s="721"/>
      <c r="AO339" s="905"/>
      <c r="AP339" s="905"/>
      <c r="AQ339" s="721"/>
      <c r="AR339" s="721"/>
      <c r="AS339" s="721"/>
      <c r="AT339" s="721"/>
      <c r="AU339" s="905"/>
      <c r="AV339" s="905"/>
      <c r="AW339" s="721"/>
      <c r="AX339" s="721"/>
      <c r="AY339" s="721"/>
      <c r="AZ339" s="721"/>
      <c r="BA339" s="905"/>
      <c r="BB339" s="905"/>
      <c r="BC339" s="721">
        <f>$BG$86</f>
        <v>0.3055272499862049</v>
      </c>
      <c r="BD339" s="721">
        <f>$BG$86</f>
        <v>0.3055272499862049</v>
      </c>
      <c r="BE339" s="721">
        <f>$BG$86</f>
        <v>0.3055272499862049</v>
      </c>
      <c r="BF339" s="905"/>
      <c r="BG339" s="905"/>
      <c r="BH339" s="905"/>
      <c r="BI339" s="261"/>
      <c r="BJ339" s="260"/>
      <c r="BK339" s="905"/>
      <c r="BL339" s="905"/>
      <c r="BM339" s="905"/>
      <c r="BN339" s="905"/>
      <c r="BO339" s="261"/>
      <c r="BP339" s="260"/>
      <c r="BQ339" s="905"/>
      <c r="BR339" s="905"/>
      <c r="BS339" s="905"/>
      <c r="BT339" s="905"/>
      <c r="BU339" s="261"/>
      <c r="BV339" s="260"/>
      <c r="BW339" s="905"/>
      <c r="BX339" s="905"/>
      <c r="BY339" s="905"/>
      <c r="BZ339" s="905"/>
      <c r="CA339" s="261"/>
      <c r="CB339" s="260"/>
      <c r="CC339" s="905"/>
      <c r="CD339" s="905"/>
      <c r="CE339" s="905"/>
      <c r="CF339" s="905"/>
      <c r="CG339" s="261"/>
      <c r="CH339" s="260"/>
      <c r="CI339" s="905"/>
      <c r="CJ339" s="905"/>
      <c r="CK339" s="905"/>
      <c r="CL339" s="905"/>
      <c r="CM339" s="261"/>
      <c r="CN339" s="260"/>
      <c r="CO339" s="905"/>
      <c r="CP339" s="905"/>
      <c r="CQ339" s="905"/>
      <c r="CR339" s="905"/>
      <c r="CS339" s="261"/>
      <c r="CT339" s="260"/>
      <c r="CU339" s="905"/>
      <c r="CV339" s="905"/>
      <c r="CW339" s="905"/>
      <c r="CX339" s="905"/>
      <c r="CY339" s="261"/>
      <c r="CZ339" s="260"/>
      <c r="DA339" s="905"/>
      <c r="DB339" s="905"/>
      <c r="DC339" s="905"/>
      <c r="DD339" s="905"/>
      <c r="DE339" s="261"/>
      <c r="DF339" s="260"/>
      <c r="DG339" s="905"/>
      <c r="DH339" s="905"/>
      <c r="DI339" s="905"/>
      <c r="DJ339" s="905"/>
      <c r="DK339" s="261"/>
      <c r="DL339" s="260"/>
      <c r="DM339" s="905"/>
      <c r="DN339" s="905"/>
      <c r="DO339" s="905"/>
      <c r="DP339" s="261"/>
    </row>
    <row r="340" spans="1:120" ht="12" hidden="1" customHeight="1" outlineLevel="2">
      <c r="A340" s="260" t="s">
        <v>947</v>
      </c>
      <c r="B340" s="260"/>
      <c r="C340" s="261"/>
      <c r="D340" s="261"/>
      <c r="E340" s="261"/>
      <c r="F340" s="261"/>
      <c r="G340" s="261"/>
      <c r="H340" s="261"/>
      <c r="I340" s="261"/>
      <c r="J340" s="261"/>
      <c r="K340" s="261"/>
      <c r="L340" s="261"/>
      <c r="M340" s="261"/>
      <c r="N340" s="260"/>
      <c r="O340" s="905"/>
      <c r="P340" s="905"/>
      <c r="Q340" s="905"/>
      <c r="R340" s="905"/>
      <c r="S340" s="261"/>
      <c r="T340" s="908">
        <f>T339/AVERAGE(T337:T338)-1</f>
        <v>433.6666666666676</v>
      </c>
      <c r="U340" s="908">
        <f>U339/AVERAGE(U337:U338)-1</f>
        <v>216.3333333333338</v>
      </c>
      <c r="V340" s="908">
        <f>V339/AVERAGE(V337:V338)-1</f>
        <v>143.8888888888892</v>
      </c>
      <c r="W340" s="261"/>
      <c r="X340" s="260"/>
      <c r="Y340" s="908">
        <f>Y339/AVERAGE(Y337:Y338)-1</f>
        <v>164.14166666666637</v>
      </c>
      <c r="Z340" s="908">
        <f>Z339/AVERAGE(Z337:Z338)-1</f>
        <v>157.53599999999972</v>
      </c>
      <c r="AA340" s="908">
        <f>AA339/AVERAGE(AA337:AA338)-1</f>
        <v>135.66896551724111</v>
      </c>
      <c r="AB340" s="908">
        <f>AB339/AVERAGE(AB337:AB338)-1</f>
        <v>122.85624999999978</v>
      </c>
      <c r="AC340" s="905"/>
      <c r="AD340" s="905"/>
      <c r="AE340" s="908"/>
      <c r="AF340" s="908"/>
      <c r="AG340" s="908"/>
      <c r="AH340" s="908"/>
      <c r="AI340" s="905"/>
      <c r="AJ340" s="905"/>
      <c r="AK340" s="908"/>
      <c r="AL340" s="908"/>
      <c r="AM340" s="908"/>
      <c r="AN340" s="908"/>
      <c r="AO340" s="905"/>
      <c r="AP340" s="905"/>
      <c r="AQ340" s="908"/>
      <c r="AR340" s="908"/>
      <c r="AS340" s="908"/>
      <c r="AT340" s="908"/>
      <c r="AU340" s="905"/>
      <c r="AV340" s="905"/>
      <c r="AW340" s="908"/>
      <c r="AX340" s="908"/>
      <c r="AY340" s="908"/>
      <c r="AZ340" s="908"/>
      <c r="BA340" s="905"/>
      <c r="BB340" s="905"/>
      <c r="BC340" s="908">
        <f>BC339/AVERAGE(BC337:BC338)-1</f>
        <v>-0.75751805556650409</v>
      </c>
      <c r="BD340" s="908">
        <f>BD339/AVERAGE(BD337:BD338)-1</f>
        <v>-0.73199364036297809</v>
      </c>
      <c r="BE340" s="908">
        <f>BE339/AVERAGE(BE337:BE338)-1</f>
        <v>-0.73661443966706475</v>
      </c>
      <c r="BF340" s="905"/>
      <c r="BG340" s="905"/>
      <c r="BH340" s="905"/>
      <c r="BI340" s="261"/>
      <c r="BJ340" s="260"/>
      <c r="BK340" s="905"/>
      <c r="BL340" s="905"/>
      <c r="BM340" s="905"/>
      <c r="BN340" s="905"/>
      <c r="BO340" s="261"/>
      <c r="BP340" s="260"/>
      <c r="BQ340" s="905"/>
      <c r="BR340" s="905"/>
      <c r="BS340" s="905"/>
      <c r="BT340" s="905"/>
      <c r="BU340" s="261"/>
      <c r="BV340" s="260"/>
      <c r="BW340" s="905"/>
      <c r="BX340" s="905"/>
      <c r="BY340" s="905"/>
      <c r="BZ340" s="905"/>
      <c r="CA340" s="261"/>
      <c r="CB340" s="260"/>
      <c r="CC340" s="905"/>
      <c r="CD340" s="905"/>
      <c r="CE340" s="905"/>
      <c r="CF340" s="905"/>
      <c r="CG340" s="261"/>
      <c r="CH340" s="260"/>
      <c r="CI340" s="905"/>
      <c r="CJ340" s="905"/>
      <c r="CK340" s="905"/>
      <c r="CL340" s="905"/>
      <c r="CM340" s="261"/>
      <c r="CN340" s="260"/>
      <c r="CO340" s="905"/>
      <c r="CP340" s="905"/>
      <c r="CQ340" s="905"/>
      <c r="CR340" s="905"/>
      <c r="CS340" s="261"/>
      <c r="CT340" s="260"/>
      <c r="CU340" s="905"/>
      <c r="CV340" s="905"/>
      <c r="CW340" s="905"/>
      <c r="CX340" s="905"/>
      <c r="CY340" s="261"/>
      <c r="CZ340" s="260"/>
      <c r="DA340" s="905"/>
      <c r="DB340" s="905"/>
      <c r="DC340" s="905"/>
      <c r="DD340" s="905"/>
      <c r="DE340" s="261"/>
      <c r="DF340" s="260"/>
      <c r="DG340" s="905"/>
      <c r="DH340" s="905"/>
      <c r="DI340" s="905"/>
      <c r="DJ340" s="905"/>
      <c r="DK340" s="261"/>
      <c r="DL340" s="260"/>
      <c r="DM340" s="905"/>
      <c r="DN340" s="905"/>
      <c r="DO340" s="905"/>
      <c r="DP340" s="261"/>
    </row>
    <row r="341" spans="1:120" ht="6" hidden="1" customHeight="1" outlineLevel="2">
      <c r="A341" s="260"/>
      <c r="B341" s="260"/>
      <c r="C341" s="261"/>
      <c r="D341" s="261"/>
      <c r="E341" s="261"/>
      <c r="F341" s="261"/>
      <c r="G341" s="261"/>
      <c r="H341" s="261"/>
      <c r="I341" s="261"/>
      <c r="J341" s="261"/>
      <c r="K341" s="261"/>
      <c r="L341" s="261"/>
      <c r="M341" s="261"/>
      <c r="N341" s="260"/>
      <c r="O341" s="905"/>
      <c r="P341" s="905"/>
      <c r="Q341" s="905"/>
      <c r="R341" s="905"/>
      <c r="S341" s="261"/>
      <c r="T341" s="261"/>
      <c r="U341" s="905"/>
      <c r="V341" s="905"/>
      <c r="W341" s="261"/>
      <c r="X341" s="260"/>
      <c r="Y341" s="905"/>
      <c r="Z341" s="905"/>
      <c r="AA341" s="261"/>
      <c r="AB341" s="261"/>
      <c r="AC341" s="905"/>
      <c r="AD341" s="905"/>
      <c r="AE341" s="261"/>
      <c r="AF341" s="260"/>
      <c r="AG341" s="905"/>
      <c r="AH341" s="905"/>
      <c r="AI341" s="905"/>
      <c r="AJ341" s="905"/>
      <c r="AK341" s="261"/>
      <c r="AL341" s="260"/>
      <c r="AM341" s="260"/>
      <c r="AN341" s="905"/>
      <c r="AO341" s="905"/>
      <c r="AP341" s="905"/>
      <c r="AQ341" s="261"/>
      <c r="AR341" s="261"/>
      <c r="AS341" s="261"/>
      <c r="AT341" s="261"/>
      <c r="AU341" s="905"/>
      <c r="AV341" s="905"/>
      <c r="AW341" s="261"/>
      <c r="AX341" s="260"/>
      <c r="AY341" s="260"/>
      <c r="AZ341" s="260"/>
      <c r="BA341" s="905"/>
      <c r="BB341" s="905"/>
      <c r="BC341" s="261"/>
      <c r="BD341" s="260"/>
      <c r="BE341" s="905"/>
      <c r="BF341" s="905"/>
      <c r="BG341" s="905"/>
      <c r="BH341" s="905"/>
      <c r="BI341" s="261"/>
      <c r="BJ341" s="260"/>
      <c r="BK341" s="905"/>
      <c r="BL341" s="905"/>
      <c r="BM341" s="905"/>
      <c r="BN341" s="905"/>
      <c r="BO341" s="261"/>
      <c r="BP341" s="260"/>
      <c r="BQ341" s="905"/>
      <c r="BR341" s="905"/>
      <c r="BS341" s="905"/>
      <c r="BT341" s="905"/>
      <c r="BU341" s="261"/>
      <c r="BV341" s="260"/>
      <c r="BW341" s="905"/>
      <c r="BX341" s="905"/>
      <c r="BY341" s="905"/>
      <c r="BZ341" s="905"/>
      <c r="CA341" s="261"/>
      <c r="CB341" s="260"/>
      <c r="CC341" s="905"/>
      <c r="CD341" s="905"/>
      <c r="CE341" s="905"/>
      <c r="CF341" s="905"/>
      <c r="CG341" s="261"/>
      <c r="CH341" s="260"/>
      <c r="CI341" s="905"/>
      <c r="CJ341" s="905"/>
      <c r="CK341" s="905"/>
      <c r="CL341" s="905"/>
      <c r="CM341" s="261"/>
      <c r="CN341" s="260"/>
      <c r="CO341" s="905"/>
      <c r="CP341" s="905"/>
      <c r="CQ341" s="905"/>
      <c r="CR341" s="905"/>
      <c r="CS341" s="261"/>
      <c r="CT341" s="260"/>
      <c r="CU341" s="905"/>
      <c r="CV341" s="905"/>
      <c r="CW341" s="905"/>
      <c r="CX341" s="905"/>
      <c r="CY341" s="261"/>
      <c r="CZ341" s="260"/>
      <c r="DA341" s="905"/>
      <c r="DB341" s="905"/>
      <c r="DC341" s="905"/>
      <c r="DD341" s="905"/>
      <c r="DE341" s="261"/>
      <c r="DF341" s="260"/>
      <c r="DG341" s="905"/>
      <c r="DH341" s="905"/>
      <c r="DI341" s="905"/>
      <c r="DJ341" s="905"/>
      <c r="DK341" s="261"/>
      <c r="DL341" s="260"/>
      <c r="DM341" s="905"/>
      <c r="DN341" s="905"/>
      <c r="DO341" s="905"/>
      <c r="DP341" s="261"/>
    </row>
    <row r="342" spans="1:120" ht="12.75" hidden="1" customHeight="1" outlineLevel="2">
      <c r="A342" s="904" t="s">
        <v>852</v>
      </c>
      <c r="B342" s="260"/>
      <c r="C342" s="261"/>
      <c r="D342" s="261"/>
      <c r="E342" s="261"/>
      <c r="F342" s="261"/>
      <c r="G342" s="261"/>
      <c r="H342" s="261"/>
      <c r="I342" s="261"/>
      <c r="J342" s="261"/>
      <c r="K342" s="261"/>
      <c r="L342" s="261"/>
      <c r="M342" s="261"/>
      <c r="N342" s="260"/>
      <c r="O342" s="905"/>
      <c r="P342" s="905"/>
      <c r="Q342" s="905"/>
      <c r="R342" s="905"/>
      <c r="S342" s="261"/>
      <c r="T342" s="261"/>
      <c r="U342" s="260"/>
      <c r="V342" s="260"/>
      <c r="W342" s="260"/>
      <c r="X342" s="260"/>
      <c r="Y342" s="260"/>
      <c r="Z342" s="260"/>
      <c r="AA342" s="261"/>
      <c r="AB342" s="261"/>
      <c r="AC342" s="905"/>
      <c r="AD342" s="905"/>
      <c r="AE342" s="261"/>
      <c r="AF342" s="260"/>
      <c r="AG342" s="905"/>
      <c r="AH342" s="905"/>
      <c r="AI342" s="905"/>
      <c r="AJ342" s="905"/>
      <c r="AK342" s="261"/>
      <c r="AL342" s="260"/>
      <c r="AM342" s="260"/>
      <c r="AN342" s="905"/>
      <c r="AO342" s="905"/>
      <c r="AP342" s="905"/>
      <c r="AQ342" s="261"/>
      <c r="AR342" s="261"/>
      <c r="AS342" s="261"/>
      <c r="AT342" s="261"/>
      <c r="AU342" s="905"/>
      <c r="AV342" s="905"/>
      <c r="AW342" s="261"/>
      <c r="AX342" s="260"/>
      <c r="AY342" s="260"/>
      <c r="AZ342" s="260"/>
      <c r="BA342" s="905"/>
      <c r="BB342" s="905"/>
      <c r="BC342" s="261"/>
      <c r="BD342" s="260"/>
      <c r="BE342" s="905"/>
      <c r="BF342" s="905"/>
      <c r="BG342" s="905"/>
      <c r="BH342" s="905"/>
      <c r="BI342" s="261"/>
      <c r="BJ342" s="260"/>
      <c r="BK342" s="905"/>
      <c r="BL342" s="905"/>
      <c r="BM342" s="905"/>
      <c r="BN342" s="905"/>
      <c r="BO342" s="261"/>
      <c r="BP342" s="260"/>
      <c r="BQ342" s="905"/>
      <c r="BR342" s="905"/>
      <c r="BS342" s="905"/>
      <c r="BT342" s="905"/>
      <c r="BU342" s="261"/>
      <c r="BV342" s="260"/>
      <c r="BW342" s="905"/>
      <c r="BX342" s="905"/>
      <c r="BY342" s="905"/>
      <c r="BZ342" s="905"/>
      <c r="CA342" s="261"/>
      <c r="CB342" s="260"/>
      <c r="CC342" s="905"/>
      <c r="CD342" s="905"/>
      <c r="CE342" s="905"/>
      <c r="CF342" s="905"/>
      <c r="CG342" s="261"/>
      <c r="CH342" s="260"/>
      <c r="CI342" s="905"/>
      <c r="CJ342" s="905"/>
      <c r="CK342" s="905"/>
      <c r="CL342" s="905"/>
      <c r="CM342" s="261"/>
      <c r="CN342" s="260"/>
      <c r="CO342" s="905"/>
      <c r="CP342" s="905"/>
      <c r="CQ342" s="905"/>
      <c r="CR342" s="905"/>
      <c r="CS342" s="261"/>
      <c r="CT342" s="260"/>
      <c r="CU342" s="905"/>
      <c r="CV342" s="905"/>
      <c r="CW342" s="905"/>
      <c r="CX342" s="905"/>
      <c r="CY342" s="261"/>
      <c r="CZ342" s="260"/>
      <c r="DA342" s="905"/>
      <c r="DB342" s="905"/>
      <c r="DC342" s="905"/>
      <c r="DD342" s="905"/>
      <c r="DE342" s="261"/>
      <c r="DF342" s="260"/>
      <c r="DG342" s="905"/>
      <c r="DH342" s="905"/>
      <c r="DI342" s="905"/>
      <c r="DJ342" s="905"/>
      <c r="DK342" s="261"/>
      <c r="DL342" s="260"/>
      <c r="DM342" s="905"/>
      <c r="DN342" s="905"/>
      <c r="DO342" s="905"/>
      <c r="DP342" s="261"/>
    </row>
    <row r="343" spans="1:120" ht="12.75" hidden="1" customHeight="1" outlineLevel="2">
      <c r="A343" s="904" t="s">
        <v>730</v>
      </c>
      <c r="B343" s="260"/>
      <c r="C343" s="261"/>
      <c r="D343" s="261"/>
      <c r="E343" s="261"/>
      <c r="F343" s="261"/>
      <c r="G343" s="261"/>
      <c r="H343" s="261"/>
      <c r="I343" s="261"/>
      <c r="J343" s="261"/>
      <c r="K343" s="261"/>
      <c r="L343" s="261"/>
      <c r="M343" s="261"/>
      <c r="N343" s="260"/>
      <c r="O343" s="905"/>
      <c r="P343" s="905"/>
      <c r="Q343" s="905"/>
      <c r="R343" s="905"/>
      <c r="S343" s="261"/>
      <c r="T343" s="714" t="s">
        <v>860</v>
      </c>
      <c r="U343" s="714">
        <v>0.13</v>
      </c>
      <c r="V343" s="714">
        <v>0.13</v>
      </c>
      <c r="W343" s="261"/>
      <c r="X343" s="260"/>
      <c r="Y343" s="714">
        <v>0.25</v>
      </c>
      <c r="Z343" s="714">
        <v>0.2</v>
      </c>
      <c r="AA343" s="714">
        <v>0.2</v>
      </c>
      <c r="AB343" s="714">
        <v>0.2</v>
      </c>
      <c r="AC343" s="905"/>
      <c r="AD343" s="905"/>
      <c r="AE343" s="714">
        <v>0.45</v>
      </c>
      <c r="AF343" s="714">
        <v>0.45</v>
      </c>
      <c r="AG343" s="714">
        <v>0.45</v>
      </c>
      <c r="AH343" s="714">
        <v>0.45</v>
      </c>
      <c r="AI343" s="905"/>
      <c r="AJ343" s="905"/>
      <c r="AK343" s="714">
        <v>0.6</v>
      </c>
      <c r="AL343" s="279">
        <v>0.65</v>
      </c>
      <c r="AM343" s="279">
        <v>0.57999999999999996</v>
      </c>
      <c r="AN343" s="279">
        <v>0.5</v>
      </c>
      <c r="AO343" s="905"/>
      <c r="AP343" s="905"/>
      <c r="AQ343" s="279">
        <v>0.48</v>
      </c>
      <c r="AR343" s="279">
        <v>0.48</v>
      </c>
      <c r="AS343" s="279">
        <v>0.48</v>
      </c>
      <c r="AT343" s="279">
        <v>0.48</v>
      </c>
      <c r="AU343" s="905"/>
      <c r="AV343" s="905"/>
      <c r="AW343" s="279">
        <v>0.43</v>
      </c>
      <c r="AX343" s="883">
        <v>0.43</v>
      </c>
      <c r="AY343" s="883">
        <v>0.42</v>
      </c>
      <c r="AZ343" s="883">
        <v>0.42</v>
      </c>
      <c r="BA343" s="905"/>
      <c r="BB343" s="905"/>
      <c r="BC343" s="279">
        <v>0.4</v>
      </c>
      <c r="BD343" s="883">
        <v>0.38</v>
      </c>
      <c r="BE343" s="883">
        <v>0.41</v>
      </c>
      <c r="BF343" s="905"/>
      <c r="BG343" s="905"/>
      <c r="BH343" s="905"/>
      <c r="BI343" s="261"/>
      <c r="BJ343" s="260"/>
      <c r="BK343" s="905"/>
      <c r="BL343" s="905"/>
      <c r="BM343" s="905"/>
      <c r="BN343" s="905"/>
      <c r="BO343" s="261"/>
      <c r="BP343" s="260"/>
      <c r="BQ343" s="905"/>
      <c r="BR343" s="905"/>
      <c r="BS343" s="905"/>
      <c r="BT343" s="905"/>
      <c r="BU343" s="261"/>
      <c r="BV343" s="260"/>
      <c r="BW343" s="905"/>
      <c r="BX343" s="905"/>
      <c r="BY343" s="905"/>
      <c r="BZ343" s="905"/>
      <c r="CA343" s="261"/>
      <c r="CB343" s="260"/>
      <c r="CC343" s="905"/>
      <c r="CD343" s="905"/>
      <c r="CE343" s="905"/>
      <c r="CF343" s="905"/>
      <c r="CG343" s="261"/>
      <c r="CH343" s="260"/>
      <c r="CI343" s="905"/>
      <c r="CJ343" s="905"/>
      <c r="CK343" s="905"/>
      <c r="CL343" s="905"/>
      <c r="CM343" s="261"/>
      <c r="CN343" s="260"/>
      <c r="CO343" s="905"/>
      <c r="CP343" s="905"/>
      <c r="CQ343" s="905"/>
      <c r="CR343" s="905"/>
      <c r="CS343" s="261"/>
      <c r="CT343" s="260"/>
      <c r="CU343" s="905"/>
      <c r="CV343" s="905"/>
      <c r="CW343" s="905"/>
      <c r="CX343" s="905"/>
      <c r="CY343" s="261"/>
      <c r="CZ343" s="260"/>
      <c r="DA343" s="905"/>
      <c r="DB343" s="905"/>
      <c r="DC343" s="905"/>
      <c r="DD343" s="905"/>
      <c r="DE343" s="261"/>
      <c r="DF343" s="260"/>
      <c r="DG343" s="905"/>
      <c r="DH343" s="905"/>
      <c r="DI343" s="905"/>
      <c r="DJ343" s="905"/>
      <c r="DK343" s="261"/>
      <c r="DL343" s="260"/>
      <c r="DM343" s="905"/>
      <c r="DN343" s="905"/>
      <c r="DO343" s="905"/>
      <c r="DP343" s="261"/>
    </row>
    <row r="344" spans="1:120" ht="12" hidden="1" customHeight="1" outlineLevel="2">
      <c r="A344" s="260" t="s">
        <v>395</v>
      </c>
      <c r="B344" s="260"/>
      <c r="C344" s="261"/>
      <c r="D344" s="261"/>
      <c r="E344" s="261"/>
      <c r="F344" s="261"/>
      <c r="G344" s="261"/>
      <c r="H344" s="261"/>
      <c r="I344" s="261"/>
      <c r="J344" s="261"/>
      <c r="K344" s="261"/>
      <c r="L344" s="261"/>
      <c r="M344" s="261"/>
      <c r="N344" s="260"/>
      <c r="O344" s="905"/>
      <c r="P344" s="905"/>
      <c r="Q344" s="905"/>
      <c r="R344" s="905"/>
      <c r="S344" s="261"/>
      <c r="T344" s="279">
        <f>W80</f>
        <v>0.1329618704249971</v>
      </c>
      <c r="U344" s="714">
        <f>W80</f>
        <v>0.1329618704249971</v>
      </c>
      <c r="V344" s="714">
        <f>W80</f>
        <v>0.1329618704249971</v>
      </c>
      <c r="W344" s="261"/>
      <c r="X344" s="260"/>
      <c r="Y344" s="714">
        <f>AC80</f>
        <v>0.19352989646401345</v>
      </c>
      <c r="Z344" s="714">
        <f>AC80</f>
        <v>0.19352989646401345</v>
      </c>
      <c r="AA344" s="714">
        <f>AC80</f>
        <v>0.19352989646401345</v>
      </c>
      <c r="AB344" s="714">
        <f>AC80</f>
        <v>0.19352989646401345</v>
      </c>
      <c r="AC344" s="905"/>
      <c r="AD344" s="905"/>
      <c r="AE344" s="714">
        <f>$AI80</f>
        <v>0.45000668981872244</v>
      </c>
      <c r="AF344" s="714">
        <f>$AI80</f>
        <v>0.45000668981872244</v>
      </c>
      <c r="AG344" s="714">
        <f>$AI80</f>
        <v>0.45000668981872244</v>
      </c>
      <c r="AH344" s="714">
        <f>$AI80</f>
        <v>0.45000668981872244</v>
      </c>
      <c r="AI344" s="905"/>
      <c r="AJ344" s="905"/>
      <c r="AK344" s="714">
        <f>$AO104</f>
        <v>0.50602644277584197</v>
      </c>
      <c r="AL344" s="714">
        <f>$AO104</f>
        <v>0.50602644277584197</v>
      </c>
      <c r="AM344" s="714">
        <f>$AO104</f>
        <v>0.50602644277584197</v>
      </c>
      <c r="AN344" s="714">
        <f>$AO104</f>
        <v>0.50602644277584197</v>
      </c>
      <c r="AO344" s="905"/>
      <c r="AP344" s="905"/>
      <c r="AQ344" s="714">
        <f>$AU104</f>
        <v>0.43632371392722691</v>
      </c>
      <c r="AR344" s="714">
        <f>$AU104</f>
        <v>0.43632371392722691</v>
      </c>
      <c r="AS344" s="714">
        <f>$AU104</f>
        <v>0.43632371392722691</v>
      </c>
      <c r="AT344" s="714">
        <f>$AU104</f>
        <v>0.43632371392722691</v>
      </c>
      <c r="AU344" s="905"/>
      <c r="AV344" s="905"/>
      <c r="AW344" s="714">
        <f>$AU104</f>
        <v>0.43632371392722691</v>
      </c>
      <c r="AX344" s="714">
        <f>$AU104</f>
        <v>0.43632371392722691</v>
      </c>
      <c r="AY344" s="714">
        <f>$AU104</f>
        <v>0.43632371392722691</v>
      </c>
      <c r="AZ344" s="714">
        <f>$AU104</f>
        <v>0.43632371392722691</v>
      </c>
      <c r="BA344" s="905"/>
      <c r="BB344" s="905"/>
      <c r="BC344" s="714">
        <f>$BG104</f>
        <v>0.33173860520411858</v>
      </c>
      <c r="BD344" s="714">
        <f>$BG104</f>
        <v>0.33173860520411858</v>
      </c>
      <c r="BE344" s="714">
        <f>$BG104</f>
        <v>0.33173860520411858</v>
      </c>
      <c r="BF344" s="905"/>
      <c r="BG344" s="905"/>
      <c r="BH344" s="905"/>
      <c r="BI344" s="261"/>
      <c r="BJ344" s="260"/>
      <c r="BK344" s="905"/>
      <c r="BL344" s="905"/>
      <c r="BM344" s="905"/>
      <c r="BN344" s="905"/>
      <c r="BO344" s="261"/>
      <c r="BP344" s="260"/>
      <c r="BQ344" s="905"/>
      <c r="BR344" s="905"/>
      <c r="BS344" s="905"/>
      <c r="BT344" s="905"/>
      <c r="BU344" s="261"/>
      <c r="BV344" s="260"/>
      <c r="BW344" s="905"/>
      <c r="BX344" s="905"/>
      <c r="BY344" s="905"/>
      <c r="BZ344" s="905"/>
      <c r="CA344" s="261"/>
      <c r="CB344" s="260"/>
      <c r="CC344" s="905"/>
      <c r="CD344" s="905"/>
      <c r="CE344" s="905"/>
      <c r="CF344" s="905"/>
      <c r="CG344" s="261"/>
      <c r="CH344" s="260"/>
      <c r="CI344" s="905"/>
      <c r="CJ344" s="905"/>
      <c r="CK344" s="905"/>
      <c r="CL344" s="905"/>
      <c r="CM344" s="261"/>
      <c r="CN344" s="260"/>
      <c r="CO344" s="905"/>
      <c r="CP344" s="905"/>
      <c r="CQ344" s="905"/>
      <c r="CR344" s="905"/>
      <c r="CS344" s="261"/>
      <c r="CT344" s="260"/>
      <c r="CU344" s="905"/>
      <c r="CV344" s="905"/>
      <c r="CW344" s="905"/>
      <c r="CX344" s="905"/>
      <c r="CY344" s="261"/>
      <c r="CZ344" s="260"/>
      <c r="DA344" s="905"/>
      <c r="DB344" s="905"/>
      <c r="DC344" s="905"/>
      <c r="DD344" s="905"/>
      <c r="DE344" s="261"/>
      <c r="DF344" s="260"/>
      <c r="DG344" s="905"/>
      <c r="DH344" s="905"/>
      <c r="DI344" s="905"/>
      <c r="DJ344" s="905"/>
      <c r="DK344" s="261"/>
      <c r="DL344" s="260"/>
      <c r="DM344" s="905"/>
      <c r="DN344" s="905"/>
      <c r="DO344" s="905"/>
      <c r="DP344" s="261"/>
    </row>
    <row r="345" spans="1:120" ht="12" hidden="1" customHeight="1" outlineLevel="2">
      <c r="A345" s="260"/>
      <c r="B345" s="260"/>
      <c r="C345" s="261"/>
      <c r="D345" s="261"/>
      <c r="E345" s="261"/>
      <c r="F345" s="261"/>
      <c r="G345" s="261"/>
      <c r="H345" s="261"/>
      <c r="I345" s="261"/>
      <c r="J345" s="261"/>
      <c r="K345" s="261"/>
      <c r="L345" s="261"/>
      <c r="M345" s="261"/>
      <c r="N345" s="260"/>
      <c r="O345" s="905"/>
      <c r="P345" s="905"/>
      <c r="Q345" s="905"/>
      <c r="R345" s="905"/>
      <c r="S345" s="261"/>
      <c r="T345" s="279"/>
      <c r="U345" s="714"/>
      <c r="V345" s="714"/>
      <c r="W345" s="261"/>
      <c r="X345" s="260"/>
      <c r="Y345" s="714"/>
      <c r="Z345" s="714"/>
      <c r="AA345" s="714"/>
      <c r="AB345" s="714"/>
      <c r="AC345" s="905"/>
      <c r="AD345" s="905"/>
      <c r="AE345" s="714"/>
      <c r="AF345" s="714"/>
      <c r="AG345" s="714"/>
      <c r="AH345" s="714"/>
      <c r="AI345" s="905"/>
      <c r="AJ345" s="905"/>
      <c r="AK345" s="714"/>
      <c r="AL345" s="714"/>
      <c r="AM345" s="714"/>
      <c r="AN345" s="714"/>
      <c r="AO345" s="905"/>
      <c r="AP345" s="905"/>
      <c r="AQ345" s="714"/>
      <c r="AR345" s="714"/>
      <c r="AS345" s="714"/>
      <c r="AT345" s="714"/>
      <c r="AU345" s="905"/>
      <c r="AV345" s="905"/>
      <c r="AW345" s="714"/>
      <c r="AX345" s="260"/>
      <c r="AY345" s="905"/>
      <c r="AZ345" s="905"/>
      <c r="BA345" s="905"/>
      <c r="BB345" s="905"/>
      <c r="BC345" s="261"/>
      <c r="BD345" s="260"/>
      <c r="BE345" s="905"/>
      <c r="BF345" s="905"/>
      <c r="BG345" s="905"/>
      <c r="BH345" s="905"/>
      <c r="BI345" s="261"/>
      <c r="BJ345" s="260"/>
      <c r="BK345" s="905"/>
      <c r="BL345" s="905"/>
      <c r="BM345" s="905"/>
      <c r="BN345" s="905"/>
      <c r="BO345" s="261"/>
      <c r="BP345" s="260"/>
      <c r="BQ345" s="905"/>
      <c r="BR345" s="905"/>
      <c r="BS345" s="905"/>
      <c r="BT345" s="905"/>
      <c r="BU345" s="261"/>
      <c r="BV345" s="260"/>
      <c r="BW345" s="905"/>
      <c r="BX345" s="905"/>
      <c r="BY345" s="905"/>
      <c r="BZ345" s="905"/>
      <c r="CA345" s="261"/>
      <c r="CB345" s="260"/>
      <c r="CC345" s="905"/>
      <c r="CD345" s="905"/>
      <c r="CE345" s="905"/>
      <c r="CF345" s="905"/>
      <c r="CG345" s="261"/>
      <c r="CH345" s="260"/>
      <c r="CI345" s="905"/>
      <c r="CJ345" s="905"/>
      <c r="CK345" s="905"/>
      <c r="CL345" s="905"/>
      <c r="CM345" s="261"/>
      <c r="CN345" s="260"/>
      <c r="CO345" s="905"/>
      <c r="CP345" s="905"/>
      <c r="CQ345" s="905"/>
      <c r="CR345" s="905"/>
      <c r="CS345" s="261"/>
      <c r="CT345" s="260"/>
      <c r="CU345" s="905"/>
      <c r="CV345" s="905"/>
      <c r="CW345" s="905"/>
      <c r="CX345" s="905"/>
      <c r="CY345" s="261"/>
      <c r="CZ345" s="260"/>
      <c r="DA345" s="905"/>
      <c r="DB345" s="905"/>
      <c r="DC345" s="905"/>
      <c r="DD345" s="905"/>
      <c r="DE345" s="261"/>
      <c r="DF345" s="260"/>
      <c r="DG345" s="905"/>
      <c r="DH345" s="905"/>
      <c r="DI345" s="905"/>
      <c r="DJ345" s="905"/>
      <c r="DK345" s="261"/>
      <c r="DL345" s="260"/>
      <c r="DM345" s="905"/>
      <c r="DN345" s="905"/>
      <c r="DO345" s="905"/>
      <c r="DP345" s="261"/>
    </row>
    <row r="346" spans="1:120" ht="12.75" hidden="1" customHeight="1" outlineLevel="2">
      <c r="A346" s="904" t="s">
        <v>529</v>
      </c>
      <c r="B346" s="260"/>
      <c r="C346" s="261"/>
      <c r="D346" s="261"/>
      <c r="E346" s="261"/>
      <c r="F346" s="261"/>
      <c r="G346" s="261"/>
      <c r="H346" s="261"/>
      <c r="I346" s="261"/>
      <c r="J346" s="261"/>
      <c r="K346" s="261"/>
      <c r="L346" s="261"/>
      <c r="M346" s="261"/>
      <c r="N346" s="260"/>
      <c r="O346" s="905"/>
      <c r="P346" s="905"/>
      <c r="Q346" s="905"/>
      <c r="R346" s="905"/>
      <c r="S346" s="261"/>
      <c r="T346" s="714" t="s">
        <v>860</v>
      </c>
      <c r="U346" s="906">
        <v>110</v>
      </c>
      <c r="V346" s="906">
        <v>110</v>
      </c>
      <c r="W346" s="261"/>
      <c r="X346" s="260"/>
      <c r="Y346" s="906">
        <v>123</v>
      </c>
      <c r="Z346" s="906">
        <v>123</v>
      </c>
      <c r="AA346" s="906">
        <v>120</v>
      </c>
      <c r="AB346" s="906">
        <v>120</v>
      </c>
      <c r="AC346" s="905"/>
      <c r="AD346" s="905"/>
      <c r="AE346" s="906">
        <v>124</v>
      </c>
      <c r="AF346" s="906">
        <v>122</v>
      </c>
      <c r="AG346" s="906">
        <v>121</v>
      </c>
      <c r="AH346" s="906">
        <v>122</v>
      </c>
      <c r="AI346" s="905"/>
      <c r="AJ346" s="905"/>
      <c r="AK346" s="906">
        <v>126</v>
      </c>
      <c r="AL346" s="263">
        <v>124</v>
      </c>
      <c r="AM346" s="263">
        <v>123</v>
      </c>
      <c r="AN346" s="263">
        <v>123</v>
      </c>
      <c r="AO346" s="905"/>
      <c r="AP346" s="905"/>
      <c r="AQ346" s="263">
        <v>125</v>
      </c>
      <c r="AR346" s="263">
        <v>125</v>
      </c>
      <c r="AS346" s="263">
        <v>126</v>
      </c>
      <c r="AT346" s="263">
        <v>126</v>
      </c>
      <c r="AU346" s="905"/>
      <c r="AV346" s="905"/>
      <c r="AW346" s="263">
        <v>128</v>
      </c>
      <c r="AX346" s="260"/>
      <c r="AY346" s="905"/>
      <c r="AZ346" s="905">
        <v>127</v>
      </c>
      <c r="BA346" s="905"/>
      <c r="BB346" s="905"/>
      <c r="BC346" s="261">
        <v>136</v>
      </c>
      <c r="BD346" s="260">
        <v>136</v>
      </c>
      <c r="BE346" s="905">
        <v>136</v>
      </c>
      <c r="BF346" s="905"/>
      <c r="BG346" s="905"/>
      <c r="BH346" s="905"/>
      <c r="BI346" s="261"/>
      <c r="BJ346" s="260"/>
      <c r="BK346" s="905"/>
      <c r="BL346" s="905"/>
      <c r="BM346" s="905"/>
      <c r="BN346" s="905"/>
      <c r="BO346" s="261"/>
      <c r="BP346" s="260"/>
      <c r="BQ346" s="905"/>
      <c r="BR346" s="905"/>
      <c r="BS346" s="905"/>
      <c r="BT346" s="905"/>
      <c r="BU346" s="261"/>
      <c r="BV346" s="260"/>
      <c r="BW346" s="905"/>
      <c r="BX346" s="905"/>
      <c r="BY346" s="905"/>
      <c r="BZ346" s="905"/>
      <c r="CA346" s="261"/>
      <c r="CB346" s="260"/>
      <c r="CC346" s="905"/>
      <c r="CD346" s="905"/>
      <c r="CE346" s="905"/>
      <c r="CF346" s="905"/>
      <c r="CG346" s="261"/>
      <c r="CH346" s="260"/>
      <c r="CI346" s="905"/>
      <c r="CJ346" s="905"/>
      <c r="CK346" s="905"/>
      <c r="CL346" s="905"/>
      <c r="CM346" s="261"/>
      <c r="CN346" s="260"/>
      <c r="CO346" s="905"/>
      <c r="CP346" s="905"/>
      <c r="CQ346" s="905"/>
      <c r="CR346" s="905"/>
      <c r="CS346" s="261"/>
      <c r="CT346" s="260"/>
      <c r="CU346" s="905"/>
      <c r="CV346" s="905"/>
      <c r="CW346" s="905"/>
      <c r="CX346" s="905"/>
      <c r="CY346" s="261"/>
      <c r="CZ346" s="260"/>
      <c r="DA346" s="905"/>
      <c r="DB346" s="905"/>
      <c r="DC346" s="905"/>
      <c r="DD346" s="905"/>
      <c r="DE346" s="261"/>
      <c r="DF346" s="260"/>
      <c r="DG346" s="905"/>
      <c r="DH346" s="905"/>
      <c r="DI346" s="905"/>
      <c r="DJ346" s="905"/>
      <c r="DK346" s="261"/>
      <c r="DL346" s="260"/>
      <c r="DM346" s="905"/>
      <c r="DN346" s="905"/>
      <c r="DO346" s="905"/>
      <c r="DP346" s="261"/>
    </row>
    <row r="347" spans="1:120" ht="12" hidden="1" customHeight="1" outlineLevel="2">
      <c r="A347" s="260" t="s">
        <v>395</v>
      </c>
      <c r="B347" s="260"/>
      <c r="C347" s="261"/>
      <c r="D347" s="261"/>
      <c r="E347" s="261"/>
      <c r="F347" s="261"/>
      <c r="G347" s="261"/>
      <c r="H347" s="261"/>
      <c r="I347" s="261"/>
      <c r="J347" s="261"/>
      <c r="K347" s="261"/>
      <c r="L347" s="261"/>
      <c r="M347" s="261"/>
      <c r="N347" s="260"/>
      <c r="O347" s="905"/>
      <c r="P347" s="905"/>
      <c r="Q347" s="905"/>
      <c r="R347" s="905"/>
      <c r="S347" s="261"/>
      <c r="T347" s="263">
        <f>W111</f>
        <v>443.49599999999998</v>
      </c>
      <c r="U347" s="906">
        <f>W111</f>
        <v>443.49599999999998</v>
      </c>
      <c r="V347" s="906">
        <f>W111</f>
        <v>443.49599999999998</v>
      </c>
      <c r="W347" s="261"/>
      <c r="X347" s="260"/>
      <c r="Y347" s="906">
        <f>AC111</f>
        <v>474.94799999999998</v>
      </c>
      <c r="Z347" s="906">
        <f>AC111</f>
        <v>474.94799999999998</v>
      </c>
      <c r="AA347" s="906">
        <f>$AC111</f>
        <v>474.94799999999998</v>
      </c>
      <c r="AB347" s="906">
        <f>$AC111</f>
        <v>474.94799999999998</v>
      </c>
      <c r="AC347" s="905"/>
      <c r="AD347" s="905"/>
      <c r="AE347" s="906">
        <f>$AI111</f>
        <v>480.23099999999999</v>
      </c>
      <c r="AF347" s="906">
        <f>$AI111</f>
        <v>480.23099999999999</v>
      </c>
      <c r="AG347" s="906">
        <f>$AI111</f>
        <v>480.23099999999999</v>
      </c>
      <c r="AH347" s="906">
        <f>$AI111</f>
        <v>480.23099999999999</v>
      </c>
      <c r="AI347" s="905"/>
      <c r="AJ347" s="905"/>
      <c r="AK347" s="906">
        <f>$AO111</f>
        <v>487.81700000000001</v>
      </c>
      <c r="AL347" s="906">
        <f>$AO111</f>
        <v>487.81700000000001</v>
      </c>
      <c r="AM347" s="906">
        <f>$AO111</f>
        <v>487.81700000000001</v>
      </c>
      <c r="AN347" s="906">
        <f>$AO111</f>
        <v>487.81700000000001</v>
      </c>
      <c r="AO347" s="905"/>
      <c r="AP347" s="905"/>
      <c r="AQ347" s="906">
        <f>$AU111</f>
        <v>499.70600000000002</v>
      </c>
      <c r="AR347" s="906">
        <f>$AU111</f>
        <v>499.70600000000002</v>
      </c>
      <c r="AS347" s="906">
        <f>$AU111</f>
        <v>499.70600000000002</v>
      </c>
      <c r="AT347" s="906">
        <f>$AU111</f>
        <v>499.70600000000002</v>
      </c>
      <c r="AU347" s="905"/>
      <c r="AV347" s="905"/>
      <c r="AW347" s="906">
        <f>$BA111</f>
        <v>508</v>
      </c>
      <c r="AX347" s="260"/>
      <c r="AY347" s="905"/>
      <c r="AZ347" s="905"/>
      <c r="BA347" s="905"/>
      <c r="BB347" s="905"/>
      <c r="BC347" s="906">
        <f>$BG111</f>
        <v>543.67000000000007</v>
      </c>
      <c r="BD347" s="906">
        <f>$BG111</f>
        <v>543.67000000000007</v>
      </c>
      <c r="BE347" s="906">
        <f>$BG111</f>
        <v>543.67000000000007</v>
      </c>
      <c r="BF347" s="905"/>
      <c r="BG347" s="905"/>
      <c r="BH347" s="905"/>
      <c r="BI347" s="261"/>
      <c r="BJ347" s="260"/>
      <c r="BK347" s="905"/>
      <c r="BL347" s="905"/>
      <c r="BM347" s="905"/>
      <c r="BN347" s="905"/>
      <c r="BO347" s="261"/>
      <c r="BP347" s="260"/>
      <c r="BQ347" s="905"/>
      <c r="BR347" s="905"/>
      <c r="BS347" s="905"/>
      <c r="BT347" s="905"/>
      <c r="BU347" s="261"/>
      <c r="BV347" s="260"/>
      <c r="BW347" s="905"/>
      <c r="BX347" s="905"/>
      <c r="BY347" s="905"/>
      <c r="BZ347" s="905"/>
      <c r="CA347" s="261"/>
      <c r="CB347" s="260"/>
      <c r="CC347" s="905"/>
      <c r="CD347" s="905"/>
      <c r="CE347" s="905"/>
      <c r="CF347" s="905"/>
      <c r="CG347" s="261"/>
      <c r="CH347" s="260"/>
      <c r="CI347" s="905"/>
      <c r="CJ347" s="905"/>
      <c r="CK347" s="905"/>
      <c r="CL347" s="905"/>
      <c r="CM347" s="261"/>
      <c r="CN347" s="260"/>
      <c r="CO347" s="905"/>
      <c r="CP347" s="905"/>
      <c r="CQ347" s="905"/>
      <c r="CR347" s="905"/>
      <c r="CS347" s="261"/>
      <c r="CT347" s="260"/>
      <c r="CU347" s="905"/>
      <c r="CV347" s="905"/>
      <c r="CW347" s="905"/>
      <c r="CX347" s="905"/>
      <c r="CY347" s="261"/>
      <c r="CZ347" s="260"/>
      <c r="DA347" s="905"/>
      <c r="DB347" s="905"/>
      <c r="DC347" s="905"/>
      <c r="DD347" s="905"/>
      <c r="DE347" s="261"/>
      <c r="DF347" s="260"/>
      <c r="DG347" s="905"/>
      <c r="DH347" s="905"/>
      <c r="DI347" s="905"/>
      <c r="DJ347" s="905"/>
      <c r="DK347" s="261"/>
      <c r="DL347" s="260"/>
      <c r="DM347" s="905"/>
      <c r="DN347" s="905"/>
      <c r="DO347" s="905"/>
      <c r="DP347" s="261"/>
    </row>
    <row r="348" spans="1:120" ht="6" hidden="1" customHeight="1" outlineLevel="2">
      <c r="A348" s="260"/>
      <c r="B348" s="260"/>
      <c r="C348" s="261"/>
      <c r="D348" s="261"/>
      <c r="E348" s="261"/>
      <c r="F348" s="261"/>
      <c r="G348" s="261"/>
      <c r="H348" s="261"/>
      <c r="I348" s="261"/>
      <c r="J348" s="261"/>
      <c r="K348" s="261"/>
      <c r="L348" s="261"/>
      <c r="M348" s="261"/>
      <c r="N348" s="260"/>
      <c r="O348" s="905"/>
      <c r="P348" s="905"/>
      <c r="Q348" s="905"/>
      <c r="R348" s="905"/>
      <c r="S348" s="261"/>
      <c r="T348" s="260"/>
      <c r="U348" s="905"/>
      <c r="V348" s="905"/>
      <c r="W348" s="905"/>
      <c r="X348" s="905"/>
      <c r="Y348" s="261"/>
      <c r="Z348" s="260"/>
      <c r="AA348" s="905"/>
      <c r="AB348" s="905"/>
      <c r="AC348" s="905"/>
      <c r="AD348" s="905"/>
      <c r="AE348" s="261"/>
      <c r="AF348" s="260"/>
      <c r="AG348" s="905"/>
      <c r="AH348" s="905"/>
      <c r="AI348" s="905"/>
      <c r="AJ348" s="905"/>
      <c r="AK348" s="261"/>
      <c r="AL348" s="260"/>
      <c r="AM348" s="260"/>
      <c r="AN348" s="905"/>
      <c r="AO348" s="905"/>
      <c r="AP348" s="905"/>
      <c r="AQ348" s="261"/>
      <c r="AR348" s="261"/>
      <c r="AS348" s="261"/>
      <c r="AT348" s="261"/>
      <c r="AU348" s="905"/>
      <c r="AV348" s="905"/>
      <c r="AW348" s="261"/>
      <c r="AX348" s="260"/>
      <c r="AY348" s="905"/>
      <c r="AZ348" s="905"/>
      <c r="BA348" s="905"/>
      <c r="BB348" s="905"/>
      <c r="BC348" s="261"/>
      <c r="BD348" s="260"/>
      <c r="BE348" s="905"/>
      <c r="BF348" s="905"/>
      <c r="BG348" s="905"/>
      <c r="BH348" s="905"/>
      <c r="BI348" s="261"/>
      <c r="BJ348" s="260"/>
      <c r="BK348" s="905"/>
      <c r="BL348" s="905"/>
      <c r="BM348" s="905"/>
      <c r="BN348" s="905"/>
      <c r="BO348" s="261"/>
      <c r="BP348" s="260"/>
      <c r="BQ348" s="905"/>
      <c r="BR348" s="905"/>
      <c r="BS348" s="905"/>
      <c r="BT348" s="905"/>
      <c r="BU348" s="261"/>
      <c r="BV348" s="260"/>
      <c r="BW348" s="905"/>
      <c r="BX348" s="905"/>
      <c r="BY348" s="905"/>
      <c r="BZ348" s="905"/>
      <c r="CA348" s="261"/>
      <c r="CB348" s="260"/>
      <c r="CC348" s="905"/>
      <c r="CD348" s="905"/>
      <c r="CE348" s="905"/>
      <c r="CF348" s="905"/>
      <c r="CG348" s="261"/>
      <c r="CH348" s="260"/>
      <c r="CI348" s="905"/>
      <c r="CJ348" s="905"/>
      <c r="CK348" s="905"/>
      <c r="CL348" s="905"/>
      <c r="CM348" s="261"/>
      <c r="CN348" s="260"/>
      <c r="CO348" s="905"/>
      <c r="CP348" s="905"/>
      <c r="CQ348" s="905"/>
      <c r="CR348" s="905"/>
      <c r="CS348" s="261"/>
      <c r="CT348" s="260"/>
      <c r="CU348" s="905"/>
      <c r="CV348" s="905"/>
      <c r="CW348" s="905"/>
      <c r="CX348" s="905"/>
      <c r="CY348" s="261"/>
      <c r="CZ348" s="260"/>
      <c r="DA348" s="905"/>
      <c r="DB348" s="905"/>
      <c r="DC348" s="905"/>
      <c r="DD348" s="905"/>
      <c r="DE348" s="261"/>
      <c r="DF348" s="260"/>
      <c r="DG348" s="905"/>
      <c r="DH348" s="905"/>
      <c r="DI348" s="905"/>
      <c r="DJ348" s="905"/>
      <c r="DK348" s="261"/>
      <c r="DL348" s="260"/>
      <c r="DM348" s="905"/>
      <c r="DN348" s="905"/>
      <c r="DO348" s="905"/>
      <c r="DP348" s="261"/>
    </row>
    <row r="349" spans="1:120" ht="12" hidden="1" customHeight="1" outlineLevel="2">
      <c r="A349" s="904" t="s">
        <v>881</v>
      </c>
      <c r="B349" s="260"/>
      <c r="C349" s="261"/>
      <c r="D349" s="261"/>
      <c r="E349" s="261"/>
      <c r="F349" s="261"/>
      <c r="G349" s="261"/>
      <c r="H349" s="261"/>
      <c r="I349" s="261"/>
      <c r="J349" s="261"/>
      <c r="K349" s="261"/>
      <c r="L349" s="261"/>
      <c r="M349" s="261"/>
      <c r="N349" s="260"/>
      <c r="O349" s="905"/>
      <c r="P349" s="905"/>
      <c r="Q349" s="905"/>
      <c r="R349" s="905"/>
      <c r="S349" s="261"/>
      <c r="T349" s="906"/>
      <c r="U349" s="906"/>
      <c r="V349" s="906"/>
      <c r="W349" s="261"/>
      <c r="X349" s="260"/>
      <c r="Y349" s="906"/>
      <c r="Z349" s="906"/>
      <c r="AA349" s="906"/>
      <c r="AB349" s="906"/>
      <c r="AC349" s="905"/>
      <c r="AD349" s="905"/>
      <c r="AE349" s="906"/>
      <c r="AF349" s="906"/>
      <c r="AG349" s="906"/>
      <c r="AH349" s="906"/>
      <c r="AI349" s="905"/>
      <c r="AJ349" s="905"/>
      <c r="AK349" s="905"/>
      <c r="AL349" s="260"/>
      <c r="AM349" s="260"/>
      <c r="AN349" s="905"/>
      <c r="AO349" s="905"/>
      <c r="AP349" s="905"/>
      <c r="AQ349" s="261"/>
      <c r="AR349" s="261"/>
      <c r="AS349" s="261"/>
      <c r="AT349" s="261"/>
      <c r="AU349" s="905"/>
      <c r="AV349" s="905"/>
      <c r="AW349" s="261"/>
      <c r="AX349" s="260"/>
      <c r="AY349" s="905"/>
      <c r="AZ349" s="905"/>
      <c r="BA349" s="905"/>
      <c r="BB349" s="905"/>
      <c r="BC349" s="261"/>
      <c r="BD349" s="260"/>
      <c r="BE349" s="905"/>
      <c r="BF349" s="905"/>
      <c r="BG349" s="905"/>
      <c r="BH349" s="905"/>
      <c r="BI349" s="261"/>
      <c r="BJ349" s="260"/>
      <c r="BK349" s="905"/>
      <c r="BL349" s="905"/>
      <c r="BM349" s="905"/>
      <c r="BN349" s="905"/>
      <c r="BO349" s="261"/>
      <c r="BP349" s="260"/>
      <c r="BQ349" s="905"/>
      <c r="BR349" s="905"/>
      <c r="BS349" s="905"/>
      <c r="BT349" s="905"/>
      <c r="BU349" s="261"/>
      <c r="BV349" s="260"/>
      <c r="BW349" s="905"/>
      <c r="BX349" s="905"/>
      <c r="BY349" s="905"/>
      <c r="BZ349" s="905"/>
      <c r="CA349" s="261"/>
      <c r="CB349" s="260"/>
      <c r="CC349" s="905"/>
      <c r="CD349" s="905"/>
      <c r="CE349" s="905"/>
      <c r="CF349" s="905"/>
      <c r="CG349" s="261"/>
      <c r="CH349" s="260"/>
      <c r="CI349" s="905"/>
      <c r="CJ349" s="905"/>
      <c r="CK349" s="905"/>
      <c r="CL349" s="905"/>
      <c r="CM349" s="261"/>
      <c r="CN349" s="260"/>
      <c r="CO349" s="905"/>
      <c r="CP349" s="905"/>
      <c r="CQ349" s="905"/>
      <c r="CR349" s="905"/>
      <c r="CS349" s="261"/>
      <c r="CT349" s="260"/>
      <c r="CU349" s="905"/>
      <c r="CV349" s="905"/>
      <c r="CW349" s="905"/>
      <c r="CX349" s="905"/>
      <c r="CY349" s="261"/>
      <c r="CZ349" s="260"/>
      <c r="DA349" s="905"/>
      <c r="DB349" s="905"/>
      <c r="DC349" s="905"/>
      <c r="DD349" s="905"/>
      <c r="DE349" s="261"/>
      <c r="DF349" s="260"/>
      <c r="DG349" s="905"/>
      <c r="DH349" s="905"/>
      <c r="DI349" s="905"/>
      <c r="DJ349" s="905"/>
      <c r="DK349" s="261"/>
      <c r="DL349" s="260"/>
      <c r="DM349" s="905"/>
      <c r="DN349" s="905"/>
      <c r="DO349" s="905"/>
      <c r="DP349" s="261"/>
    </row>
    <row r="350" spans="1:120" ht="12" hidden="1" customHeight="1" outlineLevel="2">
      <c r="A350" s="260" t="s">
        <v>393</v>
      </c>
      <c r="B350" s="260"/>
      <c r="C350" s="261"/>
      <c r="D350" s="261"/>
      <c r="E350" s="261"/>
      <c r="F350" s="261"/>
      <c r="G350" s="261"/>
      <c r="H350" s="261"/>
      <c r="I350" s="261"/>
      <c r="J350" s="261"/>
      <c r="K350" s="261"/>
      <c r="L350" s="261"/>
      <c r="M350" s="261"/>
      <c r="N350" s="260"/>
      <c r="O350" s="905"/>
      <c r="P350" s="905"/>
      <c r="Q350" s="905"/>
      <c r="R350" s="905"/>
      <c r="S350" s="261"/>
      <c r="T350" s="906"/>
      <c r="U350" s="906"/>
      <c r="V350" s="906"/>
      <c r="W350" s="261"/>
      <c r="X350" s="260"/>
      <c r="Y350" s="906"/>
      <c r="Z350" s="906"/>
      <c r="AA350" s="906"/>
      <c r="AB350" s="906"/>
      <c r="AC350" s="905"/>
      <c r="AD350" s="905"/>
      <c r="AE350" s="906"/>
      <c r="AF350" s="906"/>
      <c r="AG350" s="906"/>
      <c r="AH350" s="906"/>
      <c r="AI350" s="905"/>
      <c r="AJ350" s="905"/>
      <c r="AK350" s="905">
        <v>60</v>
      </c>
      <c r="AL350" s="905">
        <v>60</v>
      </c>
      <c r="AM350" s="905">
        <v>55</v>
      </c>
      <c r="AN350" s="905">
        <v>56</v>
      </c>
      <c r="AO350" s="905"/>
      <c r="AP350" s="905"/>
      <c r="AQ350" s="905"/>
      <c r="AR350" s="905"/>
      <c r="AS350" s="905"/>
      <c r="AT350" s="905"/>
      <c r="AU350" s="905"/>
      <c r="AV350" s="905"/>
      <c r="AW350" s="905"/>
      <c r="AX350" s="260"/>
      <c r="AY350" s="905"/>
      <c r="AZ350" s="905"/>
      <c r="BA350" s="905"/>
      <c r="BB350" s="905"/>
      <c r="BC350" s="261"/>
      <c r="BD350" s="260"/>
      <c r="BE350" s="905"/>
      <c r="BF350" s="905"/>
      <c r="BG350" s="905"/>
      <c r="BH350" s="905"/>
      <c r="BI350" s="261"/>
      <c r="BJ350" s="260"/>
      <c r="BK350" s="905"/>
      <c r="BL350" s="905"/>
      <c r="BM350" s="905"/>
      <c r="BN350" s="905"/>
      <c r="BO350" s="261"/>
      <c r="BP350" s="260"/>
      <c r="BQ350" s="905"/>
      <c r="BR350" s="905"/>
      <c r="BS350" s="905"/>
      <c r="BT350" s="905"/>
      <c r="BU350" s="261"/>
      <c r="BV350" s="260"/>
      <c r="BW350" s="905"/>
      <c r="BX350" s="905"/>
      <c r="BY350" s="905"/>
      <c r="BZ350" s="905"/>
      <c r="CA350" s="261"/>
      <c r="CB350" s="260"/>
      <c r="CC350" s="905"/>
      <c r="CD350" s="905"/>
      <c r="CE350" s="905"/>
      <c r="CF350" s="905"/>
      <c r="CG350" s="261"/>
      <c r="CH350" s="260"/>
      <c r="CI350" s="905"/>
      <c r="CJ350" s="905"/>
      <c r="CK350" s="905"/>
      <c r="CL350" s="905"/>
      <c r="CM350" s="261"/>
      <c r="CN350" s="260"/>
      <c r="CO350" s="905"/>
      <c r="CP350" s="905"/>
      <c r="CQ350" s="905"/>
      <c r="CR350" s="905"/>
      <c r="CS350" s="261"/>
      <c r="CT350" s="260"/>
      <c r="CU350" s="905"/>
      <c r="CV350" s="905"/>
      <c r="CW350" s="905"/>
      <c r="CX350" s="905"/>
      <c r="CY350" s="261"/>
      <c r="CZ350" s="260"/>
      <c r="DA350" s="905"/>
      <c r="DB350" s="905"/>
      <c r="DC350" s="905"/>
      <c r="DD350" s="905"/>
      <c r="DE350" s="261"/>
      <c r="DF350" s="260"/>
      <c r="DG350" s="905"/>
      <c r="DH350" s="905"/>
      <c r="DI350" s="905"/>
      <c r="DJ350" s="905"/>
      <c r="DK350" s="261"/>
      <c r="DL350" s="260"/>
      <c r="DM350" s="905"/>
      <c r="DN350" s="905"/>
      <c r="DO350" s="905"/>
      <c r="DP350" s="261"/>
    </row>
    <row r="351" spans="1:120" ht="12" hidden="1" customHeight="1" outlineLevel="2">
      <c r="A351" s="260" t="s">
        <v>394</v>
      </c>
      <c r="B351" s="260"/>
      <c r="C351" s="261"/>
      <c r="D351" s="261"/>
      <c r="E351" s="261"/>
      <c r="F351" s="261"/>
      <c r="G351" s="261"/>
      <c r="H351" s="261"/>
      <c r="I351" s="261"/>
      <c r="J351" s="261"/>
      <c r="K351" s="261"/>
      <c r="L351" s="261"/>
      <c r="M351" s="261"/>
      <c r="N351" s="260"/>
      <c r="O351" s="905"/>
      <c r="P351" s="905"/>
      <c r="Q351" s="905"/>
      <c r="R351" s="905"/>
      <c r="S351" s="261"/>
      <c r="T351" s="906"/>
      <c r="U351" s="906"/>
      <c r="V351" s="906"/>
      <c r="W351" s="261"/>
      <c r="X351" s="260"/>
      <c r="Y351" s="906"/>
      <c r="Z351" s="906"/>
      <c r="AA351" s="906"/>
      <c r="AB351" s="906"/>
      <c r="AC351" s="905"/>
      <c r="AD351" s="905"/>
      <c r="AE351" s="906"/>
      <c r="AF351" s="906"/>
      <c r="AG351" s="906"/>
      <c r="AH351" s="906"/>
      <c r="AI351" s="905"/>
      <c r="AJ351" s="905"/>
      <c r="AK351" s="905">
        <v>70</v>
      </c>
      <c r="AL351" s="905">
        <v>70</v>
      </c>
      <c r="AM351" s="905">
        <v>60</v>
      </c>
      <c r="AN351" s="905">
        <v>58</v>
      </c>
      <c r="AO351" s="905"/>
      <c r="AP351" s="905"/>
      <c r="AQ351" s="905">
        <v>82</v>
      </c>
      <c r="AR351" s="905">
        <v>83</v>
      </c>
      <c r="AS351" s="905">
        <v>83</v>
      </c>
      <c r="AT351" s="905">
        <v>78</v>
      </c>
      <c r="AU351" s="905"/>
      <c r="AV351" s="905"/>
      <c r="AW351" s="905">
        <v>91</v>
      </c>
      <c r="AX351" s="260"/>
      <c r="AY351" s="905"/>
      <c r="AZ351" s="905"/>
      <c r="BA351" s="905"/>
      <c r="BB351" s="905"/>
      <c r="BC351" s="263">
        <v>109.5</v>
      </c>
      <c r="BD351" s="260">
        <v>117</v>
      </c>
      <c r="BE351" s="905">
        <v>117</v>
      </c>
      <c r="BF351" s="905"/>
      <c r="BG351" s="905"/>
      <c r="BH351" s="905"/>
      <c r="BI351" s="261"/>
      <c r="BJ351" s="260"/>
      <c r="BK351" s="905"/>
      <c r="BL351" s="905"/>
      <c r="BM351" s="905"/>
      <c r="BN351" s="905"/>
      <c r="BO351" s="261"/>
      <c r="BP351" s="260"/>
      <c r="BQ351" s="905"/>
      <c r="BR351" s="905"/>
      <c r="BS351" s="905"/>
      <c r="BT351" s="905"/>
      <c r="BU351" s="261"/>
      <c r="BV351" s="260"/>
      <c r="BW351" s="905"/>
      <c r="BX351" s="905"/>
      <c r="BY351" s="905"/>
      <c r="BZ351" s="905"/>
      <c r="CA351" s="261"/>
      <c r="CB351" s="260"/>
      <c r="CC351" s="905"/>
      <c r="CD351" s="905"/>
      <c r="CE351" s="905"/>
      <c r="CF351" s="905"/>
      <c r="CG351" s="261"/>
      <c r="CH351" s="260"/>
      <c r="CI351" s="905"/>
      <c r="CJ351" s="905"/>
      <c r="CK351" s="905"/>
      <c r="CL351" s="905"/>
      <c r="CM351" s="261"/>
      <c r="CN351" s="260"/>
      <c r="CO351" s="905"/>
      <c r="CP351" s="905"/>
      <c r="CQ351" s="905"/>
      <c r="CR351" s="905"/>
      <c r="CS351" s="261"/>
      <c r="CT351" s="260"/>
      <c r="CU351" s="905"/>
      <c r="CV351" s="905"/>
      <c r="CW351" s="905"/>
      <c r="CX351" s="905"/>
      <c r="CY351" s="261"/>
      <c r="CZ351" s="260"/>
      <c r="DA351" s="905"/>
      <c r="DB351" s="905"/>
      <c r="DC351" s="905"/>
      <c r="DD351" s="905"/>
      <c r="DE351" s="261"/>
      <c r="DF351" s="260"/>
      <c r="DG351" s="905"/>
      <c r="DH351" s="905"/>
      <c r="DI351" s="905"/>
      <c r="DJ351" s="905"/>
      <c r="DK351" s="261"/>
      <c r="DL351" s="260"/>
      <c r="DM351" s="905"/>
      <c r="DN351" s="905"/>
      <c r="DO351" s="905"/>
      <c r="DP351" s="261"/>
    </row>
    <row r="352" spans="1:120" ht="12" hidden="1" customHeight="1" outlineLevel="2">
      <c r="A352" s="260" t="s">
        <v>395</v>
      </c>
      <c r="B352" s="260"/>
      <c r="C352" s="261"/>
      <c r="D352" s="261"/>
      <c r="E352" s="261"/>
      <c r="F352" s="261"/>
      <c r="G352" s="261"/>
      <c r="H352" s="261"/>
      <c r="I352" s="261"/>
      <c r="J352" s="261"/>
      <c r="K352" s="261"/>
      <c r="L352" s="261"/>
      <c r="M352" s="261"/>
      <c r="N352" s="260"/>
      <c r="O352" s="905"/>
      <c r="P352" s="905"/>
      <c r="Q352" s="905"/>
      <c r="R352" s="905"/>
      <c r="S352" s="261"/>
      <c r="T352" s="906"/>
      <c r="U352" s="906"/>
      <c r="V352" s="906"/>
      <c r="W352" s="261"/>
      <c r="X352" s="260"/>
      <c r="Y352" s="906"/>
      <c r="Z352" s="906"/>
      <c r="AA352" s="906"/>
      <c r="AB352" s="906"/>
      <c r="AC352" s="905"/>
      <c r="AD352" s="905"/>
      <c r="AE352" s="906"/>
      <c r="AF352" s="906"/>
      <c r="AG352" s="906"/>
      <c r="AH352" s="906"/>
      <c r="AI352" s="905"/>
      <c r="AJ352" s="905"/>
      <c r="AK352" s="906">
        <f>$AO49</f>
        <v>55.206999999999994</v>
      </c>
      <c r="AL352" s="906">
        <f>$AO49</f>
        <v>55.206999999999994</v>
      </c>
      <c r="AM352" s="906">
        <f>$AO49</f>
        <v>55.206999999999994</v>
      </c>
      <c r="AN352" s="906">
        <f>$AO49</f>
        <v>55.206999999999994</v>
      </c>
      <c r="AO352" s="905"/>
      <c r="AP352" s="905"/>
      <c r="AQ352" s="906">
        <f>$AU49</f>
        <v>77.382000000000005</v>
      </c>
      <c r="AR352" s="906">
        <f>$AU49</f>
        <v>77.382000000000005</v>
      </c>
      <c r="AS352" s="906">
        <f>$AU49</f>
        <v>77.382000000000005</v>
      </c>
      <c r="AT352" s="906">
        <f>$AU49</f>
        <v>77.382000000000005</v>
      </c>
      <c r="AU352" s="905"/>
      <c r="AV352" s="905"/>
      <c r="AW352" s="906">
        <f>$BA49</f>
        <v>88.891999999999996</v>
      </c>
      <c r="AX352" s="260"/>
      <c r="AY352" s="905"/>
      <c r="AZ352" s="905"/>
      <c r="BA352" s="905"/>
      <c r="BB352" s="905"/>
      <c r="BC352" s="906">
        <f>$BG49</f>
        <v>120.429</v>
      </c>
      <c r="BD352" s="906">
        <f>$BG49</f>
        <v>120.429</v>
      </c>
      <c r="BE352" s="906">
        <f>$BG49</f>
        <v>120.429</v>
      </c>
      <c r="BF352" s="905"/>
      <c r="BG352" s="905"/>
      <c r="BH352" s="905"/>
      <c r="BI352" s="261"/>
      <c r="BJ352" s="260"/>
      <c r="BK352" s="905"/>
      <c r="BL352" s="905"/>
      <c r="BM352" s="905"/>
      <c r="BN352" s="905"/>
      <c r="BO352" s="261"/>
      <c r="BP352" s="260"/>
      <c r="BQ352" s="905"/>
      <c r="BR352" s="905"/>
      <c r="BS352" s="905"/>
      <c r="BT352" s="905"/>
      <c r="BU352" s="261"/>
      <c r="BV352" s="260"/>
      <c r="BW352" s="905"/>
      <c r="BX352" s="905"/>
      <c r="BY352" s="905"/>
      <c r="BZ352" s="905"/>
      <c r="CA352" s="261"/>
      <c r="CB352" s="260"/>
      <c r="CC352" s="905"/>
      <c r="CD352" s="905"/>
      <c r="CE352" s="905"/>
      <c r="CF352" s="905"/>
      <c r="CG352" s="261"/>
      <c r="CH352" s="260"/>
      <c r="CI352" s="905"/>
      <c r="CJ352" s="905"/>
      <c r="CK352" s="905"/>
      <c r="CL352" s="905"/>
      <c r="CM352" s="261"/>
      <c r="CN352" s="260"/>
      <c r="CO352" s="905"/>
      <c r="CP352" s="905"/>
      <c r="CQ352" s="905"/>
      <c r="CR352" s="905"/>
      <c r="CS352" s="261"/>
      <c r="CT352" s="260"/>
      <c r="CU352" s="905"/>
      <c r="CV352" s="905"/>
      <c r="CW352" s="905"/>
      <c r="CX352" s="905"/>
      <c r="CY352" s="261"/>
      <c r="CZ352" s="260"/>
      <c r="DA352" s="905"/>
      <c r="DB352" s="905"/>
      <c r="DC352" s="905"/>
      <c r="DD352" s="905"/>
      <c r="DE352" s="261"/>
      <c r="DF352" s="260"/>
      <c r="DG352" s="905"/>
      <c r="DH352" s="905"/>
      <c r="DI352" s="905"/>
      <c r="DJ352" s="905"/>
      <c r="DK352" s="261"/>
      <c r="DL352" s="260"/>
      <c r="DM352" s="905"/>
      <c r="DN352" s="905"/>
      <c r="DO352" s="905"/>
      <c r="DP352" s="261"/>
    </row>
    <row r="353" spans="1:120" ht="12.75" hidden="1" customHeight="1" outlineLevel="2">
      <c r="A353" s="260"/>
      <c r="B353" s="260"/>
      <c r="C353" s="261"/>
      <c r="D353" s="261"/>
      <c r="E353" s="261"/>
      <c r="F353" s="261"/>
      <c r="G353" s="261"/>
      <c r="H353" s="261"/>
      <c r="I353" s="261"/>
      <c r="J353" s="261"/>
      <c r="K353" s="261"/>
      <c r="L353" s="261"/>
      <c r="M353" s="261"/>
      <c r="N353" s="260"/>
      <c r="O353" s="905"/>
      <c r="P353" s="905"/>
      <c r="Q353" s="905"/>
      <c r="R353" s="905"/>
      <c r="S353" s="261"/>
      <c r="T353" s="906"/>
      <c r="U353" s="906"/>
      <c r="V353" s="906"/>
      <c r="W353" s="261"/>
      <c r="X353" s="260"/>
      <c r="Y353" s="906"/>
      <c r="Z353" s="906"/>
      <c r="AA353" s="906"/>
      <c r="AB353" s="906"/>
      <c r="AC353" s="905"/>
      <c r="AD353" s="905"/>
      <c r="AE353" s="906"/>
      <c r="AF353" s="906"/>
      <c r="AG353" s="906"/>
      <c r="AH353" s="906"/>
      <c r="AI353" s="905"/>
      <c r="AJ353" s="905"/>
      <c r="AK353" s="906"/>
      <c r="AL353" s="260"/>
      <c r="AM353" s="260"/>
      <c r="AN353" s="905"/>
      <c r="AO353" s="905"/>
      <c r="AP353" s="905"/>
      <c r="AQ353" s="905"/>
      <c r="AR353" s="905"/>
      <c r="AS353" s="905"/>
      <c r="AT353" s="905"/>
      <c r="AU353" s="905"/>
      <c r="AV353" s="905"/>
      <c r="AW353" s="905"/>
      <c r="AX353" s="260"/>
      <c r="AY353" s="905"/>
      <c r="AZ353" s="905"/>
      <c r="BA353" s="905"/>
      <c r="BB353" s="905"/>
      <c r="BC353" s="261"/>
      <c r="BD353" s="260"/>
      <c r="BE353" s="905"/>
      <c r="BF353" s="905"/>
      <c r="BG353" s="905"/>
      <c r="BH353" s="905"/>
      <c r="BI353" s="261"/>
      <c r="BJ353" s="260"/>
      <c r="BK353" s="905"/>
      <c r="BL353" s="905"/>
      <c r="BM353" s="905"/>
      <c r="BN353" s="905"/>
      <c r="BO353" s="261"/>
      <c r="BP353" s="260"/>
      <c r="BQ353" s="905"/>
      <c r="BR353" s="905"/>
      <c r="BS353" s="905"/>
      <c r="BT353" s="905"/>
      <c r="BU353" s="261"/>
      <c r="BV353" s="260"/>
      <c r="BW353" s="905"/>
      <c r="BX353" s="905"/>
      <c r="BY353" s="905"/>
      <c r="BZ353" s="905"/>
      <c r="CA353" s="261"/>
      <c r="CB353" s="260"/>
      <c r="CC353" s="905"/>
      <c r="CD353" s="905"/>
      <c r="CE353" s="905"/>
      <c r="CF353" s="905"/>
      <c r="CG353" s="261"/>
      <c r="CH353" s="260"/>
      <c r="CI353" s="905"/>
      <c r="CJ353" s="905"/>
      <c r="CK353" s="905"/>
      <c r="CL353" s="905"/>
      <c r="CM353" s="261"/>
      <c r="CN353" s="260"/>
      <c r="CO353" s="905"/>
      <c r="CP353" s="905"/>
      <c r="CQ353" s="905"/>
      <c r="CR353" s="905"/>
      <c r="CS353" s="261"/>
      <c r="CT353" s="260"/>
      <c r="CU353" s="905"/>
      <c r="CV353" s="905"/>
      <c r="CW353" s="905"/>
      <c r="CX353" s="905"/>
      <c r="CY353" s="261"/>
      <c r="CZ353" s="260"/>
      <c r="DA353" s="905"/>
      <c r="DB353" s="905"/>
      <c r="DC353" s="905"/>
      <c r="DD353" s="905"/>
      <c r="DE353" s="261"/>
      <c r="DF353" s="260"/>
      <c r="DG353" s="905"/>
      <c r="DH353" s="905"/>
      <c r="DI353" s="905"/>
      <c r="DJ353" s="905"/>
      <c r="DK353" s="261"/>
      <c r="DL353" s="260"/>
      <c r="DM353" s="905"/>
      <c r="DN353" s="905"/>
      <c r="DO353" s="905"/>
      <c r="DP353" s="261"/>
    </row>
    <row r="354" spans="1:120" ht="12" hidden="1" customHeight="1" outlineLevel="2">
      <c r="A354" s="911" t="s">
        <v>882</v>
      </c>
      <c r="B354" s="260"/>
      <c r="C354" s="261"/>
      <c r="D354" s="261"/>
      <c r="E354" s="261"/>
      <c r="F354" s="261"/>
      <c r="G354" s="261"/>
      <c r="H354" s="261"/>
      <c r="I354" s="261"/>
      <c r="J354" s="261"/>
      <c r="K354" s="261"/>
      <c r="L354" s="261"/>
      <c r="M354" s="261"/>
      <c r="N354" s="260"/>
      <c r="O354" s="905"/>
      <c r="P354" s="905"/>
      <c r="Q354" s="905"/>
      <c r="R354" s="905"/>
      <c r="S354" s="261"/>
      <c r="T354" s="906"/>
      <c r="U354" s="906"/>
      <c r="V354" s="906"/>
      <c r="W354" s="261"/>
      <c r="X354" s="260"/>
      <c r="Y354" s="906"/>
      <c r="Z354" s="906"/>
      <c r="AA354" s="906"/>
      <c r="AB354" s="906"/>
      <c r="AC354" s="905"/>
      <c r="AD354" s="905"/>
      <c r="AE354" s="906"/>
      <c r="AF354" s="906"/>
      <c r="AG354" s="906"/>
      <c r="AH354" s="906"/>
      <c r="AI354" s="905"/>
      <c r="AJ354" s="905"/>
      <c r="AK354" s="906">
        <v>2.2000000000000002</v>
      </c>
      <c r="AL354" s="260">
        <v>5</v>
      </c>
      <c r="AM354" s="260">
        <v>5</v>
      </c>
      <c r="AN354" s="260">
        <v>5.5</v>
      </c>
      <c r="AO354" s="905"/>
      <c r="AP354" s="905"/>
      <c r="AQ354" s="260">
        <v>5.3</v>
      </c>
      <c r="AR354" s="260">
        <v>5.3</v>
      </c>
      <c r="AS354" s="260">
        <v>6.6</v>
      </c>
      <c r="AT354" s="260">
        <v>8.8000000000000007</v>
      </c>
      <c r="AU354" s="905"/>
      <c r="AV354" s="905"/>
      <c r="AW354" s="260">
        <v>9.3000000000000007</v>
      </c>
      <c r="AX354" s="260"/>
      <c r="AY354" s="905"/>
      <c r="AZ354" s="905"/>
      <c r="BA354" s="905"/>
      <c r="BB354" s="905"/>
      <c r="BC354" s="263">
        <v>9.4</v>
      </c>
      <c r="BD354" s="260">
        <v>25</v>
      </c>
      <c r="BE354" s="905">
        <v>18</v>
      </c>
      <c r="BF354" s="905"/>
      <c r="BG354" s="905"/>
      <c r="BH354" s="905"/>
      <c r="BI354" s="261"/>
      <c r="BJ354" s="260"/>
      <c r="BK354" s="905"/>
      <c r="BL354" s="905"/>
      <c r="BM354" s="905"/>
      <c r="BN354" s="905"/>
      <c r="BO354" s="261"/>
      <c r="BP354" s="260"/>
      <c r="BQ354" s="905"/>
      <c r="BR354" s="905"/>
      <c r="BS354" s="905"/>
      <c r="BT354" s="905"/>
      <c r="BU354" s="261"/>
      <c r="BV354" s="260"/>
      <c r="BW354" s="905"/>
      <c r="BX354" s="905"/>
      <c r="BY354" s="905"/>
      <c r="BZ354" s="905"/>
      <c r="CA354" s="261"/>
      <c r="CB354" s="260"/>
      <c r="CC354" s="905"/>
      <c r="CD354" s="905"/>
      <c r="CE354" s="905"/>
      <c r="CF354" s="905"/>
      <c r="CG354" s="261"/>
      <c r="CH354" s="260"/>
      <c r="CI354" s="905"/>
      <c r="CJ354" s="905"/>
      <c r="CK354" s="905"/>
      <c r="CL354" s="905"/>
      <c r="CM354" s="261"/>
      <c r="CN354" s="260"/>
      <c r="CO354" s="905"/>
      <c r="CP354" s="905"/>
      <c r="CQ354" s="905"/>
      <c r="CR354" s="905"/>
      <c r="CS354" s="261"/>
      <c r="CT354" s="260"/>
      <c r="CU354" s="905"/>
      <c r="CV354" s="905"/>
      <c r="CW354" s="905"/>
      <c r="CX354" s="905"/>
      <c r="CY354" s="261"/>
      <c r="CZ354" s="260"/>
      <c r="DA354" s="905"/>
      <c r="DB354" s="905"/>
      <c r="DC354" s="905"/>
      <c r="DD354" s="905"/>
      <c r="DE354" s="261"/>
      <c r="DF354" s="260"/>
      <c r="DG354" s="905"/>
      <c r="DH354" s="905"/>
      <c r="DI354" s="905"/>
      <c r="DJ354" s="905"/>
      <c r="DK354" s="261"/>
      <c r="DL354" s="260"/>
      <c r="DM354" s="905"/>
      <c r="DN354" s="905"/>
      <c r="DO354" s="905"/>
      <c r="DP354" s="261"/>
    </row>
    <row r="355" spans="1:120" ht="12" hidden="1" customHeight="1" outlineLevel="2">
      <c r="A355" s="260" t="s">
        <v>395</v>
      </c>
      <c r="B355" s="260"/>
      <c r="C355" s="261"/>
      <c r="D355" s="261"/>
      <c r="E355" s="261"/>
      <c r="F355" s="261"/>
      <c r="G355" s="261"/>
      <c r="H355" s="261"/>
      <c r="I355" s="261"/>
      <c r="J355" s="261"/>
      <c r="K355" s="261"/>
      <c r="L355" s="261"/>
      <c r="M355" s="261"/>
      <c r="N355" s="260"/>
      <c r="O355" s="905"/>
      <c r="P355" s="905"/>
      <c r="Q355" s="905"/>
      <c r="R355" s="905"/>
      <c r="S355" s="261"/>
      <c r="T355" s="906"/>
      <c r="U355" s="906"/>
      <c r="V355" s="906"/>
      <c r="W355" s="261"/>
      <c r="X355" s="260"/>
      <c r="Y355" s="906"/>
      <c r="Z355" s="906"/>
      <c r="AA355" s="906"/>
      <c r="AB355" s="906"/>
      <c r="AC355" s="905"/>
      <c r="AD355" s="905"/>
      <c r="AE355" s="906"/>
      <c r="AF355" s="906"/>
      <c r="AG355" s="906"/>
      <c r="AH355" s="906"/>
      <c r="AI355" s="905"/>
      <c r="AJ355" s="905"/>
      <c r="AK355" s="906">
        <f>$AO55</f>
        <v>4.8</v>
      </c>
      <c r="AL355" s="906">
        <f>$AO55</f>
        <v>4.8</v>
      </c>
      <c r="AM355" s="906">
        <f>$AO55</f>
        <v>4.8</v>
      </c>
      <c r="AN355" s="906">
        <f>$AO55</f>
        <v>4.8</v>
      </c>
      <c r="AO355" s="905"/>
      <c r="AP355" s="905"/>
      <c r="AQ355" s="906">
        <f>$AU55</f>
        <v>7.5</v>
      </c>
      <c r="AR355" s="906">
        <f>$AU55</f>
        <v>7.5</v>
      </c>
      <c r="AS355" s="906">
        <f>$AU55</f>
        <v>7.5</v>
      </c>
      <c r="AT355" s="906">
        <f>$AU55</f>
        <v>7.5</v>
      </c>
      <c r="AU355" s="905"/>
      <c r="AV355" s="905"/>
      <c r="AW355" s="906">
        <f>$AU55</f>
        <v>7.5</v>
      </c>
      <c r="AX355" s="260"/>
      <c r="AY355" s="905"/>
      <c r="AZ355" s="905"/>
      <c r="BA355" s="905"/>
      <c r="BB355" s="905"/>
      <c r="BC355" s="906">
        <f>$BG55</f>
        <v>19.664000000000001</v>
      </c>
      <c r="BD355" s="906">
        <f>$BG55</f>
        <v>19.664000000000001</v>
      </c>
      <c r="BE355" s="906">
        <f>$BG55</f>
        <v>19.664000000000001</v>
      </c>
      <c r="BF355" s="905"/>
      <c r="BG355" s="905"/>
      <c r="BH355" s="905"/>
      <c r="BI355" s="261"/>
      <c r="BJ355" s="260"/>
      <c r="BK355" s="905"/>
      <c r="BL355" s="905"/>
      <c r="BM355" s="905"/>
      <c r="BN355" s="905"/>
      <c r="BO355" s="261"/>
      <c r="BP355" s="260"/>
      <c r="BQ355" s="905"/>
      <c r="BR355" s="905"/>
      <c r="BS355" s="905"/>
      <c r="BT355" s="905"/>
      <c r="BU355" s="261"/>
      <c r="BV355" s="260"/>
      <c r="BW355" s="905"/>
      <c r="BX355" s="905"/>
      <c r="BY355" s="905"/>
      <c r="BZ355" s="905"/>
      <c r="CA355" s="261"/>
      <c r="CB355" s="260"/>
      <c r="CC355" s="905"/>
      <c r="CD355" s="905"/>
      <c r="CE355" s="905"/>
      <c r="CF355" s="905"/>
      <c r="CG355" s="261"/>
      <c r="CH355" s="260"/>
      <c r="CI355" s="905"/>
      <c r="CJ355" s="905"/>
      <c r="CK355" s="905"/>
      <c r="CL355" s="905"/>
      <c r="CM355" s="261"/>
      <c r="CN355" s="260"/>
      <c r="CO355" s="905"/>
      <c r="CP355" s="905"/>
      <c r="CQ355" s="905"/>
      <c r="CR355" s="905"/>
      <c r="CS355" s="261"/>
      <c r="CT355" s="260"/>
      <c r="CU355" s="905"/>
      <c r="CV355" s="905"/>
      <c r="CW355" s="905"/>
      <c r="CX355" s="905"/>
      <c r="CY355" s="261"/>
      <c r="CZ355" s="260"/>
      <c r="DA355" s="905"/>
      <c r="DB355" s="905"/>
      <c r="DC355" s="905"/>
      <c r="DD355" s="905"/>
      <c r="DE355" s="261"/>
      <c r="DF355" s="260"/>
      <c r="DG355" s="905"/>
      <c r="DH355" s="905"/>
      <c r="DI355" s="905"/>
      <c r="DJ355" s="905"/>
      <c r="DK355" s="261"/>
      <c r="DL355" s="260"/>
      <c r="DM355" s="905"/>
      <c r="DN355" s="905"/>
      <c r="DO355" s="905"/>
      <c r="DP355" s="261"/>
    </row>
    <row r="356" spans="1:120" ht="12" hidden="1" customHeight="1" outlineLevel="2">
      <c r="A356" s="260"/>
      <c r="B356" s="260"/>
      <c r="C356" s="261"/>
      <c r="D356" s="261"/>
      <c r="E356" s="261"/>
      <c r="F356" s="261"/>
      <c r="G356" s="261"/>
      <c r="H356" s="261"/>
      <c r="I356" s="261"/>
      <c r="J356" s="261"/>
      <c r="K356" s="261"/>
      <c r="L356" s="261"/>
      <c r="M356" s="261"/>
      <c r="N356" s="260"/>
      <c r="O356" s="905"/>
      <c r="P356" s="905"/>
      <c r="Q356" s="905"/>
      <c r="R356" s="905"/>
      <c r="S356" s="261"/>
      <c r="T356" s="906"/>
      <c r="U356" s="906"/>
      <c r="V356" s="906"/>
      <c r="W356" s="261"/>
      <c r="X356" s="260"/>
      <c r="Y356" s="906"/>
      <c r="Z356" s="906"/>
      <c r="AA356" s="906"/>
      <c r="AB356" s="906"/>
      <c r="AC356" s="905"/>
      <c r="AD356" s="905"/>
      <c r="AE356" s="906"/>
      <c r="AF356" s="906"/>
      <c r="AG356" s="906"/>
      <c r="AH356" s="906"/>
      <c r="AI356" s="905"/>
      <c r="AJ356" s="905"/>
      <c r="AK356" s="906"/>
      <c r="AL356" s="260"/>
      <c r="AM356" s="905"/>
      <c r="AN356" s="905"/>
      <c r="AO356" s="905"/>
      <c r="AP356" s="905"/>
      <c r="AQ356" s="261"/>
      <c r="AR356" s="260"/>
      <c r="AS356" s="905"/>
      <c r="AT356" s="905"/>
      <c r="AU356" s="905"/>
      <c r="AV356" s="905"/>
      <c r="AW356" s="261"/>
      <c r="AX356" s="260"/>
      <c r="AY356" s="905"/>
      <c r="AZ356" s="905"/>
      <c r="BA356" s="905"/>
      <c r="BB356" s="905"/>
      <c r="BC356" s="261"/>
      <c r="BD356" s="260"/>
      <c r="BE356" s="905"/>
      <c r="BF356" s="905"/>
      <c r="BG356" s="905"/>
      <c r="BH356" s="905"/>
      <c r="BI356" s="261"/>
      <c r="BJ356" s="260"/>
      <c r="BK356" s="905"/>
      <c r="BL356" s="905"/>
      <c r="BM356" s="905"/>
      <c r="BN356" s="905"/>
      <c r="BO356" s="261"/>
      <c r="BP356" s="260"/>
      <c r="BQ356" s="905"/>
      <c r="BR356" s="905"/>
      <c r="BS356" s="905"/>
      <c r="BT356" s="905"/>
      <c r="BU356" s="261"/>
      <c r="BV356" s="260"/>
      <c r="BW356" s="905"/>
      <c r="BX356" s="905"/>
      <c r="BY356" s="905"/>
      <c r="BZ356" s="905"/>
      <c r="CA356" s="261"/>
      <c r="CB356" s="260"/>
      <c r="CC356" s="905"/>
      <c r="CD356" s="905"/>
      <c r="CE356" s="905"/>
      <c r="CF356" s="905"/>
      <c r="CG356" s="261"/>
      <c r="CH356" s="260"/>
      <c r="CI356" s="905"/>
      <c r="CJ356" s="905"/>
      <c r="CK356" s="905"/>
      <c r="CL356" s="905"/>
      <c r="CM356" s="261"/>
      <c r="CN356" s="260"/>
      <c r="CO356" s="905"/>
      <c r="CP356" s="905"/>
      <c r="CQ356" s="905"/>
      <c r="CR356" s="905"/>
      <c r="CS356" s="261"/>
      <c r="CT356" s="260"/>
      <c r="CU356" s="905"/>
      <c r="CV356" s="905"/>
      <c r="CW356" s="905"/>
      <c r="CX356" s="905"/>
      <c r="CY356" s="261"/>
      <c r="CZ356" s="260"/>
      <c r="DA356" s="905"/>
      <c r="DB356" s="905"/>
      <c r="DC356" s="905"/>
      <c r="DD356" s="905"/>
      <c r="DE356" s="261"/>
      <c r="DF356" s="260"/>
      <c r="DG356" s="905"/>
      <c r="DH356" s="905"/>
      <c r="DI356" s="905"/>
      <c r="DJ356" s="905"/>
      <c r="DK356" s="261"/>
      <c r="DL356" s="260"/>
      <c r="DM356" s="905"/>
      <c r="DN356" s="905"/>
      <c r="DO356" s="905"/>
      <c r="DP356" s="261"/>
    </row>
    <row r="357" spans="1:120" ht="12" hidden="1" customHeight="1" outlineLevel="2">
      <c r="A357" s="911" t="s">
        <v>805</v>
      </c>
      <c r="B357" s="260"/>
      <c r="C357" s="261"/>
      <c r="D357" s="261"/>
      <c r="E357" s="261"/>
      <c r="F357" s="261"/>
      <c r="G357" s="261"/>
      <c r="H357" s="261"/>
      <c r="I357" s="261"/>
      <c r="J357" s="261"/>
      <c r="K357" s="261"/>
      <c r="L357" s="261"/>
      <c r="M357" s="261"/>
      <c r="N357" s="260"/>
      <c r="O357" s="905"/>
      <c r="P357" s="905"/>
      <c r="Q357" s="905"/>
      <c r="R357" s="905"/>
      <c r="S357" s="261"/>
      <c r="T357" s="906"/>
      <c r="U357" s="906"/>
      <c r="V357" s="906"/>
      <c r="W357" s="261"/>
      <c r="X357" s="260"/>
      <c r="Y357" s="906"/>
      <c r="Z357" s="906"/>
      <c r="AA357" s="906"/>
      <c r="AB357" s="906"/>
      <c r="AC357" s="905"/>
      <c r="AD357" s="905"/>
      <c r="AE357" s="906"/>
      <c r="AF357" s="906"/>
      <c r="AG357" s="906"/>
      <c r="AH357" s="906"/>
      <c r="AI357" s="905"/>
      <c r="AJ357" s="905"/>
      <c r="AK357" s="906"/>
      <c r="AL357" s="260"/>
      <c r="AM357" s="905"/>
      <c r="AN357" s="905"/>
      <c r="AO357" s="905"/>
      <c r="AP357" s="905"/>
      <c r="AQ357" s="261"/>
      <c r="AR357" s="260"/>
      <c r="AS357" s="905"/>
      <c r="AT357" s="905"/>
      <c r="AU357" s="905"/>
      <c r="AV357" s="905"/>
      <c r="AW357" s="260">
        <v>-1</v>
      </c>
      <c r="AX357" s="260"/>
      <c r="AY357" s="905"/>
      <c r="AZ357" s="905">
        <v>-3.5</v>
      </c>
      <c r="BA357" s="905"/>
      <c r="BB357" s="905"/>
      <c r="BC357" s="263">
        <v>9</v>
      </c>
      <c r="BD357" s="260"/>
      <c r="BE357" s="905"/>
      <c r="BF357" s="905"/>
      <c r="BG357" s="905"/>
      <c r="BH357" s="905"/>
      <c r="BI357" s="261"/>
      <c r="BJ357" s="260"/>
      <c r="BK357" s="905"/>
      <c r="BL357" s="905"/>
      <c r="BM357" s="905"/>
      <c r="BN357" s="905"/>
      <c r="BO357" s="261"/>
      <c r="BP357" s="260"/>
      <c r="BQ357" s="905"/>
      <c r="BR357" s="905"/>
      <c r="BS357" s="905"/>
      <c r="BT357" s="905"/>
      <c r="BU357" s="261"/>
      <c r="BV357" s="260"/>
      <c r="BW357" s="905"/>
      <c r="BX357" s="905"/>
      <c r="BY357" s="905"/>
      <c r="BZ357" s="905"/>
      <c r="CA357" s="261"/>
      <c r="CB357" s="260"/>
      <c r="CC357" s="905"/>
      <c r="CD357" s="905"/>
      <c r="CE357" s="905"/>
      <c r="CF357" s="905"/>
      <c r="CG357" s="261"/>
      <c r="CH357" s="260"/>
      <c r="CI357" s="905"/>
      <c r="CJ357" s="905"/>
      <c r="CK357" s="905"/>
      <c r="CL357" s="905"/>
      <c r="CM357" s="261"/>
      <c r="CN357" s="260"/>
      <c r="CO357" s="905"/>
      <c r="CP357" s="905"/>
      <c r="CQ357" s="905"/>
      <c r="CR357" s="905"/>
      <c r="CS357" s="261"/>
      <c r="CT357" s="260"/>
      <c r="CU357" s="905"/>
      <c r="CV357" s="905"/>
      <c r="CW357" s="905"/>
      <c r="CX357" s="905"/>
      <c r="CY357" s="261"/>
      <c r="CZ357" s="260"/>
      <c r="DA357" s="905"/>
      <c r="DB357" s="905"/>
      <c r="DC357" s="905"/>
      <c r="DD357" s="905"/>
      <c r="DE357" s="261"/>
      <c r="DF357" s="260"/>
      <c r="DG357" s="905"/>
      <c r="DH357" s="905"/>
      <c r="DI357" s="905"/>
      <c r="DJ357" s="905"/>
      <c r="DK357" s="261"/>
      <c r="DL357" s="260"/>
      <c r="DM357" s="905"/>
      <c r="DN357" s="905"/>
      <c r="DO357" s="905"/>
      <c r="DP357" s="261"/>
    </row>
    <row r="358" spans="1:120" ht="12" hidden="1" customHeight="1" outlineLevel="2">
      <c r="A358" s="260" t="s">
        <v>395</v>
      </c>
      <c r="B358" s="260"/>
      <c r="C358" s="261"/>
      <c r="D358" s="261"/>
      <c r="E358" s="261"/>
      <c r="F358" s="261"/>
      <c r="G358" s="261"/>
      <c r="H358" s="261"/>
      <c r="I358" s="261"/>
      <c r="J358" s="261"/>
      <c r="K358" s="261"/>
      <c r="L358" s="261"/>
      <c r="M358" s="261"/>
      <c r="N358" s="260"/>
      <c r="O358" s="905"/>
      <c r="P358" s="905"/>
      <c r="Q358" s="905"/>
      <c r="R358" s="905"/>
      <c r="S358" s="261"/>
      <c r="T358" s="906"/>
      <c r="U358" s="906"/>
      <c r="V358" s="906"/>
      <c r="W358" s="261"/>
      <c r="X358" s="260"/>
      <c r="Y358" s="906"/>
      <c r="Z358" s="906"/>
      <c r="AA358" s="906"/>
      <c r="AB358" s="906"/>
      <c r="AC358" s="905"/>
      <c r="AD358" s="905"/>
      <c r="AE358" s="906"/>
      <c r="AF358" s="906"/>
      <c r="AG358" s="906"/>
      <c r="AH358" s="906"/>
      <c r="AI358" s="905"/>
      <c r="AJ358" s="905"/>
      <c r="AK358" s="906"/>
      <c r="AL358" s="260"/>
      <c r="AM358" s="905"/>
      <c r="AN358" s="905"/>
      <c r="AO358" s="905"/>
      <c r="AP358" s="905"/>
      <c r="AQ358" s="261"/>
      <c r="AR358" s="260"/>
      <c r="AS358" s="905"/>
      <c r="AT358" s="905"/>
      <c r="AU358" s="905"/>
      <c r="AV358" s="905"/>
      <c r="AW358" s="906">
        <f>BA82</f>
        <v>-3.9729999999999999</v>
      </c>
      <c r="AX358" s="260"/>
      <c r="AY358" s="905"/>
      <c r="AZ358" s="905"/>
      <c r="BA358" s="905"/>
      <c r="BB358" s="905"/>
      <c r="BC358" s="906">
        <f>BG82</f>
        <v>-5.2229999999999999</v>
      </c>
      <c r="BD358" s="260"/>
      <c r="BE358" s="905"/>
      <c r="BF358" s="905"/>
      <c r="BG358" s="905"/>
      <c r="BH358" s="905"/>
      <c r="BI358" s="261"/>
      <c r="BJ358" s="260"/>
      <c r="BK358" s="905"/>
      <c r="BL358" s="905"/>
      <c r="BM358" s="905"/>
      <c r="BN358" s="905"/>
      <c r="BO358" s="261"/>
      <c r="BP358" s="260"/>
      <c r="BQ358" s="905"/>
      <c r="BR358" s="905"/>
      <c r="BS358" s="905"/>
      <c r="BT358" s="905"/>
      <c r="BU358" s="261"/>
      <c r="BV358" s="260"/>
      <c r="BW358" s="905"/>
      <c r="BX358" s="905"/>
      <c r="BY358" s="905"/>
      <c r="BZ358" s="905"/>
      <c r="CA358" s="261"/>
      <c r="CB358" s="260"/>
      <c r="CC358" s="905"/>
      <c r="CD358" s="905"/>
      <c r="CE358" s="905"/>
      <c r="CF358" s="905"/>
      <c r="CG358" s="261"/>
      <c r="CH358" s="260"/>
      <c r="CI358" s="905"/>
      <c r="CJ358" s="905"/>
      <c r="CK358" s="905"/>
      <c r="CL358" s="905"/>
      <c r="CM358" s="261"/>
      <c r="CN358" s="260"/>
      <c r="CO358" s="905"/>
      <c r="CP358" s="905"/>
      <c r="CQ358" s="905"/>
      <c r="CR358" s="905"/>
      <c r="CS358" s="261"/>
      <c r="CT358" s="260"/>
      <c r="CU358" s="905"/>
      <c r="CV358" s="905"/>
      <c r="CW358" s="905"/>
      <c r="CX358" s="905"/>
      <c r="CY358" s="261"/>
      <c r="CZ358" s="260"/>
      <c r="DA358" s="905"/>
      <c r="DB358" s="905"/>
      <c r="DC358" s="905"/>
      <c r="DD358" s="905"/>
      <c r="DE358" s="261"/>
      <c r="DF358" s="260"/>
      <c r="DG358" s="905"/>
      <c r="DH358" s="905"/>
      <c r="DI358" s="905"/>
      <c r="DJ358" s="905"/>
      <c r="DK358" s="261"/>
      <c r="DL358" s="260"/>
      <c r="DM358" s="905"/>
      <c r="DN358" s="905"/>
      <c r="DO358" s="905"/>
      <c r="DP358" s="261"/>
    </row>
    <row r="359" spans="1:120" ht="12" hidden="1" customHeight="1" outlineLevel="2">
      <c r="A359" s="260"/>
      <c r="B359" s="260"/>
      <c r="C359" s="261"/>
      <c r="D359" s="261"/>
      <c r="E359" s="261"/>
      <c r="F359" s="261"/>
      <c r="G359" s="261"/>
      <c r="H359" s="261"/>
      <c r="I359" s="261"/>
      <c r="J359" s="261"/>
      <c r="K359" s="261"/>
      <c r="L359" s="261"/>
      <c r="M359" s="261"/>
      <c r="N359" s="260"/>
      <c r="O359" s="905"/>
      <c r="P359" s="905"/>
      <c r="Q359" s="905"/>
      <c r="R359" s="905"/>
      <c r="S359" s="261"/>
      <c r="T359" s="906"/>
      <c r="U359" s="906"/>
      <c r="V359" s="906"/>
      <c r="W359" s="261"/>
      <c r="X359" s="260"/>
      <c r="Y359" s="906"/>
      <c r="Z359" s="906"/>
      <c r="AA359" s="906"/>
      <c r="AB359" s="906"/>
      <c r="AC359" s="905"/>
      <c r="AD359" s="905"/>
      <c r="AE359" s="906"/>
      <c r="AF359" s="906"/>
      <c r="AG359" s="906"/>
      <c r="AH359" s="906"/>
      <c r="AI359" s="905"/>
      <c r="AJ359" s="905"/>
      <c r="AK359" s="906"/>
      <c r="AL359" s="260"/>
      <c r="AM359" s="905"/>
      <c r="AN359" s="905"/>
      <c r="AO359" s="905"/>
      <c r="AP359" s="905"/>
      <c r="AQ359" s="261"/>
      <c r="AR359" s="260"/>
      <c r="AS359" s="905"/>
      <c r="AT359" s="905"/>
      <c r="AU359" s="905"/>
      <c r="AV359" s="905"/>
      <c r="AW359" s="261"/>
      <c r="AX359" s="260"/>
      <c r="AY359" s="905"/>
      <c r="AZ359" s="905"/>
      <c r="BA359" s="905"/>
      <c r="BB359" s="905"/>
      <c r="BC359" s="261"/>
      <c r="BD359" s="260"/>
      <c r="BE359" s="905"/>
      <c r="BF359" s="905"/>
      <c r="BG359" s="905"/>
      <c r="BH359" s="905"/>
      <c r="BI359" s="261"/>
      <c r="BJ359" s="260"/>
      <c r="BK359" s="905"/>
      <c r="BL359" s="905"/>
      <c r="BM359" s="905"/>
      <c r="BN359" s="905"/>
      <c r="BO359" s="261"/>
      <c r="BP359" s="260"/>
      <c r="BQ359" s="905"/>
      <c r="BR359" s="905"/>
      <c r="BS359" s="905"/>
      <c r="BT359" s="905"/>
      <c r="BU359" s="261"/>
      <c r="BV359" s="260"/>
      <c r="BW359" s="905"/>
      <c r="BX359" s="905"/>
      <c r="BY359" s="905"/>
      <c r="BZ359" s="905"/>
      <c r="CA359" s="261"/>
      <c r="CB359" s="260"/>
      <c r="CC359" s="905"/>
      <c r="CD359" s="905"/>
      <c r="CE359" s="905"/>
      <c r="CF359" s="905"/>
      <c r="CG359" s="261"/>
      <c r="CH359" s="260"/>
      <c r="CI359" s="905"/>
      <c r="CJ359" s="905"/>
      <c r="CK359" s="905"/>
      <c r="CL359" s="905"/>
      <c r="CM359" s="261"/>
      <c r="CN359" s="260"/>
      <c r="CO359" s="905"/>
      <c r="CP359" s="905"/>
      <c r="CQ359" s="905"/>
      <c r="CR359" s="905"/>
      <c r="CS359" s="261"/>
      <c r="CT359" s="260"/>
      <c r="CU359" s="905"/>
      <c r="CV359" s="905"/>
      <c r="CW359" s="905"/>
      <c r="CX359" s="905"/>
      <c r="CY359" s="261"/>
      <c r="CZ359" s="260"/>
      <c r="DA359" s="905"/>
      <c r="DB359" s="905"/>
      <c r="DC359" s="905"/>
      <c r="DD359" s="905"/>
      <c r="DE359" s="261"/>
      <c r="DF359" s="260"/>
      <c r="DG359" s="905"/>
      <c r="DH359" s="905"/>
      <c r="DI359" s="905"/>
      <c r="DJ359" s="905"/>
      <c r="DK359" s="261"/>
      <c r="DL359" s="260"/>
      <c r="DM359" s="905"/>
      <c r="DN359" s="905"/>
      <c r="DO359" s="905"/>
      <c r="DP359" s="261"/>
    </row>
    <row r="360" spans="1:120" ht="12" hidden="1" customHeight="1" outlineLevel="2">
      <c r="A360" s="911" t="s">
        <v>317</v>
      </c>
      <c r="B360" s="260"/>
      <c r="C360" s="261"/>
      <c r="D360" s="261"/>
      <c r="E360" s="261"/>
      <c r="F360" s="261"/>
      <c r="G360" s="261"/>
      <c r="H360" s="261"/>
      <c r="I360" s="261"/>
      <c r="J360" s="261"/>
      <c r="K360" s="261"/>
      <c r="L360" s="261"/>
      <c r="M360" s="261"/>
      <c r="N360" s="260"/>
      <c r="O360" s="905"/>
      <c r="P360" s="905"/>
      <c r="Q360" s="905"/>
      <c r="R360" s="905"/>
      <c r="S360" s="261"/>
      <c r="T360" s="906"/>
      <c r="U360" s="906"/>
      <c r="V360" s="906"/>
      <c r="W360" s="261"/>
      <c r="X360" s="260"/>
      <c r="Y360" s="906"/>
      <c r="Z360" s="906"/>
      <c r="AA360" s="906"/>
      <c r="AB360" s="906"/>
      <c r="AC360" s="905"/>
      <c r="AD360" s="905"/>
      <c r="AE360" s="906"/>
      <c r="AF360" s="906"/>
      <c r="AG360" s="906"/>
      <c r="AH360" s="906"/>
      <c r="AI360" s="905"/>
      <c r="AJ360" s="905"/>
      <c r="AK360" s="906"/>
      <c r="AL360" s="260"/>
      <c r="AM360" s="905"/>
      <c r="AN360" s="905"/>
      <c r="AO360" s="905"/>
      <c r="AP360" s="905"/>
      <c r="AQ360" s="261"/>
      <c r="AR360" s="260"/>
      <c r="AS360" s="905"/>
      <c r="AT360" s="905"/>
      <c r="AU360" s="905"/>
      <c r="AV360" s="905"/>
      <c r="AW360" s="260">
        <v>-1</v>
      </c>
      <c r="AX360" s="260"/>
      <c r="AY360" s="905"/>
      <c r="AZ360" s="905">
        <v>-3.5</v>
      </c>
      <c r="BA360" s="905"/>
      <c r="BB360" s="905"/>
      <c r="BC360" s="263">
        <v>22.4</v>
      </c>
      <c r="BD360" s="260">
        <v>23</v>
      </c>
      <c r="BE360" s="905">
        <v>23</v>
      </c>
      <c r="BF360" s="905"/>
      <c r="BG360" s="905"/>
      <c r="BH360" s="905"/>
      <c r="BI360" s="261"/>
      <c r="BJ360" s="260"/>
      <c r="BK360" s="905"/>
      <c r="BL360" s="905"/>
      <c r="BM360" s="905"/>
      <c r="BN360" s="905"/>
      <c r="BO360" s="261"/>
      <c r="BP360" s="260"/>
      <c r="BQ360" s="905"/>
      <c r="BR360" s="905"/>
      <c r="BS360" s="905"/>
      <c r="BT360" s="905"/>
      <c r="BU360" s="261"/>
      <c r="BV360" s="260"/>
      <c r="BW360" s="905"/>
      <c r="BX360" s="905"/>
      <c r="BY360" s="905"/>
      <c r="BZ360" s="905"/>
      <c r="CA360" s="261"/>
      <c r="CB360" s="260"/>
      <c r="CC360" s="905"/>
      <c r="CD360" s="905"/>
      <c r="CE360" s="905"/>
      <c r="CF360" s="905"/>
      <c r="CG360" s="261"/>
      <c r="CH360" s="260"/>
      <c r="CI360" s="905"/>
      <c r="CJ360" s="905"/>
      <c r="CK360" s="905"/>
      <c r="CL360" s="905"/>
      <c r="CM360" s="261"/>
      <c r="CN360" s="260"/>
      <c r="CO360" s="905"/>
      <c r="CP360" s="905"/>
      <c r="CQ360" s="905"/>
      <c r="CR360" s="905"/>
      <c r="CS360" s="261"/>
      <c r="CT360" s="260"/>
      <c r="CU360" s="905"/>
      <c r="CV360" s="905"/>
      <c r="CW360" s="905"/>
      <c r="CX360" s="905"/>
      <c r="CY360" s="261"/>
      <c r="CZ360" s="260"/>
      <c r="DA360" s="905"/>
      <c r="DB360" s="905"/>
      <c r="DC360" s="905"/>
      <c r="DD360" s="905"/>
      <c r="DE360" s="261"/>
      <c r="DF360" s="260"/>
      <c r="DG360" s="905"/>
      <c r="DH360" s="905"/>
      <c r="DI360" s="905"/>
      <c r="DJ360" s="905"/>
      <c r="DK360" s="261"/>
      <c r="DL360" s="260"/>
      <c r="DM360" s="905"/>
      <c r="DN360" s="905"/>
      <c r="DO360" s="905"/>
      <c r="DP360" s="261"/>
    </row>
    <row r="361" spans="1:120" ht="12" hidden="1" customHeight="1" outlineLevel="2">
      <c r="A361" s="260" t="s">
        <v>395</v>
      </c>
      <c r="B361" s="260"/>
      <c r="C361" s="261"/>
      <c r="D361" s="261"/>
      <c r="E361" s="261"/>
      <c r="F361" s="261"/>
      <c r="G361" s="261"/>
      <c r="H361" s="261"/>
      <c r="I361" s="261"/>
      <c r="J361" s="261"/>
      <c r="K361" s="261"/>
      <c r="L361" s="261"/>
      <c r="M361" s="261"/>
      <c r="N361" s="260"/>
      <c r="O361" s="905"/>
      <c r="P361" s="905"/>
      <c r="Q361" s="905"/>
      <c r="R361" s="905"/>
      <c r="S361" s="261"/>
      <c r="T361" s="906"/>
      <c r="U361" s="906"/>
      <c r="V361" s="906"/>
      <c r="W361" s="261"/>
      <c r="X361" s="260"/>
      <c r="Y361" s="906"/>
      <c r="Z361" s="906"/>
      <c r="AA361" s="906"/>
      <c r="AB361" s="906"/>
      <c r="AC361" s="905"/>
      <c r="AD361" s="905"/>
      <c r="AE361" s="906"/>
      <c r="AF361" s="906"/>
      <c r="AG361" s="906"/>
      <c r="AH361" s="906"/>
      <c r="AI361" s="905"/>
      <c r="AJ361" s="905"/>
      <c r="AK361" s="906"/>
      <c r="AL361" s="260"/>
      <c r="AM361" s="905"/>
      <c r="AN361" s="905"/>
      <c r="AO361" s="905"/>
      <c r="AP361" s="905"/>
      <c r="AQ361" s="261"/>
      <c r="AR361" s="260"/>
      <c r="AS361" s="905"/>
      <c r="AT361" s="905"/>
      <c r="AU361" s="905"/>
      <c r="AV361" s="905"/>
      <c r="AW361" s="906">
        <f>BA85</f>
        <v>0</v>
      </c>
      <c r="AX361" s="260"/>
      <c r="AY361" s="905"/>
      <c r="AZ361" s="905"/>
      <c r="BA361" s="905"/>
      <c r="BB361" s="905"/>
      <c r="BC361" s="261"/>
      <c r="BD361" s="260"/>
      <c r="BE361" s="905"/>
      <c r="BF361" s="905"/>
      <c r="BG361" s="905"/>
      <c r="BH361" s="905"/>
      <c r="BI361" s="261"/>
      <c r="BJ361" s="260"/>
      <c r="BK361" s="905"/>
      <c r="BL361" s="905"/>
      <c r="BM361" s="905"/>
      <c r="BN361" s="905"/>
      <c r="BO361" s="261"/>
      <c r="BP361" s="260"/>
      <c r="BQ361" s="905"/>
      <c r="BR361" s="905"/>
      <c r="BS361" s="905"/>
      <c r="BT361" s="905"/>
      <c r="BU361" s="261"/>
      <c r="BV361" s="260"/>
      <c r="BW361" s="905"/>
      <c r="BX361" s="905"/>
      <c r="BY361" s="905"/>
      <c r="BZ361" s="905"/>
      <c r="CA361" s="261"/>
      <c r="CB361" s="260"/>
      <c r="CC361" s="905"/>
      <c r="CD361" s="905"/>
      <c r="CE361" s="905"/>
      <c r="CF361" s="905"/>
      <c r="CG361" s="261"/>
      <c r="CH361" s="260"/>
      <c r="CI361" s="905"/>
      <c r="CJ361" s="905"/>
      <c r="CK361" s="905"/>
      <c r="CL361" s="905"/>
      <c r="CM361" s="261"/>
      <c r="CN361" s="260"/>
      <c r="CO361" s="905"/>
      <c r="CP361" s="905"/>
      <c r="CQ361" s="905"/>
      <c r="CR361" s="905"/>
      <c r="CS361" s="261"/>
      <c r="CT361" s="260"/>
      <c r="CU361" s="905"/>
      <c r="CV361" s="905"/>
      <c r="CW361" s="905"/>
      <c r="CX361" s="905"/>
      <c r="CY361" s="261"/>
      <c r="CZ361" s="260"/>
      <c r="DA361" s="905"/>
      <c r="DB361" s="905"/>
      <c r="DC361" s="905"/>
      <c r="DD361" s="905"/>
      <c r="DE361" s="261"/>
      <c r="DF361" s="260"/>
      <c r="DG361" s="905"/>
      <c r="DH361" s="905"/>
      <c r="DI361" s="905"/>
      <c r="DJ361" s="905"/>
      <c r="DK361" s="261"/>
      <c r="DL361" s="260"/>
      <c r="DM361" s="905"/>
      <c r="DN361" s="905"/>
      <c r="DO361" s="905"/>
      <c r="DP361" s="261"/>
    </row>
    <row r="362" spans="1:120" ht="12" hidden="1" customHeight="1" outlineLevel="2">
      <c r="A362" s="260"/>
      <c r="B362" s="260"/>
      <c r="C362" s="261"/>
      <c r="D362" s="261"/>
      <c r="E362" s="261"/>
      <c r="F362" s="261"/>
      <c r="G362" s="261"/>
      <c r="H362" s="261"/>
      <c r="I362" s="261"/>
      <c r="J362" s="261"/>
      <c r="K362" s="261"/>
      <c r="L362" s="261"/>
      <c r="M362" s="261"/>
      <c r="N362" s="260"/>
      <c r="O362" s="905"/>
      <c r="P362" s="905"/>
      <c r="Q362" s="905"/>
      <c r="R362" s="905"/>
      <c r="S362" s="261"/>
      <c r="T362" s="906"/>
      <c r="U362" s="906"/>
      <c r="V362" s="906"/>
      <c r="W362" s="261"/>
      <c r="X362" s="260"/>
      <c r="Y362" s="906"/>
      <c r="Z362" s="906"/>
      <c r="AA362" s="906"/>
      <c r="AB362" s="906"/>
      <c r="AC362" s="905"/>
      <c r="AD362" s="905"/>
      <c r="AE362" s="906"/>
      <c r="AF362" s="906"/>
      <c r="AG362" s="906"/>
      <c r="AH362" s="906"/>
      <c r="AI362" s="905"/>
      <c r="AJ362" s="905"/>
      <c r="AK362" s="906"/>
      <c r="AL362" s="260"/>
      <c r="AM362" s="905"/>
      <c r="AN362" s="905"/>
      <c r="AO362" s="905"/>
      <c r="AP362" s="905"/>
      <c r="AQ362" s="261"/>
      <c r="AR362" s="260"/>
      <c r="AS362" s="905"/>
      <c r="AT362" s="905"/>
      <c r="AU362" s="905"/>
      <c r="AV362" s="905"/>
      <c r="AW362" s="261"/>
      <c r="AX362" s="260"/>
      <c r="AY362" s="905"/>
      <c r="AZ362" s="905"/>
      <c r="BA362" s="905"/>
      <c r="BB362" s="905"/>
      <c r="BC362" s="261"/>
      <c r="BD362" s="260"/>
      <c r="BE362" s="905"/>
      <c r="BF362" s="905"/>
      <c r="BG362" s="905"/>
      <c r="BH362" s="905"/>
      <c r="BI362" s="261"/>
      <c r="BJ362" s="260"/>
      <c r="BK362" s="905"/>
      <c r="BL362" s="905"/>
      <c r="BM362" s="905"/>
      <c r="BN362" s="905"/>
      <c r="BO362" s="261"/>
      <c r="BP362" s="260"/>
      <c r="BQ362" s="905"/>
      <c r="BR362" s="905"/>
      <c r="BS362" s="905"/>
      <c r="BT362" s="905"/>
      <c r="BU362" s="261"/>
      <c r="BV362" s="260"/>
      <c r="BW362" s="905"/>
      <c r="BX362" s="905"/>
      <c r="BY362" s="905"/>
      <c r="BZ362" s="905"/>
      <c r="CA362" s="261"/>
      <c r="CB362" s="260"/>
      <c r="CC362" s="905"/>
      <c r="CD362" s="905"/>
      <c r="CE362" s="905"/>
      <c r="CF362" s="905"/>
      <c r="CG362" s="261"/>
      <c r="CH362" s="260"/>
      <c r="CI362" s="905"/>
      <c r="CJ362" s="905"/>
      <c r="CK362" s="905"/>
      <c r="CL362" s="905"/>
      <c r="CM362" s="261"/>
      <c r="CN362" s="260"/>
      <c r="CO362" s="905"/>
      <c r="CP362" s="905"/>
      <c r="CQ362" s="905"/>
      <c r="CR362" s="905"/>
      <c r="CS362" s="261"/>
      <c r="CT362" s="260"/>
      <c r="CU362" s="905"/>
      <c r="CV362" s="905"/>
      <c r="CW362" s="905"/>
      <c r="CX362" s="905"/>
      <c r="CY362" s="261"/>
      <c r="CZ362" s="260"/>
      <c r="DA362" s="905"/>
      <c r="DB362" s="905"/>
      <c r="DC362" s="905"/>
      <c r="DD362" s="905"/>
      <c r="DE362" s="261"/>
      <c r="DF362" s="260"/>
      <c r="DG362" s="905"/>
      <c r="DH362" s="905"/>
      <c r="DI362" s="905"/>
      <c r="DJ362" s="905"/>
      <c r="DK362" s="261"/>
      <c r="DL362" s="260"/>
      <c r="DM362" s="905"/>
      <c r="DN362" s="905"/>
      <c r="DO362" s="905"/>
      <c r="DP362" s="261"/>
    </row>
    <row r="363" spans="1:120" ht="15.75" hidden="1" customHeight="1" outlineLevel="1" collapsed="1">
      <c r="A363" s="900" t="s">
        <v>854</v>
      </c>
      <c r="B363" s="901"/>
      <c r="C363" s="902"/>
      <c r="D363" s="902"/>
      <c r="E363" s="902"/>
      <c r="F363" s="902"/>
      <c r="G363" s="902"/>
      <c r="H363" s="902"/>
      <c r="I363" s="902"/>
      <c r="J363" s="902"/>
      <c r="K363" s="902"/>
      <c r="L363" s="902"/>
      <c r="M363" s="902"/>
      <c r="N363" s="901"/>
      <c r="O363" s="903"/>
      <c r="P363" s="903"/>
      <c r="Q363" s="903"/>
      <c r="R363" s="903"/>
      <c r="S363" s="902"/>
      <c r="T363" s="901"/>
      <c r="U363" s="903"/>
      <c r="V363" s="903"/>
      <c r="W363" s="903"/>
      <c r="X363" s="903"/>
      <c r="Y363" s="902"/>
      <c r="Z363" s="901"/>
      <c r="AA363" s="903"/>
      <c r="AB363" s="903"/>
      <c r="AC363" s="903"/>
      <c r="AD363" s="903"/>
      <c r="AE363" s="902"/>
      <c r="AF363" s="901"/>
      <c r="AG363" s="903"/>
      <c r="AH363" s="903"/>
      <c r="AI363" s="903"/>
      <c r="AJ363" s="903"/>
      <c r="AK363" s="902"/>
      <c r="AL363" s="901"/>
      <c r="AM363" s="903"/>
      <c r="AN363" s="903"/>
      <c r="AO363" s="903"/>
      <c r="AP363" s="903"/>
      <c r="AQ363" s="902"/>
      <c r="AR363" s="901"/>
      <c r="AS363" s="910"/>
      <c r="AT363" s="903"/>
      <c r="AU363" s="903"/>
      <c r="AV363" s="903"/>
      <c r="AW363" s="902"/>
      <c r="AX363" s="901"/>
      <c r="AY363" s="903"/>
      <c r="AZ363" s="903"/>
      <c r="BA363" s="903"/>
      <c r="BB363" s="903"/>
      <c r="BC363" s="902"/>
      <c r="BD363" s="901"/>
      <c r="BE363" s="903"/>
      <c r="BF363" s="903"/>
      <c r="BG363" s="903"/>
      <c r="BH363" s="903"/>
      <c r="BI363" s="902"/>
      <c r="BJ363" s="901"/>
      <c r="BK363" s="903"/>
      <c r="BL363" s="903"/>
      <c r="BM363" s="903"/>
      <c r="BN363" s="903"/>
      <c r="BO363" s="902"/>
      <c r="BP363" s="901"/>
      <c r="BQ363" s="903"/>
      <c r="BR363" s="903"/>
      <c r="BS363" s="903"/>
      <c r="BT363" s="903"/>
      <c r="BU363" s="902"/>
      <c r="BV363" s="901"/>
      <c r="BW363" s="903"/>
      <c r="BX363" s="903"/>
      <c r="BY363" s="903"/>
      <c r="BZ363" s="903"/>
      <c r="CA363" s="902"/>
      <c r="CB363" s="901"/>
      <c r="CC363" s="903"/>
      <c r="CD363" s="903"/>
      <c r="CE363" s="903"/>
      <c r="CF363" s="903"/>
      <c r="CG363" s="902"/>
      <c r="CH363" s="901"/>
      <c r="CI363" s="903"/>
      <c r="CJ363" s="903"/>
      <c r="CK363" s="903"/>
      <c r="CL363" s="903"/>
      <c r="CM363" s="902"/>
      <c r="CN363" s="901"/>
      <c r="CO363" s="903"/>
      <c r="CP363" s="903"/>
      <c r="CQ363" s="903"/>
      <c r="CR363" s="903"/>
      <c r="CS363" s="902"/>
      <c r="CT363" s="901"/>
      <c r="CU363" s="903"/>
      <c r="CV363" s="903"/>
      <c r="CW363" s="903"/>
      <c r="CX363" s="903"/>
      <c r="CY363" s="902"/>
      <c r="CZ363" s="901"/>
      <c r="DA363" s="903"/>
      <c r="DB363" s="903"/>
      <c r="DC363" s="903"/>
      <c r="DD363" s="903"/>
      <c r="DE363" s="902"/>
      <c r="DF363" s="901"/>
      <c r="DG363" s="903"/>
      <c r="DH363" s="903"/>
      <c r="DI363" s="903"/>
      <c r="DJ363" s="903"/>
      <c r="DK363" s="902"/>
      <c r="DL363" s="901"/>
      <c r="DM363" s="903"/>
      <c r="DN363" s="903"/>
      <c r="DO363" s="903"/>
      <c r="DP363" s="902"/>
    </row>
    <row r="364" spans="1:120" ht="12.75" hidden="1" customHeight="1" outlineLevel="1">
      <c r="A364" s="904" t="s">
        <v>696</v>
      </c>
      <c r="B364" s="260"/>
      <c r="C364" s="261"/>
      <c r="D364" s="261"/>
      <c r="E364" s="261"/>
      <c r="F364" s="261"/>
      <c r="G364" s="261"/>
      <c r="H364" s="261"/>
      <c r="I364" s="261"/>
      <c r="J364" s="261"/>
      <c r="K364" s="261"/>
      <c r="L364" s="261"/>
      <c r="M364" s="261"/>
      <c r="N364" s="260"/>
      <c r="O364" s="905"/>
      <c r="P364" s="905"/>
      <c r="Q364" s="905"/>
      <c r="R364" s="905"/>
      <c r="S364" s="261"/>
      <c r="T364" s="905"/>
      <c r="U364" s="905"/>
      <c r="V364" s="905"/>
      <c r="W364" s="261"/>
      <c r="X364" s="260"/>
      <c r="Y364" s="905"/>
      <c r="Z364" s="905"/>
      <c r="AA364" s="905"/>
      <c r="AB364" s="905"/>
      <c r="AC364" s="905"/>
      <c r="AD364" s="905"/>
      <c r="AE364" s="261"/>
      <c r="AF364" s="260"/>
      <c r="AG364" s="905"/>
      <c r="AH364" s="905"/>
      <c r="AI364" s="905"/>
      <c r="AJ364" s="905"/>
      <c r="AK364" s="261"/>
      <c r="AL364" s="260"/>
      <c r="AM364" s="905"/>
      <c r="AN364" s="905"/>
      <c r="AO364" s="905"/>
      <c r="AP364" s="905"/>
      <c r="AQ364" s="261"/>
      <c r="AR364" s="260"/>
      <c r="AS364" s="677"/>
      <c r="AT364" s="905"/>
      <c r="AU364" s="905"/>
      <c r="AV364" s="905"/>
      <c r="AW364" s="261"/>
      <c r="AX364" s="260"/>
      <c r="AY364" s="905"/>
      <c r="AZ364" s="905"/>
      <c r="BA364" s="905"/>
      <c r="BB364" s="905"/>
      <c r="BC364" s="261"/>
      <c r="BD364" s="260"/>
      <c r="BE364" s="905"/>
      <c r="BF364" s="905"/>
      <c r="BG364" s="905"/>
      <c r="BH364" s="905"/>
      <c r="BI364" s="261"/>
      <c r="BJ364" s="260"/>
      <c r="BK364" s="905"/>
      <c r="BL364" s="905"/>
      <c r="BM364" s="905"/>
      <c r="BN364" s="905"/>
      <c r="BO364" s="261"/>
      <c r="BP364" s="260"/>
      <c r="BQ364" s="905"/>
      <c r="BR364" s="905"/>
      <c r="BS364" s="905"/>
      <c r="BT364" s="905"/>
      <c r="BU364" s="261"/>
      <c r="BV364" s="260"/>
      <c r="BW364" s="905"/>
      <c r="BX364" s="905"/>
      <c r="BY364" s="905"/>
      <c r="BZ364" s="905"/>
      <c r="CA364" s="261"/>
      <c r="CB364" s="260"/>
      <c r="CC364" s="905"/>
      <c r="CD364" s="905"/>
      <c r="CE364" s="905"/>
      <c r="CF364" s="905"/>
      <c r="CG364" s="261"/>
      <c r="CH364" s="260"/>
      <c r="CI364" s="905"/>
      <c r="CJ364" s="905"/>
      <c r="CK364" s="905"/>
      <c r="CL364" s="905"/>
      <c r="CM364" s="261"/>
      <c r="CN364" s="260"/>
      <c r="CO364" s="905"/>
      <c r="CP364" s="905"/>
      <c r="CQ364" s="905"/>
      <c r="CR364" s="905"/>
      <c r="CS364" s="261"/>
      <c r="CT364" s="260"/>
      <c r="CU364" s="905"/>
      <c r="CV364" s="905"/>
      <c r="CW364" s="905"/>
      <c r="CX364" s="905"/>
      <c r="CY364" s="261"/>
      <c r="CZ364" s="260"/>
      <c r="DA364" s="905"/>
      <c r="DB364" s="905"/>
      <c r="DC364" s="905"/>
      <c r="DD364" s="905"/>
      <c r="DE364" s="261"/>
      <c r="DF364" s="260"/>
      <c r="DG364" s="905"/>
      <c r="DH364" s="905"/>
      <c r="DI364" s="905"/>
      <c r="DJ364" s="905"/>
      <c r="DK364" s="261"/>
      <c r="DL364" s="260"/>
      <c r="DM364" s="905"/>
      <c r="DN364" s="905"/>
      <c r="DO364" s="905"/>
      <c r="DP364" s="261"/>
    </row>
    <row r="365" spans="1:120" ht="12" hidden="1" customHeight="1" outlineLevel="1">
      <c r="A365" s="260" t="s">
        <v>393</v>
      </c>
      <c r="B365" s="260"/>
      <c r="C365" s="261"/>
      <c r="D365" s="261"/>
      <c r="E365" s="261"/>
      <c r="F365" s="261"/>
      <c r="G365" s="261"/>
      <c r="H365" s="261"/>
      <c r="I365" s="261"/>
      <c r="J365" s="261"/>
      <c r="K365" s="261"/>
      <c r="L365" s="261"/>
      <c r="M365" s="261"/>
      <c r="N365" s="260"/>
      <c r="O365" s="905"/>
      <c r="P365" s="905"/>
      <c r="Q365" s="905"/>
      <c r="R365" s="905"/>
      <c r="S365" s="261"/>
      <c r="T365" s="714" t="s">
        <v>860</v>
      </c>
      <c r="U365" s="714" t="s">
        <v>860</v>
      </c>
      <c r="V365" s="906">
        <v>275</v>
      </c>
      <c r="W365" s="261"/>
      <c r="X365" s="260"/>
      <c r="Y365" s="714" t="s">
        <v>860</v>
      </c>
      <c r="Z365" s="714" t="s">
        <v>860</v>
      </c>
      <c r="AA365" s="714" t="s">
        <v>860</v>
      </c>
      <c r="AB365" s="261">
        <v>460</v>
      </c>
      <c r="AC365" s="905"/>
      <c r="AD365" s="905"/>
      <c r="AE365" s="714" t="s">
        <v>860</v>
      </c>
      <c r="AF365" s="714" t="s">
        <v>860</v>
      </c>
      <c r="AG365" s="714" t="s">
        <v>860</v>
      </c>
      <c r="AH365" s="261">
        <v>700</v>
      </c>
      <c r="AI365" s="905"/>
      <c r="AJ365" s="905"/>
      <c r="AK365" s="261"/>
      <c r="AL365" s="260"/>
      <c r="AM365" s="905"/>
      <c r="AN365" s="905">
        <v>1000</v>
      </c>
      <c r="AO365" s="905"/>
      <c r="AP365" s="905"/>
      <c r="AQ365" s="261"/>
      <c r="AR365" s="260"/>
      <c r="AS365" s="677"/>
      <c r="AT365" s="905">
        <v>1350</v>
      </c>
      <c r="AU365" s="905"/>
      <c r="AV365" s="905"/>
      <c r="AW365" s="261"/>
      <c r="AX365" s="260"/>
      <c r="AY365" s="905">
        <f>1293*1.15</f>
        <v>1486.9499999999998</v>
      </c>
      <c r="AZ365" s="905"/>
      <c r="BA365" s="905"/>
      <c r="BB365" s="905"/>
      <c r="BC365" s="261"/>
      <c r="BD365" s="260"/>
      <c r="BE365" s="905"/>
      <c r="BF365" s="905"/>
      <c r="BG365" s="905"/>
      <c r="BH365" s="905"/>
      <c r="BI365" s="260">
        <v>2150</v>
      </c>
      <c r="BJ365" s="656">
        <v>2220</v>
      </c>
      <c r="BK365" s="905"/>
      <c r="BL365" s="905"/>
      <c r="BM365" s="905"/>
      <c r="BN365" s="905"/>
      <c r="BO365" s="261"/>
      <c r="BP365" s="260"/>
      <c r="BQ365" s="905"/>
      <c r="BR365" s="905"/>
      <c r="BS365" s="905"/>
      <c r="BT365" s="905"/>
      <c r="BU365" s="261"/>
      <c r="BV365" s="260"/>
      <c r="BW365" s="905"/>
      <c r="BX365" s="905"/>
      <c r="BY365" s="905"/>
      <c r="BZ365" s="905"/>
      <c r="CA365" s="261"/>
      <c r="CB365" s="260"/>
      <c r="CC365" s="905"/>
      <c r="CD365" s="905"/>
      <c r="CE365" s="905"/>
      <c r="CF365" s="905"/>
      <c r="CG365" s="261"/>
      <c r="CH365" s="260"/>
      <c r="CI365" s="905"/>
      <c r="CJ365" s="905"/>
      <c r="CK365" s="905"/>
      <c r="CL365" s="905"/>
      <c r="CM365" s="261"/>
      <c r="CN365" s="260"/>
      <c r="CO365" s="905"/>
      <c r="CP365" s="905"/>
      <c r="CQ365" s="905"/>
      <c r="CR365" s="905"/>
      <c r="CS365" s="261"/>
      <c r="CT365" s="260"/>
      <c r="CU365" s="905"/>
      <c r="CV365" s="905"/>
      <c r="CW365" s="905"/>
      <c r="CX365" s="905"/>
      <c r="CY365" s="261"/>
      <c r="CZ365" s="260"/>
      <c r="DA365" s="905"/>
      <c r="DB365" s="905"/>
      <c r="DC365" s="905"/>
      <c r="DD365" s="905"/>
      <c r="DE365" s="261"/>
      <c r="DF365" s="260"/>
      <c r="DG365" s="905"/>
      <c r="DH365" s="905"/>
      <c r="DI365" s="905"/>
      <c r="DJ365" s="905"/>
      <c r="DK365" s="261"/>
      <c r="DL365" s="260"/>
      <c r="DM365" s="905"/>
      <c r="DN365" s="905"/>
      <c r="DO365" s="905"/>
      <c r="DP365" s="261"/>
    </row>
    <row r="366" spans="1:120" ht="12" hidden="1" customHeight="1" outlineLevel="1">
      <c r="A366" s="260" t="s">
        <v>394</v>
      </c>
      <c r="B366" s="260"/>
      <c r="C366" s="261"/>
      <c r="D366" s="261"/>
      <c r="E366" s="261"/>
      <c r="F366" s="261"/>
      <c r="G366" s="261"/>
      <c r="H366" s="261"/>
      <c r="I366" s="261"/>
      <c r="J366" s="261"/>
      <c r="K366" s="261"/>
      <c r="L366" s="261"/>
      <c r="M366" s="261"/>
      <c r="N366" s="260"/>
      <c r="O366" s="905"/>
      <c r="P366" s="905"/>
      <c r="Q366" s="905"/>
      <c r="R366" s="905"/>
      <c r="S366" s="261"/>
      <c r="T366" s="714" t="s">
        <v>860</v>
      </c>
      <c r="U366" s="714" t="s">
        <v>860</v>
      </c>
      <c r="V366" s="906">
        <v>285</v>
      </c>
      <c r="W366" s="261"/>
      <c r="X366" s="260"/>
      <c r="Y366" s="714" t="s">
        <v>860</v>
      </c>
      <c r="Z366" s="714" t="s">
        <v>860</v>
      </c>
      <c r="AA366" s="714" t="s">
        <v>860</v>
      </c>
      <c r="AB366" s="261">
        <v>465</v>
      </c>
      <c r="AC366" s="905"/>
      <c r="AD366" s="905"/>
      <c r="AE366" s="714" t="s">
        <v>860</v>
      </c>
      <c r="AF366" s="714" t="s">
        <v>860</v>
      </c>
      <c r="AG366" s="714" t="s">
        <v>860</v>
      </c>
      <c r="AH366" s="261">
        <v>710</v>
      </c>
      <c r="AI366" s="905"/>
      <c r="AJ366" s="905"/>
      <c r="AK366" s="261"/>
      <c r="AL366" s="260"/>
      <c r="AM366" s="905"/>
      <c r="AN366" s="905">
        <v>1020</v>
      </c>
      <c r="AO366" s="905"/>
      <c r="AP366" s="905"/>
      <c r="AQ366" s="261"/>
      <c r="AR366" s="260"/>
      <c r="AS366" s="677"/>
      <c r="AT366" s="905">
        <v>1360</v>
      </c>
      <c r="AU366" s="905"/>
      <c r="AV366" s="905"/>
      <c r="AW366" s="261"/>
      <c r="AX366" s="260"/>
      <c r="AY366" s="905">
        <f>1293*1.16</f>
        <v>1499.8799999999999</v>
      </c>
      <c r="AZ366" s="905"/>
      <c r="BA366" s="905"/>
      <c r="BB366" s="905"/>
      <c r="BC366" s="261"/>
      <c r="BD366" s="260"/>
      <c r="BE366" s="905"/>
      <c r="BF366" s="905"/>
      <c r="BG366" s="905"/>
      <c r="BH366" s="905"/>
      <c r="BI366" s="260">
        <v>2170</v>
      </c>
      <c r="BJ366" s="656">
        <v>2230</v>
      </c>
      <c r="BK366" s="905"/>
      <c r="BL366" s="905"/>
      <c r="BM366" s="905"/>
      <c r="BN366" s="905"/>
      <c r="BO366" s="261"/>
      <c r="BP366" s="260"/>
      <c r="BQ366" s="905"/>
      <c r="BR366" s="905"/>
      <c r="BS366" s="905"/>
      <c r="BT366" s="905"/>
      <c r="BU366" s="261"/>
      <c r="BV366" s="260"/>
      <c r="BW366" s="905"/>
      <c r="BX366" s="905"/>
      <c r="BY366" s="905"/>
      <c r="BZ366" s="905"/>
      <c r="CA366" s="261"/>
      <c r="CB366" s="260"/>
      <c r="CC366" s="905"/>
      <c r="CD366" s="905"/>
      <c r="CE366" s="905"/>
      <c r="CF366" s="905"/>
      <c r="CG366" s="261"/>
      <c r="CH366" s="260"/>
      <c r="CI366" s="905"/>
      <c r="CJ366" s="905"/>
      <c r="CK366" s="905"/>
      <c r="CL366" s="905"/>
      <c r="CM366" s="261"/>
      <c r="CN366" s="260"/>
      <c r="CO366" s="905"/>
      <c r="CP366" s="905"/>
      <c r="CQ366" s="905"/>
      <c r="CR366" s="905"/>
      <c r="CS366" s="261"/>
      <c r="CT366" s="260"/>
      <c r="CU366" s="905"/>
      <c r="CV366" s="905"/>
      <c r="CW366" s="905"/>
      <c r="CX366" s="905"/>
      <c r="CY366" s="261"/>
      <c r="CZ366" s="260"/>
      <c r="DA366" s="905"/>
      <c r="DB366" s="905"/>
      <c r="DC366" s="905"/>
      <c r="DD366" s="905"/>
      <c r="DE366" s="261"/>
      <c r="DF366" s="260"/>
      <c r="DG366" s="905"/>
      <c r="DH366" s="905"/>
      <c r="DI366" s="905"/>
      <c r="DJ366" s="905"/>
      <c r="DK366" s="261"/>
      <c r="DL366" s="260"/>
      <c r="DM366" s="905"/>
      <c r="DN366" s="905"/>
      <c r="DO366" s="905"/>
      <c r="DP366" s="261"/>
    </row>
    <row r="367" spans="1:120" ht="12" hidden="1" customHeight="1" outlineLevel="1">
      <c r="A367" s="260" t="s">
        <v>395</v>
      </c>
      <c r="B367" s="260"/>
      <c r="C367" s="261"/>
      <c r="D367" s="261"/>
      <c r="E367" s="261"/>
      <c r="F367" s="261"/>
      <c r="G367" s="261"/>
      <c r="H367" s="261"/>
      <c r="I367" s="261"/>
      <c r="J367" s="261"/>
      <c r="K367" s="261"/>
      <c r="L367" s="261"/>
      <c r="M367" s="261"/>
      <c r="N367" s="260"/>
      <c r="O367" s="905"/>
      <c r="P367" s="905"/>
      <c r="Q367" s="905"/>
      <c r="R367" s="905"/>
      <c r="S367" s="261"/>
      <c r="T367" s="714" t="s">
        <v>860</v>
      </c>
      <c r="U367" s="714" t="s">
        <v>860</v>
      </c>
      <c r="V367" s="906">
        <f>AC19</f>
        <v>309.85700000000003</v>
      </c>
      <c r="W367" s="261"/>
      <c r="X367" s="260"/>
      <c r="Y367" s="714" t="s">
        <v>860</v>
      </c>
      <c r="Z367" s="714" t="s">
        <v>860</v>
      </c>
      <c r="AA367" s="714" t="s">
        <v>860</v>
      </c>
      <c r="AB367" s="261">
        <f>$AI$19</f>
        <v>497.09799999999996</v>
      </c>
      <c r="AC367" s="905"/>
      <c r="AD367" s="905"/>
      <c r="AE367" s="714" t="s">
        <v>860</v>
      </c>
      <c r="AF367" s="714" t="s">
        <v>860</v>
      </c>
      <c r="AG367" s="714" t="s">
        <v>860</v>
      </c>
      <c r="AH367" s="261">
        <f>$AO$19</f>
        <v>748.69999999999993</v>
      </c>
      <c r="AI367" s="905"/>
      <c r="AJ367" s="905"/>
      <c r="AK367" s="261"/>
      <c r="AL367" s="260"/>
      <c r="AM367" s="905"/>
      <c r="AN367" s="261">
        <f>$AU$19</f>
        <v>1076.769</v>
      </c>
      <c r="AO367" s="905"/>
      <c r="AP367" s="905"/>
      <c r="AQ367" s="261"/>
      <c r="AR367" s="260"/>
      <c r="AS367" s="677"/>
      <c r="AT367" s="261">
        <f>$BA$19</f>
        <v>1305.5830000000001</v>
      </c>
      <c r="AU367" s="905"/>
      <c r="AV367" s="905"/>
      <c r="AW367" s="261"/>
      <c r="AX367" s="260"/>
      <c r="AY367" s="905">
        <f>BG19</f>
        <v>1657.1389999999999</v>
      </c>
      <c r="AZ367" s="905"/>
      <c r="BA367" s="905"/>
      <c r="BB367" s="905"/>
      <c r="BC367" s="261"/>
      <c r="BD367" s="260"/>
      <c r="BE367" s="905"/>
      <c r="BF367" s="905"/>
      <c r="BG367" s="905"/>
      <c r="BH367" s="905"/>
      <c r="BI367" s="261">
        <v>2167</v>
      </c>
      <c r="BJ367" s="261">
        <f>$BM$19</f>
        <v>2266.5390000000002</v>
      </c>
      <c r="BK367" s="905"/>
      <c r="BL367" s="905"/>
      <c r="BM367" s="905"/>
      <c r="BN367" s="905"/>
      <c r="BO367" s="261"/>
      <c r="BP367" s="260"/>
      <c r="BQ367" s="905"/>
      <c r="BR367" s="905"/>
      <c r="BS367" s="905"/>
      <c r="BT367" s="905"/>
      <c r="BU367" s="261"/>
      <c r="BV367" s="260"/>
      <c r="BW367" s="905"/>
      <c r="BX367" s="905"/>
      <c r="BY367" s="905"/>
      <c r="BZ367" s="905"/>
      <c r="CA367" s="261"/>
      <c r="CB367" s="260"/>
      <c r="CC367" s="905"/>
      <c r="CD367" s="905"/>
      <c r="CE367" s="905"/>
      <c r="CF367" s="905"/>
      <c r="CG367" s="261"/>
      <c r="CH367" s="260"/>
      <c r="CI367" s="905"/>
      <c r="CJ367" s="905"/>
      <c r="CK367" s="905"/>
      <c r="CL367" s="905"/>
      <c r="CM367" s="261"/>
      <c r="CN367" s="260"/>
      <c r="CO367" s="905"/>
      <c r="CP367" s="905"/>
      <c r="CQ367" s="905"/>
      <c r="CR367" s="905"/>
      <c r="CS367" s="261"/>
      <c r="CT367" s="260"/>
      <c r="CU367" s="905"/>
      <c r="CV367" s="905"/>
      <c r="CW367" s="905"/>
      <c r="CX367" s="905"/>
      <c r="CY367" s="261"/>
      <c r="CZ367" s="260"/>
      <c r="DA367" s="905"/>
      <c r="DB367" s="905"/>
      <c r="DC367" s="905"/>
      <c r="DD367" s="905"/>
      <c r="DE367" s="261"/>
      <c r="DF367" s="260"/>
      <c r="DG367" s="905"/>
      <c r="DH367" s="905"/>
      <c r="DI367" s="905"/>
      <c r="DJ367" s="905"/>
      <c r="DK367" s="261"/>
      <c r="DL367" s="260"/>
      <c r="DM367" s="905"/>
      <c r="DN367" s="905"/>
      <c r="DO367" s="905"/>
      <c r="DP367" s="261"/>
    </row>
    <row r="368" spans="1:120" ht="12" hidden="1" customHeight="1" outlineLevel="1">
      <c r="A368" s="260" t="s">
        <v>947</v>
      </c>
      <c r="B368" s="260"/>
      <c r="C368" s="261"/>
      <c r="D368" s="261"/>
      <c r="E368" s="261"/>
      <c r="F368" s="261"/>
      <c r="G368" s="261"/>
      <c r="H368" s="261"/>
      <c r="I368" s="261"/>
      <c r="J368" s="261"/>
      <c r="K368" s="261"/>
      <c r="L368" s="261"/>
      <c r="M368" s="261"/>
      <c r="N368" s="260"/>
      <c r="O368" s="905"/>
      <c r="P368" s="905"/>
      <c r="Q368" s="905"/>
      <c r="R368" s="905"/>
      <c r="S368" s="261"/>
      <c r="T368" s="908" t="s">
        <v>860</v>
      </c>
      <c r="U368" s="908" t="s">
        <v>860</v>
      </c>
      <c r="V368" s="908">
        <f>V367/AVERAGE(V365:V366)-1</f>
        <v>0.10663214285714306</v>
      </c>
      <c r="W368" s="261"/>
      <c r="X368" s="260"/>
      <c r="Y368" s="908" t="s">
        <v>860</v>
      </c>
      <c r="Z368" s="908" t="s">
        <v>860</v>
      </c>
      <c r="AA368" s="908" t="s">
        <v>860</v>
      </c>
      <c r="AB368" s="908">
        <f>AB367/AVERAGE(AB365:AB366)-1</f>
        <v>7.4806486486486357E-2</v>
      </c>
      <c r="AC368" s="905"/>
      <c r="AD368" s="905"/>
      <c r="AE368" s="908" t="s">
        <v>860</v>
      </c>
      <c r="AF368" s="908" t="s">
        <v>860</v>
      </c>
      <c r="AG368" s="908" t="s">
        <v>860</v>
      </c>
      <c r="AH368" s="908">
        <f>AH367/AVERAGE(AH365:AH366)-1</f>
        <v>6.198581560283678E-2</v>
      </c>
      <c r="AI368" s="905"/>
      <c r="AJ368" s="905"/>
      <c r="AK368" s="261"/>
      <c r="AL368" s="260"/>
      <c r="AM368" s="905"/>
      <c r="AN368" s="908">
        <f>AN367/AVERAGE(AN365:AN366)-1</f>
        <v>6.6107920792079167E-2</v>
      </c>
      <c r="AO368" s="905"/>
      <c r="AP368" s="905"/>
      <c r="AQ368" s="261"/>
      <c r="AR368" s="260"/>
      <c r="AS368" s="677"/>
      <c r="AT368" s="908">
        <f>AT367/AVERAGE(AT365:AT366)-1</f>
        <v>-3.647011070110695E-2</v>
      </c>
      <c r="AU368" s="905"/>
      <c r="AV368" s="905"/>
      <c r="AW368" s="261"/>
      <c r="AX368" s="260"/>
      <c r="AY368" s="908">
        <f>AY367/AVERAGE(AY365:AY366)-1</f>
        <v>0.10963061171877864</v>
      </c>
      <c r="AZ368" s="908"/>
      <c r="BA368" s="905"/>
      <c r="BB368" s="905"/>
      <c r="BC368" s="261"/>
      <c r="BD368" s="260"/>
      <c r="BE368" s="905"/>
      <c r="BF368" s="905"/>
      <c r="BG368" s="905"/>
      <c r="BH368" s="905"/>
      <c r="BI368" s="908">
        <f>BI367/AVERAGE(BI365:BI366)-1</f>
        <v>3.2407407407406552E-3</v>
      </c>
      <c r="BJ368" s="908">
        <f>BJ367/AVERAGE(BJ365:BJ366)-1</f>
        <v>1.8669213483146097E-2</v>
      </c>
      <c r="BK368" s="905"/>
      <c r="BL368" s="905"/>
      <c r="BM368" s="905"/>
      <c r="BN368" s="905"/>
      <c r="BO368" s="261"/>
      <c r="BP368" s="260"/>
      <c r="BQ368" s="905"/>
      <c r="BR368" s="905"/>
      <c r="BS368" s="905"/>
      <c r="BT368" s="905"/>
      <c r="BU368" s="261"/>
      <c r="BV368" s="260"/>
      <c r="BW368" s="905"/>
      <c r="BX368" s="905"/>
      <c r="BY368" s="905"/>
      <c r="BZ368" s="905"/>
      <c r="CA368" s="261"/>
      <c r="CB368" s="260"/>
      <c r="CC368" s="905"/>
      <c r="CD368" s="905"/>
      <c r="CE368" s="905"/>
      <c r="CF368" s="905"/>
      <c r="CG368" s="261"/>
      <c r="CH368" s="260"/>
      <c r="CI368" s="905"/>
      <c r="CJ368" s="905"/>
      <c r="CK368" s="905"/>
      <c r="CL368" s="905"/>
      <c r="CM368" s="261"/>
      <c r="CN368" s="260"/>
      <c r="CO368" s="905"/>
      <c r="CP368" s="905"/>
      <c r="CQ368" s="905"/>
      <c r="CR368" s="905"/>
      <c r="CS368" s="261"/>
      <c r="CT368" s="260"/>
      <c r="CU368" s="905"/>
      <c r="CV368" s="905"/>
      <c r="CW368" s="905"/>
      <c r="CX368" s="905"/>
      <c r="CY368" s="261"/>
      <c r="CZ368" s="260"/>
      <c r="DA368" s="905"/>
      <c r="DB368" s="905"/>
      <c r="DC368" s="905"/>
      <c r="DD368" s="905"/>
      <c r="DE368" s="261"/>
      <c r="DF368" s="260"/>
      <c r="DG368" s="905"/>
      <c r="DH368" s="905"/>
      <c r="DI368" s="905"/>
      <c r="DJ368" s="905"/>
      <c r="DK368" s="261"/>
      <c r="DL368" s="260"/>
      <c r="DM368" s="905"/>
      <c r="DN368" s="905"/>
      <c r="DO368" s="905"/>
      <c r="DP368" s="261"/>
    </row>
    <row r="369" spans="1:120" ht="12.75" hidden="1" customHeight="1" outlineLevel="1">
      <c r="A369" s="260"/>
      <c r="B369" s="260"/>
      <c r="C369" s="261"/>
      <c r="D369" s="261"/>
      <c r="E369" s="261"/>
      <c r="F369" s="261"/>
      <c r="G369" s="261"/>
      <c r="H369" s="261"/>
      <c r="I369" s="261"/>
      <c r="J369" s="261"/>
      <c r="K369" s="261"/>
      <c r="L369" s="261"/>
      <c r="M369" s="261"/>
      <c r="N369" s="260"/>
      <c r="O369" s="905"/>
      <c r="P369" s="905"/>
      <c r="Q369" s="905"/>
      <c r="R369" s="905"/>
      <c r="S369" s="261"/>
      <c r="T369" s="905"/>
      <c r="U369" s="905"/>
      <c r="V369" s="905"/>
      <c r="W369" s="261"/>
      <c r="X369" s="260"/>
      <c r="Y369" s="905"/>
      <c r="Z369" s="905"/>
      <c r="AA369" s="905"/>
      <c r="AB369" s="261"/>
      <c r="AC369" s="905"/>
      <c r="AD369" s="905"/>
      <c r="AE369" s="261"/>
      <c r="AF369" s="260"/>
      <c r="AG369" s="905"/>
      <c r="AH369" s="905"/>
      <c r="AI369" s="905"/>
      <c r="AJ369" s="905"/>
      <c r="AK369" s="261"/>
      <c r="AL369" s="260"/>
      <c r="AM369" s="905"/>
      <c r="AN369" s="905"/>
      <c r="AO369" s="905"/>
      <c r="AP369" s="905"/>
      <c r="AQ369" s="261"/>
      <c r="AR369" s="260"/>
      <c r="AS369" s="905"/>
      <c r="AT369" s="905"/>
      <c r="AU369" s="905"/>
      <c r="AV369" s="905"/>
      <c r="AW369" s="261"/>
      <c r="AX369" s="260"/>
      <c r="AY369" s="905"/>
      <c r="AZ369" s="905"/>
      <c r="BA369" s="905"/>
      <c r="BB369" s="905"/>
      <c r="BC369" s="261"/>
      <c r="BD369" s="260"/>
      <c r="BE369" s="905"/>
      <c r="BF369" s="905"/>
      <c r="BG369" s="905"/>
      <c r="BH369" s="905"/>
      <c r="BI369" s="260"/>
      <c r="BK369" s="905"/>
      <c r="BL369" s="905"/>
      <c r="BM369" s="905"/>
      <c r="BN369" s="905"/>
      <c r="BO369" s="261"/>
      <c r="BP369" s="260"/>
      <c r="BQ369" s="905"/>
      <c r="BR369" s="905"/>
      <c r="BS369" s="905"/>
      <c r="BT369" s="905"/>
      <c r="BU369" s="261"/>
      <c r="BV369" s="260"/>
      <c r="BW369" s="905"/>
      <c r="BX369" s="905"/>
      <c r="BY369" s="905"/>
      <c r="BZ369" s="905"/>
      <c r="CA369" s="261"/>
      <c r="CB369" s="260"/>
      <c r="CC369" s="905"/>
      <c r="CD369" s="905"/>
      <c r="CE369" s="905"/>
      <c r="CF369" s="905"/>
      <c r="CG369" s="261"/>
      <c r="CH369" s="260"/>
      <c r="CI369" s="905"/>
      <c r="CJ369" s="905"/>
      <c r="CK369" s="905"/>
      <c r="CL369" s="905"/>
      <c r="CM369" s="261"/>
      <c r="CN369" s="260"/>
      <c r="CO369" s="905"/>
      <c r="CP369" s="905"/>
      <c r="CQ369" s="905"/>
      <c r="CR369" s="905"/>
      <c r="CS369" s="261"/>
      <c r="CT369" s="260"/>
      <c r="CU369" s="905"/>
      <c r="CV369" s="905"/>
      <c r="CW369" s="905"/>
      <c r="CX369" s="905"/>
      <c r="CY369" s="261"/>
      <c r="CZ369" s="260"/>
      <c r="DA369" s="905"/>
      <c r="DB369" s="905"/>
      <c r="DC369" s="905"/>
      <c r="DD369" s="905"/>
      <c r="DE369" s="261"/>
      <c r="DF369" s="260"/>
      <c r="DG369" s="905"/>
      <c r="DH369" s="905"/>
      <c r="DI369" s="905"/>
      <c r="DJ369" s="905"/>
      <c r="DK369" s="261"/>
      <c r="DL369" s="260"/>
      <c r="DM369" s="905"/>
      <c r="DN369" s="905"/>
      <c r="DO369" s="905"/>
      <c r="DP369" s="261"/>
    </row>
    <row r="370" spans="1:120" ht="12.75" hidden="1" customHeight="1" outlineLevel="1">
      <c r="A370" s="904" t="s">
        <v>948</v>
      </c>
      <c r="B370" s="260"/>
      <c r="C370" s="261"/>
      <c r="D370" s="261"/>
      <c r="E370" s="261"/>
      <c r="F370" s="261"/>
      <c r="G370" s="261"/>
      <c r="H370" s="261"/>
      <c r="I370" s="261"/>
      <c r="J370" s="261"/>
      <c r="K370" s="261"/>
      <c r="L370" s="261"/>
      <c r="M370" s="261"/>
      <c r="N370" s="260"/>
      <c r="O370" s="905"/>
      <c r="P370" s="905"/>
      <c r="Q370" s="905"/>
      <c r="R370" s="905"/>
      <c r="S370" s="261"/>
      <c r="T370" s="905"/>
      <c r="U370" s="905"/>
      <c r="V370" s="905"/>
      <c r="W370" s="261"/>
      <c r="X370" s="260"/>
      <c r="Y370" s="905"/>
      <c r="Z370" s="905"/>
      <c r="AA370" s="905"/>
      <c r="AB370" s="261"/>
      <c r="AC370" s="905"/>
      <c r="AD370" s="905"/>
      <c r="AE370" s="261"/>
      <c r="AF370" s="260"/>
      <c r="AG370" s="905"/>
      <c r="AH370" s="905"/>
      <c r="AI370" s="905"/>
      <c r="AJ370" s="905"/>
      <c r="AK370" s="261"/>
      <c r="AL370" s="260"/>
      <c r="AM370" s="905"/>
      <c r="AN370" s="905"/>
      <c r="AO370" s="905"/>
      <c r="AP370" s="905"/>
      <c r="AQ370" s="261"/>
      <c r="AR370" s="260"/>
      <c r="AS370" s="905"/>
      <c r="AT370" s="905"/>
      <c r="AU370" s="905"/>
      <c r="AV370" s="905"/>
      <c r="AW370" s="261"/>
      <c r="AX370" s="260"/>
      <c r="AY370" s="905"/>
      <c r="AZ370" s="905"/>
      <c r="BA370" s="905"/>
      <c r="BB370" s="905"/>
      <c r="BC370" s="261"/>
      <c r="BD370" s="260"/>
      <c r="BE370" s="905"/>
      <c r="BF370" s="905"/>
      <c r="BG370" s="905"/>
      <c r="BH370" s="905"/>
      <c r="BI370" s="721">
        <v>1.3</v>
      </c>
      <c r="BJ370" s="721">
        <v>1.3</v>
      </c>
      <c r="BK370" s="905"/>
      <c r="BL370" s="905"/>
      <c r="BM370" s="905"/>
      <c r="BN370" s="905"/>
      <c r="BO370" s="261"/>
      <c r="BP370" s="260"/>
      <c r="BQ370" s="905"/>
      <c r="BR370" s="905"/>
      <c r="BS370" s="905"/>
      <c r="BT370" s="905"/>
      <c r="BU370" s="261"/>
      <c r="BV370" s="260"/>
      <c r="BW370" s="905"/>
      <c r="BX370" s="905"/>
      <c r="BY370" s="905"/>
      <c r="BZ370" s="905"/>
      <c r="CA370" s="261"/>
      <c r="CB370" s="260"/>
      <c r="CC370" s="905"/>
      <c r="CD370" s="905"/>
      <c r="CE370" s="905"/>
      <c r="CF370" s="905"/>
      <c r="CG370" s="261"/>
      <c r="CH370" s="260"/>
      <c r="CI370" s="905"/>
      <c r="CJ370" s="905"/>
      <c r="CK370" s="905"/>
      <c r="CL370" s="905"/>
      <c r="CM370" s="261"/>
      <c r="CN370" s="260"/>
      <c r="CO370" s="905"/>
      <c r="CP370" s="905"/>
      <c r="CQ370" s="905"/>
      <c r="CR370" s="905"/>
      <c r="CS370" s="261"/>
      <c r="CT370" s="260"/>
      <c r="CU370" s="905"/>
      <c r="CV370" s="905"/>
      <c r="CW370" s="905"/>
      <c r="CX370" s="905"/>
      <c r="CY370" s="261"/>
      <c r="CZ370" s="260"/>
      <c r="DA370" s="905"/>
      <c r="DB370" s="905"/>
      <c r="DC370" s="905"/>
      <c r="DD370" s="905"/>
      <c r="DE370" s="261"/>
      <c r="DF370" s="260"/>
      <c r="DG370" s="905"/>
      <c r="DH370" s="905"/>
      <c r="DI370" s="905"/>
      <c r="DJ370" s="905"/>
      <c r="DK370" s="261"/>
      <c r="DL370" s="260"/>
      <c r="DM370" s="905"/>
      <c r="DN370" s="905"/>
      <c r="DO370" s="905"/>
      <c r="DP370" s="261"/>
    </row>
    <row r="371" spans="1:120" ht="12" hidden="1" customHeight="1" outlineLevel="1">
      <c r="A371" s="260" t="s">
        <v>393</v>
      </c>
      <c r="B371" s="260"/>
      <c r="C371" s="261"/>
      <c r="D371" s="261"/>
      <c r="E371" s="261"/>
      <c r="F371" s="261"/>
      <c r="G371" s="261"/>
      <c r="H371" s="261"/>
      <c r="I371" s="261"/>
      <c r="J371" s="261"/>
      <c r="K371" s="261"/>
      <c r="L371" s="261"/>
      <c r="M371" s="261"/>
      <c r="N371" s="260"/>
      <c r="O371" s="905"/>
      <c r="P371" s="905"/>
      <c r="Q371" s="905"/>
      <c r="R371" s="905"/>
      <c r="S371" s="261"/>
      <c r="T371" s="714" t="s">
        <v>860</v>
      </c>
      <c r="U371" s="714" t="s">
        <v>860</v>
      </c>
      <c r="V371" s="909">
        <v>0.1</v>
      </c>
      <c r="W371" s="261"/>
      <c r="X371" s="260"/>
      <c r="Y371" s="714" t="s">
        <v>860</v>
      </c>
      <c r="Z371" s="714" t="s">
        <v>860</v>
      </c>
      <c r="AA371" s="714" t="s">
        <v>860</v>
      </c>
      <c r="AB371" s="721">
        <v>0.2</v>
      </c>
      <c r="AC371" s="905"/>
      <c r="AD371" s="905"/>
      <c r="AE371" s="261"/>
      <c r="AF371" s="260"/>
      <c r="AG371" s="905"/>
      <c r="AH371" s="905"/>
      <c r="AI371" s="905"/>
      <c r="AJ371" s="905"/>
      <c r="AK371" s="261"/>
      <c r="AL371" s="260"/>
      <c r="AM371" s="905"/>
      <c r="AN371" s="905"/>
      <c r="AO371" s="905"/>
      <c r="AP371" s="905"/>
      <c r="AQ371" s="261"/>
      <c r="AR371" s="260"/>
      <c r="AS371" s="905"/>
      <c r="AT371" s="905"/>
      <c r="AU371" s="905"/>
      <c r="AV371" s="905"/>
      <c r="AW371" s="261"/>
      <c r="AX371" s="260"/>
      <c r="AY371" s="905"/>
      <c r="AZ371" s="905"/>
      <c r="BA371" s="905"/>
      <c r="BB371" s="905"/>
      <c r="BC371" s="261"/>
      <c r="BD371" s="260"/>
      <c r="BE371" s="905"/>
      <c r="BF371" s="905"/>
      <c r="BG371" s="905"/>
      <c r="BH371" s="905"/>
      <c r="BI371" s="721">
        <v>1.32</v>
      </c>
      <c r="BJ371" s="721">
        <v>1.32</v>
      </c>
      <c r="BK371" s="905"/>
      <c r="BL371" s="905"/>
      <c r="BM371" s="905"/>
      <c r="BN371" s="905"/>
      <c r="BO371" s="261"/>
      <c r="BP371" s="260"/>
      <c r="BQ371" s="905"/>
      <c r="BR371" s="905"/>
      <c r="BS371" s="905"/>
      <c r="BT371" s="905"/>
      <c r="BU371" s="261"/>
      <c r="BV371" s="260"/>
      <c r="BW371" s="905"/>
      <c r="BX371" s="905"/>
      <c r="BY371" s="905"/>
      <c r="BZ371" s="905"/>
      <c r="CA371" s="261"/>
      <c r="CB371" s="260"/>
      <c r="CC371" s="905"/>
      <c r="CD371" s="905"/>
      <c r="CE371" s="905"/>
      <c r="CF371" s="905"/>
      <c r="CG371" s="261"/>
      <c r="CH371" s="260"/>
      <c r="CI371" s="905"/>
      <c r="CJ371" s="905"/>
      <c r="CK371" s="905"/>
      <c r="CL371" s="905"/>
      <c r="CM371" s="261"/>
      <c r="CN371" s="260"/>
      <c r="CO371" s="905"/>
      <c r="CP371" s="905"/>
      <c r="CQ371" s="905"/>
      <c r="CR371" s="905"/>
      <c r="CS371" s="261"/>
      <c r="CT371" s="260"/>
      <c r="CU371" s="905"/>
      <c r="CV371" s="905"/>
      <c r="CW371" s="905"/>
      <c r="CX371" s="905"/>
      <c r="CY371" s="261"/>
      <c r="CZ371" s="260"/>
      <c r="DA371" s="905"/>
      <c r="DB371" s="905"/>
      <c r="DC371" s="905"/>
      <c r="DD371" s="905"/>
      <c r="DE371" s="261"/>
      <c r="DF371" s="260"/>
      <c r="DG371" s="905"/>
      <c r="DH371" s="905"/>
      <c r="DI371" s="905"/>
      <c r="DJ371" s="905"/>
      <c r="DK371" s="261"/>
      <c r="DL371" s="260"/>
      <c r="DM371" s="905"/>
      <c r="DN371" s="905"/>
      <c r="DO371" s="905"/>
      <c r="DP371" s="261"/>
    </row>
    <row r="372" spans="1:120" ht="12" hidden="1" customHeight="1" outlineLevel="1">
      <c r="A372" s="260" t="s">
        <v>394</v>
      </c>
      <c r="B372" s="260"/>
      <c r="C372" s="261"/>
      <c r="D372" s="261"/>
      <c r="E372" s="261"/>
      <c r="F372" s="261"/>
      <c r="G372" s="261"/>
      <c r="H372" s="261"/>
      <c r="I372" s="261"/>
      <c r="J372" s="261"/>
      <c r="K372" s="261"/>
      <c r="L372" s="261"/>
      <c r="M372" s="261"/>
      <c r="N372" s="260"/>
      <c r="O372" s="905"/>
      <c r="P372" s="905"/>
      <c r="Q372" s="905"/>
      <c r="R372" s="905"/>
      <c r="S372" s="261"/>
      <c r="T372" s="714" t="s">
        <v>860</v>
      </c>
      <c r="U372" s="714" t="s">
        <v>860</v>
      </c>
      <c r="V372" s="909">
        <v>0.12</v>
      </c>
      <c r="W372" s="261"/>
      <c r="X372" s="260"/>
      <c r="Y372" s="714" t="s">
        <v>860</v>
      </c>
      <c r="Z372" s="714" t="s">
        <v>860</v>
      </c>
      <c r="AA372" s="714" t="s">
        <v>860</v>
      </c>
      <c r="AB372" s="721">
        <v>0.22</v>
      </c>
      <c r="AC372" s="905"/>
      <c r="AD372" s="905"/>
      <c r="AE372" s="261"/>
      <c r="AF372" s="260"/>
      <c r="AG372" s="905"/>
      <c r="AH372" s="905"/>
      <c r="AI372" s="905"/>
      <c r="AJ372" s="905"/>
      <c r="AK372" s="261"/>
      <c r="AL372" s="260"/>
      <c r="AM372" s="905"/>
      <c r="AN372" s="905"/>
      <c r="AO372" s="905"/>
      <c r="AP372" s="905"/>
      <c r="AQ372" s="261"/>
      <c r="AR372" s="260"/>
      <c r="AS372" s="905"/>
      <c r="AT372" s="905"/>
      <c r="AU372" s="905"/>
      <c r="AV372" s="905"/>
      <c r="AW372" s="261"/>
      <c r="AX372" s="260"/>
      <c r="AY372" s="905"/>
      <c r="AZ372" s="905"/>
      <c r="BA372" s="905"/>
      <c r="BB372" s="905"/>
      <c r="BC372" s="261"/>
      <c r="BD372" s="260"/>
      <c r="BE372" s="905"/>
      <c r="BF372" s="905"/>
      <c r="BG372" s="905"/>
      <c r="BH372" s="905"/>
      <c r="BI372" s="721">
        <f>$BM$86</f>
        <v>0.33846678321678331</v>
      </c>
      <c r="BJ372" s="721">
        <f>$BM$86</f>
        <v>0.33846678321678331</v>
      </c>
      <c r="BK372" s="905"/>
      <c r="BL372" s="905"/>
      <c r="BM372" s="905"/>
      <c r="BN372" s="905"/>
      <c r="BO372" s="261"/>
      <c r="BP372" s="260"/>
      <c r="BQ372" s="905"/>
      <c r="BR372" s="905"/>
      <c r="BS372" s="905"/>
      <c r="BT372" s="905"/>
      <c r="BU372" s="261"/>
      <c r="BV372" s="260"/>
      <c r="BW372" s="905"/>
      <c r="BX372" s="905"/>
      <c r="BY372" s="905"/>
      <c r="BZ372" s="905"/>
      <c r="CA372" s="261"/>
      <c r="CB372" s="260"/>
      <c r="CC372" s="905"/>
      <c r="CD372" s="905"/>
      <c r="CE372" s="905"/>
      <c r="CF372" s="905"/>
      <c r="CG372" s="261"/>
      <c r="CH372" s="260"/>
      <c r="CI372" s="905"/>
      <c r="CJ372" s="905"/>
      <c r="CK372" s="905"/>
      <c r="CL372" s="905"/>
      <c r="CM372" s="261"/>
      <c r="CN372" s="260"/>
      <c r="CO372" s="905"/>
      <c r="CP372" s="905"/>
      <c r="CQ372" s="905"/>
      <c r="CR372" s="905"/>
      <c r="CS372" s="261"/>
      <c r="CT372" s="260"/>
      <c r="CU372" s="905"/>
      <c r="CV372" s="905"/>
      <c r="CW372" s="905"/>
      <c r="CX372" s="905"/>
      <c r="CY372" s="261"/>
      <c r="CZ372" s="260"/>
      <c r="DA372" s="905"/>
      <c r="DB372" s="905"/>
      <c r="DC372" s="905"/>
      <c r="DD372" s="905"/>
      <c r="DE372" s="261"/>
      <c r="DF372" s="260"/>
      <c r="DG372" s="905"/>
      <c r="DH372" s="905"/>
      <c r="DI372" s="905"/>
      <c r="DJ372" s="905"/>
      <c r="DK372" s="261"/>
      <c r="DL372" s="260"/>
      <c r="DM372" s="905"/>
      <c r="DN372" s="905"/>
      <c r="DO372" s="905"/>
      <c r="DP372" s="261"/>
    </row>
    <row r="373" spans="1:120" ht="12" hidden="1" customHeight="1" outlineLevel="1">
      <c r="A373" s="260" t="s">
        <v>395</v>
      </c>
      <c r="B373" s="260"/>
      <c r="C373" s="261"/>
      <c r="D373" s="261"/>
      <c r="E373" s="261"/>
      <c r="F373" s="261"/>
      <c r="G373" s="261"/>
      <c r="H373" s="261"/>
      <c r="I373" s="261"/>
      <c r="J373" s="261"/>
      <c r="K373" s="261"/>
      <c r="L373" s="261"/>
      <c r="M373" s="261"/>
      <c r="N373" s="260"/>
      <c r="O373" s="905"/>
      <c r="P373" s="905"/>
      <c r="Q373" s="905"/>
      <c r="R373" s="905"/>
      <c r="S373" s="261"/>
      <c r="T373" s="714" t="s">
        <v>860</v>
      </c>
      <c r="U373" s="714" t="s">
        <v>860</v>
      </c>
      <c r="V373" s="909">
        <f>AC86</f>
        <v>4.521968720786268E-2</v>
      </c>
      <c r="W373" s="261"/>
      <c r="X373" s="260"/>
      <c r="Y373" s="714" t="s">
        <v>860</v>
      </c>
      <c r="Z373" s="714" t="s">
        <v>860</v>
      </c>
      <c r="AA373" s="714" t="s">
        <v>860</v>
      </c>
      <c r="AB373" s="721">
        <f>AI86</f>
        <v>5.5295721636203159E-2</v>
      </c>
      <c r="AC373" s="905"/>
      <c r="AD373" s="905"/>
      <c r="AE373" s="261"/>
      <c r="AF373" s="260"/>
      <c r="AG373" s="905"/>
      <c r="AH373" s="905"/>
      <c r="AI373" s="905"/>
      <c r="AJ373" s="905"/>
      <c r="AK373" s="261"/>
      <c r="AL373" s="260"/>
      <c r="AM373" s="905"/>
      <c r="AN373" s="905"/>
      <c r="AO373" s="905"/>
      <c r="AP373" s="905"/>
      <c r="AQ373" s="261"/>
      <c r="AR373" s="260"/>
      <c r="AS373" s="905"/>
      <c r="AT373" s="905"/>
      <c r="AU373" s="905"/>
      <c r="AV373" s="905"/>
      <c r="AW373" s="261"/>
      <c r="AX373" s="260"/>
      <c r="AY373" s="905"/>
      <c r="AZ373" s="905"/>
      <c r="BA373" s="905"/>
      <c r="BB373" s="905"/>
      <c r="BC373" s="261"/>
      <c r="BD373" s="260"/>
      <c r="BE373" s="905"/>
      <c r="BF373" s="905"/>
      <c r="BG373" s="905"/>
      <c r="BH373" s="905"/>
      <c r="BI373" s="908">
        <f>BI372/AVERAGE(BI370:BI371)-1</f>
        <v>-0.74162840975818067</v>
      </c>
      <c r="BJ373" s="908">
        <f>BJ372/AVERAGE(BJ370:BJ371)-1</f>
        <v>-0.74162840975818067</v>
      </c>
      <c r="BK373" s="905"/>
      <c r="BL373" s="905"/>
      <c r="BM373" s="905"/>
      <c r="BN373" s="905"/>
      <c r="BO373" s="261"/>
      <c r="BP373" s="260"/>
      <c r="BQ373" s="905"/>
      <c r="BR373" s="905"/>
      <c r="BS373" s="905"/>
      <c r="BT373" s="905"/>
      <c r="BU373" s="261"/>
      <c r="BV373" s="260"/>
      <c r="BW373" s="905"/>
      <c r="BX373" s="905"/>
      <c r="BY373" s="905"/>
      <c r="BZ373" s="905"/>
      <c r="CA373" s="261"/>
      <c r="CB373" s="260"/>
      <c r="CC373" s="905"/>
      <c r="CD373" s="905"/>
      <c r="CE373" s="905"/>
      <c r="CF373" s="905"/>
      <c r="CG373" s="261"/>
      <c r="CH373" s="260"/>
      <c r="CI373" s="905"/>
      <c r="CJ373" s="905"/>
      <c r="CK373" s="905"/>
      <c r="CL373" s="905"/>
      <c r="CM373" s="261"/>
      <c r="CN373" s="260"/>
      <c r="CO373" s="905"/>
      <c r="CP373" s="905"/>
      <c r="CQ373" s="905"/>
      <c r="CR373" s="905"/>
      <c r="CS373" s="261"/>
      <c r="CT373" s="260"/>
      <c r="CU373" s="905"/>
      <c r="CV373" s="905"/>
      <c r="CW373" s="905"/>
      <c r="CX373" s="905"/>
      <c r="CY373" s="261"/>
      <c r="CZ373" s="260"/>
      <c r="DA373" s="905"/>
      <c r="DB373" s="905"/>
      <c r="DC373" s="905"/>
      <c r="DD373" s="905"/>
      <c r="DE373" s="261"/>
      <c r="DF373" s="260"/>
      <c r="DG373" s="905"/>
      <c r="DH373" s="905"/>
      <c r="DI373" s="905"/>
      <c r="DJ373" s="905"/>
      <c r="DK373" s="261"/>
      <c r="DL373" s="260"/>
      <c r="DM373" s="905"/>
      <c r="DN373" s="905"/>
      <c r="DO373" s="905"/>
      <c r="DP373" s="261"/>
    </row>
    <row r="374" spans="1:120" ht="12" hidden="1" customHeight="1" outlineLevel="1">
      <c r="A374" s="260" t="s">
        <v>947</v>
      </c>
      <c r="B374" s="260"/>
      <c r="C374" s="261"/>
      <c r="D374" s="261"/>
      <c r="E374" s="261"/>
      <c r="F374" s="261"/>
      <c r="G374" s="261"/>
      <c r="H374" s="261"/>
      <c r="I374" s="261"/>
      <c r="J374" s="261"/>
      <c r="K374" s="261"/>
      <c r="L374" s="261"/>
      <c r="M374" s="261"/>
      <c r="N374" s="260"/>
      <c r="O374" s="905"/>
      <c r="P374" s="905"/>
      <c r="Q374" s="905"/>
      <c r="R374" s="905"/>
      <c r="S374" s="261"/>
      <c r="T374" s="908" t="s">
        <v>860</v>
      </c>
      <c r="U374" s="908" t="s">
        <v>860</v>
      </c>
      <c r="V374" s="908">
        <f>V373/AVERAGE(V371:V372)-1</f>
        <v>-0.58891193447397572</v>
      </c>
      <c r="W374" s="261"/>
      <c r="X374" s="260"/>
      <c r="Y374" s="908" t="s">
        <v>860</v>
      </c>
      <c r="Z374" s="908" t="s">
        <v>860</v>
      </c>
      <c r="AA374" s="908" t="s">
        <v>860</v>
      </c>
      <c r="AB374" s="908">
        <f>AB373/AVERAGE(AB371:AB372)-1</f>
        <v>-0.73668703982760397</v>
      </c>
      <c r="AC374" s="905"/>
      <c r="AD374" s="905"/>
      <c r="AE374" s="261"/>
      <c r="AF374" s="260"/>
      <c r="AG374" s="905"/>
      <c r="AH374" s="905"/>
      <c r="AI374" s="905"/>
      <c r="AJ374" s="905"/>
      <c r="AK374" s="261"/>
      <c r="AL374" s="260"/>
      <c r="AM374" s="905"/>
      <c r="AN374" s="905"/>
      <c r="AO374" s="905"/>
      <c r="AP374" s="905"/>
      <c r="AQ374" s="261"/>
      <c r="AR374" s="260"/>
      <c r="AS374" s="905"/>
      <c r="AT374" s="905"/>
      <c r="AU374" s="905"/>
      <c r="AV374" s="905"/>
      <c r="AW374" s="261"/>
      <c r="AX374" s="260"/>
      <c r="AY374" s="905"/>
      <c r="AZ374" s="905"/>
      <c r="BA374" s="905"/>
      <c r="BB374" s="905"/>
      <c r="BC374" s="261"/>
      <c r="BD374" s="260"/>
      <c r="BE374" s="905"/>
      <c r="BF374" s="905"/>
      <c r="BG374" s="905"/>
      <c r="BH374" s="905"/>
      <c r="BI374" s="261"/>
      <c r="BJ374" s="260"/>
      <c r="BK374" s="905"/>
      <c r="BL374" s="905"/>
      <c r="BM374" s="905"/>
      <c r="BN374" s="905"/>
      <c r="BO374" s="261"/>
      <c r="BP374" s="260"/>
      <c r="BQ374" s="905"/>
      <c r="BR374" s="905"/>
      <c r="BS374" s="905"/>
      <c r="BT374" s="905"/>
      <c r="BU374" s="261"/>
      <c r="BV374" s="260"/>
      <c r="BW374" s="905"/>
      <c r="BX374" s="905"/>
      <c r="BY374" s="905"/>
      <c r="BZ374" s="905"/>
      <c r="CA374" s="261"/>
      <c r="CB374" s="260"/>
      <c r="CC374" s="905"/>
      <c r="CD374" s="905"/>
      <c r="CE374" s="905"/>
      <c r="CF374" s="905"/>
      <c r="CG374" s="261"/>
      <c r="CH374" s="260"/>
      <c r="CI374" s="905"/>
      <c r="CJ374" s="905"/>
      <c r="CK374" s="905"/>
      <c r="CL374" s="905"/>
      <c r="CM374" s="261"/>
      <c r="CN374" s="260"/>
      <c r="CO374" s="905"/>
      <c r="CP374" s="905"/>
      <c r="CQ374" s="905"/>
      <c r="CR374" s="905"/>
      <c r="CS374" s="261"/>
      <c r="CT374" s="260"/>
      <c r="CU374" s="905"/>
      <c r="CV374" s="905"/>
      <c r="CW374" s="905"/>
      <c r="CX374" s="905"/>
      <c r="CY374" s="261"/>
      <c r="CZ374" s="260"/>
      <c r="DA374" s="905"/>
      <c r="DB374" s="905"/>
      <c r="DC374" s="905"/>
      <c r="DD374" s="905"/>
      <c r="DE374" s="261"/>
      <c r="DF374" s="260"/>
      <c r="DG374" s="905"/>
      <c r="DH374" s="905"/>
      <c r="DI374" s="905"/>
      <c r="DJ374" s="905"/>
      <c r="DK374" s="261"/>
      <c r="DL374" s="260"/>
      <c r="DM374" s="905"/>
      <c r="DN374" s="905"/>
      <c r="DO374" s="905"/>
      <c r="DP374" s="261"/>
    </row>
    <row r="375" spans="1:120" ht="12.75" hidden="1" customHeight="1" outlineLevel="1">
      <c r="A375" s="260"/>
      <c r="B375" s="260"/>
      <c r="C375" s="261"/>
      <c r="D375" s="261"/>
      <c r="E375" s="261"/>
      <c r="F375" s="261"/>
      <c r="G375" s="261"/>
      <c r="H375" s="261"/>
      <c r="I375" s="261"/>
      <c r="J375" s="261"/>
      <c r="K375" s="261"/>
      <c r="L375" s="261"/>
      <c r="M375" s="261"/>
      <c r="N375" s="260"/>
      <c r="O375" s="905"/>
      <c r="P375" s="905"/>
      <c r="Q375" s="905"/>
      <c r="R375" s="905"/>
      <c r="S375" s="261"/>
      <c r="T375" s="905"/>
      <c r="U375" s="905"/>
      <c r="V375" s="905"/>
      <c r="W375" s="261"/>
      <c r="X375" s="260"/>
      <c r="Y375" s="905"/>
      <c r="Z375" s="905"/>
      <c r="AA375" s="905"/>
      <c r="AB375" s="261"/>
      <c r="AC375" s="905"/>
      <c r="AD375" s="905"/>
      <c r="AE375" s="261"/>
      <c r="AF375" s="260"/>
      <c r="AG375" s="905"/>
      <c r="AH375" s="905"/>
      <c r="AI375" s="905"/>
      <c r="AJ375" s="905"/>
      <c r="AK375" s="261"/>
      <c r="AL375" s="260"/>
      <c r="AM375" s="905"/>
      <c r="AN375" s="905"/>
      <c r="AO375" s="905"/>
      <c r="AP375" s="905"/>
      <c r="AQ375" s="261"/>
      <c r="AR375" s="260"/>
      <c r="AS375" s="905"/>
      <c r="AT375" s="905"/>
      <c r="AU375" s="905"/>
      <c r="AV375" s="905"/>
      <c r="AW375" s="261"/>
      <c r="AX375" s="260"/>
      <c r="AY375" s="905"/>
      <c r="AZ375" s="905"/>
      <c r="BA375" s="905"/>
      <c r="BB375" s="905"/>
      <c r="BC375" s="261"/>
      <c r="BD375" s="260"/>
      <c r="BE375" s="905"/>
      <c r="BF375" s="905"/>
      <c r="BG375" s="905"/>
      <c r="BH375" s="905"/>
      <c r="BI375" s="261"/>
      <c r="BJ375" s="260"/>
      <c r="BK375" s="905"/>
      <c r="BL375" s="905"/>
      <c r="BM375" s="905"/>
      <c r="BN375" s="905"/>
      <c r="BO375" s="261"/>
      <c r="BP375" s="260"/>
      <c r="BQ375" s="905"/>
      <c r="BR375" s="905"/>
      <c r="BS375" s="905"/>
      <c r="BT375" s="905"/>
      <c r="BU375" s="261"/>
      <c r="BV375" s="260"/>
      <c r="BW375" s="905"/>
      <c r="BX375" s="905"/>
      <c r="BY375" s="905"/>
      <c r="BZ375" s="905"/>
      <c r="CA375" s="261"/>
      <c r="CB375" s="260"/>
      <c r="CC375" s="905"/>
      <c r="CD375" s="905"/>
      <c r="CE375" s="905"/>
      <c r="CF375" s="905"/>
      <c r="CG375" s="261"/>
      <c r="CH375" s="260"/>
      <c r="CI375" s="905"/>
      <c r="CJ375" s="905"/>
      <c r="CK375" s="905"/>
      <c r="CL375" s="905"/>
      <c r="CM375" s="261"/>
      <c r="CN375" s="260"/>
      <c r="CO375" s="905"/>
      <c r="CP375" s="905"/>
      <c r="CQ375" s="905"/>
      <c r="CR375" s="905"/>
      <c r="CS375" s="261"/>
      <c r="CT375" s="260"/>
      <c r="CU375" s="905"/>
      <c r="CV375" s="905"/>
      <c r="CW375" s="905"/>
      <c r="CX375" s="905"/>
      <c r="CY375" s="261"/>
      <c r="CZ375" s="260"/>
      <c r="DA375" s="905"/>
      <c r="DB375" s="905"/>
      <c r="DC375" s="905"/>
      <c r="DD375" s="905"/>
      <c r="DE375" s="261"/>
      <c r="DF375" s="260"/>
      <c r="DG375" s="905"/>
      <c r="DH375" s="905"/>
      <c r="DI375" s="905"/>
      <c r="DJ375" s="905"/>
      <c r="DK375" s="261"/>
      <c r="DL375" s="260"/>
      <c r="DM375" s="905"/>
      <c r="DN375" s="905"/>
      <c r="DO375" s="905"/>
      <c r="DP375" s="261"/>
    </row>
    <row r="376" spans="1:120" ht="12.75" hidden="1" customHeight="1" outlineLevel="1">
      <c r="A376" s="904" t="s">
        <v>852</v>
      </c>
      <c r="B376" s="260"/>
      <c r="C376" s="261"/>
      <c r="D376" s="261"/>
      <c r="E376" s="261"/>
      <c r="F376" s="261"/>
      <c r="G376" s="261"/>
      <c r="H376" s="261"/>
      <c r="I376" s="261"/>
      <c r="J376" s="261"/>
      <c r="K376" s="261"/>
      <c r="L376" s="261"/>
      <c r="M376" s="261"/>
      <c r="N376" s="260"/>
      <c r="O376" s="905"/>
      <c r="P376" s="905"/>
      <c r="Q376" s="905"/>
      <c r="R376" s="905"/>
      <c r="S376" s="261"/>
      <c r="T376" s="260"/>
      <c r="U376" s="260"/>
      <c r="V376" s="260"/>
      <c r="W376" s="260"/>
      <c r="X376" s="260"/>
      <c r="Y376" s="260"/>
      <c r="Z376" s="260"/>
      <c r="AA376" s="260"/>
      <c r="AB376" s="261"/>
      <c r="AC376" s="905"/>
      <c r="AD376" s="905"/>
      <c r="AE376" s="261"/>
      <c r="AF376" s="260"/>
      <c r="AG376" s="905"/>
      <c r="AH376" s="905"/>
      <c r="AI376" s="905"/>
      <c r="AJ376" s="905"/>
      <c r="AK376" s="261"/>
      <c r="AL376" s="260"/>
      <c r="AM376" s="905"/>
      <c r="AN376" s="905"/>
      <c r="AO376" s="905"/>
      <c r="AP376" s="905"/>
      <c r="AQ376" s="261"/>
      <c r="AR376" s="260"/>
      <c r="AS376" s="905"/>
      <c r="AT376" s="905"/>
      <c r="AU376" s="905"/>
      <c r="AV376" s="905"/>
      <c r="AW376" s="261"/>
      <c r="AX376" s="260"/>
      <c r="AY376" s="905"/>
      <c r="AZ376" s="905"/>
      <c r="BA376" s="905"/>
      <c r="BB376" s="905"/>
      <c r="BC376" s="261"/>
      <c r="BD376" s="260"/>
      <c r="BE376" s="905"/>
      <c r="BF376" s="905"/>
      <c r="BG376" s="905"/>
      <c r="BH376" s="905"/>
      <c r="BI376" s="261"/>
      <c r="BJ376" s="260"/>
      <c r="BK376" s="905"/>
      <c r="BL376" s="905"/>
      <c r="BM376" s="905"/>
      <c r="BN376" s="905"/>
      <c r="BO376" s="261"/>
      <c r="BP376" s="260"/>
      <c r="BQ376" s="905"/>
      <c r="BR376" s="905"/>
      <c r="BS376" s="905"/>
      <c r="BT376" s="905"/>
      <c r="BU376" s="261"/>
      <c r="BV376" s="260"/>
      <c r="BW376" s="905"/>
      <c r="BX376" s="905"/>
      <c r="BY376" s="905"/>
      <c r="BZ376" s="905"/>
      <c r="CA376" s="261"/>
      <c r="CB376" s="260"/>
      <c r="CC376" s="905"/>
      <c r="CD376" s="905"/>
      <c r="CE376" s="905"/>
      <c r="CF376" s="905"/>
      <c r="CG376" s="261"/>
      <c r="CH376" s="260"/>
      <c r="CI376" s="905"/>
      <c r="CJ376" s="905"/>
      <c r="CK376" s="905"/>
      <c r="CL376" s="905"/>
      <c r="CM376" s="261"/>
      <c r="CN376" s="260"/>
      <c r="CO376" s="905"/>
      <c r="CP376" s="905"/>
      <c r="CQ376" s="905"/>
      <c r="CR376" s="905"/>
      <c r="CS376" s="261"/>
      <c r="CT376" s="260"/>
      <c r="CU376" s="905"/>
      <c r="CV376" s="905"/>
      <c r="CW376" s="905"/>
      <c r="CX376" s="905"/>
      <c r="CY376" s="261"/>
      <c r="CZ376" s="260"/>
      <c r="DA376" s="905"/>
      <c r="DB376" s="905"/>
      <c r="DC376" s="905"/>
      <c r="DD376" s="905"/>
      <c r="DE376" s="261"/>
      <c r="DF376" s="260"/>
      <c r="DG376" s="905"/>
      <c r="DH376" s="905"/>
      <c r="DI376" s="905"/>
      <c r="DJ376" s="905"/>
      <c r="DK376" s="261"/>
      <c r="DL376" s="260"/>
      <c r="DM376" s="905"/>
      <c r="DN376" s="905"/>
      <c r="DO376" s="905"/>
      <c r="DP376" s="261"/>
    </row>
    <row r="377" spans="1:120" ht="12.75" hidden="1" customHeight="1" outlineLevel="1">
      <c r="A377" s="904" t="s">
        <v>730</v>
      </c>
      <c r="B377" s="260"/>
      <c r="C377" s="261"/>
      <c r="D377" s="261"/>
      <c r="E377" s="261"/>
      <c r="F377" s="261"/>
      <c r="G377" s="261"/>
      <c r="H377" s="261"/>
      <c r="I377" s="261"/>
      <c r="J377" s="261"/>
      <c r="K377" s="261"/>
      <c r="L377" s="261"/>
      <c r="M377" s="261"/>
      <c r="N377" s="260"/>
      <c r="O377" s="905"/>
      <c r="P377" s="905"/>
      <c r="Q377" s="905"/>
      <c r="R377" s="905"/>
      <c r="S377" s="261"/>
      <c r="T377" s="714" t="s">
        <v>860</v>
      </c>
      <c r="U377" s="714" t="s">
        <v>860</v>
      </c>
      <c r="V377" s="714">
        <v>0.25</v>
      </c>
      <c r="W377" s="261"/>
      <c r="X377" s="260"/>
      <c r="Y377" s="714" t="s">
        <v>860</v>
      </c>
      <c r="Z377" s="714" t="s">
        <v>860</v>
      </c>
      <c r="AA377" s="714" t="s">
        <v>860</v>
      </c>
      <c r="AB377" s="279">
        <v>0.45</v>
      </c>
      <c r="AC377" s="905"/>
      <c r="AD377" s="905"/>
      <c r="AE377" s="261"/>
      <c r="AF377" s="260"/>
      <c r="AG377" s="905"/>
      <c r="AH377" s="905"/>
      <c r="AI377" s="905"/>
      <c r="AJ377" s="905"/>
      <c r="AK377" s="261"/>
      <c r="AL377" s="260"/>
      <c r="AM377" s="905"/>
      <c r="AN377" s="905"/>
      <c r="AO377" s="905"/>
      <c r="AP377" s="905"/>
      <c r="AQ377" s="261"/>
      <c r="AR377" s="260"/>
      <c r="AS377" s="905"/>
      <c r="AT377" s="905"/>
      <c r="AU377" s="905"/>
      <c r="AV377" s="905"/>
      <c r="AW377" s="261"/>
      <c r="AX377" s="260"/>
      <c r="AY377" s="905"/>
      <c r="AZ377" s="905"/>
      <c r="BA377" s="905"/>
      <c r="BB377" s="905"/>
      <c r="BC377" s="261"/>
      <c r="BD377" s="260"/>
      <c r="BE377" s="905"/>
      <c r="BF377" s="905"/>
      <c r="BG377" s="905"/>
      <c r="BH377" s="905"/>
      <c r="BI377" s="279">
        <v>0.33</v>
      </c>
      <c r="BJ377" s="883">
        <v>0.32</v>
      </c>
      <c r="BK377" s="905"/>
      <c r="BL377" s="905"/>
      <c r="BM377" s="905"/>
      <c r="BN377" s="905"/>
      <c r="BO377" s="261"/>
      <c r="BP377" s="260"/>
      <c r="BQ377" s="905"/>
      <c r="BR377" s="905"/>
      <c r="BS377" s="905"/>
      <c r="BT377" s="905"/>
      <c r="BU377" s="261"/>
      <c r="BV377" s="260"/>
      <c r="BW377" s="905"/>
      <c r="BX377" s="905"/>
      <c r="BY377" s="905"/>
      <c r="BZ377" s="905"/>
      <c r="CA377" s="261"/>
      <c r="CB377" s="260"/>
      <c r="CC377" s="905"/>
      <c r="CD377" s="905"/>
      <c r="CE377" s="905"/>
      <c r="CF377" s="905"/>
      <c r="CG377" s="261"/>
      <c r="CH377" s="260"/>
      <c r="CI377" s="905"/>
      <c r="CJ377" s="905"/>
      <c r="CK377" s="905"/>
      <c r="CL377" s="905"/>
      <c r="CM377" s="261"/>
      <c r="CN377" s="260"/>
      <c r="CO377" s="905"/>
      <c r="CP377" s="905"/>
      <c r="CQ377" s="905"/>
      <c r="CR377" s="905"/>
      <c r="CS377" s="261"/>
      <c r="CT377" s="260"/>
      <c r="CU377" s="905"/>
      <c r="CV377" s="905"/>
      <c r="CW377" s="905"/>
      <c r="CX377" s="905"/>
      <c r="CY377" s="261"/>
      <c r="CZ377" s="260"/>
      <c r="DA377" s="905"/>
      <c r="DB377" s="905"/>
      <c r="DC377" s="905"/>
      <c r="DD377" s="905"/>
      <c r="DE377" s="261"/>
      <c r="DF377" s="260"/>
      <c r="DG377" s="905"/>
      <c r="DH377" s="905"/>
      <c r="DI377" s="905"/>
      <c r="DJ377" s="905"/>
      <c r="DK377" s="261"/>
      <c r="DL377" s="260"/>
      <c r="DM377" s="905"/>
      <c r="DN377" s="905"/>
      <c r="DO377" s="905"/>
      <c r="DP377" s="261"/>
    </row>
    <row r="378" spans="1:120" ht="12" hidden="1" customHeight="1" outlineLevel="1">
      <c r="A378" s="260" t="s">
        <v>395</v>
      </c>
      <c r="B378" s="260"/>
      <c r="C378" s="261"/>
      <c r="D378" s="261"/>
      <c r="E378" s="261"/>
      <c r="F378" s="261"/>
      <c r="G378" s="261"/>
      <c r="H378" s="261"/>
      <c r="I378" s="261"/>
      <c r="J378" s="261"/>
      <c r="K378" s="261"/>
      <c r="L378" s="261"/>
      <c r="M378" s="261"/>
      <c r="N378" s="260"/>
      <c r="O378" s="905"/>
      <c r="P378" s="905"/>
      <c r="Q378" s="905"/>
      <c r="R378" s="905"/>
      <c r="S378" s="261"/>
      <c r="T378" s="714" t="s">
        <v>860</v>
      </c>
      <c r="U378" s="714" t="s">
        <v>860</v>
      </c>
      <c r="V378" s="714">
        <f>AC80</f>
        <v>0.19352989646401345</v>
      </c>
      <c r="W378" s="261"/>
      <c r="X378" s="260"/>
      <c r="Y378" s="714" t="s">
        <v>860</v>
      </c>
      <c r="Z378" s="714" t="s">
        <v>860</v>
      </c>
      <c r="AA378" s="714" t="s">
        <v>860</v>
      </c>
      <c r="AB378" s="279">
        <f>AI80</f>
        <v>0.45000668981872244</v>
      </c>
      <c r="AC378" s="905"/>
      <c r="AD378" s="905"/>
      <c r="AE378" s="261"/>
      <c r="AF378" s="260"/>
      <c r="AG378" s="905"/>
      <c r="AH378" s="905"/>
      <c r="AI378" s="905"/>
      <c r="AJ378" s="905"/>
      <c r="AK378" s="261"/>
      <c r="AL378" s="260"/>
      <c r="AM378" s="905"/>
      <c r="AN378" s="905"/>
      <c r="AO378" s="905"/>
      <c r="AP378" s="905"/>
      <c r="AQ378" s="261"/>
      <c r="AR378" s="260"/>
      <c r="AS378" s="905"/>
      <c r="AT378" s="905"/>
      <c r="AU378" s="905"/>
      <c r="AV378" s="905"/>
      <c r="AW378" s="261"/>
      <c r="AX378" s="260"/>
      <c r="AY378" s="905"/>
      <c r="AZ378" s="905"/>
      <c r="BA378" s="905"/>
      <c r="BB378" s="905"/>
      <c r="BC378" s="261"/>
      <c r="BD378" s="260"/>
      <c r="BE378" s="905"/>
      <c r="BF378" s="905"/>
      <c r="BG378" s="905"/>
      <c r="BH378" s="905"/>
      <c r="BI378" s="279">
        <f>BM80</f>
        <v>0.29748608419876182</v>
      </c>
      <c r="BJ378" s="260"/>
      <c r="BK378" s="905"/>
      <c r="BL378" s="905"/>
      <c r="BM378" s="905"/>
      <c r="BN378" s="905"/>
      <c r="BO378" s="261"/>
      <c r="BP378" s="260"/>
      <c r="BQ378" s="905"/>
      <c r="BR378" s="905"/>
      <c r="BS378" s="905"/>
      <c r="BT378" s="905"/>
      <c r="BU378" s="261"/>
      <c r="BV378" s="260"/>
      <c r="BW378" s="905"/>
      <c r="BX378" s="905"/>
      <c r="BY378" s="905"/>
      <c r="BZ378" s="905"/>
      <c r="CA378" s="261"/>
      <c r="CB378" s="260"/>
      <c r="CC378" s="905"/>
      <c r="CD378" s="905"/>
      <c r="CE378" s="905"/>
      <c r="CF378" s="905"/>
      <c r="CG378" s="261"/>
      <c r="CH378" s="260"/>
      <c r="CI378" s="905"/>
      <c r="CJ378" s="905"/>
      <c r="CK378" s="905"/>
      <c r="CL378" s="905"/>
      <c r="CM378" s="261"/>
      <c r="CN378" s="260"/>
      <c r="CO378" s="905"/>
      <c r="CP378" s="905"/>
      <c r="CQ378" s="905"/>
      <c r="CR378" s="905"/>
      <c r="CS378" s="261"/>
      <c r="CT378" s="260"/>
      <c r="CU378" s="905"/>
      <c r="CV378" s="905"/>
      <c r="CW378" s="905"/>
      <c r="CX378" s="905"/>
      <c r="CY378" s="261"/>
      <c r="CZ378" s="260"/>
      <c r="DA378" s="905"/>
      <c r="DB378" s="905"/>
      <c r="DC378" s="905"/>
      <c r="DD378" s="905"/>
      <c r="DE378" s="261"/>
      <c r="DF378" s="260"/>
      <c r="DG378" s="905"/>
      <c r="DH378" s="905"/>
      <c r="DI378" s="905"/>
      <c r="DJ378" s="905"/>
      <c r="DK378" s="261"/>
      <c r="DL378" s="260"/>
      <c r="DM378" s="905"/>
      <c r="DN378" s="905"/>
      <c r="DO378" s="905"/>
      <c r="DP378" s="261"/>
    </row>
    <row r="379" spans="1:120" ht="12.75" hidden="1" customHeight="1" outlineLevel="1">
      <c r="A379" s="904" t="s">
        <v>529</v>
      </c>
      <c r="B379" s="260"/>
      <c r="C379" s="261"/>
      <c r="D379" s="261"/>
      <c r="E379" s="261"/>
      <c r="F379" s="261"/>
      <c r="G379" s="261"/>
      <c r="H379" s="261"/>
      <c r="I379" s="261"/>
      <c r="J379" s="261"/>
      <c r="K379" s="261"/>
      <c r="L379" s="261"/>
      <c r="M379" s="261"/>
      <c r="N379" s="260"/>
      <c r="O379" s="905"/>
      <c r="P379" s="905"/>
      <c r="Q379" s="905"/>
      <c r="R379" s="905"/>
      <c r="S379" s="261"/>
      <c r="T379" s="714" t="s">
        <v>860</v>
      </c>
      <c r="U379" s="714" t="s">
        <v>860</v>
      </c>
      <c r="V379" s="906">
        <v>121</v>
      </c>
      <c r="W379" s="261"/>
      <c r="X379" s="260"/>
      <c r="Y379" s="714" t="s">
        <v>860</v>
      </c>
      <c r="Z379" s="714" t="s">
        <v>860</v>
      </c>
      <c r="AA379" s="714" t="s">
        <v>860</v>
      </c>
      <c r="AB379" s="263">
        <v>123</v>
      </c>
      <c r="AC379" s="905"/>
      <c r="AD379" s="905"/>
      <c r="AE379" s="261"/>
      <c r="AF379" s="260"/>
      <c r="AG379" s="905"/>
      <c r="AH379" s="905"/>
      <c r="AI379" s="905"/>
      <c r="AJ379" s="905"/>
      <c r="AK379" s="261"/>
      <c r="AL379" s="260"/>
      <c r="AM379" s="905"/>
      <c r="AN379" s="905"/>
      <c r="AO379" s="905"/>
      <c r="AP379" s="905"/>
      <c r="AQ379" s="261"/>
      <c r="AR379" s="260"/>
      <c r="AS379" s="905"/>
      <c r="AT379" s="905"/>
      <c r="AU379" s="905"/>
      <c r="AV379" s="905"/>
      <c r="AW379" s="261"/>
      <c r="AX379" s="260"/>
      <c r="AY379" s="905"/>
      <c r="AZ379" s="905"/>
      <c r="BA379" s="905"/>
      <c r="BB379" s="905"/>
      <c r="BC379" s="261"/>
      <c r="BD379" s="260"/>
      <c r="BE379" s="905"/>
      <c r="BF379" s="905"/>
      <c r="BG379" s="905"/>
      <c r="BH379" s="905"/>
      <c r="BI379" s="261"/>
      <c r="BJ379" s="260"/>
      <c r="BK379" s="905"/>
      <c r="BL379" s="905"/>
      <c r="BM379" s="905"/>
      <c r="BN379" s="905"/>
      <c r="BO379" s="261"/>
      <c r="BP379" s="260"/>
      <c r="BQ379" s="905"/>
      <c r="BR379" s="905"/>
      <c r="BS379" s="905"/>
      <c r="BT379" s="905"/>
      <c r="BU379" s="261"/>
      <c r="BV379" s="260"/>
      <c r="BW379" s="905"/>
      <c r="BX379" s="905"/>
      <c r="BY379" s="905"/>
      <c r="BZ379" s="905"/>
      <c r="CA379" s="261"/>
      <c r="CB379" s="260"/>
      <c r="CC379" s="905"/>
      <c r="CD379" s="905"/>
      <c r="CE379" s="905"/>
      <c r="CF379" s="905"/>
      <c r="CG379" s="261"/>
      <c r="CH379" s="260"/>
      <c r="CI379" s="905"/>
      <c r="CJ379" s="905"/>
      <c r="CK379" s="905"/>
      <c r="CL379" s="905"/>
      <c r="CM379" s="261"/>
      <c r="CN379" s="260"/>
      <c r="CO379" s="905"/>
      <c r="CP379" s="905"/>
      <c r="CQ379" s="905"/>
      <c r="CR379" s="905"/>
      <c r="CS379" s="261"/>
      <c r="CT379" s="260"/>
      <c r="CU379" s="905"/>
      <c r="CV379" s="905"/>
      <c r="CW379" s="905"/>
      <c r="CX379" s="905"/>
      <c r="CY379" s="261"/>
      <c r="CZ379" s="260"/>
      <c r="DA379" s="905"/>
      <c r="DB379" s="905"/>
      <c r="DC379" s="905"/>
      <c r="DD379" s="905"/>
      <c r="DE379" s="261"/>
      <c r="DF379" s="260"/>
      <c r="DG379" s="905"/>
      <c r="DH379" s="905"/>
      <c r="DI379" s="905"/>
      <c r="DJ379" s="905"/>
      <c r="DK379" s="261"/>
      <c r="DL379" s="260"/>
      <c r="DM379" s="905"/>
      <c r="DN379" s="905"/>
      <c r="DO379" s="905"/>
      <c r="DP379" s="261"/>
    </row>
    <row r="380" spans="1:120" ht="12" hidden="1" customHeight="1" outlineLevel="1">
      <c r="A380" s="260" t="s">
        <v>395</v>
      </c>
      <c r="B380" s="260"/>
      <c r="C380" s="261"/>
      <c r="D380" s="261"/>
      <c r="E380" s="261"/>
      <c r="F380" s="261"/>
      <c r="G380" s="261"/>
      <c r="H380" s="261"/>
      <c r="I380" s="261"/>
      <c r="J380" s="261"/>
      <c r="K380" s="261"/>
      <c r="L380" s="261"/>
      <c r="M380" s="261"/>
      <c r="N380" s="260"/>
      <c r="O380" s="905"/>
      <c r="P380" s="905"/>
      <c r="Q380" s="905"/>
      <c r="R380" s="905"/>
      <c r="S380" s="261"/>
      <c r="T380" s="714" t="s">
        <v>860</v>
      </c>
      <c r="U380" s="714" t="s">
        <v>860</v>
      </c>
      <c r="V380" s="906">
        <f>AC111</f>
        <v>474.94799999999998</v>
      </c>
      <c r="W380" s="261"/>
      <c r="X380" s="260"/>
      <c r="Y380" s="714" t="s">
        <v>860</v>
      </c>
      <c r="Z380" s="714" t="s">
        <v>860</v>
      </c>
      <c r="AA380" s="714" t="s">
        <v>860</v>
      </c>
      <c r="AB380" s="263">
        <f>AI111</f>
        <v>480.23099999999999</v>
      </c>
      <c r="AC380" s="905"/>
      <c r="AD380" s="905"/>
      <c r="AE380" s="261"/>
      <c r="AF380" s="260"/>
      <c r="AG380" s="905"/>
      <c r="AH380" s="905"/>
      <c r="AI380" s="905"/>
      <c r="AJ380" s="905"/>
      <c r="AK380" s="261"/>
      <c r="AL380" s="260"/>
      <c r="AM380" s="905"/>
      <c r="AN380" s="905"/>
      <c r="AO380" s="905"/>
      <c r="AP380" s="905"/>
      <c r="AQ380" s="261"/>
      <c r="AR380" s="260"/>
      <c r="AS380" s="905"/>
      <c r="AT380" s="905"/>
      <c r="AU380" s="905"/>
      <c r="AV380" s="905"/>
      <c r="AW380" s="279">
        <f>AW381/AU19-1</f>
        <v>0.20731558950898465</v>
      </c>
      <c r="AX380" s="279">
        <f>AX381/AU19-1</f>
        <v>0.23517671849765365</v>
      </c>
      <c r="AY380" s="905"/>
      <c r="AZ380" s="905"/>
      <c r="BA380" s="905"/>
      <c r="BB380" s="905"/>
      <c r="BC380" s="261"/>
      <c r="BD380" s="260"/>
      <c r="BE380" s="905"/>
      <c r="BF380" s="905"/>
      <c r="BG380" s="905"/>
      <c r="BH380" s="905"/>
      <c r="BI380" s="261"/>
      <c r="BJ380" s="260"/>
      <c r="BK380" s="905"/>
      <c r="BL380" s="905"/>
      <c r="BM380" s="905"/>
      <c r="BN380" s="905"/>
      <c r="BO380" s="261"/>
      <c r="BP380" s="260"/>
      <c r="BQ380" s="905"/>
      <c r="BR380" s="905"/>
      <c r="BS380" s="905"/>
      <c r="BT380" s="905"/>
      <c r="BU380" s="261"/>
      <c r="BV380" s="260"/>
      <c r="BW380" s="905"/>
      <c r="BX380" s="905"/>
      <c r="BY380" s="905"/>
      <c r="BZ380" s="905"/>
      <c r="CA380" s="261"/>
      <c r="CB380" s="260"/>
      <c r="CC380" s="905"/>
      <c r="CD380" s="905"/>
      <c r="CE380" s="905"/>
      <c r="CF380" s="905"/>
      <c r="CG380" s="261"/>
      <c r="CH380" s="260"/>
      <c r="CI380" s="905"/>
      <c r="CJ380" s="905"/>
      <c r="CK380" s="905"/>
      <c r="CL380" s="905"/>
      <c r="CM380" s="261"/>
      <c r="CN380" s="260"/>
      <c r="CO380" s="905"/>
      <c r="CP380" s="905"/>
      <c r="CQ380" s="905"/>
      <c r="CR380" s="905"/>
      <c r="CS380" s="261"/>
      <c r="CT380" s="260"/>
      <c r="CU380" s="905"/>
      <c r="CV380" s="905"/>
      <c r="CW380" s="905"/>
      <c r="CX380" s="905"/>
      <c r="CY380" s="261"/>
      <c r="CZ380" s="260"/>
      <c r="DA380" s="905"/>
      <c r="DB380" s="905"/>
      <c r="DC380" s="905"/>
      <c r="DD380" s="905"/>
      <c r="DE380" s="261"/>
      <c r="DF380" s="260"/>
      <c r="DG380" s="905"/>
      <c r="DH380" s="905"/>
      <c r="DI380" s="905"/>
      <c r="DJ380" s="905"/>
      <c r="DK380" s="261"/>
      <c r="DL380" s="260"/>
      <c r="DM380" s="905"/>
      <c r="DN380" s="905"/>
      <c r="DO380" s="905"/>
      <c r="DP380" s="261"/>
    </row>
    <row r="381" spans="1:120" ht="12.75" hidden="1" customHeight="1" outlineLevel="1">
      <c r="A381" s="260"/>
      <c r="B381" s="730"/>
      <c r="C381" s="260"/>
      <c r="D381" s="260"/>
      <c r="E381" s="260"/>
      <c r="F381" s="260"/>
      <c r="G381" s="260"/>
      <c r="H381" s="260"/>
      <c r="I381" s="260"/>
      <c r="J381" s="260"/>
      <c r="K381" s="260"/>
      <c r="L381" s="260"/>
      <c r="M381" s="260"/>
      <c r="N381" s="260"/>
      <c r="O381" s="260"/>
      <c r="P381" s="260"/>
      <c r="Q381" s="260"/>
      <c r="R381" s="260"/>
      <c r="S381" s="260"/>
      <c r="T381" s="260"/>
      <c r="U381" s="260"/>
      <c r="V381" s="260"/>
      <c r="W381" s="260"/>
      <c r="X381" s="260"/>
      <c r="Y381" s="260"/>
      <c r="Z381" s="260"/>
      <c r="AA381" s="260"/>
      <c r="AB381" s="260"/>
      <c r="AC381" s="260"/>
      <c r="AD381" s="260"/>
      <c r="AE381" s="260"/>
      <c r="AF381" s="260"/>
      <c r="AG381" s="260"/>
      <c r="AH381" s="260"/>
      <c r="AI381" s="260"/>
      <c r="AJ381" s="260"/>
      <c r="AK381" s="260"/>
      <c r="AL381" s="260"/>
      <c r="AM381" s="260"/>
      <c r="AN381" s="260"/>
      <c r="AO381" s="260"/>
      <c r="AP381" s="260"/>
      <c r="AQ381" s="260"/>
      <c r="AR381" s="260"/>
      <c r="AS381" s="260"/>
      <c r="AT381" s="260"/>
      <c r="AU381" s="876" t="s">
        <v>716</v>
      </c>
      <c r="AV381" s="260"/>
      <c r="AW381" s="912">
        <v>1300</v>
      </c>
      <c r="AX381" s="912">
        <v>1330</v>
      </c>
      <c r="AY381" s="260"/>
      <c r="AZ381" s="260"/>
      <c r="BA381" s="260"/>
      <c r="BB381" s="260"/>
      <c r="BC381" s="260"/>
      <c r="BD381" s="260"/>
      <c r="BE381" s="260"/>
      <c r="BF381" s="260"/>
      <c r="BG381" s="260"/>
      <c r="BH381" s="260"/>
      <c r="BI381" s="260"/>
      <c r="BJ381" s="260"/>
      <c r="BK381" s="260"/>
      <c r="BL381" s="260"/>
      <c r="BM381" s="260"/>
      <c r="BN381" s="260"/>
      <c r="BO381" s="260"/>
      <c r="BP381" s="260"/>
      <c r="BQ381" s="260"/>
      <c r="BR381" s="260"/>
      <c r="BS381" s="260"/>
      <c r="BT381" s="260"/>
      <c r="BU381" s="260"/>
      <c r="BV381" s="260"/>
      <c r="BW381" s="260"/>
      <c r="BX381" s="260"/>
      <c r="BY381" s="260"/>
      <c r="BZ381" s="260"/>
      <c r="CA381" s="260"/>
      <c r="CB381" s="260"/>
      <c r="CC381" s="260"/>
      <c r="CD381" s="260"/>
      <c r="CE381" s="260"/>
      <c r="CF381" s="260"/>
      <c r="CG381" s="260"/>
      <c r="CH381" s="260"/>
      <c r="CI381" s="260"/>
      <c r="CJ381" s="260"/>
      <c r="CK381" s="260"/>
      <c r="CL381" s="260"/>
      <c r="CM381" s="260"/>
      <c r="CN381" s="260"/>
      <c r="CO381" s="260"/>
      <c r="CP381" s="260"/>
      <c r="CQ381" s="260"/>
      <c r="CR381" s="260"/>
      <c r="CS381" s="260"/>
      <c r="CT381" s="260"/>
      <c r="CU381" s="260"/>
      <c r="CV381" s="260"/>
      <c r="CW381" s="260"/>
      <c r="CX381" s="260"/>
      <c r="CY381" s="260"/>
      <c r="CZ381" s="260"/>
      <c r="DA381" s="260"/>
      <c r="DB381" s="260"/>
      <c r="DC381" s="260"/>
      <c r="DD381" s="260"/>
      <c r="DE381" s="260"/>
      <c r="DF381" s="260"/>
      <c r="DG381" s="260"/>
      <c r="DH381" s="260"/>
      <c r="DI381" s="260"/>
      <c r="DJ381" s="260"/>
      <c r="DK381" s="260"/>
      <c r="DL381" s="260"/>
      <c r="DM381" s="260"/>
      <c r="DN381" s="260"/>
      <c r="DO381" s="260"/>
      <c r="DP381" s="260"/>
    </row>
    <row r="382" spans="1:120" collapsed="1">
      <c r="A382" s="260"/>
      <c r="B382" s="730"/>
      <c r="C382" s="260"/>
      <c r="D382" s="260"/>
      <c r="E382" s="260"/>
      <c r="F382" s="260"/>
      <c r="G382" s="260"/>
      <c r="H382" s="260"/>
      <c r="I382" s="260"/>
      <c r="J382" s="260"/>
      <c r="K382" s="260"/>
      <c r="L382" s="260"/>
      <c r="M382" s="260"/>
      <c r="N382" s="260"/>
      <c r="O382" s="260"/>
      <c r="P382" s="260"/>
      <c r="Q382" s="260"/>
      <c r="R382" s="260"/>
      <c r="S382" s="260"/>
      <c r="T382" s="260"/>
      <c r="U382" s="260"/>
      <c r="V382" s="260"/>
      <c r="W382" s="260"/>
      <c r="X382" s="260"/>
      <c r="Y382" s="260"/>
      <c r="Z382" s="260"/>
      <c r="AA382" s="260"/>
      <c r="AB382" s="260"/>
      <c r="AC382" s="260"/>
      <c r="AD382" s="260"/>
      <c r="AE382" s="260"/>
      <c r="AF382" s="260"/>
      <c r="AG382" s="260"/>
      <c r="AH382" s="260"/>
      <c r="AI382" s="260"/>
      <c r="AJ382" s="260"/>
      <c r="AK382" s="260"/>
      <c r="AL382" s="260"/>
      <c r="AM382" s="260"/>
      <c r="AN382" s="260"/>
      <c r="AO382" s="260"/>
      <c r="AP382" s="260"/>
      <c r="AQ382" s="260"/>
      <c r="AR382" s="260"/>
      <c r="AS382" s="260"/>
      <c r="AT382" s="260"/>
      <c r="AU382" s="876" t="s">
        <v>361</v>
      </c>
      <c r="AV382" s="260"/>
      <c r="AW382" s="912">
        <f>AW385-AW384</f>
        <v>95.908543859649129</v>
      </c>
      <c r="AX382" s="912">
        <f>AX385-AX384</f>
        <v>98.154157894736841</v>
      </c>
      <c r="AY382" s="260"/>
      <c r="AZ382" s="260"/>
      <c r="BA382" s="260"/>
      <c r="BB382" s="260"/>
      <c r="BC382" s="260"/>
      <c r="BD382" s="260"/>
      <c r="BE382" s="260"/>
      <c r="BF382" s="260"/>
      <c r="BG382" s="260"/>
      <c r="BH382" s="260"/>
      <c r="BI382" s="260"/>
      <c r="BJ382" s="260"/>
      <c r="BK382" s="260"/>
      <c r="BL382" s="260"/>
      <c r="BM382" s="260"/>
      <c r="BN382" s="260"/>
      <c r="BO382" s="260"/>
      <c r="BP382" s="260"/>
      <c r="BQ382" s="260"/>
      <c r="BR382" s="260"/>
      <c r="BS382" s="260"/>
      <c r="BT382" s="260"/>
      <c r="BU382" s="260"/>
      <c r="BV382" s="260"/>
      <c r="BW382" s="260"/>
      <c r="BX382" s="260"/>
      <c r="BY382" s="260"/>
      <c r="BZ382" s="260"/>
      <c r="CA382" s="260"/>
      <c r="CB382" s="260"/>
      <c r="CC382" s="260"/>
      <c r="CD382" s="260"/>
      <c r="CE382" s="260"/>
      <c r="CF382" s="260"/>
      <c r="CG382" s="260"/>
      <c r="CH382" s="260"/>
      <c r="CI382" s="260"/>
      <c r="CJ382" s="260"/>
      <c r="CK382" s="260"/>
      <c r="CL382" s="260"/>
      <c r="CM382" s="260"/>
      <c r="CN382" s="260"/>
      <c r="CO382" s="260"/>
      <c r="CP382" s="260"/>
      <c r="CQ382" s="260"/>
      <c r="CR382" s="260"/>
      <c r="CS382" s="260"/>
      <c r="CT382" s="260"/>
      <c r="CU382" s="260"/>
      <c r="CV382" s="260"/>
      <c r="CW382" s="260"/>
      <c r="CX382" s="260"/>
      <c r="CY382" s="260"/>
      <c r="CZ382" s="260"/>
      <c r="DA382" s="260"/>
      <c r="DB382" s="260"/>
      <c r="DC382" s="260"/>
      <c r="DD382" s="260"/>
      <c r="DE382" s="260"/>
      <c r="DF382" s="260"/>
      <c r="DG382" s="260"/>
      <c r="DH382" s="260"/>
      <c r="DI382" s="260"/>
      <c r="DJ382" s="260"/>
      <c r="DK382" s="260"/>
      <c r="DL382" s="260"/>
      <c r="DM382" s="260"/>
      <c r="DN382" s="260"/>
      <c r="DO382" s="260"/>
      <c r="DP382" s="260"/>
    </row>
    <row r="383" spans="1:120">
      <c r="A383" s="260"/>
      <c r="B383" s="730"/>
      <c r="C383" s="260"/>
      <c r="D383" s="260"/>
      <c r="E383" s="260"/>
      <c r="F383" s="260"/>
      <c r="G383" s="260"/>
      <c r="H383" s="260"/>
      <c r="I383" s="260"/>
      <c r="J383" s="260"/>
      <c r="K383" s="260"/>
      <c r="L383" s="260"/>
      <c r="M383" s="260"/>
      <c r="N383" s="260"/>
      <c r="O383" s="260"/>
      <c r="P383" s="260"/>
      <c r="Q383" s="260"/>
      <c r="R383" s="260"/>
      <c r="S383" s="260"/>
      <c r="T383" s="260"/>
      <c r="U383" s="260"/>
      <c r="V383" s="260"/>
      <c r="W383" s="260"/>
      <c r="X383" s="260"/>
      <c r="Y383" s="260"/>
      <c r="Z383" s="260"/>
      <c r="AA383" s="260"/>
      <c r="AB383" s="260"/>
      <c r="AC383" s="260"/>
      <c r="AD383" s="260"/>
      <c r="AE383" s="260"/>
      <c r="AF383" s="260"/>
      <c r="AG383" s="260"/>
      <c r="AH383" s="260"/>
      <c r="AI383" s="260"/>
      <c r="AJ383" s="260"/>
      <c r="AK383" s="260"/>
      <c r="AL383" s="260"/>
      <c r="AM383" s="260"/>
      <c r="AN383" s="260"/>
      <c r="AO383" s="260"/>
      <c r="AP383" s="260"/>
      <c r="AQ383" s="260"/>
      <c r="AR383" s="260"/>
      <c r="AS383" s="260"/>
      <c r="AT383" s="260"/>
      <c r="AU383" s="876"/>
      <c r="AV383" s="260"/>
      <c r="AW383" s="280">
        <f>AW382/AW381</f>
        <v>7.3775802968960871E-2</v>
      </c>
      <c r="AX383" s="280">
        <f>AX382/AX381</f>
        <v>7.3800118717847252E-2</v>
      </c>
      <c r="AY383" s="260"/>
      <c r="AZ383" s="260"/>
      <c r="BA383" s="260"/>
      <c r="BB383" s="260"/>
      <c r="BC383" s="260"/>
      <c r="BD383" s="260"/>
      <c r="BE383" s="260"/>
      <c r="BF383" s="260"/>
      <c r="BG383" s="260"/>
      <c r="BH383" s="260"/>
      <c r="BI383" s="260"/>
      <c r="BJ383" s="260"/>
      <c r="BK383" s="260"/>
      <c r="BL383" s="260"/>
      <c r="BM383" s="260"/>
      <c r="BN383" s="260"/>
      <c r="BO383" s="260"/>
      <c r="BP383" s="260"/>
      <c r="BQ383" s="260"/>
      <c r="BR383" s="260"/>
      <c r="BS383" s="260"/>
      <c r="BT383" s="260"/>
      <c r="BU383" s="260"/>
      <c r="BV383" s="260"/>
      <c r="BW383" s="260"/>
      <c r="BX383" s="260"/>
      <c r="BY383" s="260"/>
      <c r="BZ383" s="260"/>
      <c r="CA383" s="260"/>
      <c r="CB383" s="260"/>
      <c r="CC383" s="260"/>
      <c r="CD383" s="260"/>
      <c r="CE383" s="260"/>
      <c r="CF383" s="260"/>
      <c r="CG383" s="260"/>
      <c r="CH383" s="260"/>
      <c r="CI383" s="260"/>
      <c r="CJ383" s="260"/>
      <c r="CK383" s="260"/>
      <c r="CL383" s="260"/>
      <c r="CM383" s="260"/>
      <c r="CN383" s="260"/>
      <c r="CO383" s="260"/>
      <c r="CP383" s="260"/>
      <c r="CQ383" s="260"/>
      <c r="CR383" s="260"/>
      <c r="CS383" s="260"/>
      <c r="CT383" s="260"/>
      <c r="CU383" s="260"/>
      <c r="CV383" s="260"/>
      <c r="CW383" s="260"/>
      <c r="CX383" s="260"/>
      <c r="CY383" s="260"/>
      <c r="CZ383" s="260"/>
      <c r="DA383" s="260"/>
      <c r="DB383" s="260"/>
      <c r="DC383" s="260"/>
      <c r="DD383" s="260"/>
      <c r="DE383" s="260"/>
      <c r="DF383" s="260"/>
      <c r="DG383" s="260"/>
      <c r="DH383" s="260"/>
      <c r="DI383" s="260"/>
      <c r="DJ383" s="260"/>
      <c r="DK383" s="260"/>
      <c r="DL383" s="260"/>
      <c r="DM383" s="260"/>
      <c r="DN383" s="260"/>
      <c r="DO383" s="260"/>
      <c r="DP383" s="260"/>
    </row>
    <row r="384" spans="1:120">
      <c r="A384" s="260"/>
      <c r="B384" s="730"/>
      <c r="C384" s="260"/>
      <c r="D384" s="260"/>
      <c r="E384" s="260"/>
      <c r="F384" s="260"/>
      <c r="G384" s="260"/>
      <c r="H384" s="260"/>
      <c r="I384" s="260"/>
      <c r="J384" s="260"/>
      <c r="K384" s="260"/>
      <c r="L384" s="260"/>
      <c r="M384" s="260"/>
      <c r="N384" s="260"/>
      <c r="O384" s="260"/>
      <c r="P384" s="260"/>
      <c r="Q384" s="260"/>
      <c r="R384" s="260"/>
      <c r="S384" s="260"/>
      <c r="T384" s="260"/>
      <c r="U384" s="260"/>
      <c r="V384" s="260"/>
      <c r="W384" s="260"/>
      <c r="X384" s="260"/>
      <c r="Y384" s="260"/>
      <c r="Z384" s="260"/>
      <c r="AA384" s="260"/>
      <c r="AB384" s="260"/>
      <c r="AC384" s="260"/>
      <c r="AD384" s="260"/>
      <c r="AE384" s="260"/>
      <c r="AF384" s="260"/>
      <c r="AG384" s="260"/>
      <c r="AH384" s="260"/>
      <c r="AI384" s="260"/>
      <c r="AJ384" s="260"/>
      <c r="AK384" s="260"/>
      <c r="AL384" s="260"/>
      <c r="AM384" s="260"/>
      <c r="AN384" s="260"/>
      <c r="AO384" s="260"/>
      <c r="AP384" s="260"/>
      <c r="AQ384" s="260"/>
      <c r="AR384" s="260"/>
      <c r="AS384" s="260"/>
      <c r="AT384" s="260"/>
      <c r="AU384" s="876" t="s">
        <v>686</v>
      </c>
      <c r="AV384" s="260"/>
      <c r="AW384" s="913">
        <f>BA71</f>
        <v>27.108999999999998</v>
      </c>
      <c r="AX384" s="913">
        <f>AW384</f>
        <v>27.108999999999998</v>
      </c>
      <c r="AY384" s="260"/>
      <c r="AZ384" s="260"/>
      <c r="BA384" s="260"/>
      <c r="BB384" s="260"/>
      <c r="BC384" s="260"/>
      <c r="BD384" s="260"/>
      <c r="BE384" s="260"/>
      <c r="BF384" s="260"/>
      <c r="BG384" s="260"/>
      <c r="BH384" s="260"/>
      <c r="BI384" s="260"/>
      <c r="BJ384" s="260"/>
      <c r="BK384" s="260"/>
      <c r="BL384" s="260"/>
      <c r="BM384" s="260"/>
      <c r="BN384" s="260"/>
      <c r="BO384" s="260"/>
      <c r="BP384" s="260"/>
      <c r="BQ384" s="260"/>
      <c r="BR384" s="260"/>
      <c r="BS384" s="260"/>
      <c r="BT384" s="260"/>
      <c r="BU384" s="260"/>
      <c r="BV384" s="260"/>
      <c r="BW384" s="260"/>
      <c r="BX384" s="260"/>
      <c r="BY384" s="260"/>
      <c r="BZ384" s="260"/>
      <c r="CA384" s="260"/>
      <c r="CB384" s="260"/>
      <c r="CC384" s="260"/>
      <c r="CD384" s="260"/>
      <c r="CE384" s="260"/>
      <c r="CF384" s="260"/>
      <c r="CG384" s="260"/>
      <c r="CH384" s="260"/>
      <c r="CI384" s="260"/>
      <c r="CJ384" s="260"/>
      <c r="CK384" s="260"/>
      <c r="CL384" s="260"/>
      <c r="CM384" s="260"/>
      <c r="CN384" s="260"/>
      <c r="CO384" s="260"/>
      <c r="CP384" s="260"/>
      <c r="CQ384" s="260"/>
      <c r="CR384" s="260"/>
      <c r="CS384" s="260"/>
      <c r="CT384" s="260"/>
      <c r="CU384" s="260"/>
      <c r="CV384" s="260"/>
      <c r="CW384" s="260"/>
      <c r="CX384" s="260"/>
      <c r="CY384" s="260"/>
      <c r="CZ384" s="260"/>
      <c r="DA384" s="260"/>
      <c r="DB384" s="260"/>
      <c r="DC384" s="260"/>
      <c r="DD384" s="260"/>
      <c r="DE384" s="260"/>
      <c r="DF384" s="260"/>
      <c r="DG384" s="260"/>
      <c r="DH384" s="260"/>
      <c r="DI384" s="260"/>
      <c r="DJ384" s="260"/>
      <c r="DK384" s="260"/>
      <c r="DL384" s="260"/>
      <c r="DM384" s="260"/>
      <c r="DN384" s="260"/>
      <c r="DO384" s="260"/>
      <c r="DP384" s="260"/>
    </row>
    <row r="385" spans="1:120">
      <c r="A385" s="260"/>
      <c r="B385" s="730"/>
      <c r="C385" s="260"/>
      <c r="D385" s="260"/>
      <c r="E385" s="260"/>
      <c r="F385" s="260"/>
      <c r="G385" s="260"/>
      <c r="H385" s="260"/>
      <c r="I385" s="260"/>
      <c r="J385" s="260"/>
      <c r="K385" s="260"/>
      <c r="L385" s="260"/>
      <c r="M385" s="260"/>
      <c r="N385" s="260"/>
      <c r="O385" s="260"/>
      <c r="P385" s="260"/>
      <c r="Q385" s="260"/>
      <c r="R385" s="260"/>
      <c r="S385" s="260"/>
      <c r="T385" s="260"/>
      <c r="U385" s="260"/>
      <c r="V385" s="260"/>
      <c r="W385" s="260"/>
      <c r="X385" s="260"/>
      <c r="Y385" s="260"/>
      <c r="Z385" s="260"/>
      <c r="AA385" s="260"/>
      <c r="AB385" s="260"/>
      <c r="AC385" s="260"/>
      <c r="AD385" s="260"/>
      <c r="AE385" s="260"/>
      <c r="AF385" s="260"/>
      <c r="AG385" s="260"/>
      <c r="AH385" s="260"/>
      <c r="AI385" s="260"/>
      <c r="AJ385" s="260"/>
      <c r="AK385" s="260"/>
      <c r="AL385" s="260"/>
      <c r="AM385" s="260"/>
      <c r="AN385" s="260"/>
      <c r="AO385" s="260"/>
      <c r="AP385" s="260"/>
      <c r="AQ385" s="260"/>
      <c r="AR385" s="260"/>
      <c r="AS385" s="260"/>
      <c r="AT385" s="260"/>
      <c r="AU385" s="876" t="s">
        <v>481</v>
      </c>
      <c r="AV385" s="260"/>
      <c r="AW385" s="913">
        <f>(AW387)/(1-AW386)</f>
        <v>123.01754385964912</v>
      </c>
      <c r="AX385" s="913">
        <f>(AX387)/(1-AX386)</f>
        <v>125.26315789473684</v>
      </c>
      <c r="AY385" s="260"/>
      <c r="AZ385" s="260"/>
      <c r="BA385" s="260"/>
      <c r="BB385" s="260"/>
      <c r="BC385" s="260"/>
      <c r="BD385" s="260"/>
      <c r="BE385" s="260"/>
      <c r="BF385" s="260"/>
      <c r="BG385" s="260"/>
      <c r="BH385" s="260"/>
      <c r="BI385" s="260"/>
      <c r="BJ385" s="260"/>
      <c r="BK385" s="260"/>
      <c r="BL385" s="260"/>
      <c r="BM385" s="260"/>
      <c r="BN385" s="260"/>
      <c r="BO385" s="260"/>
      <c r="BP385" s="260"/>
      <c r="BQ385" s="260"/>
      <c r="BR385" s="260"/>
      <c r="BS385" s="260"/>
      <c r="BT385" s="260"/>
      <c r="BU385" s="260"/>
      <c r="BV385" s="260"/>
      <c r="BW385" s="260"/>
      <c r="BX385" s="260"/>
      <c r="BY385" s="260"/>
      <c r="BZ385" s="260"/>
      <c r="CA385" s="260"/>
      <c r="CB385" s="260"/>
      <c r="CC385" s="260"/>
      <c r="CD385" s="260"/>
      <c r="CE385" s="260"/>
      <c r="CF385" s="260"/>
      <c r="CG385" s="260"/>
      <c r="CH385" s="260"/>
      <c r="CI385" s="260"/>
      <c r="CJ385" s="260"/>
      <c r="CK385" s="260"/>
      <c r="CL385" s="260"/>
      <c r="CM385" s="260"/>
      <c r="CN385" s="260"/>
      <c r="CO385" s="260"/>
      <c r="CP385" s="260"/>
      <c r="CQ385" s="260"/>
      <c r="CR385" s="260"/>
      <c r="CS385" s="260"/>
      <c r="CT385" s="260"/>
      <c r="CU385" s="260"/>
      <c r="CV385" s="260"/>
      <c r="CW385" s="260"/>
      <c r="CX385" s="260"/>
      <c r="CY385" s="260"/>
      <c r="CZ385" s="260"/>
      <c r="DA385" s="260"/>
      <c r="DB385" s="260"/>
      <c r="DC385" s="260"/>
      <c r="DD385" s="260"/>
      <c r="DE385" s="260"/>
      <c r="DF385" s="260"/>
      <c r="DG385" s="260"/>
      <c r="DH385" s="260"/>
      <c r="DI385" s="260"/>
      <c r="DJ385" s="260"/>
      <c r="DK385" s="260"/>
      <c r="DL385" s="260"/>
      <c r="DM385" s="260"/>
      <c r="DN385" s="260"/>
      <c r="DO385" s="260"/>
      <c r="DP385" s="260"/>
    </row>
    <row r="386" spans="1:120">
      <c r="A386" s="260"/>
      <c r="B386" s="730"/>
      <c r="C386" s="260"/>
      <c r="D386" s="260"/>
      <c r="E386" s="260"/>
      <c r="F386" s="260"/>
      <c r="G386" s="260"/>
      <c r="H386" s="260"/>
      <c r="I386" s="260"/>
      <c r="J386" s="260"/>
      <c r="K386" s="260"/>
      <c r="L386" s="260"/>
      <c r="M386" s="260"/>
      <c r="N386" s="260"/>
      <c r="O386" s="260"/>
      <c r="P386" s="260"/>
      <c r="Q386" s="260"/>
      <c r="R386" s="260"/>
      <c r="S386" s="260"/>
      <c r="T386" s="260"/>
      <c r="U386" s="260"/>
      <c r="V386" s="260"/>
      <c r="W386" s="260"/>
      <c r="X386" s="260"/>
      <c r="Y386" s="260"/>
      <c r="Z386" s="260"/>
      <c r="AA386" s="260"/>
      <c r="AB386" s="260"/>
      <c r="AC386" s="260"/>
      <c r="AD386" s="260"/>
      <c r="AE386" s="260"/>
      <c r="AF386" s="260"/>
      <c r="AG386" s="260"/>
      <c r="AH386" s="260"/>
      <c r="AI386" s="260"/>
      <c r="AJ386" s="260"/>
      <c r="AK386" s="260"/>
      <c r="AL386" s="260"/>
      <c r="AM386" s="260"/>
      <c r="AN386" s="260"/>
      <c r="AO386" s="260"/>
      <c r="AP386" s="260"/>
      <c r="AQ386" s="260"/>
      <c r="AR386" s="260"/>
      <c r="AS386" s="260"/>
      <c r="AT386" s="260"/>
      <c r="AU386" s="876" t="s">
        <v>83</v>
      </c>
      <c r="AV386" s="260"/>
      <c r="AW386" s="883">
        <v>0.43</v>
      </c>
      <c r="AX386" s="883">
        <v>0.43</v>
      </c>
      <c r="AY386" s="260"/>
      <c r="AZ386" s="260"/>
      <c r="BA386" s="260"/>
      <c r="BB386" s="260"/>
      <c r="BC386" s="260"/>
      <c r="BD386" s="260"/>
      <c r="BE386" s="260"/>
      <c r="BF386" s="260"/>
      <c r="BG386" s="260"/>
      <c r="BH386" s="260"/>
      <c r="BI386" s="260"/>
      <c r="BJ386" s="260"/>
      <c r="BK386" s="260"/>
      <c r="BL386" s="260"/>
      <c r="BM386" s="260"/>
      <c r="BN386" s="260"/>
      <c r="BO386" s="260"/>
      <c r="BP386" s="260"/>
      <c r="BQ386" s="260"/>
      <c r="BR386" s="260"/>
      <c r="BS386" s="260"/>
      <c r="BT386" s="260"/>
      <c r="BU386" s="260"/>
      <c r="BV386" s="260"/>
      <c r="BW386" s="260"/>
      <c r="BX386" s="260"/>
      <c r="BY386" s="260"/>
      <c r="BZ386" s="260"/>
      <c r="CA386" s="260"/>
      <c r="CB386" s="260"/>
      <c r="CC386" s="260"/>
      <c r="CD386" s="260"/>
      <c r="CE386" s="260"/>
      <c r="CF386" s="260"/>
      <c r="CG386" s="260"/>
      <c r="CH386" s="260"/>
      <c r="CI386" s="260"/>
      <c r="CJ386" s="260"/>
      <c r="CK386" s="260"/>
      <c r="CL386" s="260"/>
      <c r="CM386" s="260"/>
      <c r="CN386" s="260"/>
      <c r="CO386" s="260"/>
      <c r="CP386" s="260"/>
      <c r="CQ386" s="260"/>
      <c r="CR386" s="260"/>
      <c r="CS386" s="260"/>
      <c r="CT386" s="260"/>
      <c r="CU386" s="260"/>
      <c r="CV386" s="260"/>
      <c r="CW386" s="260"/>
      <c r="CX386" s="260"/>
      <c r="CY386" s="260"/>
      <c r="CZ386" s="260"/>
      <c r="DA386" s="260"/>
      <c r="DB386" s="260"/>
      <c r="DC386" s="260"/>
      <c r="DD386" s="260"/>
      <c r="DE386" s="260"/>
      <c r="DF386" s="260"/>
      <c r="DG386" s="260"/>
      <c r="DH386" s="260"/>
      <c r="DI386" s="260"/>
      <c r="DJ386" s="260"/>
      <c r="DK386" s="260"/>
      <c r="DL386" s="260"/>
      <c r="DM386" s="260"/>
      <c r="DN386" s="260"/>
      <c r="DO386" s="260"/>
      <c r="DP386" s="260"/>
    </row>
    <row r="387" spans="1:120">
      <c r="A387" s="260"/>
      <c r="B387" s="730"/>
      <c r="C387" s="260"/>
      <c r="D387" s="260"/>
      <c r="E387" s="260"/>
      <c r="F387" s="260"/>
      <c r="G387" s="260"/>
      <c r="H387" s="260"/>
      <c r="I387" s="260"/>
      <c r="J387" s="260"/>
      <c r="K387" s="260"/>
      <c r="L387" s="260"/>
      <c r="M387" s="260"/>
      <c r="N387" s="260"/>
      <c r="O387" s="260"/>
      <c r="P387" s="260"/>
      <c r="Q387" s="260"/>
      <c r="R387" s="260"/>
      <c r="S387" s="260"/>
      <c r="T387" s="260"/>
      <c r="U387" s="260"/>
      <c r="V387" s="260"/>
      <c r="W387" s="260"/>
      <c r="X387" s="260"/>
      <c r="Y387" s="260"/>
      <c r="Z387" s="260"/>
      <c r="AA387" s="260"/>
      <c r="AB387" s="260"/>
      <c r="AC387" s="260"/>
      <c r="AD387" s="260"/>
      <c r="AE387" s="260"/>
      <c r="AF387" s="260"/>
      <c r="AG387" s="260"/>
      <c r="AH387" s="260"/>
      <c r="AI387" s="260"/>
      <c r="AJ387" s="260"/>
      <c r="AK387" s="260"/>
      <c r="AL387" s="260"/>
      <c r="AM387" s="260"/>
      <c r="AN387" s="260"/>
      <c r="AO387" s="260"/>
      <c r="AP387" s="260"/>
      <c r="AQ387" s="260"/>
      <c r="AR387" s="260"/>
      <c r="AS387" s="260"/>
      <c r="AT387" s="260"/>
      <c r="AU387" s="876"/>
      <c r="AV387" s="260"/>
      <c r="AW387" s="914">
        <f>AW389-AW388</f>
        <v>70.12</v>
      </c>
      <c r="AX387" s="914">
        <f>AX389-AX388</f>
        <v>71.400000000000006</v>
      </c>
      <c r="AY387" s="260"/>
      <c r="AZ387" s="260"/>
      <c r="BA387" s="260"/>
      <c r="BB387" s="260"/>
      <c r="BC387" s="260"/>
      <c r="BD387" s="260"/>
      <c r="BE387" s="260"/>
      <c r="BF387" s="260"/>
      <c r="BG387" s="260"/>
      <c r="BH387" s="260"/>
      <c r="BI387" s="260"/>
      <c r="BJ387" s="260"/>
      <c r="BK387" s="260"/>
      <c r="BL387" s="260"/>
      <c r="BM387" s="260"/>
      <c r="BN387" s="260"/>
      <c r="BO387" s="260"/>
      <c r="BP387" s="260"/>
      <c r="BQ387" s="260"/>
      <c r="BR387" s="260"/>
      <c r="BS387" s="260"/>
      <c r="BT387" s="260"/>
      <c r="BU387" s="260"/>
      <c r="BV387" s="260"/>
      <c r="BW387" s="260"/>
      <c r="BX387" s="260"/>
      <c r="BY387" s="260"/>
      <c r="BZ387" s="260"/>
      <c r="CA387" s="260"/>
      <c r="CB387" s="260"/>
      <c r="CC387" s="260"/>
      <c r="CD387" s="260"/>
      <c r="CE387" s="260"/>
      <c r="CF387" s="260"/>
      <c r="CG387" s="260"/>
      <c r="CH387" s="260"/>
      <c r="CI387" s="260"/>
      <c r="CJ387" s="260"/>
      <c r="CK387" s="260"/>
      <c r="CL387" s="260"/>
      <c r="CM387" s="260"/>
      <c r="CN387" s="260"/>
      <c r="CO387" s="260"/>
      <c r="CP387" s="260"/>
      <c r="CQ387" s="260"/>
      <c r="CR387" s="260"/>
      <c r="CS387" s="260"/>
      <c r="CT387" s="260"/>
      <c r="CU387" s="260"/>
      <c r="CV387" s="260"/>
      <c r="CW387" s="260"/>
      <c r="CX387" s="260"/>
      <c r="CY387" s="260"/>
      <c r="CZ387" s="260"/>
      <c r="DA387" s="260"/>
      <c r="DB387" s="260"/>
      <c r="DC387" s="260"/>
      <c r="DD387" s="260"/>
      <c r="DE387" s="260"/>
      <c r="DF387" s="260"/>
      <c r="DG387" s="260"/>
      <c r="DH387" s="260"/>
      <c r="DI387" s="260"/>
      <c r="DJ387" s="260"/>
      <c r="DK387" s="260"/>
      <c r="DL387" s="260"/>
      <c r="DM387" s="260"/>
      <c r="DN387" s="260"/>
      <c r="DO387" s="260"/>
      <c r="DP387" s="260"/>
    </row>
    <row r="388" spans="1:120">
      <c r="A388" s="260"/>
      <c r="B388" s="730"/>
      <c r="C388" s="260"/>
      <c r="D388" s="260"/>
      <c r="E388" s="260"/>
      <c r="F388" s="260"/>
      <c r="G388" s="260"/>
      <c r="H388" s="260"/>
      <c r="I388" s="260"/>
      <c r="J388" s="260"/>
      <c r="K388" s="260"/>
      <c r="L388" s="260"/>
      <c r="M388" s="260"/>
      <c r="N388" s="260"/>
      <c r="O388" s="260"/>
      <c r="P388" s="260"/>
      <c r="Q388" s="260"/>
      <c r="R388" s="260"/>
      <c r="S388" s="260"/>
      <c r="T388" s="260"/>
      <c r="U388" s="260"/>
      <c r="V388" s="260"/>
      <c r="W388" s="260"/>
      <c r="X388" s="260"/>
      <c r="Y388" s="260"/>
      <c r="Z388" s="260"/>
      <c r="AA388" s="260"/>
      <c r="AB388" s="260"/>
      <c r="AC388" s="260"/>
      <c r="AD388" s="260"/>
      <c r="AE388" s="260"/>
      <c r="AF388" s="260"/>
      <c r="AG388" s="260"/>
      <c r="AH388" s="260"/>
      <c r="AI388" s="260"/>
      <c r="AJ388" s="260"/>
      <c r="AK388" s="260"/>
      <c r="AL388" s="260"/>
      <c r="AM388" s="260"/>
      <c r="AN388" s="260"/>
      <c r="AO388" s="260"/>
      <c r="AP388" s="260"/>
      <c r="AQ388" s="260"/>
      <c r="AR388" s="260"/>
      <c r="AS388" s="260"/>
      <c r="AT388" s="260"/>
      <c r="AU388" s="876" t="s">
        <v>480</v>
      </c>
      <c r="AV388" s="260"/>
      <c r="AW388" s="260">
        <v>-1</v>
      </c>
      <c r="AX388" s="260">
        <v>-1</v>
      </c>
      <c r="AY388" s="260"/>
      <c r="AZ388" s="260"/>
      <c r="BA388" s="260"/>
      <c r="BB388" s="260"/>
      <c r="BC388" s="260"/>
      <c r="BD388" s="260"/>
      <c r="BE388" s="260"/>
      <c r="BF388" s="260"/>
      <c r="BG388" s="260"/>
      <c r="BH388" s="260"/>
      <c r="BI388" s="260"/>
      <c r="BJ388" s="260"/>
      <c r="BK388" s="260"/>
      <c r="BL388" s="260"/>
      <c r="BM388" s="260"/>
      <c r="BN388" s="260"/>
      <c r="BO388" s="260"/>
      <c r="BP388" s="260"/>
      <c r="BQ388" s="260"/>
      <c r="BR388" s="260"/>
      <c r="BS388" s="260"/>
      <c r="BT388" s="260"/>
      <c r="BU388" s="260"/>
      <c r="BV388" s="260"/>
      <c r="BW388" s="260"/>
      <c r="BX388" s="260"/>
      <c r="BY388" s="260"/>
      <c r="BZ388" s="260"/>
      <c r="CA388" s="260"/>
      <c r="CB388" s="260"/>
      <c r="CC388" s="260"/>
      <c r="CD388" s="260"/>
      <c r="CE388" s="260"/>
      <c r="CF388" s="260"/>
      <c r="CG388" s="260"/>
      <c r="CH388" s="260"/>
      <c r="CI388" s="260"/>
      <c r="CJ388" s="260"/>
      <c r="CK388" s="260"/>
      <c r="CL388" s="260"/>
      <c r="CM388" s="260"/>
      <c r="CN388" s="260"/>
      <c r="CO388" s="260"/>
      <c r="CP388" s="260"/>
      <c r="CQ388" s="260"/>
      <c r="CR388" s="260"/>
      <c r="CS388" s="260"/>
      <c r="CT388" s="260"/>
      <c r="CU388" s="260"/>
      <c r="CV388" s="260"/>
      <c r="CW388" s="260"/>
      <c r="CX388" s="260"/>
      <c r="CY388" s="260"/>
      <c r="CZ388" s="260"/>
      <c r="DA388" s="260"/>
      <c r="DB388" s="260"/>
      <c r="DC388" s="260"/>
      <c r="DD388" s="260"/>
      <c r="DE388" s="260"/>
      <c r="DF388" s="260"/>
      <c r="DG388" s="260"/>
      <c r="DH388" s="260"/>
      <c r="DI388" s="260"/>
      <c r="DJ388" s="260"/>
      <c r="DK388" s="260"/>
      <c r="DL388" s="260"/>
      <c r="DM388" s="260"/>
      <c r="DN388" s="260"/>
      <c r="DO388" s="260"/>
      <c r="DP388" s="260"/>
    </row>
    <row r="389" spans="1:120">
      <c r="A389" s="260"/>
      <c r="B389" s="730"/>
      <c r="C389" s="260"/>
      <c r="D389" s="260"/>
      <c r="E389" s="260"/>
      <c r="F389" s="260"/>
      <c r="G389" s="260"/>
      <c r="H389" s="260"/>
      <c r="I389" s="260"/>
      <c r="J389" s="260"/>
      <c r="K389" s="260"/>
      <c r="L389" s="260"/>
      <c r="M389" s="260"/>
      <c r="N389" s="260"/>
      <c r="O389" s="260"/>
      <c r="P389" s="260"/>
      <c r="Q389" s="260"/>
      <c r="R389" s="260"/>
      <c r="S389" s="260"/>
      <c r="T389" s="260"/>
      <c r="U389" s="260"/>
      <c r="V389" s="260"/>
      <c r="W389" s="260"/>
      <c r="X389" s="260"/>
      <c r="Y389" s="260"/>
      <c r="Z389" s="260"/>
      <c r="AA389" s="260"/>
      <c r="AB389" s="260"/>
      <c r="AC389" s="260"/>
      <c r="AD389" s="260"/>
      <c r="AE389" s="260"/>
      <c r="AF389" s="260"/>
      <c r="AG389" s="260"/>
      <c r="AH389" s="260"/>
      <c r="AI389" s="260"/>
      <c r="AJ389" s="260"/>
      <c r="AK389" s="260"/>
      <c r="AL389" s="260"/>
      <c r="AM389" s="260"/>
      <c r="AN389" s="260"/>
      <c r="AO389" s="260"/>
      <c r="AP389" s="260"/>
      <c r="AQ389" s="260"/>
      <c r="AR389" s="260"/>
      <c r="AS389" s="260"/>
      <c r="AT389" s="260"/>
      <c r="AU389" s="876" t="s">
        <v>479</v>
      </c>
      <c r="AV389" s="260"/>
      <c r="AW389" s="914">
        <f>AW391*AW390</f>
        <v>69.12</v>
      </c>
      <c r="AX389" s="914">
        <f>AX391*AX390</f>
        <v>70.400000000000006</v>
      </c>
      <c r="AY389" s="260"/>
      <c r="AZ389" s="260"/>
      <c r="BA389" s="260"/>
      <c r="BB389" s="260"/>
      <c r="BC389" s="260"/>
      <c r="BD389" s="260"/>
      <c r="BE389" s="260"/>
      <c r="BF389" s="260"/>
      <c r="BG389" s="260"/>
      <c r="BH389" s="260"/>
      <c r="BI389" s="260"/>
      <c r="BJ389" s="260"/>
      <c r="BK389" s="260"/>
      <c r="BL389" s="260"/>
      <c r="BM389" s="260"/>
      <c r="BN389" s="260"/>
      <c r="BO389" s="260"/>
      <c r="BP389" s="260"/>
      <c r="BQ389" s="260"/>
      <c r="BR389" s="260"/>
      <c r="BS389" s="260"/>
      <c r="BT389" s="260"/>
      <c r="BU389" s="260"/>
      <c r="BV389" s="260"/>
      <c r="BW389" s="260"/>
      <c r="BX389" s="260"/>
      <c r="BY389" s="260"/>
      <c r="BZ389" s="260"/>
      <c r="CA389" s="260"/>
      <c r="CB389" s="260"/>
      <c r="CC389" s="260"/>
      <c r="CD389" s="260"/>
      <c r="CE389" s="260"/>
      <c r="CF389" s="260"/>
      <c r="CG389" s="260"/>
      <c r="CH389" s="260"/>
      <c r="CI389" s="260"/>
      <c r="CJ389" s="260"/>
      <c r="CK389" s="260"/>
      <c r="CL389" s="260"/>
      <c r="CM389" s="260"/>
      <c r="CN389" s="260"/>
      <c r="CO389" s="260"/>
      <c r="CP389" s="260"/>
      <c r="CQ389" s="260"/>
      <c r="CR389" s="260"/>
      <c r="CS389" s="260"/>
      <c r="CT389" s="260"/>
      <c r="CU389" s="260"/>
      <c r="CV389" s="260"/>
      <c r="CW389" s="260"/>
      <c r="CX389" s="260"/>
      <c r="CY389" s="260"/>
      <c r="CZ389" s="260"/>
      <c r="DA389" s="260"/>
      <c r="DB389" s="260"/>
      <c r="DC389" s="260"/>
      <c r="DD389" s="260"/>
      <c r="DE389" s="260"/>
      <c r="DF389" s="260"/>
      <c r="DG389" s="260"/>
      <c r="DH389" s="260"/>
      <c r="DI389" s="260"/>
      <c r="DJ389" s="260"/>
      <c r="DK389" s="260"/>
      <c r="DL389" s="260"/>
      <c r="DM389" s="260"/>
      <c r="DN389" s="260"/>
      <c r="DO389" s="260"/>
      <c r="DP389" s="260"/>
    </row>
    <row r="390" spans="1:120">
      <c r="A390" s="260"/>
      <c r="B390" s="730"/>
      <c r="C390" s="260"/>
      <c r="D390" s="260"/>
      <c r="E390" s="260"/>
      <c r="F390" s="260"/>
      <c r="G390" s="260"/>
      <c r="H390" s="260"/>
      <c r="I390" s="260"/>
      <c r="J390" s="260"/>
      <c r="K390" s="260"/>
      <c r="L390" s="260"/>
      <c r="M390" s="260"/>
      <c r="N390" s="260"/>
      <c r="O390" s="260"/>
      <c r="P390" s="260"/>
      <c r="Q390" s="260"/>
      <c r="R390" s="260"/>
      <c r="S390" s="260"/>
      <c r="T390" s="260"/>
      <c r="U390" s="260"/>
      <c r="V390" s="260"/>
      <c r="W390" s="260"/>
      <c r="X390" s="260"/>
      <c r="Y390" s="260"/>
      <c r="Z390" s="260"/>
      <c r="AA390" s="260"/>
      <c r="AB390" s="260"/>
      <c r="AC390" s="260"/>
      <c r="AD390" s="260"/>
      <c r="AE390" s="260"/>
      <c r="AF390" s="260"/>
      <c r="AG390" s="260"/>
      <c r="AH390" s="260"/>
      <c r="AI390" s="260"/>
      <c r="AJ390" s="260"/>
      <c r="AK390" s="260"/>
      <c r="AL390" s="260"/>
      <c r="AM390" s="260"/>
      <c r="AN390" s="260"/>
      <c r="AO390" s="260"/>
      <c r="AP390" s="260"/>
      <c r="AQ390" s="260"/>
      <c r="AR390" s="260"/>
      <c r="AS390" s="260"/>
      <c r="AT390" s="260"/>
      <c r="AU390" s="876" t="s">
        <v>95</v>
      </c>
      <c r="AV390" s="260"/>
      <c r="AW390" s="915">
        <v>0.54</v>
      </c>
      <c r="AX390" s="915">
        <v>0.55000000000000004</v>
      </c>
      <c r="AY390" s="260"/>
      <c r="AZ390" s="260"/>
      <c r="BA390" s="260"/>
      <c r="BB390" s="260"/>
      <c r="BC390" s="260"/>
      <c r="BD390" s="260"/>
      <c r="BE390" s="260"/>
      <c r="BF390" s="260"/>
      <c r="BG390" s="260"/>
      <c r="BH390" s="260"/>
      <c r="BI390" s="260"/>
      <c r="BJ390" s="260"/>
      <c r="BK390" s="260"/>
      <c r="BL390" s="260"/>
      <c r="BM390" s="260"/>
      <c r="BN390" s="260"/>
      <c r="BO390" s="260"/>
      <c r="BP390" s="260"/>
      <c r="BQ390" s="260"/>
      <c r="BR390" s="260"/>
      <c r="BS390" s="260"/>
      <c r="BT390" s="260"/>
      <c r="BU390" s="260"/>
      <c r="BV390" s="260"/>
      <c r="BW390" s="260"/>
      <c r="BX390" s="260"/>
      <c r="BY390" s="260"/>
      <c r="BZ390" s="260"/>
      <c r="CA390" s="260"/>
      <c r="CB390" s="260"/>
      <c r="CC390" s="260"/>
      <c r="CD390" s="260"/>
      <c r="CE390" s="260"/>
      <c r="CF390" s="260"/>
      <c r="CG390" s="260"/>
      <c r="CH390" s="260"/>
      <c r="CI390" s="260"/>
      <c r="CJ390" s="260"/>
      <c r="CK390" s="260"/>
      <c r="CL390" s="260"/>
      <c r="CM390" s="260"/>
      <c r="CN390" s="260"/>
      <c r="CO390" s="260"/>
      <c r="CP390" s="260"/>
      <c r="CQ390" s="260"/>
      <c r="CR390" s="260"/>
      <c r="CS390" s="260"/>
      <c r="CT390" s="260"/>
      <c r="CU390" s="260"/>
      <c r="CV390" s="260"/>
      <c r="CW390" s="260"/>
      <c r="CX390" s="260"/>
      <c r="CY390" s="260"/>
      <c r="CZ390" s="260"/>
      <c r="DA390" s="260"/>
      <c r="DB390" s="260"/>
      <c r="DC390" s="260"/>
      <c r="DD390" s="260"/>
      <c r="DE390" s="260"/>
      <c r="DF390" s="260"/>
      <c r="DG390" s="260"/>
      <c r="DH390" s="260"/>
      <c r="DI390" s="260"/>
      <c r="DJ390" s="260"/>
      <c r="DK390" s="260"/>
      <c r="DL390" s="260"/>
      <c r="DM390" s="260"/>
      <c r="DN390" s="260"/>
      <c r="DO390" s="260"/>
      <c r="DP390" s="260"/>
    </row>
    <row r="391" spans="1:120">
      <c r="A391" s="260"/>
      <c r="B391" s="730"/>
      <c r="C391" s="260"/>
      <c r="D391" s="260"/>
      <c r="E391" s="260"/>
      <c r="F391" s="260"/>
      <c r="G391" s="260"/>
      <c r="H391" s="260"/>
      <c r="I391" s="260"/>
      <c r="J391" s="260"/>
      <c r="K391" s="260"/>
      <c r="L391" s="260"/>
      <c r="M391" s="260"/>
      <c r="N391" s="260"/>
      <c r="O391" s="260"/>
      <c r="P391" s="260"/>
      <c r="Q391" s="260"/>
      <c r="R391" s="260"/>
      <c r="S391" s="260"/>
      <c r="T391" s="260"/>
      <c r="U391" s="260"/>
      <c r="V391" s="260"/>
      <c r="W391" s="260"/>
      <c r="X391" s="260"/>
      <c r="Y391" s="260"/>
      <c r="Z391" s="260"/>
      <c r="AA391" s="260"/>
      <c r="AB391" s="260"/>
      <c r="AC391" s="260"/>
      <c r="AD391" s="260"/>
      <c r="AE391" s="260"/>
      <c r="AF391" s="260"/>
      <c r="AG391" s="260"/>
      <c r="AH391" s="260"/>
      <c r="AI391" s="260"/>
      <c r="AJ391" s="260"/>
      <c r="AK391" s="260"/>
      <c r="AL391" s="260"/>
      <c r="AM391" s="260"/>
      <c r="AN391" s="260"/>
      <c r="AO391" s="260"/>
      <c r="AP391" s="260"/>
      <c r="AQ391" s="260"/>
      <c r="AR391" s="260"/>
      <c r="AS391" s="260"/>
      <c r="AT391" s="260"/>
      <c r="AU391" s="876" t="s">
        <v>10</v>
      </c>
      <c r="AV391" s="260"/>
      <c r="AW391" s="260">
        <v>128</v>
      </c>
      <c r="AX391" s="260">
        <v>128</v>
      </c>
      <c r="AY391" s="260"/>
      <c r="AZ391" s="260"/>
      <c r="BA391" s="260"/>
      <c r="BB391" s="260"/>
      <c r="BC391" s="260"/>
      <c r="BD391" s="260"/>
      <c r="BE391" s="260"/>
      <c r="BF391" s="260"/>
      <c r="BG391" s="260"/>
      <c r="BH391" s="260"/>
      <c r="BI391" s="260"/>
      <c r="BJ391" s="260"/>
      <c r="BK391" s="260"/>
      <c r="BL391" s="260"/>
      <c r="BM391" s="260"/>
      <c r="BN391" s="260"/>
      <c r="BO391" s="260"/>
      <c r="BP391" s="260"/>
      <c r="BQ391" s="260"/>
      <c r="BR391" s="260"/>
      <c r="BS391" s="260"/>
      <c r="BT391" s="260"/>
      <c r="BU391" s="260"/>
      <c r="BV391" s="260"/>
      <c r="BW391" s="260"/>
      <c r="BX391" s="260"/>
      <c r="BY391" s="260"/>
      <c r="BZ391" s="260"/>
      <c r="CA391" s="260"/>
      <c r="CB391" s="260"/>
      <c r="CC391" s="260"/>
      <c r="CD391" s="260"/>
      <c r="CE391" s="260"/>
      <c r="CF391" s="260"/>
      <c r="CG391" s="260"/>
      <c r="CH391" s="260"/>
      <c r="CI391" s="260"/>
      <c r="CJ391" s="260"/>
      <c r="CK391" s="260"/>
      <c r="CL391" s="260"/>
      <c r="CM391" s="260"/>
      <c r="CN391" s="260"/>
      <c r="CO391" s="260"/>
      <c r="CP391" s="260"/>
      <c r="CQ391" s="260"/>
      <c r="CR391" s="260"/>
      <c r="CS391" s="260"/>
      <c r="CT391" s="260"/>
      <c r="CU391" s="260"/>
      <c r="CV391" s="260"/>
      <c r="CW391" s="260"/>
      <c r="CX391" s="260"/>
      <c r="CY391" s="260"/>
      <c r="CZ391" s="260"/>
      <c r="DA391" s="260"/>
      <c r="DB391" s="260"/>
      <c r="DC391" s="260"/>
      <c r="DD391" s="260"/>
      <c r="DE391" s="260"/>
      <c r="DF391" s="260"/>
      <c r="DG391" s="260"/>
      <c r="DH391" s="260"/>
      <c r="DI391" s="260"/>
      <c r="DJ391" s="260"/>
      <c r="DK391" s="260"/>
      <c r="DL391" s="260"/>
      <c r="DM391" s="260"/>
      <c r="DN391" s="260"/>
      <c r="DO391" s="260"/>
      <c r="DP391" s="260"/>
    </row>
  </sheetData>
  <customSheetViews>
    <customSheetView guid="{7ADDAC9C-E12E-468B-A7D0-D44A9895D58E}" scale="90" showGridLines="0" hiddenRows="1" hiddenColumns="1" showRuler="0"/>
    <customSheetView guid="{5A095E4E-6841-4715-B354-198715F5FF0A}" scale="90" showGridLines="0" hiddenRows="1" hiddenColumns="1" showRuler="0">
      <selection activeCell="G10" sqref="G10:S11"/>
    </customSheetView>
  </customSheetViews>
  <mergeCells count="7">
    <mergeCell ref="DK6:DN6"/>
    <mergeCell ref="DE6:DH6"/>
    <mergeCell ref="CY6:DB6"/>
    <mergeCell ref="CA6:CD6"/>
    <mergeCell ref="CG6:CJ6"/>
    <mergeCell ref="CM6:CP6"/>
    <mergeCell ref="CS6:CV6"/>
  </mergeCells>
  <phoneticPr fontId="4" type="noConversion"/>
  <pageMargins left="0" right="0" top="0" bottom="0" header="0" footer="0"/>
  <pageSetup paperSize="5" orientation="landscape" r:id="rId1"/>
  <headerFooter alignWithMargins="0">
    <oddFooter>&amp;L&amp;"Arial,Bold"&amp;8Morgan Stanley Research</oddFooter>
  </headerFooter>
  <ignoredErrors>
    <ignoredError sqref="M6" numberStoredAsText="1"/>
    <ignoredError sqref="AC87 Q32 W32 AC32 AI32 AO32 AU32 BA32" formula="1"/>
    <ignoredError sqref="K71" formulaRange="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enableFormatConditionsCalculation="0">
    <tabColor indexed="10"/>
    <pageSetUpPr fitToPage="1"/>
  </sheetPr>
  <dimension ref="A1:DX277"/>
  <sheetViews>
    <sheetView zoomScale="110" zoomScaleNormal="110" workbookViewId="0">
      <pane xSplit="76" ySplit="7" topLeftCell="CQ8" activePane="bottomRight" state="frozen"/>
      <selection pane="topRight" activeCell="BY1" sqref="BY1"/>
      <selection pane="bottomLeft" activeCell="A8" sqref="A8"/>
      <selection pane="bottomRight" activeCell="A4" sqref="A4:DO59"/>
    </sheetView>
  </sheetViews>
  <sheetFormatPr defaultRowHeight="12.75" outlineLevelRow="1" outlineLevelCol="2"/>
  <cols>
    <col min="1" max="1" width="30" style="949" customWidth="1"/>
    <col min="2" max="2" width="2" style="949" hidden="1" customWidth="1"/>
    <col min="3" max="5" width="7.7109375" style="949" hidden="1" customWidth="1" outlineLevel="1"/>
    <col min="6" max="6" width="1.7109375" style="949" hidden="1" customWidth="1" outlineLevel="2"/>
    <col min="7" max="7" width="7.42578125" style="949" hidden="1" customWidth="1" outlineLevel="2"/>
    <col min="8" max="10" width="7.7109375" style="949" hidden="1" customWidth="1" outlineLevel="2"/>
    <col min="11" max="11" width="7.7109375" style="949" hidden="1" customWidth="1" outlineLevel="1" collapsed="1"/>
    <col min="12" max="12" width="1.7109375" style="949" hidden="1" customWidth="1" outlineLevel="2"/>
    <col min="13" max="16" width="7.5703125" style="949" hidden="1" customWidth="1" outlineLevel="2"/>
    <col min="17" max="17" width="7.5703125" style="949" hidden="1" customWidth="1" outlineLevel="1" collapsed="1"/>
    <col min="18" max="18" width="1.7109375" style="949" hidden="1" customWidth="1" outlineLevel="2"/>
    <col min="19" max="22" width="6.42578125" style="949" hidden="1" customWidth="1" outlineLevel="2"/>
    <col min="23" max="23" width="6.42578125" style="949" hidden="1" customWidth="1" outlineLevel="1" collapsed="1"/>
    <col min="24" max="24" width="1.7109375" style="949" hidden="1" customWidth="1" outlineLevel="1"/>
    <col min="25" max="28" width="7" style="949" hidden="1" customWidth="1" outlineLevel="2"/>
    <col min="29" max="29" width="7" style="949" hidden="1" customWidth="1" outlineLevel="1" collapsed="1"/>
    <col min="30" max="30" width="1.7109375" style="949" hidden="1" customWidth="1" outlineLevel="1"/>
    <col min="31" max="35" width="7" style="949" hidden="1" customWidth="1" outlineLevel="1"/>
    <col min="36" max="36" width="1.7109375" style="949" hidden="1" customWidth="1" outlineLevel="1"/>
    <col min="37" max="41" width="6.42578125" style="949" hidden="1" customWidth="1" outlineLevel="1"/>
    <col min="42" max="42" width="1.140625" style="949" hidden="1" customWidth="1" outlineLevel="1"/>
    <col min="43" max="47" width="6.42578125" style="949" hidden="1" customWidth="1" outlineLevel="1"/>
    <col min="48" max="48" width="1.140625" style="949" hidden="1" customWidth="1" outlineLevel="1"/>
    <col min="49" max="52" width="6.42578125" style="949" hidden="1" customWidth="1" outlineLevel="1"/>
    <col min="53" max="53" width="6.42578125" style="949" hidden="1" customWidth="1" collapsed="1"/>
    <col min="54" max="54" width="1.140625" style="949" hidden="1" customWidth="1"/>
    <col min="55" max="58" width="6.42578125" style="949" hidden="1" customWidth="1" outlineLevel="1"/>
    <col min="59" max="59" width="6.42578125" style="949" hidden="1" customWidth="1" collapsed="1"/>
    <col min="60" max="60" width="1.140625" style="949" hidden="1" customWidth="1"/>
    <col min="61" max="64" width="6.42578125" style="949" hidden="1" customWidth="1" outlineLevel="1"/>
    <col min="65" max="65" width="6.42578125" style="949" hidden="1" customWidth="1" collapsed="1"/>
    <col min="66" max="66" width="1.140625" style="949" hidden="1" customWidth="1"/>
    <col min="67" max="70" width="6.42578125" style="949" hidden="1" customWidth="1" outlineLevel="1"/>
    <col min="71" max="71" width="6.42578125" style="949" hidden="1" customWidth="1" collapsed="1"/>
    <col min="72" max="72" width="1.140625" style="949" hidden="1" customWidth="1"/>
    <col min="73" max="76" width="6.42578125" style="949" hidden="1" customWidth="1" outlineLevel="1"/>
    <col min="77" max="77" width="6.7109375" style="949" customWidth="1" collapsed="1"/>
    <col min="78" max="78" width="1.7109375" style="949" customWidth="1"/>
    <col min="79" max="79" width="7.42578125" style="949" hidden="1" customWidth="1" outlineLevel="1"/>
    <col min="80" max="82" width="6.7109375" style="949" hidden="1" customWidth="1" outlineLevel="1"/>
    <col min="83" max="83" width="6.7109375" style="949" customWidth="1" collapsed="1"/>
    <col min="84" max="84" width="1.7109375" style="949" customWidth="1"/>
    <col min="85" max="88" width="6.7109375" style="949" hidden="1" customWidth="1" outlineLevel="1"/>
    <col min="89" max="89" width="6.7109375" style="949" customWidth="1" collapsed="1"/>
    <col min="90" max="90" width="1.7109375" style="949" customWidth="1"/>
    <col min="91" max="94" width="6.7109375" style="949" hidden="1" customWidth="1" outlineLevel="1"/>
    <col min="95" max="95" width="6.7109375" style="949" customWidth="1" collapsed="1"/>
    <col min="96" max="96" width="1.7109375" style="949" customWidth="1"/>
    <col min="97" max="100" width="6.7109375" style="949" customWidth="1" outlineLevel="1"/>
    <col min="101" max="101" width="6.7109375" style="949" customWidth="1"/>
    <col min="102" max="102" width="1.7109375" style="949" customWidth="1"/>
    <col min="103" max="106" width="6.7109375" style="949" customWidth="1" outlineLevel="1"/>
    <col min="107" max="107" width="6.7109375" style="949" customWidth="1"/>
    <col min="108" max="108" width="1.7109375" style="949" customWidth="1"/>
    <col min="109" max="112" width="6.7109375" style="949" hidden="1" customWidth="1" outlineLevel="1"/>
    <col min="113" max="113" width="6.7109375" style="949" customWidth="1" collapsed="1"/>
    <col min="114" max="114" width="1.7109375" style="949" customWidth="1"/>
    <col min="115" max="118" width="6.7109375" style="949" hidden="1" customWidth="1" outlineLevel="1"/>
    <col min="119" max="119" width="6.7109375" style="949" customWidth="1" collapsed="1"/>
    <col min="120" max="121" width="6.7109375" style="949" customWidth="1"/>
    <col min="122" max="122" width="30.5703125" hidden="1" customWidth="1" outlineLevel="1"/>
    <col min="123" max="127" width="9.140625" hidden="1" customWidth="1" outlineLevel="1"/>
    <col min="128" max="128" width="9.140625" style="949" collapsed="1"/>
    <col min="129" max="16384" width="9.140625" style="949"/>
  </cols>
  <sheetData>
    <row r="1" spans="1:128" ht="18">
      <c r="A1" s="926" t="s">
        <v>380</v>
      </c>
      <c r="B1" s="927"/>
      <c r="C1" s="628"/>
      <c r="D1" s="628"/>
      <c r="E1" s="628"/>
      <c r="F1" s="628"/>
      <c r="G1" s="628"/>
      <c r="H1" s="628"/>
      <c r="I1" s="928"/>
      <c r="J1" s="628"/>
      <c r="K1" s="628"/>
      <c r="L1" s="628"/>
      <c r="M1" s="628"/>
      <c r="N1" s="628"/>
      <c r="O1" s="628"/>
      <c r="P1" s="628"/>
      <c r="Q1" s="628"/>
      <c r="R1" s="628"/>
      <c r="S1" s="565"/>
      <c r="T1" s="929"/>
      <c r="U1" s="628"/>
      <c r="V1" s="628"/>
      <c r="W1" s="628"/>
      <c r="X1" s="628"/>
      <c r="Y1" s="628"/>
      <c r="Z1" s="628"/>
      <c r="AA1" s="628"/>
      <c r="AB1" s="628"/>
      <c r="AC1" s="628"/>
      <c r="AD1" s="628"/>
      <c r="AE1" s="628"/>
      <c r="AF1" s="628"/>
      <c r="AG1" s="628"/>
      <c r="AH1" s="628"/>
      <c r="AI1" s="628"/>
      <c r="AJ1" s="628"/>
      <c r="AK1" s="628"/>
      <c r="AL1" s="628"/>
      <c r="AM1" s="628"/>
      <c r="AN1" s="628"/>
      <c r="AO1" s="628"/>
      <c r="AP1" s="628"/>
      <c r="AQ1" s="628"/>
      <c r="AR1" s="628"/>
      <c r="AS1" s="628"/>
      <c r="AT1" s="628"/>
      <c r="AU1" s="628"/>
      <c r="AV1" s="628"/>
      <c r="AW1" s="628"/>
      <c r="AX1" s="628"/>
      <c r="AY1" s="628"/>
      <c r="AZ1" s="628"/>
      <c r="BA1" s="628"/>
      <c r="BB1" s="628"/>
      <c r="BC1" s="628"/>
      <c r="BD1" s="628"/>
      <c r="BE1" s="628"/>
      <c r="BF1" s="628"/>
      <c r="BG1" s="628"/>
      <c r="BH1" s="628"/>
      <c r="BI1" s="628"/>
      <c r="BJ1" s="628"/>
      <c r="BK1" s="628"/>
      <c r="BL1" s="628"/>
      <c r="BM1" s="628"/>
      <c r="BN1" s="628"/>
      <c r="BO1" s="628"/>
      <c r="BP1" s="628"/>
      <c r="BQ1" s="628"/>
      <c r="BR1" s="628"/>
      <c r="BS1" s="628"/>
      <c r="BT1" s="628"/>
      <c r="BU1" s="930"/>
      <c r="BV1" s="1599"/>
      <c r="BW1" s="1599"/>
      <c r="BX1" s="1599"/>
      <c r="BY1" s="628"/>
      <c r="BZ1" s="628"/>
      <c r="CA1" s="931"/>
      <c r="CB1" s="1599"/>
      <c r="CC1" s="1599"/>
      <c r="CD1" s="1633"/>
      <c r="CE1" s="931"/>
      <c r="CF1" s="628"/>
      <c r="CG1" s="1955">
        <f>CF!CG139</f>
        <v>659.77</v>
      </c>
      <c r="CH1" s="1955">
        <f>CF!CH139</f>
        <v>239.52799999999996</v>
      </c>
      <c r="CI1" s="1955">
        <f>CF!CI139</f>
        <v>37.866000000000042</v>
      </c>
      <c r="CJ1" s="1955">
        <f>CF!CJ139</f>
        <v>390.9450000000005</v>
      </c>
      <c r="CK1" s="1955"/>
      <c r="CL1" s="1785"/>
      <c r="CM1" s="1955"/>
      <c r="CN1" s="1955"/>
      <c r="CO1" s="1955"/>
      <c r="CP1" s="1955"/>
      <c r="CQ1" s="1955"/>
      <c r="CR1" s="930"/>
      <c r="CS1" s="1955"/>
      <c r="CT1" s="1955"/>
      <c r="CU1" s="1955"/>
      <c r="CV1" s="1955"/>
      <c r="CW1" s="1955"/>
      <c r="CX1" s="1955"/>
      <c r="CY1" s="1955"/>
      <c r="CZ1" s="1955"/>
      <c r="DA1" s="1955"/>
      <c r="DB1" s="1955"/>
      <c r="DC1" s="1955"/>
      <c r="DD1" s="1955"/>
      <c r="DE1" s="1955"/>
      <c r="DF1" s="1955"/>
      <c r="DG1" s="1955"/>
      <c r="DH1" s="1955"/>
      <c r="DI1" s="1955"/>
      <c r="DJ1" s="1955"/>
      <c r="DK1" s="1955"/>
      <c r="DL1" s="1955"/>
      <c r="DM1" s="1955"/>
      <c r="DN1" s="1955"/>
      <c r="DO1" s="1955"/>
      <c r="DP1" s="1944"/>
      <c r="DQ1" s="948"/>
    </row>
    <row r="2" spans="1:128" ht="20.25" customHeight="1">
      <c r="A2" s="932" t="s">
        <v>533</v>
      </c>
      <c r="B2" s="932"/>
      <c r="C2" s="933"/>
      <c r="D2" s="933"/>
      <c r="E2" s="933"/>
      <c r="F2" s="933"/>
      <c r="G2" s="933"/>
      <c r="H2" s="933"/>
      <c r="I2" s="933"/>
      <c r="J2" s="695"/>
      <c r="K2" s="694"/>
      <c r="L2" s="695"/>
      <c r="M2" s="695"/>
      <c r="N2" s="934"/>
      <c r="O2" s="934"/>
      <c r="P2" s="934"/>
      <c r="Q2" s="695"/>
      <c r="R2" s="695"/>
      <c r="S2" s="935"/>
      <c r="T2" s="935"/>
      <c r="U2" s="695"/>
      <c r="V2" s="695"/>
      <c r="W2" s="694"/>
      <c r="X2" s="695"/>
      <c r="Y2" s="695"/>
      <c r="Z2" s="695"/>
      <c r="AA2" s="695"/>
      <c r="AB2" s="695"/>
      <c r="AC2" s="695"/>
      <c r="AD2" s="695"/>
      <c r="AE2" s="936"/>
      <c r="AF2" s="695"/>
      <c r="AG2" s="695"/>
      <c r="AH2" s="695"/>
      <c r="AI2" s="695"/>
      <c r="AJ2" s="695"/>
      <c r="AK2" s="695"/>
      <c r="AL2" s="695"/>
      <c r="AM2" s="695"/>
      <c r="AN2" s="695"/>
      <c r="AO2" s="695"/>
      <c r="AP2" s="695"/>
      <c r="AQ2" s="695"/>
      <c r="AR2" s="695"/>
      <c r="AS2" s="694"/>
      <c r="AT2" s="694"/>
      <c r="AU2" s="695"/>
      <c r="AV2" s="695"/>
      <c r="AW2" s="695"/>
      <c r="AX2" s="695"/>
      <c r="AY2" s="695"/>
      <c r="AZ2" s="695"/>
      <c r="BA2" s="695"/>
      <c r="BB2" s="695"/>
      <c r="BC2" s="695"/>
      <c r="BD2" s="695"/>
      <c r="BE2" s="695"/>
      <c r="BF2" s="695"/>
      <c r="BG2" s="695"/>
      <c r="BH2" s="695"/>
      <c r="BI2" s="695"/>
      <c r="BJ2" s="695"/>
      <c r="BK2" s="695"/>
      <c r="BL2" s="695"/>
      <c r="BM2" s="695"/>
      <c r="BN2" s="695"/>
      <c r="BO2" s="695"/>
      <c r="BP2" s="695"/>
      <c r="BQ2" s="695"/>
      <c r="BR2" s="695"/>
      <c r="BS2" s="695"/>
      <c r="BT2" s="695"/>
      <c r="BU2" s="937"/>
      <c r="BV2" s="937"/>
      <c r="BW2" s="937"/>
      <c r="BX2" s="937"/>
      <c r="BY2" s="695"/>
      <c r="BZ2" s="695"/>
      <c r="CA2" s="1592"/>
      <c r="CB2" s="1593"/>
      <c r="CC2" s="1593"/>
      <c r="CD2" s="1592"/>
      <c r="CE2" s="1592"/>
      <c r="CF2" s="1592"/>
      <c r="CG2" s="1786"/>
      <c r="CH2" s="1786"/>
      <c r="CI2" s="1786"/>
      <c r="CJ2" s="1786"/>
      <c r="CK2" s="1786"/>
      <c r="CL2" s="1786"/>
      <c r="CM2" s="1786"/>
      <c r="CN2" s="1786"/>
      <c r="CO2" s="1786"/>
      <c r="CP2" s="1786"/>
      <c r="CQ2" s="1786"/>
      <c r="CR2" s="3"/>
      <c r="CS2" s="1955"/>
      <c r="CT2" s="1955"/>
      <c r="CU2" s="1955"/>
      <c r="CV2" s="1955"/>
      <c r="CW2" s="1955"/>
      <c r="CX2" s="1955"/>
      <c r="CY2" s="1955"/>
      <c r="CZ2" s="1955"/>
      <c r="DA2" s="1955"/>
      <c r="DB2" s="1955"/>
      <c r="DC2" s="1955"/>
      <c r="DD2" s="1955"/>
      <c r="DE2" s="1955"/>
      <c r="DF2" s="1955"/>
      <c r="DG2" s="1955"/>
      <c r="DH2" s="1955"/>
      <c r="DI2" s="1955"/>
      <c r="DJ2" s="1955"/>
      <c r="DK2" s="1955"/>
      <c r="DL2" s="1955"/>
      <c r="DM2" s="1955"/>
      <c r="DN2" s="1955"/>
      <c r="DO2" s="1955"/>
      <c r="DP2" s="1945"/>
      <c r="DQ2" s="948"/>
    </row>
    <row r="3" spans="1:128" customFormat="1" ht="12" hidden="1" customHeight="1" outlineLevel="1"/>
    <row r="4" spans="1:128" ht="12" customHeight="1" collapsed="1">
      <c r="A4" s="235" t="s">
        <v>151</v>
      </c>
      <c r="B4" s="235"/>
      <c r="C4" s="236"/>
      <c r="D4" s="236"/>
      <c r="E4" s="236"/>
      <c r="F4" s="236"/>
      <c r="G4" s="237"/>
      <c r="H4" s="237"/>
      <c r="I4" s="237"/>
      <c r="J4" s="237"/>
      <c r="K4" s="236"/>
      <c r="L4" s="236"/>
      <c r="M4" s="236"/>
      <c r="N4" s="236"/>
      <c r="O4" s="236"/>
      <c r="P4" s="236"/>
      <c r="Q4" s="236"/>
      <c r="R4" s="236"/>
      <c r="S4" s="392"/>
      <c r="T4" s="236"/>
      <c r="U4" s="236"/>
      <c r="V4" s="236"/>
      <c r="W4" s="393"/>
      <c r="X4" s="236"/>
      <c r="Y4" s="236"/>
      <c r="Z4" s="236"/>
      <c r="AA4" s="236"/>
      <c r="AB4" s="236"/>
      <c r="AC4" s="236"/>
      <c r="AD4" s="236"/>
      <c r="AE4" s="236"/>
      <c r="AF4" s="236"/>
      <c r="AG4" s="236"/>
      <c r="AH4" s="236"/>
      <c r="AI4" s="236"/>
      <c r="AJ4" s="236"/>
      <c r="AK4" s="236"/>
      <c r="AL4" s="236"/>
      <c r="AM4" s="236"/>
      <c r="AN4" s="236"/>
      <c r="AO4" s="236"/>
      <c r="AP4" s="236"/>
      <c r="AQ4" s="236"/>
      <c r="AR4" s="236"/>
      <c r="AS4" s="236"/>
      <c r="AT4" s="236"/>
      <c r="AU4" s="236"/>
      <c r="AV4" s="236"/>
      <c r="AW4" s="236"/>
      <c r="AX4" s="236"/>
      <c r="AY4" s="236"/>
      <c r="AZ4" s="236"/>
      <c r="BA4" s="236"/>
      <c r="BB4" s="236"/>
      <c r="BC4" s="236"/>
      <c r="BD4" s="236"/>
      <c r="BE4" s="236"/>
      <c r="BF4" s="236"/>
      <c r="BG4" s="236"/>
      <c r="BH4" s="236"/>
      <c r="BI4" s="236"/>
      <c r="BJ4" s="236"/>
      <c r="BK4" s="236"/>
      <c r="BL4" s="236"/>
      <c r="BM4" s="236"/>
      <c r="BN4" s="236"/>
      <c r="BO4" s="236"/>
      <c r="BP4" s="236"/>
      <c r="BQ4" s="236"/>
      <c r="BR4" s="236"/>
      <c r="BS4" s="236"/>
      <c r="BT4" s="236"/>
      <c r="BU4" s="236"/>
      <c r="BV4" s="236"/>
      <c r="BW4" s="236"/>
      <c r="BX4" s="236"/>
      <c r="BY4" s="236"/>
      <c r="BZ4" s="236"/>
      <c r="CA4" s="236"/>
      <c r="CB4" s="1590"/>
      <c r="CC4" s="236"/>
      <c r="CD4" s="236"/>
      <c r="CE4" s="236"/>
      <c r="CF4" s="236"/>
      <c r="CG4" s="236"/>
      <c r="CH4" s="236"/>
      <c r="CI4" s="236"/>
      <c r="CJ4" s="236"/>
      <c r="CK4" s="236"/>
      <c r="CL4" s="236"/>
      <c r="CM4" s="236"/>
      <c r="CN4" s="236"/>
      <c r="CO4" s="236"/>
      <c r="CP4" s="236"/>
      <c r="CQ4" s="236"/>
      <c r="CR4" s="236"/>
      <c r="CS4" s="236"/>
      <c r="CT4" s="236"/>
      <c r="CU4" s="236"/>
      <c r="CV4" s="236"/>
      <c r="CW4" s="236"/>
      <c r="CX4" s="236"/>
      <c r="CY4" s="236"/>
      <c r="CZ4" s="236"/>
      <c r="DA4" s="236"/>
      <c r="DB4" s="236"/>
      <c r="DC4" s="237"/>
      <c r="DD4" s="237"/>
      <c r="DE4" s="236"/>
      <c r="DF4" s="236"/>
      <c r="DG4" s="236"/>
      <c r="DH4" s="236"/>
      <c r="DI4" s="237"/>
      <c r="DJ4" s="237"/>
      <c r="DK4" s="237"/>
      <c r="DL4" s="237"/>
      <c r="DM4" s="237"/>
      <c r="DN4" s="237"/>
      <c r="DO4" s="1678"/>
      <c r="DP4" s="237"/>
      <c r="DQ4" s="951"/>
    </row>
    <row r="5" spans="1:128" ht="12.75" customHeight="1">
      <c r="A5" s="235"/>
      <c r="B5" s="235"/>
      <c r="C5" s="236"/>
      <c r="D5" s="236"/>
      <c r="E5" s="236"/>
      <c r="F5" s="236"/>
      <c r="G5" s="237"/>
      <c r="H5" s="237"/>
      <c r="I5" s="237"/>
      <c r="J5" s="237"/>
      <c r="K5" s="236"/>
      <c r="L5" s="236"/>
      <c r="M5" s="236"/>
      <c r="N5" s="236"/>
      <c r="O5" s="236"/>
      <c r="P5" s="236"/>
      <c r="Q5" s="236"/>
      <c r="R5" s="236"/>
      <c r="S5" s="236"/>
      <c r="T5" s="236"/>
      <c r="U5" s="236"/>
      <c r="V5" s="236"/>
      <c r="W5" s="236"/>
      <c r="X5" s="236"/>
      <c r="Y5" s="236"/>
      <c r="Z5" s="236"/>
      <c r="AA5" s="236"/>
      <c r="AB5" s="236"/>
      <c r="AC5" s="236"/>
      <c r="AD5" s="236"/>
      <c r="AE5" s="236"/>
      <c r="AF5" s="236"/>
      <c r="AG5" s="236"/>
      <c r="AH5" s="236"/>
      <c r="AI5" s="236"/>
      <c r="AJ5" s="236"/>
      <c r="AK5" s="236"/>
      <c r="AL5" s="236"/>
      <c r="AM5" s="236"/>
      <c r="AN5" s="236"/>
      <c r="AO5" s="236"/>
      <c r="AP5" s="236"/>
      <c r="AQ5" s="236"/>
      <c r="AR5" s="236"/>
      <c r="AS5" s="236"/>
      <c r="AT5" s="236"/>
      <c r="AU5" s="236"/>
      <c r="AV5" s="236"/>
      <c r="AW5" s="236"/>
      <c r="AX5" s="236"/>
      <c r="AY5" s="236"/>
      <c r="AZ5" s="236"/>
      <c r="BA5" s="236"/>
      <c r="BB5" s="236"/>
      <c r="BC5" s="236"/>
      <c r="BD5" s="236"/>
      <c r="BE5" s="236"/>
      <c r="BF5" s="236"/>
      <c r="BG5" s="236"/>
      <c r="BH5" s="236"/>
      <c r="BI5" s="236"/>
      <c r="BJ5" s="236"/>
      <c r="BK5" s="236"/>
      <c r="BL5" s="236"/>
      <c r="BM5" s="236"/>
      <c r="BN5" s="236"/>
      <c r="BO5" s="236"/>
      <c r="BP5" s="236"/>
      <c r="BQ5" s="236"/>
      <c r="BR5" s="236"/>
      <c r="BS5" s="236"/>
      <c r="BT5" s="236"/>
      <c r="BU5" s="236"/>
      <c r="BV5" s="236"/>
      <c r="BW5" s="236"/>
      <c r="BX5" s="236"/>
      <c r="BY5" s="236"/>
      <c r="BZ5" s="236"/>
      <c r="CA5" s="236"/>
      <c r="CB5" s="236"/>
      <c r="CC5" s="236"/>
      <c r="CD5" s="236"/>
      <c r="CE5" s="236"/>
      <c r="CF5" s="236"/>
      <c r="CG5" s="236"/>
      <c r="CH5" s="236"/>
      <c r="CI5" s="236"/>
      <c r="CJ5" s="236"/>
      <c r="CK5" s="236"/>
      <c r="CL5" s="236"/>
      <c r="CM5" s="236"/>
      <c r="CN5" s="236"/>
      <c r="CO5" s="236"/>
      <c r="CP5" s="236"/>
      <c r="CQ5" s="236"/>
      <c r="CR5" s="236"/>
      <c r="CS5" s="236"/>
      <c r="CT5" s="236"/>
      <c r="CU5" s="236"/>
      <c r="CV5" s="236"/>
      <c r="CW5" s="236"/>
      <c r="CX5" s="236"/>
      <c r="CY5" s="236"/>
      <c r="CZ5" s="236"/>
      <c r="DA5" s="236"/>
      <c r="DB5" s="236"/>
      <c r="DC5" s="237"/>
      <c r="DD5" s="237"/>
      <c r="DE5" s="236"/>
      <c r="DF5" s="236"/>
      <c r="DG5" s="236"/>
      <c r="DH5" s="236"/>
      <c r="DI5" s="237"/>
      <c r="DJ5" s="237"/>
      <c r="DK5" s="237"/>
      <c r="DL5" s="237"/>
      <c r="DM5" s="237"/>
      <c r="DN5" s="237"/>
      <c r="DO5" s="1678"/>
      <c r="DP5" s="237"/>
      <c r="DQ5" s="951"/>
    </row>
    <row r="6" spans="1:128" ht="12" customHeight="1">
      <c r="A6" s="394"/>
      <c r="B6" s="394"/>
      <c r="C6" s="395" t="s">
        <v>68</v>
      </c>
      <c r="D6" s="395"/>
      <c r="E6" s="395"/>
      <c r="F6" s="396"/>
      <c r="G6" s="397">
        <v>2003</v>
      </c>
      <c r="H6" s="395"/>
      <c r="I6" s="395"/>
      <c r="J6" s="395"/>
      <c r="K6" s="395"/>
      <c r="L6" s="396"/>
      <c r="M6" s="397" t="str">
        <f>Model!M6</f>
        <v>2004</v>
      </c>
      <c r="N6" s="395"/>
      <c r="O6" s="395"/>
      <c r="P6" s="395"/>
      <c r="Q6" s="395"/>
      <c r="R6" s="396"/>
      <c r="S6" s="397" t="str">
        <f>Model!S6</f>
        <v>2005</v>
      </c>
      <c r="T6" s="395"/>
      <c r="U6" s="395"/>
      <c r="V6" s="395"/>
      <c r="W6" s="395"/>
      <c r="X6" s="396"/>
      <c r="Y6" s="397">
        <f>Model!Y6</f>
        <v>2006</v>
      </c>
      <c r="Z6" s="395"/>
      <c r="AA6" s="395"/>
      <c r="AB6" s="395"/>
      <c r="AC6" s="395"/>
      <c r="AD6" s="396"/>
      <c r="AE6" s="397">
        <f>Model!AE6</f>
        <v>2007</v>
      </c>
      <c r="AF6" s="395"/>
      <c r="AG6" s="395"/>
      <c r="AH6" s="395"/>
      <c r="AI6" s="395"/>
      <c r="AJ6" s="396"/>
      <c r="AK6" s="397">
        <f>Model!AK6</f>
        <v>2008</v>
      </c>
      <c r="AL6" s="395"/>
      <c r="AM6" s="395"/>
      <c r="AN6" s="395"/>
      <c r="AO6" s="395"/>
      <c r="AP6" s="396"/>
      <c r="AQ6" s="397">
        <f>Model!AQ6</f>
        <v>2009</v>
      </c>
      <c r="AR6" s="395"/>
      <c r="AS6" s="395"/>
      <c r="AT6" s="395"/>
      <c r="AU6" s="395"/>
      <c r="AV6" s="396"/>
      <c r="AW6" s="397">
        <f>Model!AW6</f>
        <v>2010</v>
      </c>
      <c r="AX6" s="395"/>
      <c r="AY6" s="395"/>
      <c r="AZ6" s="395"/>
      <c r="BA6" s="246"/>
      <c r="BB6" s="396"/>
      <c r="BC6" s="397">
        <f>Model!BC6</f>
        <v>2011</v>
      </c>
      <c r="BD6" s="395"/>
      <c r="BE6" s="395"/>
      <c r="BF6" s="395"/>
      <c r="BG6" s="246"/>
      <c r="BH6" s="396"/>
      <c r="BI6" s="397">
        <f>Model!BI6</f>
        <v>2012</v>
      </c>
      <c r="BJ6" s="395"/>
      <c r="BK6" s="395"/>
      <c r="BL6" s="395"/>
      <c r="BM6" s="398"/>
      <c r="BN6" s="396"/>
      <c r="BO6" s="397">
        <f>Model!BO6</f>
        <v>2013</v>
      </c>
      <c r="BP6" s="395"/>
      <c r="BQ6" s="395"/>
      <c r="BR6" s="395"/>
      <c r="BS6" s="398"/>
      <c r="BT6" s="396"/>
      <c r="BU6" s="397">
        <f>Model!BU6</f>
        <v>2014</v>
      </c>
      <c r="BV6" s="395"/>
      <c r="BW6" s="395"/>
      <c r="BX6" s="395"/>
      <c r="BY6" s="395"/>
      <c r="BZ6" s="241"/>
      <c r="CA6" s="2026">
        <v>2015</v>
      </c>
      <c r="CB6" s="2026"/>
      <c r="CC6" s="2026"/>
      <c r="CD6" s="2026"/>
      <c r="CE6" s="395"/>
      <c r="CF6" s="241"/>
      <c r="CG6" s="2026">
        <f>Model!CG6</f>
        <v>2016</v>
      </c>
      <c r="CH6" s="2026"/>
      <c r="CI6" s="2026"/>
      <c r="CJ6" s="2026"/>
      <c r="CK6" s="395"/>
      <c r="CL6" s="241"/>
      <c r="CM6" s="2026">
        <f>Model!CM6</f>
        <v>2017</v>
      </c>
      <c r="CN6" s="2026"/>
      <c r="CO6" s="2026"/>
      <c r="CP6" s="2026"/>
      <c r="CQ6" s="395"/>
      <c r="CR6" s="241"/>
      <c r="CS6" s="2026">
        <f>Model!CS6</f>
        <v>2018</v>
      </c>
      <c r="CT6" s="2026"/>
      <c r="CU6" s="2026"/>
      <c r="CV6" s="2026"/>
      <c r="CW6" s="395"/>
      <c r="CX6" s="241"/>
      <c r="CY6" s="2026" t="str">
        <f>Model!CY6</f>
        <v xml:space="preserve">  2019E</v>
      </c>
      <c r="CZ6" s="2026"/>
      <c r="DA6" s="2026"/>
      <c r="DB6" s="2026"/>
      <c r="DC6" s="1940"/>
      <c r="DD6" s="250"/>
      <c r="DE6" s="2026" t="str">
        <f>Model!DE6</f>
        <v xml:space="preserve">  2020E</v>
      </c>
      <c r="DF6" s="2026"/>
      <c r="DG6" s="2026"/>
      <c r="DH6" s="2026"/>
      <c r="DI6" s="1940"/>
      <c r="DJ6" s="250"/>
      <c r="DK6" s="2026" t="str">
        <f>Model!DK6</f>
        <v xml:space="preserve">  2021E</v>
      </c>
      <c r="DL6" s="2026"/>
      <c r="DM6" s="2026"/>
      <c r="DN6" s="2026"/>
      <c r="DO6" s="1679"/>
      <c r="DP6" s="395"/>
      <c r="DQ6" s="952"/>
    </row>
    <row r="7" spans="1:128">
      <c r="A7" s="399"/>
      <c r="B7" s="400"/>
      <c r="C7" s="401" t="s">
        <v>863</v>
      </c>
      <c r="D7" s="401" t="s">
        <v>864</v>
      </c>
      <c r="E7" s="401" t="s">
        <v>865</v>
      </c>
      <c r="F7" s="402"/>
      <c r="G7" s="402" t="s">
        <v>867</v>
      </c>
      <c r="H7" s="402" t="s">
        <v>652</v>
      </c>
      <c r="I7" s="402" t="s">
        <v>653</v>
      </c>
      <c r="J7" s="402" t="s">
        <v>654</v>
      </c>
      <c r="K7" s="401" t="s">
        <v>866</v>
      </c>
      <c r="L7" s="402"/>
      <c r="M7" s="402" t="str">
        <f>Model!M7</f>
        <v>4/03</v>
      </c>
      <c r="N7" s="402" t="str">
        <f>Model!N7</f>
        <v>7/03</v>
      </c>
      <c r="O7" s="402" t="str">
        <f>Model!O7</f>
        <v>10/03</v>
      </c>
      <c r="P7" s="402" t="str">
        <f>Model!P7</f>
        <v>1/04</v>
      </c>
      <c r="Q7" s="402" t="str">
        <f>Model!Q7</f>
        <v>FY04</v>
      </c>
      <c r="R7" s="402"/>
      <c r="S7" s="402" t="str">
        <f>Model!S7</f>
        <v>4/04</v>
      </c>
      <c r="T7" s="402" t="str">
        <f>Model!T7</f>
        <v xml:space="preserve"> 7/04</v>
      </c>
      <c r="U7" s="402" t="str">
        <f>Model!U7</f>
        <v xml:space="preserve"> 10/04</v>
      </c>
      <c r="V7" s="402" t="str">
        <f>Model!V7</f>
        <v>1/05</v>
      </c>
      <c r="W7" s="402" t="str">
        <f>Model!W7</f>
        <v>FY05</v>
      </c>
      <c r="X7" s="402"/>
      <c r="Y7" s="402" t="str">
        <f>Model!Y7</f>
        <v>4/05</v>
      </c>
      <c r="Z7" s="402" t="str">
        <f>Model!Z7</f>
        <v xml:space="preserve"> 7/05</v>
      </c>
      <c r="AA7" s="402" t="str">
        <f>Model!AA7</f>
        <v xml:space="preserve"> 10/05</v>
      </c>
      <c r="AB7" s="402" t="str">
        <f>Model!AB7</f>
        <v>1/06</v>
      </c>
      <c r="AC7" s="403" t="str">
        <f>Model!AC7</f>
        <v>FY06</v>
      </c>
      <c r="AD7" s="402"/>
      <c r="AE7" s="402" t="str">
        <f>Model!AE7</f>
        <v>4/06</v>
      </c>
      <c r="AF7" s="402" t="str">
        <f>Model!AF7</f>
        <v xml:space="preserve"> 7/06</v>
      </c>
      <c r="AG7" s="402" t="str">
        <f>Model!AG7</f>
        <v xml:space="preserve"> 10/06</v>
      </c>
      <c r="AH7" s="402" t="str">
        <f>Model!AH7</f>
        <v>1/07</v>
      </c>
      <c r="AI7" s="403" t="str">
        <f>Model!AI7</f>
        <v>FY07</v>
      </c>
      <c r="AJ7" s="402"/>
      <c r="AK7" s="402" t="str">
        <f>Model!AK7</f>
        <v>4/07</v>
      </c>
      <c r="AL7" s="402" t="str">
        <f>Model!AL7</f>
        <v xml:space="preserve"> 7/07</v>
      </c>
      <c r="AM7" s="402" t="str">
        <f>Model!AM7</f>
        <v xml:space="preserve"> 10/07</v>
      </c>
      <c r="AN7" s="402" t="str">
        <f>Model!AN7</f>
        <v>1/08</v>
      </c>
      <c r="AO7" s="403" t="str">
        <f>Model!AO7</f>
        <v>FY08</v>
      </c>
      <c r="AP7" s="402"/>
      <c r="AQ7" s="402" t="str">
        <f>Model!AQ7</f>
        <v>4/08</v>
      </c>
      <c r="AR7" s="402" t="str">
        <f>Model!AR7</f>
        <v xml:space="preserve"> 7/08</v>
      </c>
      <c r="AS7" s="402" t="str">
        <f>Model!AS7</f>
        <v xml:space="preserve"> 10/08</v>
      </c>
      <c r="AT7" s="402" t="str">
        <f>Model!AT7</f>
        <v>1/09</v>
      </c>
      <c r="AU7" s="403" t="str">
        <f>Model!AU7</f>
        <v>FY09</v>
      </c>
      <c r="AV7" s="402"/>
      <c r="AW7" s="402" t="str">
        <f>Model!AW7</f>
        <v>4/09</v>
      </c>
      <c r="AX7" s="402" t="str">
        <f>Model!AX7</f>
        <v xml:space="preserve"> 7/09</v>
      </c>
      <c r="AY7" s="402" t="str">
        <f>Model!AY7</f>
        <v xml:space="preserve"> 10/09</v>
      </c>
      <c r="AZ7" s="402" t="str">
        <f>Model!AZ7</f>
        <v>1/10</v>
      </c>
      <c r="BA7" s="403" t="str">
        <f>Model!BA7</f>
        <v>FY10</v>
      </c>
      <c r="BB7" s="402"/>
      <c r="BC7" s="402" t="str">
        <f>Model!BC7</f>
        <v>4/10</v>
      </c>
      <c r="BD7" s="402" t="str">
        <f>Model!BD7</f>
        <v xml:space="preserve"> 7/10</v>
      </c>
      <c r="BE7" s="402" t="str">
        <f>Model!BE7</f>
        <v xml:space="preserve"> 10/10</v>
      </c>
      <c r="BF7" s="402" t="str">
        <f>Model!BF7</f>
        <v>1/11</v>
      </c>
      <c r="BG7" s="403" t="str">
        <f>Model!BG7</f>
        <v>FY11</v>
      </c>
      <c r="BH7" s="402"/>
      <c r="BI7" s="402" t="str">
        <f>Model!BI7</f>
        <v>4/11</v>
      </c>
      <c r="BJ7" s="402" t="str">
        <f>Model!BJ7</f>
        <v xml:space="preserve"> 7/11</v>
      </c>
      <c r="BK7" s="402" t="str">
        <f>Model!BK7</f>
        <v xml:space="preserve"> 10/11</v>
      </c>
      <c r="BL7" s="402" t="str">
        <f>Model!BL7</f>
        <v>1/12</v>
      </c>
      <c r="BM7" s="403" t="str">
        <f>Model!BM7</f>
        <v>FY12</v>
      </c>
      <c r="BN7" s="402"/>
      <c r="BO7" s="402" t="str">
        <f>Model!BO7</f>
        <v>4/12</v>
      </c>
      <c r="BP7" s="402" t="str">
        <f>Model!BP7</f>
        <v xml:space="preserve"> 7/12</v>
      </c>
      <c r="BQ7" s="402" t="str">
        <f>Model!BQ7</f>
        <v xml:space="preserve"> 10/12</v>
      </c>
      <c r="BR7" s="402" t="str">
        <f>Model!BR7</f>
        <v>1/13</v>
      </c>
      <c r="BS7" s="403" t="str">
        <f>Model!BS7</f>
        <v>FY13</v>
      </c>
      <c r="BT7" s="402"/>
      <c r="BU7" s="402" t="str">
        <f>Model!BU7</f>
        <v>4/13</v>
      </c>
      <c r="BV7" s="402" t="str">
        <f>Model!BV7</f>
        <v xml:space="preserve"> 7/13</v>
      </c>
      <c r="BW7" s="402" t="str">
        <f>Model!BW7</f>
        <v xml:space="preserve"> 10/13</v>
      </c>
      <c r="BX7" s="402" t="str">
        <f>Model!BX7</f>
        <v>1/14</v>
      </c>
      <c r="BY7" s="403" t="str">
        <f>Model!BY7</f>
        <v>FY14</v>
      </c>
      <c r="BZ7" s="402"/>
      <c r="CA7" s="402" t="str">
        <f>Model!CA7</f>
        <v>4/14</v>
      </c>
      <c r="CB7" s="402" t="str">
        <f>Model!CB7</f>
        <v xml:space="preserve"> 7/14</v>
      </c>
      <c r="CC7" s="402" t="str">
        <f>Model!CC7</f>
        <v xml:space="preserve"> 10/14</v>
      </c>
      <c r="CD7" s="402" t="str">
        <f>Model!CD7</f>
        <v>1/15</v>
      </c>
      <c r="CE7" s="403" t="str">
        <f>Model!CE7</f>
        <v>FY15</v>
      </c>
      <c r="CF7" s="402"/>
      <c r="CG7" s="402" t="str">
        <f>Model!CG7</f>
        <v>4/15</v>
      </c>
      <c r="CH7" s="402" t="str">
        <f>Model!CH7</f>
        <v xml:space="preserve"> 7/15</v>
      </c>
      <c r="CI7" s="402" t="str">
        <f>Model!CI7</f>
        <v xml:space="preserve"> 10/15</v>
      </c>
      <c r="CJ7" s="402" t="str">
        <f>Model!CJ7</f>
        <v>1/16</v>
      </c>
      <c r="CK7" s="403" t="str">
        <f>Model!CK7</f>
        <v>FY16</v>
      </c>
      <c r="CL7" s="402"/>
      <c r="CM7" s="402" t="str">
        <f>Model!CM7</f>
        <v>4/16</v>
      </c>
      <c r="CN7" s="402" t="str">
        <f>Model!CN7</f>
        <v xml:space="preserve"> 7/16</v>
      </c>
      <c r="CO7" s="402" t="str">
        <f>Model!CO7</f>
        <v xml:space="preserve"> 10/16</v>
      </c>
      <c r="CP7" s="402" t="str">
        <f>Model!CP7</f>
        <v>1/17</v>
      </c>
      <c r="CQ7" s="403" t="str">
        <f>Model!CQ7</f>
        <v>FY17</v>
      </c>
      <c r="CR7" s="402"/>
      <c r="CS7" s="402" t="str">
        <f>Model!CS7</f>
        <v>4/17</v>
      </c>
      <c r="CT7" s="402" t="str">
        <f>Model!CT7</f>
        <v xml:space="preserve"> 7/17</v>
      </c>
      <c r="CU7" s="402" t="str">
        <f>Model!CU7</f>
        <v xml:space="preserve"> 10/17</v>
      </c>
      <c r="CV7" s="402" t="str">
        <f>Model!CV7</f>
        <v>1/18</v>
      </c>
      <c r="CW7" s="403" t="str">
        <f>Model!CW7</f>
        <v>FY18</v>
      </c>
      <c r="CX7" s="402"/>
      <c r="CY7" s="402" t="str">
        <f>Model!CY7</f>
        <v>4/18E</v>
      </c>
      <c r="CZ7" s="402" t="str">
        <f>Model!CZ7</f>
        <v xml:space="preserve"> 7/18E</v>
      </c>
      <c r="DA7" s="402" t="str">
        <f>Model!DA7</f>
        <v xml:space="preserve"> 10/18E</v>
      </c>
      <c r="DB7" s="402" t="str">
        <f>Model!DB7</f>
        <v>1/19E</v>
      </c>
      <c r="DC7" s="403" t="str">
        <f>Model!DC7</f>
        <v>FY19E</v>
      </c>
      <c r="DD7" s="402"/>
      <c r="DE7" s="402" t="str">
        <f>Model!DE7</f>
        <v>4/19E</v>
      </c>
      <c r="DF7" s="402" t="str">
        <f>Model!DF7</f>
        <v xml:space="preserve"> 7/19E</v>
      </c>
      <c r="DG7" s="402" t="str">
        <f>Model!DG7</f>
        <v xml:space="preserve"> 10/19E</v>
      </c>
      <c r="DH7" s="402" t="str">
        <f>Model!DH7</f>
        <v>1/20E</v>
      </c>
      <c r="DI7" s="403" t="str">
        <f>Model!DI7</f>
        <v>FY20E</v>
      </c>
      <c r="DJ7" s="402"/>
      <c r="DK7" s="402" t="str">
        <f>Model!DK7</f>
        <v>4/20E</v>
      </c>
      <c r="DL7" s="402" t="str">
        <f>Model!DL7</f>
        <v xml:space="preserve"> 7/20E</v>
      </c>
      <c r="DM7" s="402" t="str">
        <f>Model!DM7</f>
        <v xml:space="preserve"> 10/20E</v>
      </c>
      <c r="DN7" s="402" t="str">
        <f>Model!DN7</f>
        <v>1/21E</v>
      </c>
      <c r="DO7" s="403" t="str">
        <f>Model!DO7</f>
        <v>FY21E</v>
      </c>
      <c r="DP7" s="1682"/>
      <c r="DQ7" s="953"/>
    </row>
    <row r="8" spans="1:128" ht="5.25" customHeight="1">
      <c r="A8" s="547"/>
      <c r="B8" s="547"/>
      <c r="C8" s="548"/>
      <c r="D8" s="548"/>
      <c r="E8" s="548"/>
      <c r="F8" s="548"/>
      <c r="G8" s="548"/>
      <c r="H8" s="548"/>
      <c r="I8" s="548"/>
      <c r="J8" s="548"/>
      <c r="K8" s="548"/>
      <c r="L8" s="548"/>
      <c r="M8" s="548"/>
      <c r="N8" s="548"/>
      <c r="O8" s="548"/>
      <c r="P8" s="548"/>
      <c r="Q8" s="548"/>
      <c r="R8" s="548"/>
      <c r="S8" s="548"/>
      <c r="T8" s="548"/>
      <c r="U8" s="548"/>
      <c r="V8" s="548"/>
      <c r="W8" s="548"/>
      <c r="X8" s="548"/>
      <c r="Y8" s="548"/>
      <c r="Z8" s="548"/>
      <c r="AA8" s="548"/>
      <c r="AB8" s="548"/>
      <c r="AC8" s="549"/>
      <c r="AD8" s="548"/>
      <c r="AE8" s="548"/>
      <c r="AF8" s="548"/>
      <c r="AG8" s="548"/>
      <c r="AH8" s="548"/>
      <c r="AI8" s="549"/>
      <c r="AJ8" s="548"/>
      <c r="AK8" s="548"/>
      <c r="AL8" s="548"/>
      <c r="AM8" s="548"/>
      <c r="AN8" s="548"/>
      <c r="AO8" s="549"/>
      <c r="AP8" s="548"/>
      <c r="AQ8" s="548"/>
      <c r="AR8" s="548"/>
      <c r="AS8" s="548"/>
      <c r="AT8" s="548"/>
      <c r="AU8" s="549"/>
      <c r="AV8" s="548"/>
      <c r="AW8" s="548"/>
      <c r="AX8" s="548"/>
      <c r="AY8" s="548"/>
      <c r="AZ8" s="548"/>
      <c r="BA8" s="549"/>
      <c r="BB8" s="548"/>
      <c r="BC8" s="548"/>
      <c r="BD8" s="548"/>
      <c r="BE8" s="548"/>
      <c r="BF8" s="548"/>
      <c r="BG8" s="549"/>
      <c r="BH8" s="548"/>
      <c r="BI8" s="548"/>
      <c r="BJ8" s="548"/>
      <c r="BK8" s="548"/>
      <c r="BL8" s="548"/>
      <c r="BM8" s="549"/>
      <c r="BN8" s="548"/>
      <c r="BO8" s="548"/>
      <c r="BP8" s="548"/>
      <c r="BQ8" s="548"/>
      <c r="BR8" s="548"/>
      <c r="BS8" s="549"/>
      <c r="BT8" s="548"/>
      <c r="BU8" s="548"/>
      <c r="BV8" s="548"/>
      <c r="BW8" s="548"/>
      <c r="BX8" s="548"/>
      <c r="BY8" s="549"/>
      <c r="BZ8" s="548"/>
      <c r="CA8" s="548"/>
      <c r="CB8" s="548"/>
      <c r="CC8" s="548"/>
      <c r="CD8" s="548"/>
      <c r="CE8" s="549"/>
      <c r="CF8" s="548"/>
      <c r="CG8" s="548"/>
      <c r="CH8" s="548"/>
      <c r="CI8" s="548"/>
      <c r="CJ8" s="548"/>
      <c r="CK8" s="549"/>
      <c r="CL8" s="548"/>
      <c r="CM8" s="548"/>
      <c r="CN8" s="548"/>
      <c r="CO8" s="548"/>
      <c r="CP8" s="548"/>
      <c r="CQ8" s="549"/>
      <c r="CR8" s="548"/>
      <c r="CS8" s="548"/>
      <c r="CT8" s="548"/>
      <c r="CU8" s="548"/>
      <c r="CV8" s="548"/>
      <c r="CW8" s="549"/>
      <c r="CX8" s="548"/>
      <c r="CY8" s="548"/>
      <c r="CZ8" s="548"/>
      <c r="DA8" s="548"/>
      <c r="DB8" s="548"/>
      <c r="DC8" s="549"/>
      <c r="DD8" s="548"/>
      <c r="DE8" s="548"/>
      <c r="DF8" s="548"/>
      <c r="DG8" s="548"/>
      <c r="DH8" s="548"/>
      <c r="DI8" s="549"/>
      <c r="DJ8" s="548"/>
      <c r="DK8" s="548"/>
      <c r="DL8" s="548"/>
      <c r="DM8" s="548"/>
      <c r="DN8" s="548"/>
      <c r="DO8" s="549"/>
      <c r="DP8" s="548"/>
      <c r="DQ8" s="948"/>
    </row>
    <row r="9" spans="1:128" ht="10.5" customHeight="1">
      <c r="A9" s="550" t="s">
        <v>4</v>
      </c>
      <c r="B9" s="550"/>
      <c r="C9" s="551"/>
      <c r="D9" s="551"/>
      <c r="E9" s="551"/>
      <c r="F9" s="551"/>
      <c r="G9" s="551"/>
      <c r="H9" s="551"/>
      <c r="I9" s="551"/>
      <c r="J9" s="551"/>
      <c r="K9" s="551"/>
      <c r="L9" s="551"/>
      <c r="M9" s="552"/>
      <c r="N9" s="552"/>
      <c r="O9" s="551"/>
      <c r="P9" s="551"/>
      <c r="Q9" s="551"/>
      <c r="R9" s="551"/>
      <c r="S9" s="551"/>
      <c r="T9" s="551"/>
      <c r="U9" s="551"/>
      <c r="V9" s="551"/>
      <c r="W9" s="551"/>
      <c r="X9" s="551"/>
      <c r="Y9" s="551"/>
      <c r="Z9" s="551"/>
      <c r="AA9" s="551"/>
      <c r="AB9" s="551"/>
      <c r="AC9" s="553"/>
      <c r="AD9" s="551"/>
      <c r="AE9" s="551"/>
      <c r="AF9" s="551"/>
      <c r="AG9" s="551"/>
      <c r="AH9" s="551"/>
      <c r="AI9" s="553"/>
      <c r="AJ9" s="551"/>
      <c r="AK9" s="551"/>
      <c r="AL9" s="551"/>
      <c r="AM9" s="551"/>
      <c r="AN9" s="551"/>
      <c r="AO9" s="553"/>
      <c r="AP9" s="551"/>
      <c r="AQ9" s="551"/>
      <c r="AR9" s="551"/>
      <c r="AS9" s="551"/>
      <c r="AT9" s="551"/>
      <c r="AU9" s="553"/>
      <c r="AV9" s="551"/>
      <c r="AW9" s="551"/>
      <c r="AX9" s="551"/>
      <c r="AY9" s="551"/>
      <c r="AZ9" s="551"/>
      <c r="BA9" s="553"/>
      <c r="BB9" s="551"/>
      <c r="BC9" s="551"/>
      <c r="BD9" s="554"/>
      <c r="BE9" s="554"/>
      <c r="BF9" s="551"/>
      <c r="BG9" s="553"/>
      <c r="BH9" s="551"/>
      <c r="BI9" s="551"/>
      <c r="BJ9" s="551"/>
      <c r="BK9" s="551"/>
      <c r="BL9" s="551"/>
      <c r="BM9" s="553"/>
      <c r="BN9" s="551"/>
      <c r="BO9" s="551"/>
      <c r="BP9" s="551"/>
      <c r="BQ9" s="551"/>
      <c r="BR9" s="551"/>
      <c r="BS9" s="553"/>
      <c r="BT9" s="551"/>
      <c r="BU9" s="551"/>
      <c r="BV9" s="551"/>
      <c r="BW9" s="551"/>
      <c r="BX9" s="551"/>
      <c r="BY9" s="553"/>
      <c r="BZ9" s="551"/>
      <c r="CA9" s="551"/>
      <c r="CB9" s="551"/>
      <c r="CC9" s="551"/>
      <c r="CD9" s="551"/>
      <c r="CE9" s="553"/>
      <c r="CF9" s="551"/>
      <c r="CG9" s="551"/>
      <c r="CH9" s="551"/>
      <c r="CI9" s="551"/>
      <c r="CJ9" s="551"/>
      <c r="CK9" s="553"/>
      <c r="CL9" s="551"/>
      <c r="CM9" s="551"/>
      <c r="CN9" s="551"/>
      <c r="CO9" s="551"/>
      <c r="CP9" s="551"/>
      <c r="CQ9" s="553"/>
      <c r="CR9" s="551"/>
      <c r="CS9" s="551"/>
      <c r="CT9" s="551"/>
      <c r="CU9" s="551"/>
      <c r="CV9" s="551"/>
      <c r="CW9" s="553"/>
      <c r="CX9" s="551"/>
      <c r="CY9" s="551"/>
      <c r="CZ9" s="551"/>
      <c r="DA9" s="551"/>
      <c r="DB9" s="551"/>
      <c r="DC9" s="2013"/>
      <c r="DD9" s="551"/>
      <c r="DE9" s="551"/>
      <c r="DF9" s="551"/>
      <c r="DG9" s="551"/>
      <c r="DH9" s="551"/>
      <c r="DI9" s="553"/>
      <c r="DJ9" s="551"/>
      <c r="DK9" s="551"/>
      <c r="DL9" s="551"/>
      <c r="DM9" s="551"/>
      <c r="DN9" s="551"/>
      <c r="DO9" s="553"/>
      <c r="DP9" s="1683"/>
      <c r="DQ9" s="954"/>
    </row>
    <row r="10" spans="1:128" ht="10.5" customHeight="1">
      <c r="A10" s="555" t="s">
        <v>246</v>
      </c>
      <c r="B10" s="555"/>
      <c r="C10" s="556">
        <v>12.609</v>
      </c>
      <c r="D10" s="556">
        <v>22.2</v>
      </c>
      <c r="E10" s="556">
        <v>11.709</v>
      </c>
      <c r="F10" s="556"/>
      <c r="G10" s="556">
        <v>8.8680000000000003</v>
      </c>
      <c r="H10" s="556">
        <v>10.146000000000001</v>
      </c>
      <c r="I10" s="556">
        <v>9.9359999999999999</v>
      </c>
      <c r="J10" s="556">
        <f>8.709</f>
        <v>8.7089999999999996</v>
      </c>
      <c r="K10" s="556">
        <f>J10</f>
        <v>8.7089999999999996</v>
      </c>
      <c r="L10" s="556"/>
      <c r="M10" s="556">
        <v>4.9409999999999998</v>
      </c>
      <c r="N10" s="556">
        <v>6.13</v>
      </c>
      <c r="O10" s="556">
        <v>6.5359999999999996</v>
      </c>
      <c r="P10" s="557">
        <v>10.462999999999999</v>
      </c>
      <c r="Q10" s="556">
        <f t="shared" ref="Q10:Q17" si="0">P10</f>
        <v>10.462999999999999</v>
      </c>
      <c r="R10" s="556"/>
      <c r="S10" s="557">
        <v>5.56</v>
      </c>
      <c r="T10" s="556">
        <v>61.093000000000004</v>
      </c>
      <c r="U10" s="556">
        <v>22.756</v>
      </c>
      <c r="V10" s="556">
        <v>35.731000000000002</v>
      </c>
      <c r="W10" s="556">
        <f t="shared" ref="W10:W17" si="1">V10</f>
        <v>35.731000000000002</v>
      </c>
      <c r="X10" s="556"/>
      <c r="Y10" s="556">
        <v>40.603999999999999</v>
      </c>
      <c r="Z10" s="556">
        <v>25.14</v>
      </c>
      <c r="AA10" s="556">
        <v>87.355000000000004</v>
      </c>
      <c r="AB10" s="556">
        <v>99.841999999999999</v>
      </c>
      <c r="AC10" s="558">
        <f t="shared" ref="AC10:AC17" si="2">AB10</f>
        <v>99.841999999999999</v>
      </c>
      <c r="AD10" s="556"/>
      <c r="AE10" s="556">
        <v>128.57300000000001</v>
      </c>
      <c r="AF10" s="556">
        <v>149.99199999999999</v>
      </c>
      <c r="AG10" s="557">
        <v>70.323999999999998</v>
      </c>
      <c r="AH10" s="556">
        <v>86.608000000000004</v>
      </c>
      <c r="AI10" s="558">
        <f t="shared" ref="AI10:AI17" si="3">AH10</f>
        <v>86.608000000000004</v>
      </c>
      <c r="AJ10" s="556"/>
      <c r="AK10" s="556">
        <v>87.492000000000004</v>
      </c>
      <c r="AL10" s="556">
        <v>122.949</v>
      </c>
      <c r="AM10" s="556">
        <v>160.761</v>
      </c>
      <c r="AN10" s="556">
        <v>279.09500000000003</v>
      </c>
      <c r="AO10" s="558">
        <f t="shared" ref="AO10:AO17" si="4">AN10</f>
        <v>279.09500000000003</v>
      </c>
      <c r="AP10" s="556"/>
      <c r="AQ10" s="556">
        <v>378.548</v>
      </c>
      <c r="AR10" s="556">
        <v>427.04300000000001</v>
      </c>
      <c r="AS10" s="556">
        <v>382.31400000000002</v>
      </c>
      <c r="AT10" s="556">
        <v>483.834</v>
      </c>
      <c r="AU10" s="558">
        <f t="shared" ref="AU10:AU17" si="5">AT10</f>
        <v>483.834</v>
      </c>
      <c r="AV10" s="556"/>
      <c r="AW10" s="557">
        <v>341.70499999999998</v>
      </c>
      <c r="AX10" s="556">
        <v>246.16900000000001</v>
      </c>
      <c r="AY10" s="556">
        <v>242.88800000000001</v>
      </c>
      <c r="AZ10" s="556">
        <v>1011.306</v>
      </c>
      <c r="BA10" s="558">
        <f t="shared" ref="BA10:BA17" si="6">AZ10</f>
        <v>1011.306</v>
      </c>
      <c r="BB10" s="556"/>
      <c r="BC10" s="556">
        <v>690.79399999999998</v>
      </c>
      <c r="BD10" s="556">
        <v>409.92500000000001</v>
      </c>
      <c r="BE10" s="556">
        <v>630.303</v>
      </c>
      <c r="BF10" s="556">
        <f>424.292</f>
        <v>424.29199999999997</v>
      </c>
      <c r="BG10" s="558">
        <f>BF10</f>
        <v>424.29199999999997</v>
      </c>
      <c r="BH10" s="556"/>
      <c r="BI10" s="556">
        <v>664.61199999999997</v>
      </c>
      <c r="BJ10" s="556">
        <v>449.79399999999998</v>
      </c>
      <c r="BK10" s="556">
        <v>502.98700000000002</v>
      </c>
      <c r="BL10" s="556">
        <v>607.28399999999999</v>
      </c>
      <c r="BM10" s="558">
        <f>BL10</f>
        <v>607.28399999999999</v>
      </c>
      <c r="BN10" s="556"/>
      <c r="BO10" s="556">
        <f>440.785</f>
        <v>440.78500000000003</v>
      </c>
      <c r="BP10" s="556">
        <v>1000.73</v>
      </c>
      <c r="BQ10" s="556">
        <v>521.72</v>
      </c>
      <c r="BR10" s="556">
        <v>747.245</v>
      </c>
      <c r="BS10" s="558">
        <f>BR10</f>
        <v>747.245</v>
      </c>
      <c r="BT10" s="556"/>
      <c r="BU10" s="556">
        <v>1927.99</v>
      </c>
      <c r="BV10" s="556">
        <v>579.88099999999997</v>
      </c>
      <c r="BW10" s="556">
        <v>651.75</v>
      </c>
      <c r="BX10" s="556">
        <v>781.63499999999999</v>
      </c>
      <c r="BY10" s="558">
        <f>BX10</f>
        <v>781.63499999999999</v>
      </c>
      <c r="BZ10" s="556"/>
      <c r="CA10" s="556">
        <v>827.89099999999996</v>
      </c>
      <c r="CB10" s="556">
        <v>774.72500000000002</v>
      </c>
      <c r="CC10" s="556">
        <f>846.325</f>
        <v>846.32500000000005</v>
      </c>
      <c r="CD10" s="556">
        <v>908.11699999999996</v>
      </c>
      <c r="CE10" s="558">
        <f>CD10</f>
        <v>908.11699999999996</v>
      </c>
      <c r="CF10" s="556"/>
      <c r="CG10" s="556">
        <v>941.95600000000002</v>
      </c>
      <c r="CH10" s="556">
        <v>1089.3510000000001</v>
      </c>
      <c r="CI10" s="556">
        <v>1223.318</v>
      </c>
      <c r="CJ10" s="556">
        <v>1158.3630000000001</v>
      </c>
      <c r="CK10" s="558">
        <f>CJ10</f>
        <v>1158.3630000000001</v>
      </c>
      <c r="CL10" s="556"/>
      <c r="CM10" s="556">
        <v>1799.0830000000001</v>
      </c>
      <c r="CN10" s="556">
        <v>1115.2260000000001</v>
      </c>
      <c r="CO10" s="556">
        <v>1145.7360000000001</v>
      </c>
      <c r="CP10" s="556">
        <v>1606.549</v>
      </c>
      <c r="CQ10" s="558">
        <f>CP10</f>
        <v>1606.549</v>
      </c>
      <c r="CR10" s="556"/>
      <c r="CS10" s="556">
        <v>2024.904</v>
      </c>
      <c r="CT10" s="556">
        <v>1949.11</v>
      </c>
      <c r="CU10" s="556">
        <v>2071.837</v>
      </c>
      <c r="CV10" s="556">
        <v>2543.4839999999999</v>
      </c>
      <c r="CW10" s="558">
        <f>CV10</f>
        <v>2543.4839999999999</v>
      </c>
      <c r="CX10" s="556"/>
      <c r="CY10" s="556">
        <f>CF!CY64</f>
        <v>3417.4247525970186</v>
      </c>
      <c r="CZ10" s="556">
        <f>CF!CZ64</f>
        <v>3867.7693163540816</v>
      </c>
      <c r="DA10" s="556">
        <f>CF!DA64</f>
        <v>4190.3363881989553</v>
      </c>
      <c r="DB10" s="556">
        <f>CF!DB64</f>
        <v>5442.520658366042</v>
      </c>
      <c r="DC10" s="558">
        <f>DB10</f>
        <v>5442.520658366042</v>
      </c>
      <c r="DD10" s="556"/>
      <c r="DE10" s="556">
        <f>CF!DE64</f>
        <v>6676.171348299692</v>
      </c>
      <c r="DF10" s="556">
        <f>CF!DF64</f>
        <v>7220.7423891522067</v>
      </c>
      <c r="DG10" s="556">
        <f>CF!DG64</f>
        <v>7656.0367115150166</v>
      </c>
      <c r="DH10" s="556">
        <f>CF!DH64</f>
        <v>9555.8686030194294</v>
      </c>
      <c r="DI10" s="558">
        <f>DH10</f>
        <v>9555.8686030194294</v>
      </c>
      <c r="DJ10" s="556"/>
      <c r="DK10" s="556">
        <f>CF!DK64</f>
        <v>11088.62168964545</v>
      </c>
      <c r="DL10" s="556">
        <f>CF!DL64</f>
        <v>11907.164811136639</v>
      </c>
      <c r="DM10" s="556">
        <f>CF!DM64</f>
        <v>12521.652589105501</v>
      </c>
      <c r="DN10" s="556">
        <f>CF!DN64</f>
        <v>14803.677303608905</v>
      </c>
      <c r="DO10" s="558">
        <f>DN10</f>
        <v>14803.677303608905</v>
      </c>
      <c r="DP10" s="570"/>
      <c r="DQ10" s="955"/>
      <c r="DX10" s="957"/>
    </row>
    <row r="11" spans="1:128" ht="10.5" customHeight="1">
      <c r="A11" s="555" t="s">
        <v>945</v>
      </c>
      <c r="B11" s="555"/>
      <c r="C11" s="556">
        <v>0</v>
      </c>
      <c r="D11" s="556">
        <v>0</v>
      </c>
      <c r="E11" s="556">
        <v>0</v>
      </c>
      <c r="F11" s="556"/>
      <c r="G11" s="556">
        <v>4.9539999999999997</v>
      </c>
      <c r="H11" s="556">
        <v>5.0090000000000003</v>
      </c>
      <c r="I11" s="556">
        <v>5.1660000000000004</v>
      </c>
      <c r="J11" s="556">
        <v>7.3</v>
      </c>
      <c r="K11" s="556">
        <f t="shared" ref="K11:K17" si="7">J11</f>
        <v>7.3</v>
      </c>
      <c r="L11" s="556"/>
      <c r="M11" s="556">
        <v>15.394</v>
      </c>
      <c r="N11" s="556">
        <v>17.649999999999999</v>
      </c>
      <c r="O11" s="556">
        <v>23.95</v>
      </c>
      <c r="P11" s="557">
        <v>25.349</v>
      </c>
      <c r="Q11" s="556">
        <f t="shared" si="0"/>
        <v>25.349</v>
      </c>
      <c r="R11" s="556"/>
      <c r="S11" s="557">
        <v>38.173000000000002</v>
      </c>
      <c r="T11" s="556">
        <v>55.057000000000002</v>
      </c>
      <c r="U11" s="556">
        <v>91.641000000000005</v>
      </c>
      <c r="V11" s="556">
        <v>83.087000000000003</v>
      </c>
      <c r="W11" s="556">
        <f t="shared" si="1"/>
        <v>83.087000000000003</v>
      </c>
      <c r="X11" s="556"/>
      <c r="Y11" s="556">
        <v>84.941000000000003</v>
      </c>
      <c r="Z11" s="556">
        <v>109.27</v>
      </c>
      <c r="AA11" s="556">
        <v>85.37</v>
      </c>
      <c r="AB11" s="556">
        <v>107.723</v>
      </c>
      <c r="AC11" s="558">
        <f t="shared" si="2"/>
        <v>107.723</v>
      </c>
      <c r="AD11" s="556"/>
      <c r="AE11" s="556">
        <v>104.584</v>
      </c>
      <c r="AF11" s="556">
        <v>116.697</v>
      </c>
      <c r="AG11" s="557">
        <v>174.57400000000001</v>
      </c>
      <c r="AH11" s="556">
        <v>165.816</v>
      </c>
      <c r="AI11" s="558">
        <f t="shared" si="3"/>
        <v>165.816</v>
      </c>
      <c r="AJ11" s="556"/>
      <c r="AK11" s="556">
        <v>162.881</v>
      </c>
      <c r="AL11" s="556">
        <v>184.881</v>
      </c>
      <c r="AM11" s="556">
        <v>213.30699999999999</v>
      </c>
      <c r="AN11" s="556">
        <v>171.74799999999999</v>
      </c>
      <c r="AO11" s="558">
        <f t="shared" si="4"/>
        <v>171.74799999999999</v>
      </c>
      <c r="AP11" s="556"/>
      <c r="AQ11" s="556">
        <v>116.535</v>
      </c>
      <c r="AR11" s="556">
        <v>151.298</v>
      </c>
      <c r="AS11" s="556">
        <v>219.14400000000001</v>
      </c>
      <c r="AT11" s="556">
        <v>213.76900000000001</v>
      </c>
      <c r="AU11" s="558">
        <f t="shared" si="5"/>
        <v>213.76900000000001</v>
      </c>
      <c r="AV11" s="556"/>
      <c r="AW11" s="557">
        <v>174.90899999999999</v>
      </c>
      <c r="AX11" s="556">
        <v>173.95699999999999</v>
      </c>
      <c r="AY11" s="556">
        <v>202.446</v>
      </c>
      <c r="AZ11" s="556">
        <v>230.65899999999999</v>
      </c>
      <c r="BA11" s="558">
        <f t="shared" si="6"/>
        <v>230.65899999999999</v>
      </c>
      <c r="BB11" s="556"/>
      <c r="BC11" s="556">
        <v>260.95800000000003</v>
      </c>
      <c r="BD11" s="556">
        <v>332.34199999999998</v>
      </c>
      <c r="BE11" s="556">
        <v>139.54499999999999</v>
      </c>
      <c r="BF11" s="556">
        <v>72.677999999999997</v>
      </c>
      <c r="BG11" s="558">
        <f t="shared" ref="BG11:BG17" si="8">BF11</f>
        <v>72.677999999999997</v>
      </c>
      <c r="BH11" s="556"/>
      <c r="BI11" s="559">
        <v>99.224000000000004</v>
      </c>
      <c r="BJ11" s="559">
        <v>127.58199999999999</v>
      </c>
      <c r="BK11" s="559">
        <v>142.86099999999999</v>
      </c>
      <c r="BL11" s="559">
        <v>170.58199999999999</v>
      </c>
      <c r="BM11" s="558">
        <f t="shared" ref="BM11:BM17" si="9">BL11</f>
        <v>170.58199999999999</v>
      </c>
      <c r="BN11" s="556"/>
      <c r="BO11" s="559">
        <v>269.60300000000001</v>
      </c>
      <c r="BP11" s="559">
        <v>106.93300000000001</v>
      </c>
      <c r="BQ11" s="559">
        <v>83.843999999999994</v>
      </c>
      <c r="BR11" s="559">
        <v>120.376</v>
      </c>
      <c r="BS11" s="558">
        <f t="shared" ref="BS11:BS17" si="10">BR11</f>
        <v>120.376</v>
      </c>
      <c r="BT11" s="556"/>
      <c r="BU11" s="559">
        <v>171.827</v>
      </c>
      <c r="BV11" s="559">
        <v>43.61</v>
      </c>
      <c r="BW11" s="559">
        <v>51.792000000000002</v>
      </c>
      <c r="BX11" s="559">
        <v>57.139000000000003</v>
      </c>
      <c r="BY11" s="558">
        <f t="shared" ref="BY11:BY17" si="11">BX11</f>
        <v>57.139000000000003</v>
      </c>
      <c r="BZ11" s="556"/>
      <c r="CA11" s="559">
        <v>51.232999999999997</v>
      </c>
      <c r="CB11" s="559">
        <v>69.849999999999994</v>
      </c>
      <c r="CC11" s="1997">
        <f>79.779+114.935</f>
        <v>194.714</v>
      </c>
      <c r="CD11" s="559">
        <v>87.311999999999998</v>
      </c>
      <c r="CE11" s="558">
        <f t="shared" ref="CE11:CE17" si="12">CD11</f>
        <v>87.311999999999998</v>
      </c>
      <c r="CF11" s="556"/>
      <c r="CG11" s="559">
        <v>77.058999999999997</v>
      </c>
      <c r="CH11" s="559">
        <v>81.117999999999995</v>
      </c>
      <c r="CI11" s="559">
        <v>134.68700000000001</v>
      </c>
      <c r="CJ11" s="559">
        <v>183.018</v>
      </c>
      <c r="CK11" s="558">
        <f t="shared" ref="CK11:CK17" si="13">CJ11</f>
        <v>183.018</v>
      </c>
      <c r="CL11" s="556"/>
      <c r="CM11" s="559">
        <v>232.10900000000001</v>
      </c>
      <c r="CN11" s="559">
        <v>59.057000000000002</v>
      </c>
      <c r="CO11" s="559">
        <v>55.070999999999998</v>
      </c>
      <c r="CP11" s="559">
        <v>602.33799999999997</v>
      </c>
      <c r="CQ11" s="558">
        <f t="shared" ref="CQ11:CQ17" si="14">CP11</f>
        <v>602.33799999999997</v>
      </c>
      <c r="CR11" s="556"/>
      <c r="CS11" s="559">
        <v>1194.646</v>
      </c>
      <c r="CT11" s="559">
        <v>1552.135</v>
      </c>
      <c r="CU11" s="559">
        <v>1556.828</v>
      </c>
      <c r="CV11" s="559">
        <v>1978.221</v>
      </c>
      <c r="CW11" s="558">
        <f t="shared" ref="CW11:CW17" si="15">CV11</f>
        <v>1978.221</v>
      </c>
      <c r="CX11" s="556"/>
      <c r="CY11" s="559">
        <f>CV11</f>
        <v>1978.221</v>
      </c>
      <c r="CZ11" s="559">
        <f>CY11</f>
        <v>1978.221</v>
      </c>
      <c r="DA11" s="559">
        <f>CZ11</f>
        <v>1978.221</v>
      </c>
      <c r="DB11" s="559">
        <f>DA11</f>
        <v>1978.221</v>
      </c>
      <c r="DC11" s="558">
        <f t="shared" ref="DC11:DC17" si="16">DB11</f>
        <v>1978.221</v>
      </c>
      <c r="DD11" s="556"/>
      <c r="DE11" s="559">
        <f>DB11</f>
        <v>1978.221</v>
      </c>
      <c r="DF11" s="559">
        <f>DE11</f>
        <v>1978.221</v>
      </c>
      <c r="DG11" s="559">
        <f>DF11</f>
        <v>1978.221</v>
      </c>
      <c r="DH11" s="559">
        <f>DG11</f>
        <v>1978.221</v>
      </c>
      <c r="DI11" s="558">
        <f t="shared" ref="DI11:DI17" si="17">DH11</f>
        <v>1978.221</v>
      </c>
      <c r="DJ11" s="556"/>
      <c r="DK11" s="559">
        <f>DH11</f>
        <v>1978.221</v>
      </c>
      <c r="DL11" s="559">
        <f>DK11</f>
        <v>1978.221</v>
      </c>
      <c r="DM11" s="559">
        <f>DL11</f>
        <v>1978.221</v>
      </c>
      <c r="DN11" s="559">
        <f>DM11</f>
        <v>1978.221</v>
      </c>
      <c r="DO11" s="558">
        <f t="shared" ref="DO11:DO17" si="18">DN11</f>
        <v>1978.221</v>
      </c>
      <c r="DP11" s="570"/>
      <c r="DQ11" s="955"/>
      <c r="DX11" s="957"/>
    </row>
    <row r="12" spans="1:128" ht="10.5" customHeight="1">
      <c r="A12" s="555" t="s">
        <v>245</v>
      </c>
      <c r="B12" s="555"/>
      <c r="C12" s="556">
        <v>0</v>
      </c>
      <c r="D12" s="556">
        <v>1.718</v>
      </c>
      <c r="E12" s="556">
        <v>5.7089999999999996</v>
      </c>
      <c r="F12" s="556"/>
      <c r="G12" s="556">
        <v>5.6449999999999996</v>
      </c>
      <c r="H12" s="556">
        <v>7.1609999999999996</v>
      </c>
      <c r="I12" s="556">
        <v>6.5679999999999996</v>
      </c>
      <c r="J12" s="556">
        <v>9.5809999999999995</v>
      </c>
      <c r="K12" s="556">
        <f t="shared" si="7"/>
        <v>9.5809999999999995</v>
      </c>
      <c r="L12" s="556"/>
      <c r="M12" s="556">
        <v>12.124000000000001</v>
      </c>
      <c r="N12" s="556">
        <v>15.327999999999999</v>
      </c>
      <c r="O12" s="556">
        <v>16.606999999999999</v>
      </c>
      <c r="P12" s="557">
        <v>26.536000000000001</v>
      </c>
      <c r="Q12" s="556">
        <f t="shared" si="0"/>
        <v>26.536000000000001</v>
      </c>
      <c r="R12" s="556"/>
      <c r="S12" s="557">
        <v>24.49</v>
      </c>
      <c r="T12" s="556">
        <v>29.943999999999999</v>
      </c>
      <c r="U12" s="556">
        <v>37.534999999999997</v>
      </c>
      <c r="V12" s="556">
        <v>48.874000000000002</v>
      </c>
      <c r="W12" s="556">
        <f t="shared" si="1"/>
        <v>48.874000000000002</v>
      </c>
      <c r="X12" s="556"/>
      <c r="Y12" s="556">
        <v>42.383000000000003</v>
      </c>
      <c r="Z12" s="556">
        <v>50.183999999999997</v>
      </c>
      <c r="AA12" s="556">
        <v>53.406999999999996</v>
      </c>
      <c r="AB12" s="556">
        <v>76.128</v>
      </c>
      <c r="AC12" s="558">
        <f t="shared" si="2"/>
        <v>76.128</v>
      </c>
      <c r="AD12" s="556"/>
      <c r="AE12" s="556">
        <v>72.337000000000003</v>
      </c>
      <c r="AF12" s="556">
        <v>75.703999999999994</v>
      </c>
      <c r="AG12" s="557">
        <v>82.808000000000007</v>
      </c>
      <c r="AH12" s="556">
        <v>128.69300000000001</v>
      </c>
      <c r="AI12" s="558">
        <f t="shared" si="3"/>
        <v>128.69300000000001</v>
      </c>
      <c r="AJ12" s="556"/>
      <c r="AK12" s="556">
        <v>105.01300000000001</v>
      </c>
      <c r="AL12" s="556">
        <v>114.04600000000001</v>
      </c>
      <c r="AM12" s="556">
        <v>121.961</v>
      </c>
      <c r="AN12" s="556">
        <v>220.06100000000001</v>
      </c>
      <c r="AO12" s="558">
        <f t="shared" si="4"/>
        <v>220.06100000000001</v>
      </c>
      <c r="AP12" s="556"/>
      <c r="AQ12" s="556">
        <v>143.90899999999999</v>
      </c>
      <c r="AR12" s="556">
        <v>146.982</v>
      </c>
      <c r="AS12" s="556">
        <v>157.68</v>
      </c>
      <c r="AT12" s="556">
        <v>266.55500000000001</v>
      </c>
      <c r="AU12" s="558">
        <f t="shared" si="5"/>
        <v>266.55500000000001</v>
      </c>
      <c r="AV12" s="556"/>
      <c r="AW12" s="557">
        <v>145.869</v>
      </c>
      <c r="AX12" s="556">
        <v>168.84200000000001</v>
      </c>
      <c r="AY12" s="556">
        <v>191.297</v>
      </c>
      <c r="AZ12" s="556">
        <v>320.95600000000002</v>
      </c>
      <c r="BA12" s="558">
        <f t="shared" si="6"/>
        <v>320.95600000000002</v>
      </c>
      <c r="BB12" s="556"/>
      <c r="BC12" s="556">
        <v>183.61199999999999</v>
      </c>
      <c r="BD12" s="556">
        <v>228.55</v>
      </c>
      <c r="BE12" s="556">
        <v>258.76400000000001</v>
      </c>
      <c r="BF12" s="556">
        <v>426.94299999999998</v>
      </c>
      <c r="BG12" s="558">
        <f t="shared" si="8"/>
        <v>426.94299999999998</v>
      </c>
      <c r="BH12" s="556"/>
      <c r="BI12" s="556">
        <v>270.81599999999997</v>
      </c>
      <c r="BJ12" s="556">
        <v>342.39699999999999</v>
      </c>
      <c r="BK12" s="556">
        <v>312.33100000000002</v>
      </c>
      <c r="BL12" s="556">
        <v>683.745</v>
      </c>
      <c r="BM12" s="558">
        <f t="shared" si="9"/>
        <v>683.745</v>
      </c>
      <c r="BN12" s="556"/>
      <c r="BO12" s="556">
        <v>371.39499999999998</v>
      </c>
      <c r="BP12" s="556">
        <v>446.91699999999997</v>
      </c>
      <c r="BQ12" s="556">
        <v>418.59</v>
      </c>
      <c r="BR12" s="556">
        <v>872.63400000000001</v>
      </c>
      <c r="BS12" s="558">
        <f t="shared" si="10"/>
        <v>872.63400000000001</v>
      </c>
      <c r="BT12" s="556"/>
      <c r="BU12" s="556">
        <v>502.60899999999998</v>
      </c>
      <c r="BV12" s="556">
        <v>599.54300000000001</v>
      </c>
      <c r="BW12" s="556">
        <v>604.04499999999996</v>
      </c>
      <c r="BX12" s="556">
        <v>1360.837</v>
      </c>
      <c r="BY12" s="558">
        <f t="shared" si="11"/>
        <v>1360.837</v>
      </c>
      <c r="BZ12" s="556"/>
      <c r="CA12" s="556">
        <v>684.15499999999997</v>
      </c>
      <c r="CB12" s="556">
        <v>834.32299999999998</v>
      </c>
      <c r="CC12" s="556">
        <v>794.59</v>
      </c>
      <c r="CD12" s="556">
        <v>1905.5060000000001</v>
      </c>
      <c r="CE12" s="558">
        <f t="shared" si="12"/>
        <v>1905.5060000000001</v>
      </c>
      <c r="CF12" s="556"/>
      <c r="CG12" s="556">
        <v>926.38099999999997</v>
      </c>
      <c r="CH12" s="556">
        <v>1067.799</v>
      </c>
      <c r="CI12" s="556">
        <v>1060.7260000000001</v>
      </c>
      <c r="CJ12" s="556">
        <v>2496.165</v>
      </c>
      <c r="CK12" s="558">
        <f t="shared" si="13"/>
        <v>2496.165</v>
      </c>
      <c r="CL12" s="556"/>
      <c r="CM12" s="556">
        <v>1192.9649999999999</v>
      </c>
      <c r="CN12" s="556">
        <v>1323.114</v>
      </c>
      <c r="CO12" s="556">
        <v>1281.425</v>
      </c>
      <c r="CP12" s="556">
        <v>3196.643</v>
      </c>
      <c r="CQ12" s="558">
        <f t="shared" si="14"/>
        <v>3196.643</v>
      </c>
      <c r="CR12" s="556"/>
      <c r="CS12" s="556">
        <v>1439.875</v>
      </c>
      <c r="CT12" s="556">
        <v>1569.3219999999999</v>
      </c>
      <c r="CU12" s="556">
        <v>1519.9159999999999</v>
      </c>
      <c r="CV12" s="556">
        <v>3917.4009999999998</v>
      </c>
      <c r="CW12" s="558">
        <f t="shared" si="15"/>
        <v>3917.4009999999998</v>
      </c>
      <c r="CX12" s="556"/>
      <c r="CY12" s="556">
        <f>(('MS Revenue Analysis'!DG139)*BS!CY68)/90</f>
        <v>1838.5187528590773</v>
      </c>
      <c r="CZ12" s="556">
        <f>(('MS Revenue Analysis'!DH139)*BS!CZ68)/90</f>
        <v>1965.8860310806181</v>
      </c>
      <c r="DA12" s="556">
        <f>(('MS Revenue Analysis'!DI139)*BS!DA68)/90</f>
        <v>1954.6649671301718</v>
      </c>
      <c r="DB12" s="556">
        <f>(('MS Revenue Analysis'!DJ139)*BS!DB68)/90</f>
        <v>5021.0005141465417</v>
      </c>
      <c r="DC12" s="558">
        <f t="shared" si="16"/>
        <v>5021.0005141465417</v>
      </c>
      <c r="DD12" s="556"/>
      <c r="DE12" s="556">
        <f>(('MS Revenue Analysis'!DM139)*BS!DE68)/90</f>
        <v>2368.6335772581833</v>
      </c>
      <c r="DF12" s="556">
        <f>(('MS Revenue Analysis'!DN139)*BS!DF68)/90</f>
        <v>2614.7149283488429</v>
      </c>
      <c r="DG12" s="556">
        <f>(('MS Revenue Analysis'!DO139)*BS!DG68)/90</f>
        <v>2634.8714301047307</v>
      </c>
      <c r="DH12" s="556">
        <f>(('MS Revenue Analysis'!DP139)*BS!DH68)/90</f>
        <v>6238.2112843624473</v>
      </c>
      <c r="DI12" s="558">
        <f t="shared" si="17"/>
        <v>6238.2112843624473</v>
      </c>
      <c r="DJ12" s="556"/>
      <c r="DK12" s="556">
        <f>(('MS Revenue Analysis'!DS139)*BS!DK68)/90</f>
        <v>2989.2173789932244</v>
      </c>
      <c r="DL12" s="556">
        <f>(('MS Revenue Analysis'!DT139)*BS!DL68)/90</f>
        <v>3209.6857287525172</v>
      </c>
      <c r="DM12" s="556">
        <f>(('MS Revenue Analysis'!DU139)*BS!DM68)/90</f>
        <v>3236.4665820851765</v>
      </c>
      <c r="DN12" s="556">
        <f>(('MS Revenue Analysis'!DV139)*BS!DN68)/90</f>
        <v>7752.7196792341429</v>
      </c>
      <c r="DO12" s="558">
        <f t="shared" si="18"/>
        <v>7752.7196792341429</v>
      </c>
      <c r="DP12" s="570"/>
      <c r="DQ12" s="955"/>
      <c r="DX12" s="957"/>
    </row>
    <row r="13" spans="1:128" ht="12.75" customHeight="1">
      <c r="A13" s="555" t="s">
        <v>640</v>
      </c>
      <c r="B13" s="555"/>
      <c r="C13" s="556">
        <v>0</v>
      </c>
      <c r="D13" s="556">
        <v>0</v>
      </c>
      <c r="E13" s="556">
        <v>0</v>
      </c>
      <c r="F13" s="556"/>
      <c r="G13" s="556">
        <v>0</v>
      </c>
      <c r="H13" s="556">
        <v>0</v>
      </c>
      <c r="I13" s="556">
        <v>0</v>
      </c>
      <c r="J13" s="556">
        <v>0</v>
      </c>
      <c r="K13" s="556">
        <f t="shared" si="7"/>
        <v>0</v>
      </c>
      <c r="L13" s="556"/>
      <c r="M13" s="556">
        <v>0</v>
      </c>
      <c r="N13" s="556">
        <v>0</v>
      </c>
      <c r="O13" s="556">
        <v>0</v>
      </c>
      <c r="P13" s="556">
        <v>0</v>
      </c>
      <c r="Q13" s="556">
        <f t="shared" si="0"/>
        <v>0</v>
      </c>
      <c r="R13" s="556"/>
      <c r="S13" s="556">
        <v>0</v>
      </c>
      <c r="T13" s="556">
        <v>0</v>
      </c>
      <c r="U13" s="556">
        <v>0</v>
      </c>
      <c r="V13" s="556">
        <v>0</v>
      </c>
      <c r="W13" s="556">
        <f t="shared" si="1"/>
        <v>0</v>
      </c>
      <c r="X13" s="556"/>
      <c r="Y13" s="556">
        <v>0</v>
      </c>
      <c r="Z13" s="556">
        <v>0</v>
      </c>
      <c r="AA13" s="556">
        <v>0</v>
      </c>
      <c r="AB13" s="556">
        <v>0</v>
      </c>
      <c r="AC13" s="558">
        <f t="shared" si="2"/>
        <v>0</v>
      </c>
      <c r="AD13" s="556"/>
      <c r="AE13" s="556">
        <v>0</v>
      </c>
      <c r="AF13" s="556">
        <v>0</v>
      </c>
      <c r="AG13" s="557">
        <v>0</v>
      </c>
      <c r="AH13" s="556">
        <v>0</v>
      </c>
      <c r="AI13" s="558">
        <f t="shared" si="3"/>
        <v>0</v>
      </c>
      <c r="AJ13" s="556"/>
      <c r="AK13" s="556">
        <v>0</v>
      </c>
      <c r="AL13" s="556">
        <v>0</v>
      </c>
      <c r="AM13" s="556">
        <v>0</v>
      </c>
      <c r="AN13" s="556">
        <v>0</v>
      </c>
      <c r="AO13" s="558">
        <f t="shared" si="4"/>
        <v>0</v>
      </c>
      <c r="AP13" s="556"/>
      <c r="AQ13" s="556">
        <v>0</v>
      </c>
      <c r="AR13" s="556">
        <v>0</v>
      </c>
      <c r="AS13" s="556">
        <v>0</v>
      </c>
      <c r="AT13" s="556">
        <v>0</v>
      </c>
      <c r="AU13" s="558">
        <f t="shared" si="5"/>
        <v>0</v>
      </c>
      <c r="AV13" s="556"/>
      <c r="AW13" s="557">
        <v>0</v>
      </c>
      <c r="AX13" s="556">
        <v>0</v>
      </c>
      <c r="AY13" s="556">
        <v>0</v>
      </c>
      <c r="AZ13" s="556">
        <v>0</v>
      </c>
      <c r="BA13" s="558">
        <f t="shared" si="6"/>
        <v>0</v>
      </c>
      <c r="BB13" s="556"/>
      <c r="BC13" s="556">
        <v>0</v>
      </c>
      <c r="BD13" s="556">
        <v>0</v>
      </c>
      <c r="BE13" s="556">
        <v>0</v>
      </c>
      <c r="BF13" s="556">
        <v>0</v>
      </c>
      <c r="BG13" s="558">
        <f t="shared" si="8"/>
        <v>0</v>
      </c>
      <c r="BH13" s="556"/>
      <c r="BI13" s="556">
        <v>0</v>
      </c>
      <c r="BJ13" s="556">
        <v>0</v>
      </c>
      <c r="BK13" s="556">
        <v>0</v>
      </c>
      <c r="BL13" s="556">
        <v>0</v>
      </c>
      <c r="BM13" s="558">
        <f t="shared" si="9"/>
        <v>0</v>
      </c>
      <c r="BN13" s="556"/>
      <c r="BO13" s="556">
        <v>0</v>
      </c>
      <c r="BP13" s="556">
        <v>0</v>
      </c>
      <c r="BQ13" s="556">
        <v>0</v>
      </c>
      <c r="BR13" s="556">
        <v>0</v>
      </c>
      <c r="BS13" s="558">
        <f t="shared" si="10"/>
        <v>0</v>
      </c>
      <c r="BT13" s="556"/>
      <c r="BU13" s="556">
        <v>0</v>
      </c>
      <c r="BV13" s="556">
        <v>0</v>
      </c>
      <c r="BW13" s="556">
        <v>0</v>
      </c>
      <c r="BX13" s="556">
        <v>0</v>
      </c>
      <c r="BY13" s="558">
        <f t="shared" si="11"/>
        <v>0</v>
      </c>
      <c r="BZ13" s="556"/>
      <c r="CA13" s="556">
        <v>0</v>
      </c>
      <c r="CB13" s="556">
        <v>0</v>
      </c>
      <c r="CC13" s="556">
        <v>0</v>
      </c>
      <c r="CD13" s="556">
        <v>0</v>
      </c>
      <c r="CE13" s="558">
        <f t="shared" si="12"/>
        <v>0</v>
      </c>
      <c r="CF13" s="556"/>
      <c r="CG13" s="556">
        <v>0</v>
      </c>
      <c r="CH13" s="556">
        <v>0</v>
      </c>
      <c r="CI13" s="556">
        <v>0</v>
      </c>
      <c r="CJ13" s="556">
        <v>0</v>
      </c>
      <c r="CK13" s="558">
        <f t="shared" si="13"/>
        <v>0</v>
      </c>
      <c r="CL13" s="556"/>
      <c r="CM13" s="556">
        <v>0</v>
      </c>
      <c r="CN13" s="556">
        <v>0</v>
      </c>
      <c r="CO13" s="556">
        <v>0</v>
      </c>
      <c r="CP13" s="556">
        <v>0</v>
      </c>
      <c r="CQ13" s="558">
        <f t="shared" si="14"/>
        <v>0</v>
      </c>
      <c r="CR13" s="556"/>
      <c r="CS13" s="556">
        <v>0</v>
      </c>
      <c r="CT13" s="556">
        <v>0</v>
      </c>
      <c r="CU13" s="556">
        <v>0</v>
      </c>
      <c r="CV13" s="556">
        <v>0</v>
      </c>
      <c r="CW13" s="558">
        <f t="shared" si="15"/>
        <v>0</v>
      </c>
      <c r="CX13" s="556"/>
      <c r="CY13" s="556">
        <v>0</v>
      </c>
      <c r="CZ13" s="556">
        <v>0</v>
      </c>
      <c r="DA13" s="556">
        <v>0</v>
      </c>
      <c r="DB13" s="556">
        <v>0</v>
      </c>
      <c r="DC13" s="558">
        <f t="shared" si="16"/>
        <v>0</v>
      </c>
      <c r="DD13" s="556"/>
      <c r="DE13" s="556">
        <v>0</v>
      </c>
      <c r="DF13" s="556">
        <v>0</v>
      </c>
      <c r="DG13" s="556">
        <v>0</v>
      </c>
      <c r="DH13" s="556">
        <v>0</v>
      </c>
      <c r="DI13" s="558">
        <f t="shared" si="17"/>
        <v>0</v>
      </c>
      <c r="DJ13" s="556"/>
      <c r="DK13" s="556">
        <v>0</v>
      </c>
      <c r="DL13" s="556">
        <v>0</v>
      </c>
      <c r="DM13" s="556">
        <v>0</v>
      </c>
      <c r="DN13" s="556">
        <v>0</v>
      </c>
      <c r="DO13" s="558">
        <f t="shared" si="18"/>
        <v>0</v>
      </c>
      <c r="DP13" s="570"/>
      <c r="DQ13" s="955"/>
      <c r="DX13" s="957"/>
    </row>
    <row r="14" spans="1:128" ht="10.5" customHeight="1">
      <c r="A14" s="555" t="s">
        <v>141</v>
      </c>
      <c r="B14" s="555"/>
      <c r="C14" s="556">
        <v>0</v>
      </c>
      <c r="D14" s="556">
        <v>0</v>
      </c>
      <c r="E14" s="556">
        <v>0.629</v>
      </c>
      <c r="F14" s="556"/>
      <c r="G14" s="556">
        <v>1.2829999999999999</v>
      </c>
      <c r="H14" s="556">
        <v>1.716</v>
      </c>
      <c r="I14" s="556">
        <v>2.2909999999999999</v>
      </c>
      <c r="J14" s="556">
        <v>3.4350000000000001</v>
      </c>
      <c r="K14" s="556">
        <f t="shared" si="7"/>
        <v>3.4350000000000001</v>
      </c>
      <c r="L14" s="556"/>
      <c r="M14" s="556">
        <v>3.899</v>
      </c>
      <c r="N14" s="556">
        <v>4.8360000000000003</v>
      </c>
      <c r="O14" s="556">
        <v>6.6130000000000004</v>
      </c>
      <c r="P14" s="557">
        <v>11.156000000000001</v>
      </c>
      <c r="Q14" s="556">
        <f t="shared" si="0"/>
        <v>11.156000000000001</v>
      </c>
      <c r="R14" s="556"/>
      <c r="S14" s="557">
        <f>7.782</f>
        <v>7.782</v>
      </c>
      <c r="T14" s="556">
        <f>7.374</f>
        <v>7.3739999999999997</v>
      </c>
      <c r="U14" s="556">
        <f>6.843</f>
        <v>6.843</v>
      </c>
      <c r="V14" s="556">
        <f>7.556</f>
        <v>7.556</v>
      </c>
      <c r="W14" s="556">
        <f t="shared" si="1"/>
        <v>7.556</v>
      </c>
      <c r="X14" s="556"/>
      <c r="Y14" s="556">
        <f>7.802</f>
        <v>7.8019999999999996</v>
      </c>
      <c r="Z14" s="556">
        <f>8.513</f>
        <v>8.5129999999999999</v>
      </c>
      <c r="AA14" s="556">
        <f>9.493</f>
        <v>9.4930000000000003</v>
      </c>
      <c r="AB14" s="556">
        <f>13.186</f>
        <v>13.186</v>
      </c>
      <c r="AC14" s="558">
        <f t="shared" si="2"/>
        <v>13.186</v>
      </c>
      <c r="AD14" s="556"/>
      <c r="AE14" s="556">
        <f>12.731</f>
        <v>12.731</v>
      </c>
      <c r="AF14" s="556">
        <f>13.87</f>
        <v>13.87</v>
      </c>
      <c r="AG14" s="557">
        <f>15.479</f>
        <v>15.478999999999999</v>
      </c>
      <c r="AH14" s="556">
        <f>22.072</f>
        <v>22.071999999999999</v>
      </c>
      <c r="AI14" s="558">
        <f t="shared" si="3"/>
        <v>22.071999999999999</v>
      </c>
      <c r="AJ14" s="556"/>
      <c r="AK14" s="556">
        <f>22.97</f>
        <v>22.97</v>
      </c>
      <c r="AL14" s="556">
        <f>25.15</f>
        <v>25.15</v>
      </c>
      <c r="AM14" s="556">
        <f>26.023</f>
        <v>26.023</v>
      </c>
      <c r="AN14" s="556">
        <f>35.679</f>
        <v>35.679000000000002</v>
      </c>
      <c r="AO14" s="558">
        <f t="shared" si="4"/>
        <v>35.679000000000002</v>
      </c>
      <c r="AP14" s="556"/>
      <c r="AQ14" s="556">
        <f>34.937</f>
        <v>34.936999999999998</v>
      </c>
      <c r="AR14" s="556">
        <f>35.751</f>
        <v>35.750999999999998</v>
      </c>
      <c r="AS14" s="556">
        <v>35.354999999999997</v>
      </c>
      <c r="AT14" s="556">
        <v>39.384</v>
      </c>
      <c r="AU14" s="558">
        <f t="shared" si="5"/>
        <v>39.384</v>
      </c>
      <c r="AV14" s="556"/>
      <c r="AW14" s="557">
        <v>36.862000000000002</v>
      </c>
      <c r="AX14" s="556">
        <v>36.369999999999997</v>
      </c>
      <c r="AY14" s="556">
        <v>37.064999999999998</v>
      </c>
      <c r="AZ14" s="556">
        <v>47.387999999999998</v>
      </c>
      <c r="BA14" s="558">
        <f t="shared" si="6"/>
        <v>47.387999999999998</v>
      </c>
      <c r="BB14" s="556"/>
      <c r="BC14" s="556">
        <v>46.215000000000003</v>
      </c>
      <c r="BD14" s="556">
        <v>47.093000000000004</v>
      </c>
      <c r="BE14" s="556">
        <v>50.360999999999997</v>
      </c>
      <c r="BF14" s="556">
        <v>67.774000000000001</v>
      </c>
      <c r="BG14" s="558">
        <f t="shared" si="8"/>
        <v>67.774000000000001</v>
      </c>
      <c r="BH14" s="556"/>
      <c r="BI14" s="556">
        <v>65.8</v>
      </c>
      <c r="BJ14" s="556">
        <v>66.091999999999999</v>
      </c>
      <c r="BK14" s="556">
        <v>71.799000000000007</v>
      </c>
      <c r="BL14" s="556">
        <v>98.471000000000004</v>
      </c>
      <c r="BM14" s="558">
        <f t="shared" si="9"/>
        <v>98.471000000000004</v>
      </c>
      <c r="BN14" s="556"/>
      <c r="BO14" s="556">
        <v>93.923000000000002</v>
      </c>
      <c r="BP14" s="556">
        <v>94.921000000000006</v>
      </c>
      <c r="BQ14" s="556">
        <v>100.80800000000001</v>
      </c>
      <c r="BR14" s="556">
        <v>142.31100000000001</v>
      </c>
      <c r="BS14" s="558">
        <f t="shared" si="10"/>
        <v>142.31100000000001</v>
      </c>
      <c r="BT14" s="556"/>
      <c r="BU14" s="556">
        <v>119.499</v>
      </c>
      <c r="BV14" s="556">
        <v>119.503</v>
      </c>
      <c r="BW14" s="556">
        <v>126.054</v>
      </c>
      <c r="BX14" s="556">
        <v>171.46100000000001</v>
      </c>
      <c r="BY14" s="558">
        <f t="shared" si="11"/>
        <v>171.46100000000001</v>
      </c>
      <c r="BZ14" s="556"/>
      <c r="CA14" s="556">
        <v>162.494</v>
      </c>
      <c r="CB14" s="556">
        <v>169.24700000000001</v>
      </c>
      <c r="CC14" s="556">
        <v>172.71700000000001</v>
      </c>
      <c r="CD14" s="556">
        <v>225.386</v>
      </c>
      <c r="CE14" s="558">
        <f t="shared" si="12"/>
        <v>225.386</v>
      </c>
      <c r="CF14" s="556"/>
      <c r="CG14" s="556">
        <v>208.101</v>
      </c>
      <c r="CH14" s="556">
        <v>211.31399999999999</v>
      </c>
      <c r="CI14" s="556">
        <v>208.13300000000001</v>
      </c>
      <c r="CJ14" s="556">
        <v>259.18700000000001</v>
      </c>
      <c r="CK14" s="558">
        <f t="shared" si="13"/>
        <v>259.18700000000001</v>
      </c>
      <c r="CL14" s="556"/>
      <c r="CM14" s="556">
        <v>243.89</v>
      </c>
      <c r="CN14" s="556">
        <v>236.75</v>
      </c>
      <c r="CO14" s="556">
        <v>237.72900000000001</v>
      </c>
      <c r="CP14" s="556">
        <v>311.77</v>
      </c>
      <c r="CQ14" s="558">
        <f t="shared" si="14"/>
        <v>311.77</v>
      </c>
      <c r="CR14" s="556"/>
      <c r="CS14" s="556">
        <v>297.41899999999998</v>
      </c>
      <c r="CT14" s="556">
        <v>302.52800000000002</v>
      </c>
      <c r="CU14" s="556">
        <v>327.64299999999997</v>
      </c>
      <c r="CV14" s="556">
        <v>460.887</v>
      </c>
      <c r="CW14" s="558">
        <f t="shared" si="15"/>
        <v>460.887</v>
      </c>
      <c r="CX14" s="556"/>
      <c r="CY14" s="556">
        <f>CY75*(CV14/(CV14+CV23))</f>
        <v>411.53374052238701</v>
      </c>
      <c r="CZ14" s="556">
        <f>CZ75*(CY14/(CY14+CY23))</f>
        <v>381.12734435380702</v>
      </c>
      <c r="DA14" s="556">
        <f>DA75*(CZ14/(CZ14+CZ23))</f>
        <v>402.02676969039982</v>
      </c>
      <c r="DB14" s="556">
        <f>DB75*(DA14/(DA14+DA23))</f>
        <v>576.13052415708785</v>
      </c>
      <c r="DC14" s="558">
        <f t="shared" si="16"/>
        <v>576.13052415708785</v>
      </c>
      <c r="DD14" s="556"/>
      <c r="DE14" s="556">
        <f>DE75*(DB14/(DB14+DB23))</f>
        <v>499.6029131134942</v>
      </c>
      <c r="DF14" s="556">
        <f>DF75*(DE14/(DE14+DE23))</f>
        <v>451.1746063546957</v>
      </c>
      <c r="DG14" s="556">
        <f>DG75*(DF14/(DF14+DF23))</f>
        <v>467.5481706280496</v>
      </c>
      <c r="DH14" s="556">
        <f>DH75*(DG14/(DG14+DG23))</f>
        <v>674.14520653952934</v>
      </c>
      <c r="DI14" s="558">
        <f t="shared" si="17"/>
        <v>674.14520653952934</v>
      </c>
      <c r="DJ14" s="556"/>
      <c r="DK14" s="556">
        <f>DK75*(DH14/(DH14+DH23))</f>
        <v>571.78840096577255</v>
      </c>
      <c r="DL14" s="556">
        <f>DL75*(DK14/(DK14+DK23))</f>
        <v>507.60033987044403</v>
      </c>
      <c r="DM14" s="556">
        <f>DM75*(DL14/(DL14+DL23))</f>
        <v>523.87804207081911</v>
      </c>
      <c r="DN14" s="556">
        <f>DN75*(DM14/(DM14+DM23))</f>
        <v>768.90809767922747</v>
      </c>
      <c r="DO14" s="558">
        <f t="shared" si="18"/>
        <v>768.90809767922747</v>
      </c>
      <c r="DP14" s="570"/>
      <c r="DQ14" s="955"/>
      <c r="DX14" s="957"/>
    </row>
    <row r="15" spans="1:128" ht="10.5" customHeight="1">
      <c r="A15" s="555" t="s">
        <v>5</v>
      </c>
      <c r="B15" s="555"/>
      <c r="C15" s="556">
        <v>0</v>
      </c>
      <c r="D15" s="556">
        <v>0</v>
      </c>
      <c r="E15" s="556">
        <v>0</v>
      </c>
      <c r="F15" s="556"/>
      <c r="G15" s="556">
        <v>0</v>
      </c>
      <c r="H15" s="556">
        <v>0</v>
      </c>
      <c r="I15" s="556">
        <v>0</v>
      </c>
      <c r="J15" s="556">
        <v>0</v>
      </c>
      <c r="K15" s="556">
        <f t="shared" si="7"/>
        <v>0</v>
      </c>
      <c r="L15" s="556"/>
      <c r="M15" s="556">
        <v>0</v>
      </c>
      <c r="N15" s="556">
        <v>0</v>
      </c>
      <c r="O15" s="556">
        <v>0</v>
      </c>
      <c r="P15" s="557">
        <v>0</v>
      </c>
      <c r="Q15" s="556">
        <f t="shared" si="0"/>
        <v>0</v>
      </c>
      <c r="R15" s="556"/>
      <c r="S15" s="557">
        <v>0</v>
      </c>
      <c r="T15" s="557">
        <v>0</v>
      </c>
      <c r="U15" s="557">
        <v>0</v>
      </c>
      <c r="V15" s="556">
        <v>0</v>
      </c>
      <c r="W15" s="556">
        <f t="shared" si="1"/>
        <v>0</v>
      </c>
      <c r="X15" s="556"/>
      <c r="Y15" s="556">
        <v>0</v>
      </c>
      <c r="Z15" s="556">
        <v>0</v>
      </c>
      <c r="AA15" s="556">
        <v>3.2389999999999999</v>
      </c>
      <c r="AB15" s="556">
        <v>0</v>
      </c>
      <c r="AC15" s="558">
        <f t="shared" si="2"/>
        <v>0</v>
      </c>
      <c r="AD15" s="556"/>
      <c r="AE15" s="556">
        <v>0.99399999999999999</v>
      </c>
      <c r="AF15" s="556">
        <v>0</v>
      </c>
      <c r="AG15" s="557">
        <f>AF15</f>
        <v>0</v>
      </c>
      <c r="AH15" s="556">
        <v>0.22800000000000001</v>
      </c>
      <c r="AI15" s="558">
        <f t="shared" si="3"/>
        <v>0.22800000000000001</v>
      </c>
      <c r="AJ15" s="556"/>
      <c r="AK15" s="556">
        <v>0.24</v>
      </c>
      <c r="AL15" s="556">
        <v>2.1059999999999999</v>
      </c>
      <c r="AM15" s="556">
        <v>7.02</v>
      </c>
      <c r="AN15" s="556">
        <v>7.173</v>
      </c>
      <c r="AO15" s="558">
        <f t="shared" si="4"/>
        <v>7.173</v>
      </c>
      <c r="AP15" s="556"/>
      <c r="AQ15" s="556">
        <v>7.31</v>
      </c>
      <c r="AR15" s="556">
        <v>7.9059999999999997</v>
      </c>
      <c r="AS15" s="556">
        <v>14.319000000000001</v>
      </c>
      <c r="AT15" s="556">
        <v>31.9</v>
      </c>
      <c r="AU15" s="558">
        <f t="shared" si="5"/>
        <v>31.9</v>
      </c>
      <c r="AV15" s="556"/>
      <c r="AW15" s="557">
        <v>27.273</v>
      </c>
      <c r="AX15" s="556">
        <v>26.827000000000002</v>
      </c>
      <c r="AY15" s="556">
        <v>26.992000000000001</v>
      </c>
      <c r="AZ15" s="556">
        <v>40.116</v>
      </c>
      <c r="BA15" s="558">
        <f t="shared" si="6"/>
        <v>40.116</v>
      </c>
      <c r="BB15" s="556"/>
      <c r="BC15" s="556">
        <v>36.314999999999998</v>
      </c>
      <c r="BD15" s="556">
        <v>44.088000000000001</v>
      </c>
      <c r="BE15" s="556">
        <v>49.62</v>
      </c>
      <c r="BF15" s="556">
        <v>27.515999999999998</v>
      </c>
      <c r="BG15" s="558">
        <f t="shared" si="8"/>
        <v>27.515999999999998</v>
      </c>
      <c r="BH15" s="556"/>
      <c r="BI15" s="556">
        <v>23.791</v>
      </c>
      <c r="BJ15" s="556">
        <v>33.914999999999999</v>
      </c>
      <c r="BK15" s="556">
        <v>38.834000000000003</v>
      </c>
      <c r="BL15" s="556">
        <v>31.821000000000002</v>
      </c>
      <c r="BM15" s="558">
        <f t="shared" si="9"/>
        <v>31.821000000000002</v>
      </c>
      <c r="BN15" s="556"/>
      <c r="BO15" s="556">
        <v>47.537999999999997</v>
      </c>
      <c r="BP15" s="556">
        <v>56.722999999999999</v>
      </c>
      <c r="BQ15" s="556">
        <v>14.723000000000001</v>
      </c>
      <c r="BR15" s="556">
        <v>7.3209999999999997</v>
      </c>
      <c r="BS15" s="558">
        <f t="shared" si="10"/>
        <v>7.3209999999999997</v>
      </c>
      <c r="BT15" s="556"/>
      <c r="BU15" s="556">
        <v>6.7939999999999996</v>
      </c>
      <c r="BV15" s="556">
        <v>14.157</v>
      </c>
      <c r="BW15" s="556">
        <v>23.440999999999999</v>
      </c>
      <c r="BX15" s="556">
        <v>49.279000000000003</v>
      </c>
      <c r="BY15" s="558">
        <f t="shared" si="11"/>
        <v>49.279000000000003</v>
      </c>
      <c r="BZ15" s="556"/>
      <c r="CA15" s="556">
        <v>48.555999999999997</v>
      </c>
      <c r="CB15" s="556">
        <v>51.395000000000003</v>
      </c>
      <c r="CC15" s="556">
        <v>45.738</v>
      </c>
      <c r="CD15" s="556">
        <v>35.527999999999999</v>
      </c>
      <c r="CE15" s="558">
        <f t="shared" si="12"/>
        <v>35.527999999999999</v>
      </c>
      <c r="CF15" s="556"/>
      <c r="CG15" s="556">
        <v>44.341999999999999</v>
      </c>
      <c r="CH15" s="556">
        <v>45.031999999999996</v>
      </c>
      <c r="CI15" s="556">
        <v>42.604999999999997</v>
      </c>
      <c r="CJ15" s="556">
        <v>0</v>
      </c>
      <c r="CK15" s="558">
        <f t="shared" si="13"/>
        <v>0</v>
      </c>
      <c r="CL15" s="556"/>
      <c r="CM15" s="556">
        <v>0</v>
      </c>
      <c r="CN15" s="556">
        <v>0</v>
      </c>
      <c r="CO15" s="556">
        <v>0</v>
      </c>
      <c r="CP15" s="556">
        <v>0</v>
      </c>
      <c r="CQ15" s="558">
        <f t="shared" si="14"/>
        <v>0</v>
      </c>
      <c r="CR15" s="556"/>
      <c r="CS15" s="556">
        <v>0</v>
      </c>
      <c r="CT15" s="556">
        <v>0</v>
      </c>
      <c r="CU15" s="556">
        <v>0</v>
      </c>
      <c r="CV15" s="556">
        <v>0</v>
      </c>
      <c r="CW15" s="558">
        <f t="shared" si="15"/>
        <v>0</v>
      </c>
      <c r="CX15" s="556"/>
      <c r="CY15" s="556">
        <f>CV15</f>
        <v>0</v>
      </c>
      <c r="CZ15" s="556">
        <f>CY15</f>
        <v>0</v>
      </c>
      <c r="DA15" s="556">
        <f>CZ15</f>
        <v>0</v>
      </c>
      <c r="DB15" s="556">
        <f>DA15</f>
        <v>0</v>
      </c>
      <c r="DC15" s="558">
        <f t="shared" si="16"/>
        <v>0</v>
      </c>
      <c r="DD15" s="556"/>
      <c r="DE15" s="556">
        <f>DB15</f>
        <v>0</v>
      </c>
      <c r="DF15" s="556">
        <f>DE15</f>
        <v>0</v>
      </c>
      <c r="DG15" s="556">
        <f>DF15</f>
        <v>0</v>
      </c>
      <c r="DH15" s="556">
        <f>DG15</f>
        <v>0</v>
      </c>
      <c r="DI15" s="558">
        <f t="shared" si="17"/>
        <v>0</v>
      </c>
      <c r="DJ15" s="556"/>
      <c r="DK15" s="556">
        <f>DH15</f>
        <v>0</v>
      </c>
      <c r="DL15" s="556">
        <f>DK15</f>
        <v>0</v>
      </c>
      <c r="DM15" s="556">
        <f>DL15</f>
        <v>0</v>
      </c>
      <c r="DN15" s="556">
        <f>DM15</f>
        <v>0</v>
      </c>
      <c r="DO15" s="558">
        <f t="shared" si="18"/>
        <v>0</v>
      </c>
      <c r="DP15" s="570"/>
      <c r="DQ15" s="955"/>
      <c r="DX15" s="957"/>
    </row>
    <row r="16" spans="1:128" ht="10.5" customHeight="1">
      <c r="A16" s="555" t="s">
        <v>385</v>
      </c>
      <c r="B16" s="555"/>
      <c r="C16" s="556">
        <v>0.32600000000000001</v>
      </c>
      <c r="D16" s="556">
        <v>1.0980000000000001</v>
      </c>
      <c r="E16" s="556">
        <v>0.76700000000000002</v>
      </c>
      <c r="F16" s="556"/>
      <c r="G16" s="556">
        <v>1.837</v>
      </c>
      <c r="H16" s="556">
        <v>2.802</v>
      </c>
      <c r="I16" s="556">
        <v>1.7569999999999999</v>
      </c>
      <c r="J16" s="556">
        <v>1.3320000000000001</v>
      </c>
      <c r="K16" s="556">
        <f t="shared" si="7"/>
        <v>1.3320000000000001</v>
      </c>
      <c r="L16" s="556"/>
      <c r="M16" s="556">
        <v>1.581</v>
      </c>
      <c r="N16" s="556">
        <v>2.278</v>
      </c>
      <c r="O16" s="556">
        <v>5.1660000000000004</v>
      </c>
      <c r="P16" s="557">
        <v>3.532</v>
      </c>
      <c r="Q16" s="556">
        <f t="shared" si="0"/>
        <v>3.532</v>
      </c>
      <c r="R16" s="556"/>
      <c r="S16" s="557">
        <v>4.6870000000000003</v>
      </c>
      <c r="T16" s="556">
        <v>3.5</v>
      </c>
      <c r="U16" s="556">
        <v>4.1449999999999996</v>
      </c>
      <c r="V16" s="556">
        <v>3.4670000000000001</v>
      </c>
      <c r="W16" s="556">
        <f t="shared" si="1"/>
        <v>3.4670000000000001</v>
      </c>
      <c r="X16" s="556"/>
      <c r="Y16" s="556">
        <v>4.8739999999999997</v>
      </c>
      <c r="Z16" s="556">
        <v>6.7140000000000004</v>
      </c>
      <c r="AA16" s="556">
        <v>6</v>
      </c>
      <c r="AB16" s="556">
        <v>6.3380000000000001</v>
      </c>
      <c r="AC16" s="558">
        <f t="shared" si="2"/>
        <v>6.3380000000000001</v>
      </c>
      <c r="AD16" s="556"/>
      <c r="AE16" s="556">
        <v>9.3970000000000002</v>
      </c>
      <c r="AF16" s="556">
        <v>13.401</v>
      </c>
      <c r="AG16" s="557">
        <v>12.749000000000001</v>
      </c>
      <c r="AH16" s="556">
        <v>15.679</v>
      </c>
      <c r="AI16" s="558">
        <f t="shared" si="3"/>
        <v>15.679</v>
      </c>
      <c r="AJ16" s="556"/>
      <c r="AK16" s="556">
        <v>21.536999999999999</v>
      </c>
      <c r="AL16" s="556">
        <f>6.431+21.608</f>
        <v>28.039000000000001</v>
      </c>
      <c r="AM16" s="556">
        <v>25.878</v>
      </c>
      <c r="AN16" s="556">
        <v>27.055</v>
      </c>
      <c r="AO16" s="558">
        <f t="shared" si="4"/>
        <v>27.055</v>
      </c>
      <c r="AP16" s="556"/>
      <c r="AQ16" s="556">
        <v>32.17</v>
      </c>
      <c r="AR16" s="556">
        <v>33.148000000000003</v>
      </c>
      <c r="AS16" s="556">
        <v>39.747</v>
      </c>
      <c r="AT16" s="556">
        <v>33.115000000000002</v>
      </c>
      <c r="AU16" s="558">
        <f t="shared" si="5"/>
        <v>33.115000000000002</v>
      </c>
      <c r="AV16" s="556"/>
      <c r="AW16" s="557">
        <v>36.241999999999997</v>
      </c>
      <c r="AX16" s="556">
        <v>49.152999999999999</v>
      </c>
      <c r="AY16" s="556">
        <v>62.226999999999997</v>
      </c>
      <c r="AZ16" s="556">
        <v>55.734000000000002</v>
      </c>
      <c r="BA16" s="558">
        <f t="shared" si="6"/>
        <v>55.734000000000002</v>
      </c>
      <c r="BB16" s="556"/>
      <c r="BC16" s="556">
        <v>45.857999999999997</v>
      </c>
      <c r="BD16" s="556">
        <v>50.137999999999998</v>
      </c>
      <c r="BE16" s="556">
        <v>64.343000000000004</v>
      </c>
      <c r="BF16" s="556">
        <v>55.720999999999997</v>
      </c>
      <c r="BG16" s="558">
        <f t="shared" si="8"/>
        <v>55.720999999999997</v>
      </c>
      <c r="BH16" s="556"/>
      <c r="BI16" s="556">
        <v>63.886000000000003</v>
      </c>
      <c r="BJ16" s="556">
        <v>95.042000000000002</v>
      </c>
      <c r="BK16" s="556">
        <v>79.427999999999997</v>
      </c>
      <c r="BL16" s="556">
        <v>80.319000000000003</v>
      </c>
      <c r="BM16" s="558">
        <f t="shared" si="9"/>
        <v>80.319000000000003</v>
      </c>
      <c r="BN16" s="556"/>
      <c r="BO16" s="556">
        <v>99.789000000000001</v>
      </c>
      <c r="BP16" s="556">
        <v>146.90100000000001</v>
      </c>
      <c r="BQ16" s="556">
        <v>117.6</v>
      </c>
      <c r="BR16" s="556">
        <v>125.99299999999999</v>
      </c>
      <c r="BS16" s="558">
        <f t="shared" si="10"/>
        <v>125.99299999999999</v>
      </c>
      <c r="BT16" s="556"/>
      <c r="BU16" s="556">
        <f>154.114-BU15</f>
        <v>147.32</v>
      </c>
      <c r="BV16" s="556">
        <f>355.628-BV15</f>
        <v>341.471</v>
      </c>
      <c r="BW16" s="556">
        <f>367.245-BW15</f>
        <v>343.80400000000003</v>
      </c>
      <c r="BX16" s="556">
        <f>309.18-BX15</f>
        <v>259.90100000000001</v>
      </c>
      <c r="BY16" s="558">
        <f t="shared" si="11"/>
        <v>259.90100000000001</v>
      </c>
      <c r="BZ16" s="556"/>
      <c r="CA16" s="556">
        <f>313.608-CA15</f>
        <v>265.05200000000002</v>
      </c>
      <c r="CB16" s="556">
        <f>296.361+160.181-CB15</f>
        <v>405.14700000000005</v>
      </c>
      <c r="CC16" s="556">
        <f>287.612-CC15+143.197</f>
        <v>385.07100000000003</v>
      </c>
      <c r="CD16" s="556">
        <f>280.554-CD15+143.197</f>
        <v>388.22299999999996</v>
      </c>
      <c r="CE16" s="558">
        <f t="shared" si="12"/>
        <v>388.22299999999996</v>
      </c>
      <c r="CF16" s="556"/>
      <c r="CG16" s="556">
        <f>310.983-CG15+140.345</f>
        <v>406.98599999999999</v>
      </c>
      <c r="CH16" s="556">
        <f>330.291-CH15+136.914</f>
        <v>422.173</v>
      </c>
      <c r="CI16" s="556">
        <f>311.909-CI15</f>
        <v>269.30399999999997</v>
      </c>
      <c r="CJ16" s="556">
        <v>250.59399999999999</v>
      </c>
      <c r="CK16" s="558">
        <f t="shared" si="13"/>
        <v>250.59399999999999</v>
      </c>
      <c r="CL16" s="556"/>
      <c r="CM16" s="556">
        <v>306.625</v>
      </c>
      <c r="CN16" s="556">
        <v>543.85199999999998</v>
      </c>
      <c r="CO16" s="556">
        <v>281.59300000000002</v>
      </c>
      <c r="CP16" s="556">
        <v>279.52699999999999</v>
      </c>
      <c r="CQ16" s="558">
        <f t="shared" si="14"/>
        <v>279.52699999999999</v>
      </c>
      <c r="CR16" s="556"/>
      <c r="CS16" s="556">
        <v>447.64699999999999</v>
      </c>
      <c r="CT16" s="556">
        <v>438.24599999999998</v>
      </c>
      <c r="CU16" s="556">
        <v>469.94600000000003</v>
      </c>
      <c r="CV16" s="556">
        <v>390.37799999999999</v>
      </c>
      <c r="CW16" s="558">
        <f t="shared" si="15"/>
        <v>390.37799999999999</v>
      </c>
      <c r="CX16" s="556"/>
      <c r="CY16" s="556">
        <f>(Model!CY$237*CY88)</f>
        <v>557.43513817874566</v>
      </c>
      <c r="CZ16" s="556">
        <f>(Model!CZ$237*CZ88)</f>
        <v>541.12816991366458</v>
      </c>
      <c r="DA16" s="556">
        <f>(Model!DA$237*DA88)</f>
        <v>575.29497224686554</v>
      </c>
      <c r="DB16" s="556">
        <f>(Model!DB$237*DB88)</f>
        <v>473.43092644141382</v>
      </c>
      <c r="DC16" s="558">
        <f t="shared" si="16"/>
        <v>473.43092644141382</v>
      </c>
      <c r="DD16" s="556"/>
      <c r="DE16" s="556">
        <f>(Model!DE$237*DE88)</f>
        <v>671.98312990925569</v>
      </c>
      <c r="DF16" s="556">
        <f>(Model!DF$237*DF88)</f>
        <v>650.61806618281662</v>
      </c>
      <c r="DG16" s="556">
        <f>(Model!DG$237*DG88)</f>
        <v>691.17401485523794</v>
      </c>
      <c r="DH16" s="556">
        <f>(Model!DH$237*DH88)</f>
        <v>568.53774587874307</v>
      </c>
      <c r="DI16" s="558">
        <f t="shared" si="17"/>
        <v>568.53774587874307</v>
      </c>
      <c r="DJ16" s="556"/>
      <c r="DK16" s="556">
        <f>(Model!DK$237*DK88)</f>
        <v>806.09104874094078</v>
      </c>
      <c r="DL16" s="556">
        <f>(Model!DL$237*DL88)</f>
        <v>779.02160966958718</v>
      </c>
      <c r="DM16" s="556">
        <f>(Model!DM$237*DM88)</f>
        <v>825.8961654018226</v>
      </c>
      <c r="DN16" s="556">
        <f>(Model!DN$237*DN88)</f>
        <v>678.81035340096651</v>
      </c>
      <c r="DO16" s="558">
        <f t="shared" si="18"/>
        <v>678.81035340096651</v>
      </c>
      <c r="DP16" s="570"/>
      <c r="DQ16" s="955"/>
      <c r="DX16" s="957"/>
    </row>
    <row r="17" spans="1:128" ht="10.5" customHeight="1">
      <c r="A17" s="404" t="s">
        <v>964</v>
      </c>
      <c r="B17" s="404"/>
      <c r="C17" s="405">
        <f>SUM(C10:C16)</f>
        <v>12.935</v>
      </c>
      <c r="D17" s="405">
        <f>SUM(D10:D16)</f>
        <v>25.015999999999998</v>
      </c>
      <c r="E17" s="405">
        <f>SUM(E10:E16)</f>
        <v>18.814</v>
      </c>
      <c r="F17" s="405"/>
      <c r="G17" s="405">
        <f>SUM(G10:G16)</f>
        <v>22.587</v>
      </c>
      <c r="H17" s="405">
        <f>SUM(H10:H16)</f>
        <v>26.834000000000003</v>
      </c>
      <c r="I17" s="405">
        <f>SUM(I10:I16)</f>
        <v>25.718000000000004</v>
      </c>
      <c r="J17" s="405">
        <f>SUM(J10:J16)</f>
        <v>30.356999999999999</v>
      </c>
      <c r="K17" s="405">
        <f t="shared" si="7"/>
        <v>30.356999999999999</v>
      </c>
      <c r="L17" s="405"/>
      <c r="M17" s="405">
        <f>SUM(M10:M16)</f>
        <v>37.939000000000007</v>
      </c>
      <c r="N17" s="405">
        <f>SUM(N10:N16)</f>
        <v>46.221999999999994</v>
      </c>
      <c r="O17" s="405">
        <f>SUM(O10:O16)</f>
        <v>58.872</v>
      </c>
      <c r="P17" s="405">
        <f>SUM(P10:P16)</f>
        <v>77.036000000000001</v>
      </c>
      <c r="Q17" s="405">
        <f t="shared" si="0"/>
        <v>77.036000000000001</v>
      </c>
      <c r="R17" s="405"/>
      <c r="S17" s="405">
        <f>SUM(S10:S16)</f>
        <v>80.691999999999993</v>
      </c>
      <c r="T17" s="405">
        <f>SUM(T10:T16)</f>
        <v>156.96799999999999</v>
      </c>
      <c r="U17" s="405">
        <f>SUM(U10:U16)</f>
        <v>162.92000000000002</v>
      </c>
      <c r="V17" s="405">
        <f>SUM(V10:V16)</f>
        <v>178.71500000000003</v>
      </c>
      <c r="W17" s="405">
        <f t="shared" si="1"/>
        <v>178.71500000000003</v>
      </c>
      <c r="X17" s="405"/>
      <c r="Y17" s="405">
        <f>SUM(Y10:Y16)</f>
        <v>180.60399999999998</v>
      </c>
      <c r="Z17" s="405">
        <f>SUM(Z10:Z16)</f>
        <v>199.821</v>
      </c>
      <c r="AA17" s="405">
        <f>SUM(AA10:AA16)</f>
        <v>244.864</v>
      </c>
      <c r="AB17" s="405">
        <f>SUM(AB10:AB16)</f>
        <v>303.21699999999998</v>
      </c>
      <c r="AC17" s="406">
        <f t="shared" si="2"/>
        <v>303.21699999999998</v>
      </c>
      <c r="AD17" s="405"/>
      <c r="AE17" s="405">
        <f>SUM(AE10:AE16)</f>
        <v>328.61600000000004</v>
      </c>
      <c r="AF17" s="405">
        <f>SUM(AF10:AF16)</f>
        <v>369.66399999999999</v>
      </c>
      <c r="AG17" s="405">
        <f>SUM(AG10:AG16)</f>
        <v>355.93400000000003</v>
      </c>
      <c r="AH17" s="405">
        <f>SUM(AH10:AH16)</f>
        <v>419.096</v>
      </c>
      <c r="AI17" s="406">
        <f t="shared" si="3"/>
        <v>419.096</v>
      </c>
      <c r="AJ17" s="405"/>
      <c r="AK17" s="405">
        <f>SUM(AK10:AK16)</f>
        <v>400.13299999999998</v>
      </c>
      <c r="AL17" s="405">
        <f>SUM(AL10:AL16)</f>
        <v>477.17099999999994</v>
      </c>
      <c r="AM17" s="405">
        <f>SUM(AM10:AM16)</f>
        <v>554.95000000000005</v>
      </c>
      <c r="AN17" s="405">
        <f>SUM(AN10:AN16)</f>
        <v>740.81099999999992</v>
      </c>
      <c r="AO17" s="406">
        <f t="shared" si="4"/>
        <v>740.81099999999992</v>
      </c>
      <c r="AP17" s="405"/>
      <c r="AQ17" s="405">
        <f>SUM(AQ10:AQ16)</f>
        <v>713.40899999999988</v>
      </c>
      <c r="AR17" s="405">
        <f>SUM(AR10:AR16)</f>
        <v>802.12799999999993</v>
      </c>
      <c r="AS17" s="405">
        <f>SUM(AS10:AS16)</f>
        <v>848.55900000000008</v>
      </c>
      <c r="AT17" s="405">
        <f>SUM(AT10:AT16)</f>
        <v>1068.5570000000002</v>
      </c>
      <c r="AU17" s="406">
        <f t="shared" si="5"/>
        <v>1068.5570000000002</v>
      </c>
      <c r="AV17" s="405"/>
      <c r="AW17" s="405">
        <f>SUM(AW10:AW16)</f>
        <v>762.86</v>
      </c>
      <c r="AX17" s="405">
        <f>SUM(AX10:AX16)</f>
        <v>701.31799999999998</v>
      </c>
      <c r="AY17" s="405">
        <f>SUM(AY10:AY16)</f>
        <v>762.91499999999985</v>
      </c>
      <c r="AZ17" s="405">
        <f>SUM(AZ10:AZ16)</f>
        <v>1706.1590000000001</v>
      </c>
      <c r="BA17" s="406">
        <f t="shared" si="6"/>
        <v>1706.1590000000001</v>
      </c>
      <c r="BB17" s="405"/>
      <c r="BC17" s="405">
        <f>SUM(BC10:BC16)</f>
        <v>1263.752</v>
      </c>
      <c r="BD17" s="405">
        <f>SUM(BD10:BD16)</f>
        <v>1112.136</v>
      </c>
      <c r="BE17" s="405">
        <f>SUM(BE10:BE16)</f>
        <v>1192.9360000000001</v>
      </c>
      <c r="BF17" s="405">
        <f>SUM(BF10:BF16)</f>
        <v>1074.924</v>
      </c>
      <c r="BG17" s="406">
        <f t="shared" si="8"/>
        <v>1074.924</v>
      </c>
      <c r="BH17" s="405"/>
      <c r="BI17" s="405">
        <f>SUM(BI10:BI16)</f>
        <v>1188.1289999999999</v>
      </c>
      <c r="BJ17" s="405">
        <f>SUM(BJ10:BJ16)</f>
        <v>1114.8219999999999</v>
      </c>
      <c r="BK17" s="405">
        <f>SUM(BK10:BK16)</f>
        <v>1148.2400000000002</v>
      </c>
      <c r="BL17" s="405">
        <f>SUM(BL10:BL16)</f>
        <v>1672.2219999999998</v>
      </c>
      <c r="BM17" s="406">
        <f t="shared" si="9"/>
        <v>1672.2219999999998</v>
      </c>
      <c r="BN17" s="405"/>
      <c r="BO17" s="405">
        <f>SUM(BO10:BO16)</f>
        <v>1323.0329999999999</v>
      </c>
      <c r="BP17" s="405">
        <f>SUM(BP10:BP16)</f>
        <v>1853.125</v>
      </c>
      <c r="BQ17" s="405">
        <f>SUM(BQ10:BQ16)</f>
        <v>1257.2849999999999</v>
      </c>
      <c r="BR17" s="405">
        <f>SUM(BR10:BR16)</f>
        <v>2015.8799999999999</v>
      </c>
      <c r="BS17" s="406">
        <f t="shared" si="10"/>
        <v>2015.8799999999999</v>
      </c>
      <c r="BT17" s="405"/>
      <c r="BU17" s="405">
        <f>SUM(BU10:BU16)</f>
        <v>2876.0389999999998</v>
      </c>
      <c r="BV17" s="405">
        <f>SUM(BV10:BV16)</f>
        <v>1698.165</v>
      </c>
      <c r="BW17" s="405">
        <f>SUM(BW10:BW16)</f>
        <v>1800.8860000000002</v>
      </c>
      <c r="BX17" s="405">
        <f>SUM(BX10:BX16)</f>
        <v>2680.252</v>
      </c>
      <c r="BY17" s="406">
        <f t="shared" si="11"/>
        <v>2680.252</v>
      </c>
      <c r="BZ17" s="405"/>
      <c r="CA17" s="405">
        <f>SUM(CA10:CA16)</f>
        <v>2039.3809999999999</v>
      </c>
      <c r="CB17" s="405">
        <f>SUM(CB10:CB16)</f>
        <v>2304.6870000000004</v>
      </c>
      <c r="CC17" s="405">
        <f>SUM(CC10:CC16)</f>
        <v>2439.1549999999997</v>
      </c>
      <c r="CD17" s="405">
        <f>SUM(CD10:CD16)</f>
        <v>3550.0719999999997</v>
      </c>
      <c r="CE17" s="406">
        <f t="shared" si="12"/>
        <v>3550.0719999999997</v>
      </c>
      <c r="CF17" s="405"/>
      <c r="CG17" s="405">
        <f>SUM(CG10:CG16)</f>
        <v>2604.8249999999998</v>
      </c>
      <c r="CH17" s="405">
        <f>SUM(CH10:CH16)</f>
        <v>2916.7870000000003</v>
      </c>
      <c r="CI17" s="405">
        <f>SUM(CI10:CI16)</f>
        <v>2938.7730000000001</v>
      </c>
      <c r="CJ17" s="405">
        <f>SUM(CJ10:CJ16)</f>
        <v>4347.3270000000002</v>
      </c>
      <c r="CK17" s="406">
        <f t="shared" si="13"/>
        <v>4347.3270000000002</v>
      </c>
      <c r="CL17" s="405"/>
      <c r="CM17" s="405">
        <f>SUM(CM10:CM16)</f>
        <v>3774.672</v>
      </c>
      <c r="CN17" s="405">
        <f>SUM(CN10:CN16)</f>
        <v>3277.9989999999998</v>
      </c>
      <c r="CO17" s="405">
        <f>SUM(CO10:CO16)</f>
        <v>3001.5539999999996</v>
      </c>
      <c r="CP17" s="405">
        <f>SUM(CP10:CP16)</f>
        <v>5996.8269999999993</v>
      </c>
      <c r="CQ17" s="406">
        <f t="shared" si="14"/>
        <v>5996.8269999999993</v>
      </c>
      <c r="CR17" s="405"/>
      <c r="CS17" s="405">
        <f>SUM(CS10:CS16)</f>
        <v>5404.491</v>
      </c>
      <c r="CT17" s="405">
        <f>SUM(CT10:CT16)</f>
        <v>5811.3410000000003</v>
      </c>
      <c r="CU17" s="405">
        <f>SUM(CU10:CU16)</f>
        <v>5946.17</v>
      </c>
      <c r="CV17" s="405">
        <f>SUM(CV10:CV16)</f>
        <v>9290.371000000001</v>
      </c>
      <c r="CW17" s="406">
        <f t="shared" si="15"/>
        <v>9290.371000000001</v>
      </c>
      <c r="CX17" s="405"/>
      <c r="CY17" s="405">
        <f>SUM(CY10:CY16)</f>
        <v>8203.1333841572286</v>
      </c>
      <c r="CZ17" s="405">
        <f>SUM(CZ10:CZ16)</f>
        <v>8734.1318617021716</v>
      </c>
      <c r="DA17" s="405">
        <f>SUM(DA10:DA16)</f>
        <v>9100.5440972663928</v>
      </c>
      <c r="DB17" s="405">
        <f>SUM(DB10:DB16)</f>
        <v>13491.303623111084</v>
      </c>
      <c r="DC17" s="406">
        <f t="shared" si="16"/>
        <v>13491.303623111084</v>
      </c>
      <c r="DD17" s="405"/>
      <c r="DE17" s="405">
        <f>SUM(DE10:DE16)</f>
        <v>12194.611968580626</v>
      </c>
      <c r="DF17" s="405">
        <f>SUM(DF10:DF16)</f>
        <v>12915.470990038562</v>
      </c>
      <c r="DG17" s="405">
        <f>SUM(DG10:DG16)</f>
        <v>13427.851327103035</v>
      </c>
      <c r="DH17" s="405">
        <f>SUM(DH10:DH16)</f>
        <v>19014.983839800148</v>
      </c>
      <c r="DI17" s="406">
        <f t="shared" si="17"/>
        <v>19014.983839800148</v>
      </c>
      <c r="DJ17" s="405"/>
      <c r="DK17" s="405">
        <f>SUM(DK10:DK16)</f>
        <v>17433.939518345389</v>
      </c>
      <c r="DL17" s="405">
        <f>SUM(DL10:DL16)</f>
        <v>18381.693489429188</v>
      </c>
      <c r="DM17" s="405">
        <f>SUM(DM10:DM16)</f>
        <v>19086.114378663322</v>
      </c>
      <c r="DN17" s="405">
        <f>SUM(DN10:DN16)</f>
        <v>25982.336433923243</v>
      </c>
      <c r="DO17" s="406">
        <f t="shared" si="18"/>
        <v>25982.336433923243</v>
      </c>
      <c r="DP17" s="1681"/>
      <c r="DQ17" s="955"/>
      <c r="DX17" s="957"/>
    </row>
    <row r="18" spans="1:128" ht="5.25" customHeight="1">
      <c r="A18" s="560"/>
      <c r="B18" s="560"/>
      <c r="C18" s="561"/>
      <c r="D18" s="561"/>
      <c r="E18" s="561"/>
      <c r="F18" s="561"/>
      <c r="G18" s="561"/>
      <c r="H18" s="561"/>
      <c r="I18" s="561"/>
      <c r="J18" s="561"/>
      <c r="K18" s="561"/>
      <c r="L18" s="561"/>
      <c r="M18" s="561"/>
      <c r="N18" s="561"/>
      <c r="O18" s="561"/>
      <c r="P18" s="561"/>
      <c r="Q18" s="561"/>
      <c r="R18" s="561"/>
      <c r="S18" s="561"/>
      <c r="T18" s="562"/>
      <c r="U18" s="561"/>
      <c r="V18" s="562"/>
      <c r="W18" s="561"/>
      <c r="X18" s="561"/>
      <c r="Y18" s="562"/>
      <c r="Z18" s="561"/>
      <c r="AA18" s="561"/>
      <c r="AB18" s="562"/>
      <c r="AC18" s="563"/>
      <c r="AD18" s="561"/>
      <c r="AE18" s="562"/>
      <c r="AF18" s="562"/>
      <c r="AG18" s="561"/>
      <c r="AH18" s="562"/>
      <c r="AI18" s="563"/>
      <c r="AJ18" s="561"/>
      <c r="AK18" s="561"/>
      <c r="AL18" s="562"/>
      <c r="AM18" s="561"/>
      <c r="AN18" s="561"/>
      <c r="AO18" s="563"/>
      <c r="AP18" s="561"/>
      <c r="AQ18" s="562"/>
      <c r="AR18" s="562"/>
      <c r="AS18" s="562"/>
      <c r="AT18" s="562"/>
      <c r="AU18" s="563"/>
      <c r="AV18" s="561"/>
      <c r="AW18" s="564"/>
      <c r="AX18" s="562"/>
      <c r="AY18" s="561"/>
      <c r="AZ18" s="561"/>
      <c r="BA18" s="563"/>
      <c r="BB18" s="561"/>
      <c r="BC18" s="562"/>
      <c r="BD18" s="561"/>
      <c r="BE18" s="561"/>
      <c r="BF18" s="561"/>
      <c r="BG18" s="563"/>
      <c r="BH18" s="561"/>
      <c r="BI18" s="561"/>
      <c r="BJ18" s="561"/>
      <c r="BK18" s="561"/>
      <c r="BL18" s="561"/>
      <c r="BM18" s="563"/>
      <c r="BN18" s="561"/>
      <c r="BO18" s="561"/>
      <c r="BP18" s="561"/>
      <c r="BQ18" s="561"/>
      <c r="BR18" s="561"/>
      <c r="BS18" s="563"/>
      <c r="BT18" s="561"/>
      <c r="BU18" s="561"/>
      <c r="BV18" s="561"/>
      <c r="BW18" s="561"/>
      <c r="BX18" s="561"/>
      <c r="BY18" s="563"/>
      <c r="BZ18" s="561"/>
      <c r="CA18" s="561"/>
      <c r="CB18" s="561"/>
      <c r="CC18" s="561"/>
      <c r="CD18" s="561"/>
      <c r="CE18" s="563"/>
      <c r="CF18" s="561"/>
      <c r="CG18" s="561"/>
      <c r="CH18" s="561">
        <v>0</v>
      </c>
      <c r="CI18" s="561"/>
      <c r="CJ18" s="561"/>
      <c r="CK18" s="563"/>
      <c r="CL18" s="561"/>
      <c r="CM18" s="561"/>
      <c r="CN18" s="561"/>
      <c r="CO18" s="561"/>
      <c r="CP18" s="561"/>
      <c r="CQ18" s="563"/>
      <c r="CR18" s="561"/>
      <c r="CS18" s="561"/>
      <c r="CT18" s="561"/>
      <c r="CU18" s="561"/>
      <c r="CV18" s="561"/>
      <c r="CW18" s="563"/>
      <c r="CX18" s="561"/>
      <c r="CY18" s="561"/>
      <c r="CZ18" s="561"/>
      <c r="DA18" s="561"/>
      <c r="DB18" s="561"/>
      <c r="DC18" s="563"/>
      <c r="DD18" s="561"/>
      <c r="DE18" s="561"/>
      <c r="DF18" s="561"/>
      <c r="DG18" s="561"/>
      <c r="DH18" s="561"/>
      <c r="DI18" s="563"/>
      <c r="DJ18" s="561"/>
      <c r="DK18" s="561"/>
      <c r="DL18" s="561"/>
      <c r="DM18" s="561"/>
      <c r="DN18" s="561"/>
      <c r="DO18" s="563"/>
      <c r="DP18" s="570"/>
      <c r="DQ18" s="955"/>
      <c r="DX18" s="957"/>
    </row>
    <row r="19" spans="1:128" ht="10.5" customHeight="1">
      <c r="A19" s="555" t="s">
        <v>1002</v>
      </c>
      <c r="B19" s="555"/>
      <c r="C19" s="556">
        <v>1.1639999999999999</v>
      </c>
      <c r="D19" s="556">
        <v>8.1489999999999991</v>
      </c>
      <c r="E19" s="556">
        <v>6.9660000000000002</v>
      </c>
      <c r="F19" s="556"/>
      <c r="G19" s="556">
        <v>6.4740000000000002</v>
      </c>
      <c r="H19" s="556">
        <v>5.7640000000000002</v>
      </c>
      <c r="I19" s="556">
        <v>5.1680000000000001</v>
      </c>
      <c r="J19" s="556">
        <v>4.9880000000000004</v>
      </c>
      <c r="K19" s="556">
        <f t="shared" ref="K19:K27" si="19">J19</f>
        <v>4.9880000000000004</v>
      </c>
      <c r="L19" s="556"/>
      <c r="M19" s="556">
        <v>4.5919999999999996</v>
      </c>
      <c r="N19" s="556">
        <v>4.43</v>
      </c>
      <c r="O19" s="556">
        <v>4.4290000000000003</v>
      </c>
      <c r="P19" s="557">
        <v>5.069</v>
      </c>
      <c r="Q19" s="556">
        <f t="shared" ref="Q19:Q27" si="20">P19</f>
        <v>5.069</v>
      </c>
      <c r="R19" s="556"/>
      <c r="S19" s="557">
        <v>4.548</v>
      </c>
      <c r="T19" s="556">
        <v>5.9859999999999998</v>
      </c>
      <c r="U19" s="556">
        <v>6.5250000000000004</v>
      </c>
      <c r="V19" s="556">
        <v>7.6369999999999996</v>
      </c>
      <c r="W19" s="556">
        <f t="shared" ref="W19:W27" si="21">V19</f>
        <v>7.6369999999999996</v>
      </c>
      <c r="X19" s="556"/>
      <c r="Y19" s="556">
        <v>15.289</v>
      </c>
      <c r="Z19" s="556">
        <v>17.28</v>
      </c>
      <c r="AA19" s="556">
        <v>20.853000000000002</v>
      </c>
      <c r="AB19" s="556">
        <v>24.216000000000001</v>
      </c>
      <c r="AC19" s="558">
        <f t="shared" ref="AC19:AC27" si="22">AB19</f>
        <v>24.216000000000001</v>
      </c>
      <c r="AD19" s="556"/>
      <c r="AE19" s="556">
        <v>24.786000000000001</v>
      </c>
      <c r="AF19" s="556">
        <v>24.841999999999999</v>
      </c>
      <c r="AG19" s="556">
        <v>28.151</v>
      </c>
      <c r="AH19" s="556">
        <v>30.155000000000001</v>
      </c>
      <c r="AI19" s="558">
        <f t="shared" ref="AI19:AI27" si="23">AH19</f>
        <v>30.155000000000001</v>
      </c>
      <c r="AJ19" s="556"/>
      <c r="AK19" s="556">
        <v>33.848999999999997</v>
      </c>
      <c r="AL19" s="556">
        <v>36.69</v>
      </c>
      <c r="AM19" s="556">
        <v>38.912999999999997</v>
      </c>
      <c r="AN19" s="556">
        <v>41.38</v>
      </c>
      <c r="AO19" s="558">
        <f t="shared" ref="AO19:AO27" si="24">AN19</f>
        <v>41.38</v>
      </c>
      <c r="AP19" s="556"/>
      <c r="AQ19" s="556">
        <v>56.816000000000003</v>
      </c>
      <c r="AR19" s="556">
        <v>56.643000000000001</v>
      </c>
      <c r="AS19" s="556">
        <v>66.832999999999998</v>
      </c>
      <c r="AT19" s="556">
        <v>77.027000000000001</v>
      </c>
      <c r="AU19" s="558">
        <f t="shared" ref="AU19:AU27" si="25">AT19</f>
        <v>77.027000000000001</v>
      </c>
      <c r="AV19" s="556"/>
      <c r="AW19" s="557">
        <v>88.478999999999999</v>
      </c>
      <c r="AX19" s="556">
        <v>96.47</v>
      </c>
      <c r="AY19" s="556">
        <v>95.597999999999999</v>
      </c>
      <c r="AZ19" s="556">
        <v>89.710999999999999</v>
      </c>
      <c r="BA19" s="558">
        <f t="shared" ref="BA19:BA27" si="26">AZ19</f>
        <v>89.710999999999999</v>
      </c>
      <c r="BB19" s="556"/>
      <c r="BC19" s="556">
        <v>86.71</v>
      </c>
      <c r="BD19" s="556">
        <v>100.946</v>
      </c>
      <c r="BE19" s="556">
        <v>116.078</v>
      </c>
      <c r="BF19" s="556">
        <v>387.17399999999998</v>
      </c>
      <c r="BG19" s="558">
        <f t="shared" ref="BG19:BG27" si="27">BF19</f>
        <v>387.17399999999998</v>
      </c>
      <c r="BH19" s="556"/>
      <c r="BI19" s="556">
        <v>446.26799999999997</v>
      </c>
      <c r="BJ19" s="556">
        <v>470.07</v>
      </c>
      <c r="BK19" s="556">
        <v>504.827</v>
      </c>
      <c r="BL19" s="556">
        <v>527.94600000000003</v>
      </c>
      <c r="BM19" s="558">
        <f t="shared" ref="BM19:BM27" si="28">BL19</f>
        <v>527.94600000000003</v>
      </c>
      <c r="BN19" s="556"/>
      <c r="BO19" s="556">
        <v>549.73199999999997</v>
      </c>
      <c r="BP19" s="556">
        <v>556.77599999999995</v>
      </c>
      <c r="BQ19" s="556">
        <v>583.83900000000006</v>
      </c>
      <c r="BR19" s="556">
        <v>604.66899999999998</v>
      </c>
      <c r="BS19" s="558">
        <f t="shared" ref="BS19:BS27" si="29">BR19</f>
        <v>604.66899999999998</v>
      </c>
      <c r="BT19" s="556"/>
      <c r="BU19" s="556">
        <v>623.68399999999997</v>
      </c>
      <c r="BV19" s="556">
        <v>1184.8610000000001</v>
      </c>
      <c r="BW19" s="556">
        <v>1205.3489999999999</v>
      </c>
      <c r="BX19" s="556">
        <v>1240.7460000000001</v>
      </c>
      <c r="BY19" s="558">
        <f t="shared" ref="BY19:BY27" si="30">BX19</f>
        <v>1240.7460000000001</v>
      </c>
      <c r="BZ19" s="556"/>
      <c r="CA19" s="556">
        <v>1251</v>
      </c>
      <c r="CB19" s="556">
        <v>1189.93</v>
      </c>
      <c r="CC19" s="556">
        <v>1109.816</v>
      </c>
      <c r="CD19" s="556">
        <v>1125.866</v>
      </c>
      <c r="CE19" s="558">
        <f t="shared" ref="CE19:CE27" si="31">CD19</f>
        <v>1125.866</v>
      </c>
      <c r="CF19" s="556"/>
      <c r="CG19" s="556">
        <v>1737.0940000000001</v>
      </c>
      <c r="CH19" s="556">
        <v>1725.184</v>
      </c>
      <c r="CI19" s="556">
        <v>1742.1420000000001</v>
      </c>
      <c r="CJ19" s="556">
        <v>1715.828</v>
      </c>
      <c r="CK19" s="558">
        <f t="shared" ref="CK19:CK27" si="32">CJ19</f>
        <v>1715.828</v>
      </c>
      <c r="CL19" s="556"/>
      <c r="CM19" s="556">
        <v>1711.472</v>
      </c>
      <c r="CN19" s="556">
        <v>1728.2429999999999</v>
      </c>
      <c r="CO19" s="556">
        <v>1756.673</v>
      </c>
      <c r="CP19" s="556">
        <v>1787.5340000000001</v>
      </c>
      <c r="CQ19" s="558">
        <f t="shared" ref="CQ19:CQ27" si="33">CP19</f>
        <v>1787.5340000000001</v>
      </c>
      <c r="CR19" s="556"/>
      <c r="CS19" s="556">
        <v>1846.413</v>
      </c>
      <c r="CT19" s="556">
        <v>1866.576</v>
      </c>
      <c r="CU19" s="556">
        <v>1864.8910000000001</v>
      </c>
      <c r="CV19" s="556">
        <v>1946.527</v>
      </c>
      <c r="CW19" s="558">
        <f t="shared" ref="CW19:CW27" si="34">CV19</f>
        <v>1946.527</v>
      </c>
      <c r="CX19" s="556"/>
      <c r="CY19" s="556">
        <f>CY107</f>
        <v>1958.6722465393195</v>
      </c>
      <c r="CZ19" s="556">
        <f>CZ107</f>
        <v>1926.0767040776911</v>
      </c>
      <c r="DA19" s="556">
        <f>DA107</f>
        <v>1865.7303359626312</v>
      </c>
      <c r="DB19" s="556">
        <f>DB107</f>
        <v>1829.2439591091193</v>
      </c>
      <c r="DC19" s="558">
        <f t="shared" ref="DC19:DC27" si="35">DB19</f>
        <v>1829.2439591091193</v>
      </c>
      <c r="DD19" s="556"/>
      <c r="DE19" s="556">
        <f>DE107</f>
        <v>1834.2542578417047</v>
      </c>
      <c r="DF19" s="556">
        <f>DF107</f>
        <v>1804.0151297013558</v>
      </c>
      <c r="DG19" s="556">
        <f>DG107</f>
        <v>1740.3975972211838</v>
      </c>
      <c r="DH19" s="556">
        <f>DH107</f>
        <v>1704.6190290343884</v>
      </c>
      <c r="DI19" s="558">
        <f t="shared" ref="DI19:DI27" si="36">DH19</f>
        <v>1704.6190290343884</v>
      </c>
      <c r="DJ19" s="556"/>
      <c r="DK19" s="556">
        <f>DK107</f>
        <v>1676.7457930836517</v>
      </c>
      <c r="DL19" s="556">
        <f>DL107</f>
        <v>1649.9773989311871</v>
      </c>
      <c r="DM19" s="556">
        <f>DM107</f>
        <v>1583.2109022864074</v>
      </c>
      <c r="DN19" s="556">
        <f>DN107</f>
        <v>1573.3605222413585</v>
      </c>
      <c r="DO19" s="558">
        <f t="shared" ref="DO19:DO27" si="37">DN19</f>
        <v>1573.3605222413585</v>
      </c>
      <c r="DP19" s="570"/>
      <c r="DQ19" s="955"/>
      <c r="DX19" s="957"/>
    </row>
    <row r="20" spans="1:128" ht="12" customHeight="1">
      <c r="A20" s="555" t="s">
        <v>213</v>
      </c>
      <c r="B20" s="555"/>
      <c r="C20" s="556">
        <v>0</v>
      </c>
      <c r="D20" s="556">
        <v>0</v>
      </c>
      <c r="E20" s="556">
        <v>0</v>
      </c>
      <c r="F20" s="556"/>
      <c r="G20" s="556">
        <v>0</v>
      </c>
      <c r="H20" s="556">
        <v>0</v>
      </c>
      <c r="I20" s="556">
        <v>0</v>
      </c>
      <c r="J20" s="556">
        <v>0</v>
      </c>
      <c r="K20" s="556">
        <f t="shared" si="19"/>
        <v>0</v>
      </c>
      <c r="L20" s="556"/>
      <c r="M20" s="556">
        <v>0</v>
      </c>
      <c r="N20" s="556">
        <v>0</v>
      </c>
      <c r="O20" s="556">
        <v>0</v>
      </c>
      <c r="P20" s="556">
        <v>0</v>
      </c>
      <c r="Q20" s="556">
        <f t="shared" si="20"/>
        <v>0</v>
      </c>
      <c r="R20" s="556"/>
      <c r="S20" s="556">
        <v>0</v>
      </c>
      <c r="T20" s="556">
        <v>0</v>
      </c>
      <c r="U20" s="556">
        <v>0</v>
      </c>
      <c r="V20" s="556">
        <v>0</v>
      </c>
      <c r="W20" s="556">
        <f t="shared" si="21"/>
        <v>0</v>
      </c>
      <c r="X20" s="556"/>
      <c r="Y20" s="556">
        <v>0</v>
      </c>
      <c r="Z20" s="556">
        <v>0</v>
      </c>
      <c r="AA20" s="556">
        <v>0</v>
      </c>
      <c r="AB20" s="556">
        <v>0</v>
      </c>
      <c r="AC20" s="558">
        <f t="shared" si="22"/>
        <v>0</v>
      </c>
      <c r="AD20" s="556"/>
      <c r="AE20" s="556">
        <v>0</v>
      </c>
      <c r="AF20" s="556">
        <v>0</v>
      </c>
      <c r="AG20" s="556">
        <v>0</v>
      </c>
      <c r="AH20" s="556">
        <v>0</v>
      </c>
      <c r="AI20" s="558">
        <f t="shared" si="23"/>
        <v>0</v>
      </c>
      <c r="AJ20" s="556"/>
      <c r="AK20" s="556">
        <v>0</v>
      </c>
      <c r="AL20" s="556">
        <v>0</v>
      </c>
      <c r="AM20" s="556">
        <v>0</v>
      </c>
      <c r="AN20" s="556">
        <v>0</v>
      </c>
      <c r="AO20" s="558">
        <f t="shared" si="24"/>
        <v>0</v>
      </c>
      <c r="AP20" s="556"/>
      <c r="AQ20" s="556">
        <v>0</v>
      </c>
      <c r="AR20" s="556">
        <v>0</v>
      </c>
      <c r="AS20" s="556">
        <v>0</v>
      </c>
      <c r="AT20" s="556">
        <v>0</v>
      </c>
      <c r="AU20" s="558">
        <f t="shared" si="25"/>
        <v>0</v>
      </c>
      <c r="AV20" s="556"/>
      <c r="AW20" s="557">
        <v>0</v>
      </c>
      <c r="AX20" s="556">
        <v>0</v>
      </c>
      <c r="AY20" s="556">
        <v>0</v>
      </c>
      <c r="AZ20" s="556">
        <v>0</v>
      </c>
      <c r="BA20" s="558">
        <f t="shared" si="26"/>
        <v>0</v>
      </c>
      <c r="BB20" s="556"/>
      <c r="BC20" s="556">
        <v>0</v>
      </c>
      <c r="BD20" s="556">
        <v>0</v>
      </c>
      <c r="BE20" s="556">
        <v>0</v>
      </c>
      <c r="BF20" s="556">
        <v>0</v>
      </c>
      <c r="BG20" s="558">
        <f t="shared" si="27"/>
        <v>0</v>
      </c>
      <c r="BH20" s="556"/>
      <c r="BI20" s="556">
        <f>BF20</f>
        <v>0</v>
      </c>
      <c r="BJ20" s="556">
        <f>BI20</f>
        <v>0</v>
      </c>
      <c r="BK20" s="556">
        <f>BJ20</f>
        <v>0</v>
      </c>
      <c r="BL20" s="556">
        <v>0</v>
      </c>
      <c r="BM20" s="558">
        <f t="shared" si="28"/>
        <v>0</v>
      </c>
      <c r="BN20" s="556"/>
      <c r="BO20" s="556">
        <v>0</v>
      </c>
      <c r="BP20" s="556">
        <f>BO20</f>
        <v>0</v>
      </c>
      <c r="BQ20" s="556">
        <f>BP20</f>
        <v>0</v>
      </c>
      <c r="BR20" s="556">
        <f>BQ20</f>
        <v>0</v>
      </c>
      <c r="BS20" s="558">
        <f t="shared" si="29"/>
        <v>0</v>
      </c>
      <c r="BT20" s="556"/>
      <c r="BU20" s="556">
        <f>BR20</f>
        <v>0</v>
      </c>
      <c r="BV20" s="556">
        <f>BU20</f>
        <v>0</v>
      </c>
      <c r="BW20" s="556">
        <f>BV20</f>
        <v>0</v>
      </c>
      <c r="BX20" s="556">
        <v>0</v>
      </c>
      <c r="BY20" s="558">
        <f t="shared" si="30"/>
        <v>0</v>
      </c>
      <c r="BZ20" s="556"/>
      <c r="CA20" s="556">
        <f>BX20</f>
        <v>0</v>
      </c>
      <c r="CB20" s="556">
        <f>CA20</f>
        <v>0</v>
      </c>
      <c r="CC20" s="556">
        <f>CB20</f>
        <v>0</v>
      </c>
      <c r="CD20" s="556">
        <f>CC20</f>
        <v>0</v>
      </c>
      <c r="CE20" s="558">
        <f t="shared" si="31"/>
        <v>0</v>
      </c>
      <c r="CF20" s="556"/>
      <c r="CG20" s="556">
        <f>CD20</f>
        <v>0</v>
      </c>
      <c r="CH20" s="556">
        <f>CG20</f>
        <v>0</v>
      </c>
      <c r="CI20" s="556">
        <f>CH20</f>
        <v>0</v>
      </c>
      <c r="CJ20" s="556">
        <f>CI20</f>
        <v>0</v>
      </c>
      <c r="CK20" s="558">
        <f t="shared" si="32"/>
        <v>0</v>
      </c>
      <c r="CL20" s="556"/>
      <c r="CM20" s="556">
        <v>0</v>
      </c>
      <c r="CN20" s="556">
        <v>0</v>
      </c>
      <c r="CO20" s="556">
        <v>0</v>
      </c>
      <c r="CP20" s="556">
        <f>CO20</f>
        <v>0</v>
      </c>
      <c r="CQ20" s="558">
        <f t="shared" si="33"/>
        <v>0</v>
      </c>
      <c r="CR20" s="556"/>
      <c r="CS20" s="556">
        <f>CP20</f>
        <v>0</v>
      </c>
      <c r="CT20" s="556">
        <v>0</v>
      </c>
      <c r="CU20" s="556">
        <v>0</v>
      </c>
      <c r="CV20" s="556">
        <v>0</v>
      </c>
      <c r="CW20" s="558">
        <f t="shared" si="34"/>
        <v>0</v>
      </c>
      <c r="CX20" s="556"/>
      <c r="CY20" s="556">
        <f>CV20</f>
        <v>0</v>
      </c>
      <c r="CZ20" s="556">
        <f>CY20</f>
        <v>0</v>
      </c>
      <c r="DA20" s="556">
        <f>CZ20</f>
        <v>0</v>
      </c>
      <c r="DB20" s="556">
        <f>DA20</f>
        <v>0</v>
      </c>
      <c r="DC20" s="558">
        <f t="shared" si="35"/>
        <v>0</v>
      </c>
      <c r="DD20" s="556"/>
      <c r="DE20" s="556">
        <f>DB20</f>
        <v>0</v>
      </c>
      <c r="DF20" s="556">
        <f>DE20</f>
        <v>0</v>
      </c>
      <c r="DG20" s="556">
        <f>DF20</f>
        <v>0</v>
      </c>
      <c r="DH20" s="556">
        <f>DG20</f>
        <v>0</v>
      </c>
      <c r="DI20" s="558">
        <f t="shared" si="36"/>
        <v>0</v>
      </c>
      <c r="DJ20" s="556"/>
      <c r="DK20" s="556">
        <f>DH20</f>
        <v>0</v>
      </c>
      <c r="DL20" s="556">
        <f>DK20</f>
        <v>0</v>
      </c>
      <c r="DM20" s="556">
        <f>DL20</f>
        <v>0</v>
      </c>
      <c r="DN20" s="556">
        <f>DM20</f>
        <v>0</v>
      </c>
      <c r="DO20" s="558">
        <f t="shared" si="37"/>
        <v>0</v>
      </c>
      <c r="DP20" s="570"/>
      <c r="DQ20" s="955"/>
      <c r="DX20" s="957"/>
    </row>
    <row r="21" spans="1:128" ht="10.5" customHeight="1">
      <c r="A21" s="555" t="s">
        <v>768</v>
      </c>
      <c r="B21" s="555"/>
      <c r="C21" s="565">
        <v>0</v>
      </c>
      <c r="D21" s="565">
        <v>0</v>
      </c>
      <c r="E21" s="565">
        <v>0</v>
      </c>
      <c r="F21" s="565"/>
      <c r="G21" s="566">
        <v>0</v>
      </c>
      <c r="H21" s="566">
        <v>0</v>
      </c>
      <c r="I21" s="566">
        <v>0</v>
      </c>
      <c r="J21" s="566">
        <v>0</v>
      </c>
      <c r="K21" s="565">
        <f t="shared" si="19"/>
        <v>0</v>
      </c>
      <c r="L21" s="565"/>
      <c r="M21" s="566">
        <v>0</v>
      </c>
      <c r="N21" s="566">
        <v>0</v>
      </c>
      <c r="O21" s="566">
        <v>0</v>
      </c>
      <c r="P21" s="567">
        <v>0</v>
      </c>
      <c r="Q21" s="565">
        <f t="shared" si="20"/>
        <v>0</v>
      </c>
      <c r="R21" s="565"/>
      <c r="S21" s="567">
        <v>0</v>
      </c>
      <c r="T21" s="565">
        <v>0</v>
      </c>
      <c r="U21" s="565">
        <v>0</v>
      </c>
      <c r="V21" s="565">
        <v>0</v>
      </c>
      <c r="W21" s="565">
        <f t="shared" si="21"/>
        <v>0</v>
      </c>
      <c r="X21" s="565"/>
      <c r="Y21" s="565">
        <v>0</v>
      </c>
      <c r="Z21" s="565">
        <v>0</v>
      </c>
      <c r="AA21" s="565">
        <v>0</v>
      </c>
      <c r="AB21" s="565">
        <v>0</v>
      </c>
      <c r="AC21" s="568">
        <f t="shared" si="22"/>
        <v>0</v>
      </c>
      <c r="AD21" s="565"/>
      <c r="AE21" s="565">
        <v>7.2389999999999999</v>
      </c>
      <c r="AF21" s="565">
        <v>7.2389999999999999</v>
      </c>
      <c r="AG21" s="567">
        <v>6.7430000000000003</v>
      </c>
      <c r="AH21" s="565">
        <v>6.7050000000000001</v>
      </c>
      <c r="AI21" s="568">
        <f t="shared" si="23"/>
        <v>6.7050000000000001</v>
      </c>
      <c r="AJ21" s="565"/>
      <c r="AK21" s="565">
        <v>6.7050000000000001</v>
      </c>
      <c r="AL21" s="565">
        <v>6.7050000000000001</v>
      </c>
      <c r="AM21" s="565">
        <v>8.5559999999999992</v>
      </c>
      <c r="AN21" s="565">
        <v>8.5559999999999992</v>
      </c>
      <c r="AO21" s="568">
        <f t="shared" si="24"/>
        <v>8.5559999999999992</v>
      </c>
      <c r="AP21" s="565"/>
      <c r="AQ21" s="565">
        <v>8.5559999999999992</v>
      </c>
      <c r="AR21" s="565">
        <v>8.5559999999999992</v>
      </c>
      <c r="AS21" s="565">
        <v>27.699000000000002</v>
      </c>
      <c r="AT21" s="565">
        <v>44.872</v>
      </c>
      <c r="AU21" s="568">
        <f t="shared" si="25"/>
        <v>44.872</v>
      </c>
      <c r="AV21" s="565"/>
      <c r="AW21" s="567">
        <v>44.872</v>
      </c>
      <c r="AX21" s="565">
        <v>44.872</v>
      </c>
      <c r="AY21" s="565">
        <v>45.402000000000001</v>
      </c>
      <c r="AZ21" s="565">
        <v>48.954999999999998</v>
      </c>
      <c r="BA21" s="568">
        <f t="shared" si="26"/>
        <v>48.954999999999998</v>
      </c>
      <c r="BB21" s="565"/>
      <c r="BC21" s="565">
        <v>47.749000000000002</v>
      </c>
      <c r="BD21" s="565">
        <v>184.53899999999999</v>
      </c>
      <c r="BE21" s="565">
        <v>187.03800000000001</v>
      </c>
      <c r="BF21" s="565">
        <f>396.081</f>
        <v>396.08100000000002</v>
      </c>
      <c r="BG21" s="568">
        <f t="shared" si="27"/>
        <v>396.08100000000002</v>
      </c>
      <c r="BH21" s="565"/>
      <c r="BI21" s="569">
        <v>406.88900000000001</v>
      </c>
      <c r="BJ21" s="569">
        <v>671.57</v>
      </c>
      <c r="BK21" s="569">
        <v>732.06200000000001</v>
      </c>
      <c r="BL21" s="569">
        <v>785.38099999999997</v>
      </c>
      <c r="BM21" s="568">
        <f t="shared" si="28"/>
        <v>785.38099999999997</v>
      </c>
      <c r="BN21" s="565"/>
      <c r="BO21" s="569">
        <v>831.00400000000002</v>
      </c>
      <c r="BP21" s="569">
        <f>840.531</f>
        <v>840.53099999999995</v>
      </c>
      <c r="BQ21" s="569">
        <v>1525.154</v>
      </c>
      <c r="BR21" s="569">
        <v>1529.3779999999999</v>
      </c>
      <c r="BS21" s="568">
        <f t="shared" si="29"/>
        <v>1529.3779999999999</v>
      </c>
      <c r="BT21" s="565"/>
      <c r="BU21" s="569">
        <v>1544.5840000000001</v>
      </c>
      <c r="BV21" s="569">
        <v>3503.681</v>
      </c>
      <c r="BW21" s="569">
        <v>3495.0210000000002</v>
      </c>
      <c r="BX21" s="569">
        <v>3500.8229999999999</v>
      </c>
      <c r="BY21" s="568">
        <f t="shared" si="30"/>
        <v>3500.8229999999999</v>
      </c>
      <c r="BZ21" s="565"/>
      <c r="CA21" s="569">
        <v>3500.8229999999999</v>
      </c>
      <c r="CB21" s="569">
        <v>3492.7130000000002</v>
      </c>
      <c r="CC21" s="569">
        <v>3782.569</v>
      </c>
      <c r="CD21" s="569">
        <v>3782.66</v>
      </c>
      <c r="CE21" s="568">
        <f t="shared" si="31"/>
        <v>3782.66</v>
      </c>
      <c r="CF21" s="565"/>
      <c r="CG21" s="569">
        <v>3791.5830000000001</v>
      </c>
      <c r="CH21" s="569">
        <v>3804.288</v>
      </c>
      <c r="CI21" s="569">
        <v>3849.0540000000001</v>
      </c>
      <c r="CJ21" s="569">
        <v>3849.9369999999999</v>
      </c>
      <c r="CK21" s="568">
        <f t="shared" si="32"/>
        <v>3849.9369999999999</v>
      </c>
      <c r="CL21" s="565"/>
      <c r="CM21" s="569">
        <v>4129.6559999999999</v>
      </c>
      <c r="CN21" s="569">
        <v>6029.8950000000004</v>
      </c>
      <c r="CO21" s="569">
        <v>6616.9989999999998</v>
      </c>
      <c r="CP21" s="569">
        <v>7263.8459999999995</v>
      </c>
      <c r="CQ21" s="568">
        <f t="shared" si="33"/>
        <v>7263.8459999999995</v>
      </c>
      <c r="CR21" s="565"/>
      <c r="CS21" s="569">
        <v>7290.0249999999996</v>
      </c>
      <c r="CT21" s="569">
        <v>7294.3810000000003</v>
      </c>
      <c r="CU21" s="569">
        <v>7294.1409999999996</v>
      </c>
      <c r="CV21" s="569">
        <v>7314.0959999999995</v>
      </c>
      <c r="CW21" s="568">
        <f t="shared" si="34"/>
        <v>7314.0959999999995</v>
      </c>
      <c r="CX21" s="565"/>
      <c r="CY21" s="569">
        <f>CV21-Model!CY55</f>
        <v>7245.1639999999998</v>
      </c>
      <c r="CZ21" s="569">
        <f>CY21-Model!CZ55</f>
        <v>7176.232</v>
      </c>
      <c r="DA21" s="569">
        <f>CZ21-Model!DA55</f>
        <v>7107.3</v>
      </c>
      <c r="DB21" s="569">
        <f>DA21-Model!DB55</f>
        <v>7038.3680000000004</v>
      </c>
      <c r="DC21" s="568">
        <f t="shared" si="35"/>
        <v>7038.3680000000004</v>
      </c>
      <c r="DD21" s="565"/>
      <c r="DE21" s="569">
        <f>DB21-Model!DE55</f>
        <v>6969.4360000000006</v>
      </c>
      <c r="DF21" s="569">
        <f>DE21-Model!DF55</f>
        <v>6900.5040000000008</v>
      </c>
      <c r="DG21" s="569">
        <f>DF21-Model!DG55</f>
        <v>6831.572000000001</v>
      </c>
      <c r="DH21" s="569">
        <f>DG21-Model!DH55</f>
        <v>6762.6400000000012</v>
      </c>
      <c r="DI21" s="568">
        <f t="shared" si="36"/>
        <v>6762.6400000000012</v>
      </c>
      <c r="DJ21" s="565"/>
      <c r="DK21" s="569">
        <f>DH21-Model!DK55</f>
        <v>6693.7080000000014</v>
      </c>
      <c r="DL21" s="569">
        <f>DK21-Model!DL55</f>
        <v>6624.7760000000017</v>
      </c>
      <c r="DM21" s="569">
        <f>DL21-Model!DM55</f>
        <v>6555.8440000000019</v>
      </c>
      <c r="DN21" s="569">
        <f>DM21-Model!DN55</f>
        <v>6486.9120000000021</v>
      </c>
      <c r="DO21" s="568">
        <f t="shared" si="37"/>
        <v>6486.9120000000021</v>
      </c>
      <c r="DP21" s="570"/>
      <c r="DQ21" s="955"/>
      <c r="DX21" s="957"/>
    </row>
    <row r="22" spans="1:128" ht="10.5" customHeight="1">
      <c r="A22" s="555" t="s">
        <v>1001</v>
      </c>
      <c r="B22" s="555"/>
      <c r="C22" s="565">
        <v>0</v>
      </c>
      <c r="D22" s="565">
        <v>3.5</v>
      </c>
      <c r="E22" s="565">
        <v>3.5</v>
      </c>
      <c r="F22" s="556"/>
      <c r="G22" s="556">
        <v>3.544</v>
      </c>
      <c r="H22" s="556">
        <v>3.5569999999999999</v>
      </c>
      <c r="I22" s="556">
        <v>3.57</v>
      </c>
      <c r="J22" s="556">
        <v>3.7330000000000001</v>
      </c>
      <c r="K22" s="556">
        <f t="shared" si="19"/>
        <v>3.7330000000000001</v>
      </c>
      <c r="L22" s="556"/>
      <c r="M22" s="556">
        <v>3.7519999999999998</v>
      </c>
      <c r="N22" s="556">
        <v>3.76</v>
      </c>
      <c r="O22" s="556">
        <v>3.9119999999999999</v>
      </c>
      <c r="P22" s="557">
        <v>3.9119999999999999</v>
      </c>
      <c r="Q22" s="556">
        <f t="shared" si="20"/>
        <v>3.9119999999999999</v>
      </c>
      <c r="R22" s="556"/>
      <c r="S22" s="557">
        <v>3.9180000000000001</v>
      </c>
      <c r="T22" s="556">
        <f>56.477+3.158</f>
        <v>59.634999999999998</v>
      </c>
      <c r="U22" s="556">
        <f>70.617+2.927</f>
        <v>73.544000000000011</v>
      </c>
      <c r="V22" s="556">
        <f>87.12+3.191</f>
        <v>90.311000000000007</v>
      </c>
      <c r="W22" s="556">
        <f t="shared" si="21"/>
        <v>90.311000000000007</v>
      </c>
      <c r="X22" s="556"/>
      <c r="Y22" s="556">
        <f>91.459+3.285</f>
        <v>94.744</v>
      </c>
      <c r="Z22" s="556">
        <f>98.3+3.307</f>
        <v>101.607</v>
      </c>
      <c r="AA22" s="556">
        <v>84.128</v>
      </c>
      <c r="AB22" s="556">
        <v>89.227000000000004</v>
      </c>
      <c r="AC22" s="558">
        <f t="shared" si="22"/>
        <v>89.227000000000004</v>
      </c>
      <c r="AD22" s="556"/>
      <c r="AE22" s="556">
        <v>65.156000000000006</v>
      </c>
      <c r="AF22" s="556">
        <v>67.418000000000006</v>
      </c>
      <c r="AG22" s="557">
        <v>126.38</v>
      </c>
      <c r="AH22" s="556">
        <v>160.08799999999999</v>
      </c>
      <c r="AI22" s="558">
        <f t="shared" si="23"/>
        <v>160.08799999999999</v>
      </c>
      <c r="AJ22" s="556"/>
      <c r="AK22" s="556">
        <v>197.69800000000001</v>
      </c>
      <c r="AL22" s="556">
        <v>189.36099999999999</v>
      </c>
      <c r="AM22" s="556">
        <v>196.935</v>
      </c>
      <c r="AN22" s="556">
        <v>218.95699999999999</v>
      </c>
      <c r="AO22" s="558">
        <f t="shared" si="24"/>
        <v>218.95699999999999</v>
      </c>
      <c r="AP22" s="556"/>
      <c r="AQ22" s="556">
        <v>255.55</v>
      </c>
      <c r="AR22" s="556">
        <v>245.07599999999999</v>
      </c>
      <c r="AS22" s="556">
        <v>203.148</v>
      </c>
      <c r="AT22" s="556">
        <v>184.96199999999999</v>
      </c>
      <c r="AU22" s="558">
        <f t="shared" si="25"/>
        <v>184.96199999999999</v>
      </c>
      <c r="AV22" s="556"/>
      <c r="AW22" s="557">
        <v>467.21</v>
      </c>
      <c r="AX22" s="556">
        <v>610.28</v>
      </c>
      <c r="AY22" s="556">
        <v>624.75800000000004</v>
      </c>
      <c r="AZ22" s="556">
        <v>485.08300000000003</v>
      </c>
      <c r="BA22" s="558">
        <f t="shared" si="26"/>
        <v>485.08300000000003</v>
      </c>
      <c r="BB22" s="556"/>
      <c r="BC22" s="556">
        <v>949.79600000000005</v>
      </c>
      <c r="BD22" s="556">
        <v>1116.6610000000001</v>
      </c>
      <c r="BE22" s="556">
        <v>1032.5920000000001</v>
      </c>
      <c r="BF22" s="556">
        <v>910.58699999999999</v>
      </c>
      <c r="BG22" s="558">
        <f t="shared" si="27"/>
        <v>910.58699999999999</v>
      </c>
      <c r="BH22" s="556"/>
      <c r="BI22" s="559">
        <v>758.44899999999996</v>
      </c>
      <c r="BJ22" s="559">
        <v>709.28200000000004</v>
      </c>
      <c r="BK22" s="559">
        <v>650.84500000000003</v>
      </c>
      <c r="BL22" s="559">
        <v>669.30799999999999</v>
      </c>
      <c r="BM22" s="558">
        <f t="shared" si="28"/>
        <v>669.30799999999999</v>
      </c>
      <c r="BN22" s="556"/>
      <c r="BO22" s="559">
        <v>946.70100000000002</v>
      </c>
      <c r="BP22" s="559">
        <v>696.60199999999998</v>
      </c>
      <c r="BQ22" s="559">
        <v>810.48599999999999</v>
      </c>
      <c r="BR22" s="559">
        <v>890.66399999999999</v>
      </c>
      <c r="BS22" s="558">
        <f t="shared" si="29"/>
        <v>890.66399999999999</v>
      </c>
      <c r="BT22" s="556"/>
      <c r="BU22" s="559">
        <v>979.64</v>
      </c>
      <c r="BV22" s="559">
        <v>306.517</v>
      </c>
      <c r="BW22" s="559">
        <v>381.76499999999999</v>
      </c>
      <c r="BX22" s="559">
        <v>482.24299999999999</v>
      </c>
      <c r="BY22" s="558">
        <f t="shared" si="30"/>
        <v>482.24299999999999</v>
      </c>
      <c r="BZ22" s="556"/>
      <c r="CA22" s="559">
        <v>650.76400000000001</v>
      </c>
      <c r="CB22" s="559">
        <v>827.18299999999999</v>
      </c>
      <c r="CC22" s="559">
        <v>901.173</v>
      </c>
      <c r="CD22" s="559">
        <v>894.85500000000002</v>
      </c>
      <c r="CE22" s="558">
        <f t="shared" si="31"/>
        <v>894.85500000000002</v>
      </c>
      <c r="CF22" s="556"/>
      <c r="CG22" s="559">
        <v>903.46100000000001</v>
      </c>
      <c r="CH22" s="559">
        <v>896.49400000000003</v>
      </c>
      <c r="CI22" s="559">
        <v>943.30100000000004</v>
      </c>
      <c r="CJ22" s="559">
        <v>1383.9960000000001</v>
      </c>
      <c r="CK22" s="558">
        <f t="shared" si="32"/>
        <v>1383.9960000000001</v>
      </c>
      <c r="CL22" s="556"/>
      <c r="CM22" s="559">
        <v>1684.26</v>
      </c>
      <c r="CN22" s="559">
        <v>545.66300000000001</v>
      </c>
      <c r="CO22" s="559">
        <v>550.32299999999998</v>
      </c>
      <c r="CP22" s="559">
        <v>566.95299999999997</v>
      </c>
      <c r="CQ22" s="558">
        <f t="shared" si="33"/>
        <v>566.95299999999997</v>
      </c>
      <c r="CR22" s="556"/>
      <c r="CS22" s="559">
        <v>639.19100000000003</v>
      </c>
      <c r="CT22" s="559">
        <v>657.68700000000001</v>
      </c>
      <c r="CU22" s="559">
        <v>670.40599999999995</v>
      </c>
      <c r="CV22" s="559">
        <v>677.28300000000002</v>
      </c>
      <c r="CW22" s="558">
        <f t="shared" si="34"/>
        <v>677.28300000000002</v>
      </c>
      <c r="CX22" s="556"/>
      <c r="CY22" s="559">
        <f>CV22</f>
        <v>677.28300000000002</v>
      </c>
      <c r="CZ22" s="559">
        <f>CY22</f>
        <v>677.28300000000002</v>
      </c>
      <c r="DA22" s="559">
        <f>CZ22</f>
        <v>677.28300000000002</v>
      </c>
      <c r="DB22" s="559">
        <f>DA22</f>
        <v>677.28300000000002</v>
      </c>
      <c r="DC22" s="558">
        <f t="shared" si="35"/>
        <v>677.28300000000002</v>
      </c>
      <c r="DD22" s="556"/>
      <c r="DE22" s="559">
        <f>DB22</f>
        <v>677.28300000000002</v>
      </c>
      <c r="DF22" s="559">
        <f>DE22</f>
        <v>677.28300000000002</v>
      </c>
      <c r="DG22" s="559">
        <f>DF22</f>
        <v>677.28300000000002</v>
      </c>
      <c r="DH22" s="559">
        <f>DG22</f>
        <v>677.28300000000002</v>
      </c>
      <c r="DI22" s="558">
        <f t="shared" si="36"/>
        <v>677.28300000000002</v>
      </c>
      <c r="DJ22" s="556"/>
      <c r="DK22" s="559">
        <f>DH22</f>
        <v>677.28300000000002</v>
      </c>
      <c r="DL22" s="559">
        <f>DK22</f>
        <v>677.28300000000002</v>
      </c>
      <c r="DM22" s="559">
        <f>DL22</f>
        <v>677.28300000000002</v>
      </c>
      <c r="DN22" s="559">
        <f>DM22</f>
        <v>677.28300000000002</v>
      </c>
      <c r="DO22" s="558">
        <f t="shared" si="37"/>
        <v>677.28300000000002</v>
      </c>
      <c r="DP22" s="570"/>
      <c r="DQ22" s="955"/>
      <c r="DX22" s="957"/>
    </row>
    <row r="23" spans="1:128" ht="10.5" customHeight="1">
      <c r="A23" s="555" t="s">
        <v>403</v>
      </c>
      <c r="B23" s="555"/>
      <c r="C23" s="565"/>
      <c r="D23" s="565"/>
      <c r="E23" s="565"/>
      <c r="F23" s="556"/>
      <c r="G23" s="556"/>
      <c r="H23" s="556"/>
      <c r="I23" s="556"/>
      <c r="J23" s="556"/>
      <c r="K23" s="556"/>
      <c r="L23" s="556"/>
      <c r="M23" s="556"/>
      <c r="N23" s="556"/>
      <c r="O23" s="556"/>
      <c r="P23" s="557"/>
      <c r="Q23" s="556">
        <f t="shared" si="20"/>
        <v>0</v>
      </c>
      <c r="R23" s="556"/>
      <c r="S23" s="557">
        <v>2.129</v>
      </c>
      <c r="T23" s="556">
        <v>2.1269999999999998</v>
      </c>
      <c r="U23" s="556">
        <v>1.9359999999999999</v>
      </c>
      <c r="V23" s="556">
        <v>2.0569999999999999</v>
      </c>
      <c r="W23" s="556">
        <f t="shared" si="21"/>
        <v>2.0569999999999999</v>
      </c>
      <c r="X23" s="556"/>
      <c r="Y23" s="556">
        <v>1.8109999999999999</v>
      </c>
      <c r="Z23" s="556">
        <v>2.0299999999999998</v>
      </c>
      <c r="AA23" s="556">
        <v>2.7250000000000001</v>
      </c>
      <c r="AB23" s="556">
        <v>3.8889999999999998</v>
      </c>
      <c r="AC23" s="558">
        <f t="shared" si="22"/>
        <v>3.8889999999999998</v>
      </c>
      <c r="AD23" s="556"/>
      <c r="AE23" s="556">
        <v>3.8039999999999998</v>
      </c>
      <c r="AF23" s="556">
        <v>4.6269999999999998</v>
      </c>
      <c r="AG23" s="557">
        <v>5.319</v>
      </c>
      <c r="AH23" s="556">
        <v>9.4779999999999998</v>
      </c>
      <c r="AI23" s="558">
        <f t="shared" si="23"/>
        <v>9.4779999999999998</v>
      </c>
      <c r="AJ23" s="556"/>
      <c r="AK23" s="556">
        <v>8.7230000000000008</v>
      </c>
      <c r="AL23" s="556">
        <v>8.6750000000000007</v>
      </c>
      <c r="AM23" s="556">
        <v>8.8640000000000008</v>
      </c>
      <c r="AN23" s="556">
        <v>16.434999999999999</v>
      </c>
      <c r="AO23" s="558">
        <f t="shared" si="24"/>
        <v>16.434999999999999</v>
      </c>
      <c r="AP23" s="556"/>
      <c r="AQ23" s="556">
        <v>15.103999999999999</v>
      </c>
      <c r="AR23" s="556">
        <v>14.615</v>
      </c>
      <c r="AS23" s="556">
        <v>13.909000000000001</v>
      </c>
      <c r="AT23" s="556">
        <v>17.699000000000002</v>
      </c>
      <c r="AU23" s="558">
        <f t="shared" si="25"/>
        <v>17.699000000000002</v>
      </c>
      <c r="AV23" s="556"/>
      <c r="AW23" s="557">
        <v>16.143999999999998</v>
      </c>
      <c r="AX23" s="556">
        <v>15.457000000000001</v>
      </c>
      <c r="AY23" s="556">
        <v>17.077000000000002</v>
      </c>
      <c r="AZ23" s="556">
        <v>28.14</v>
      </c>
      <c r="BA23" s="558">
        <f t="shared" si="26"/>
        <v>28.14</v>
      </c>
      <c r="BB23" s="556"/>
      <c r="BC23" s="556">
        <v>29.132000000000001</v>
      </c>
      <c r="BD23" s="556">
        <v>30.396000000000001</v>
      </c>
      <c r="BE23" s="556">
        <v>32.856000000000002</v>
      </c>
      <c r="BF23" s="556">
        <v>48.841999999999999</v>
      </c>
      <c r="BG23" s="558">
        <f t="shared" si="27"/>
        <v>48.841999999999999</v>
      </c>
      <c r="BH23" s="556"/>
      <c r="BI23" s="559">
        <v>46.645000000000003</v>
      </c>
      <c r="BJ23" s="559">
        <v>47.573999999999998</v>
      </c>
      <c r="BK23" s="559">
        <v>48.616</v>
      </c>
      <c r="BL23" s="559">
        <v>78.149000000000001</v>
      </c>
      <c r="BM23" s="558">
        <f t="shared" si="28"/>
        <v>78.149000000000001</v>
      </c>
      <c r="BN23" s="556"/>
      <c r="BO23" s="559">
        <v>78.569000000000003</v>
      </c>
      <c r="BP23" s="559">
        <v>77.010000000000005</v>
      </c>
      <c r="BQ23" s="559">
        <v>80.304000000000002</v>
      </c>
      <c r="BR23" s="559">
        <v>112.08199999999999</v>
      </c>
      <c r="BS23" s="558">
        <f t="shared" si="29"/>
        <v>112.08199999999999</v>
      </c>
      <c r="BT23" s="556"/>
      <c r="BU23" s="559">
        <v>106.71</v>
      </c>
      <c r="BV23" s="559">
        <v>105.864</v>
      </c>
      <c r="BW23" s="559">
        <v>109.273</v>
      </c>
      <c r="BX23" s="559">
        <v>153.459</v>
      </c>
      <c r="BY23" s="558">
        <f t="shared" si="30"/>
        <v>153.459</v>
      </c>
      <c r="BZ23" s="556"/>
      <c r="CA23" s="559">
        <v>143.46700000000001</v>
      </c>
      <c r="CB23" s="559">
        <v>141.26</v>
      </c>
      <c r="CC23" s="559">
        <v>136.69900000000001</v>
      </c>
      <c r="CD23" s="559">
        <v>162.79599999999999</v>
      </c>
      <c r="CE23" s="558">
        <f t="shared" si="31"/>
        <v>162.79599999999999</v>
      </c>
      <c r="CF23" s="556"/>
      <c r="CG23" s="559">
        <v>153.018</v>
      </c>
      <c r="CH23" s="559">
        <v>143.87100000000001</v>
      </c>
      <c r="CI23" s="559">
        <v>148.14699999999999</v>
      </c>
      <c r="CJ23" s="559">
        <v>189.94300000000001</v>
      </c>
      <c r="CK23" s="558">
        <f t="shared" si="32"/>
        <v>189.94300000000001</v>
      </c>
      <c r="CL23" s="556"/>
      <c r="CM23" s="559">
        <v>180.245</v>
      </c>
      <c r="CN23" s="559">
        <v>169.245</v>
      </c>
      <c r="CO23" s="559">
        <v>167.839</v>
      </c>
      <c r="CP23" s="559">
        <v>227.84899999999999</v>
      </c>
      <c r="CQ23" s="558">
        <f t="shared" si="33"/>
        <v>227.84899999999999</v>
      </c>
      <c r="CR23" s="556"/>
      <c r="CS23" s="559">
        <v>220.50700000000001</v>
      </c>
      <c r="CT23" s="559">
        <v>224.232</v>
      </c>
      <c r="CU23" s="559">
        <v>253.00399999999999</v>
      </c>
      <c r="CV23" s="559">
        <v>413.375</v>
      </c>
      <c r="CW23" s="558">
        <f t="shared" si="34"/>
        <v>413.375</v>
      </c>
      <c r="CX23" s="556"/>
      <c r="CY23" s="559">
        <f>CY75-CY14</f>
        <v>369.10947800315853</v>
      </c>
      <c r="CZ23" s="559">
        <f>CZ75-CZ14</f>
        <v>341.83762174297595</v>
      </c>
      <c r="DA23" s="559">
        <f>DA75-DA14</f>
        <v>360.58256344997591</v>
      </c>
      <c r="DB23" s="559">
        <f>DB75-DB14</f>
        <v>516.73827949895781</v>
      </c>
      <c r="DC23" s="558">
        <f t="shared" si="35"/>
        <v>516.73827949895781</v>
      </c>
      <c r="DD23" s="556"/>
      <c r="DE23" s="559">
        <f>DE75-DE14</f>
        <v>448.09976026290758</v>
      </c>
      <c r="DF23" s="559">
        <f>DF75-DF14</f>
        <v>404.66383929655717</v>
      </c>
      <c r="DG23" s="559">
        <f>DG75-DG14</f>
        <v>419.34948270046669</v>
      </c>
      <c r="DH23" s="559">
        <f>DH75-DH14</f>
        <v>604.64880708997646</v>
      </c>
      <c r="DI23" s="558">
        <f t="shared" si="36"/>
        <v>604.64880708997646</v>
      </c>
      <c r="DJ23" s="556"/>
      <c r="DK23" s="559">
        <f>DK75-DK14</f>
        <v>512.84377786578102</v>
      </c>
      <c r="DL23" s="559">
        <f>DL75-DL14</f>
        <v>455.27274688577631</v>
      </c>
      <c r="DM23" s="559">
        <f>DM75-DM14</f>
        <v>469.87241046292218</v>
      </c>
      <c r="DN23" s="559">
        <f>DN75-DN14</f>
        <v>689.64276466498427</v>
      </c>
      <c r="DO23" s="558">
        <f t="shared" si="37"/>
        <v>689.64276466498427</v>
      </c>
      <c r="DP23" s="570"/>
      <c r="DQ23" s="955"/>
      <c r="DX23" s="957"/>
    </row>
    <row r="24" spans="1:128" ht="10.5" customHeight="1">
      <c r="A24" s="555" t="s">
        <v>404</v>
      </c>
      <c r="B24" s="555"/>
      <c r="C24" s="565">
        <v>0</v>
      </c>
      <c r="D24" s="565">
        <v>0</v>
      </c>
      <c r="E24" s="565">
        <v>0</v>
      </c>
      <c r="F24" s="565"/>
      <c r="G24" s="565">
        <v>0</v>
      </c>
      <c r="H24" s="565">
        <v>0</v>
      </c>
      <c r="I24" s="565">
        <v>0</v>
      </c>
      <c r="J24" s="565">
        <v>0</v>
      </c>
      <c r="K24" s="565">
        <f t="shared" si="19"/>
        <v>0</v>
      </c>
      <c r="L24" s="565"/>
      <c r="M24" s="565">
        <v>0</v>
      </c>
      <c r="N24" s="565">
        <v>0</v>
      </c>
      <c r="O24" s="565">
        <v>0</v>
      </c>
      <c r="P24" s="567">
        <v>0</v>
      </c>
      <c r="Q24" s="565">
        <f t="shared" si="20"/>
        <v>0</v>
      </c>
      <c r="R24" s="565"/>
      <c r="S24" s="567">
        <v>0</v>
      </c>
      <c r="T24" s="565">
        <v>0</v>
      </c>
      <c r="U24" s="557">
        <v>0</v>
      </c>
      <c r="V24" s="565">
        <v>0</v>
      </c>
      <c r="W24" s="565">
        <f t="shared" si="21"/>
        <v>0</v>
      </c>
      <c r="X24" s="565"/>
      <c r="Y24" s="565">
        <v>0</v>
      </c>
      <c r="Z24" s="565">
        <f>Y24</f>
        <v>0</v>
      </c>
      <c r="AA24" s="565">
        <v>3.2189999999999999</v>
      </c>
      <c r="AB24" s="565">
        <v>10.416</v>
      </c>
      <c r="AC24" s="568">
        <f t="shared" si="22"/>
        <v>10.416</v>
      </c>
      <c r="AD24" s="565"/>
      <c r="AE24" s="565">
        <v>17.463999999999999</v>
      </c>
      <c r="AF24" s="565">
        <v>17.512</v>
      </c>
      <c r="AG24" s="567">
        <v>20.85</v>
      </c>
      <c r="AH24" s="565">
        <v>20.625</v>
      </c>
      <c r="AI24" s="568">
        <f t="shared" si="23"/>
        <v>20.625</v>
      </c>
      <c r="AJ24" s="565"/>
      <c r="AK24" s="565">
        <v>19.498999999999999</v>
      </c>
      <c r="AL24" s="565">
        <v>22.62</v>
      </c>
      <c r="AM24" s="565">
        <v>22.271999999999998</v>
      </c>
      <c r="AN24" s="565">
        <v>26.512</v>
      </c>
      <c r="AO24" s="568">
        <f t="shared" si="24"/>
        <v>26.512</v>
      </c>
      <c r="AP24" s="565"/>
      <c r="AQ24" s="565">
        <v>32.301000000000002</v>
      </c>
      <c r="AR24" s="565">
        <v>34.988999999999997</v>
      </c>
      <c r="AS24" s="565">
        <v>36.258000000000003</v>
      </c>
      <c r="AT24" s="565">
        <v>26.588999999999999</v>
      </c>
      <c r="AU24" s="568">
        <f t="shared" si="25"/>
        <v>26.588999999999999</v>
      </c>
      <c r="AV24" s="565"/>
      <c r="AW24" s="567">
        <v>27.6</v>
      </c>
      <c r="AX24" s="565">
        <v>29.864999999999998</v>
      </c>
      <c r="AY24" s="565">
        <v>30.695</v>
      </c>
      <c r="AZ24" s="565">
        <v>27.579000000000001</v>
      </c>
      <c r="BA24" s="568">
        <f t="shared" si="26"/>
        <v>27.579000000000001</v>
      </c>
      <c r="BB24" s="565"/>
      <c r="BC24" s="565">
        <v>34.180999999999997</v>
      </c>
      <c r="BD24" s="565">
        <v>36.255000000000003</v>
      </c>
      <c r="BE24" s="565">
        <v>30.501000000000001</v>
      </c>
      <c r="BF24" s="565">
        <v>41.198999999999998</v>
      </c>
      <c r="BG24" s="568">
        <f t="shared" si="27"/>
        <v>41.198999999999998</v>
      </c>
      <c r="BH24" s="565"/>
      <c r="BI24" s="569">
        <v>47.432000000000002</v>
      </c>
      <c r="BJ24" s="569">
        <v>64.218999999999994</v>
      </c>
      <c r="BK24" s="569">
        <v>70.856999999999999</v>
      </c>
      <c r="BL24" s="569">
        <v>87.587000000000003</v>
      </c>
      <c r="BM24" s="568">
        <f t="shared" si="28"/>
        <v>87.587000000000003</v>
      </c>
      <c r="BN24" s="565"/>
      <c r="BO24" s="569">
        <v>92.688000000000002</v>
      </c>
      <c r="BP24" s="569">
        <v>108.03100000000001</v>
      </c>
      <c r="BQ24" s="569">
        <v>6.2850000000000001</v>
      </c>
      <c r="BR24" s="569">
        <v>19.212</v>
      </c>
      <c r="BS24" s="568">
        <f t="shared" si="29"/>
        <v>19.212</v>
      </c>
      <c r="BT24" s="565"/>
      <c r="BU24" s="569">
        <v>19.358000000000001</v>
      </c>
      <c r="BV24" s="569">
        <v>8.1890000000000001</v>
      </c>
      <c r="BW24" s="569">
        <v>8.7110000000000003</v>
      </c>
      <c r="BX24" s="569">
        <v>9.6910000000000007</v>
      </c>
      <c r="BY24" s="568">
        <f t="shared" si="30"/>
        <v>9.6910000000000007</v>
      </c>
      <c r="BZ24" s="565"/>
      <c r="CA24" s="569">
        <v>8.7110000000000003</v>
      </c>
      <c r="CB24" s="569">
        <v>8.7110000000000003</v>
      </c>
      <c r="CC24" s="569">
        <v>8.1280000000000001</v>
      </c>
      <c r="CD24" s="569">
        <v>9.2750000000000004</v>
      </c>
      <c r="CE24" s="568">
        <f t="shared" si="31"/>
        <v>9.2750000000000004</v>
      </c>
      <c r="CF24" s="565"/>
      <c r="CG24" s="569">
        <v>8.93</v>
      </c>
      <c r="CH24" s="569">
        <v>8.5760000000000005</v>
      </c>
      <c r="CI24" s="569">
        <v>7.2359999999999998</v>
      </c>
      <c r="CJ24" s="569">
        <v>15.986000000000001</v>
      </c>
      <c r="CK24" s="568">
        <f t="shared" si="32"/>
        <v>15.986000000000001</v>
      </c>
      <c r="CL24" s="565"/>
      <c r="CM24" s="569">
        <v>17.597000000000001</v>
      </c>
      <c r="CN24" s="569">
        <v>22.545000000000002</v>
      </c>
      <c r="CO24" s="569">
        <v>22.094999999999999</v>
      </c>
      <c r="CP24" s="569">
        <v>28.939</v>
      </c>
      <c r="CQ24" s="568">
        <f t="shared" si="33"/>
        <v>28.939</v>
      </c>
      <c r="CR24" s="565"/>
      <c r="CS24" s="569">
        <v>29.312000000000001</v>
      </c>
      <c r="CT24" s="569">
        <v>29.925999999999998</v>
      </c>
      <c r="CU24" s="569">
        <v>31.596</v>
      </c>
      <c r="CV24" s="569">
        <v>36.523000000000003</v>
      </c>
      <c r="CW24" s="568">
        <f t="shared" si="34"/>
        <v>36.523000000000003</v>
      </c>
      <c r="CX24" s="565"/>
      <c r="CY24" s="569">
        <f>CV24</f>
        <v>36.523000000000003</v>
      </c>
      <c r="CZ24" s="569">
        <f>CY24</f>
        <v>36.523000000000003</v>
      </c>
      <c r="DA24" s="569">
        <f>CZ24</f>
        <v>36.523000000000003</v>
      </c>
      <c r="DB24" s="569">
        <f>DA24</f>
        <v>36.523000000000003</v>
      </c>
      <c r="DC24" s="568">
        <f t="shared" si="35"/>
        <v>36.523000000000003</v>
      </c>
      <c r="DD24" s="565"/>
      <c r="DE24" s="569">
        <f>DB24</f>
        <v>36.523000000000003</v>
      </c>
      <c r="DF24" s="569">
        <f>DE24</f>
        <v>36.523000000000003</v>
      </c>
      <c r="DG24" s="569">
        <f>DF24</f>
        <v>36.523000000000003</v>
      </c>
      <c r="DH24" s="569">
        <f>DG24</f>
        <v>36.523000000000003</v>
      </c>
      <c r="DI24" s="568">
        <f t="shared" si="36"/>
        <v>36.523000000000003</v>
      </c>
      <c r="DJ24" s="565"/>
      <c r="DK24" s="569">
        <f>DH24</f>
        <v>36.523000000000003</v>
      </c>
      <c r="DL24" s="569">
        <f>DK24</f>
        <v>36.523000000000003</v>
      </c>
      <c r="DM24" s="569">
        <f>DL24</f>
        <v>36.523000000000003</v>
      </c>
      <c r="DN24" s="569">
        <f>DM24</f>
        <v>36.523000000000003</v>
      </c>
      <c r="DO24" s="568">
        <f t="shared" si="37"/>
        <v>36.523000000000003</v>
      </c>
      <c r="DP24" s="570"/>
      <c r="DQ24" s="955"/>
      <c r="DX24" s="957"/>
    </row>
    <row r="25" spans="1:128" ht="10.5" customHeight="1">
      <c r="A25" s="555" t="s">
        <v>260</v>
      </c>
      <c r="B25" s="555"/>
      <c r="C25" s="565"/>
      <c r="D25" s="565"/>
      <c r="E25" s="565"/>
      <c r="F25" s="565"/>
      <c r="G25" s="565"/>
      <c r="H25" s="565"/>
      <c r="I25" s="565"/>
      <c r="J25" s="565"/>
      <c r="K25" s="565"/>
      <c r="L25" s="565"/>
      <c r="M25" s="565"/>
      <c r="N25" s="565"/>
      <c r="O25" s="565"/>
      <c r="P25" s="567"/>
      <c r="Q25" s="565"/>
      <c r="R25" s="565"/>
      <c r="S25" s="567"/>
      <c r="T25" s="565"/>
      <c r="U25" s="557"/>
      <c r="V25" s="565"/>
      <c r="W25" s="565"/>
      <c r="X25" s="565"/>
      <c r="Y25" s="565"/>
      <c r="Z25" s="565"/>
      <c r="AA25" s="565"/>
      <c r="AB25" s="565"/>
      <c r="AC25" s="568"/>
      <c r="AD25" s="565"/>
      <c r="AE25" s="565"/>
      <c r="AF25" s="565"/>
      <c r="AG25" s="567"/>
      <c r="AH25" s="565">
        <v>10.983000000000001</v>
      </c>
      <c r="AI25" s="568">
        <f t="shared" si="23"/>
        <v>10.983000000000001</v>
      </c>
      <c r="AJ25" s="565"/>
      <c r="AK25" s="565">
        <v>22.225000000000001</v>
      </c>
      <c r="AL25" s="570">
        <f>23.956</f>
        <v>23.956</v>
      </c>
      <c r="AM25" s="565">
        <v>23.79</v>
      </c>
      <c r="AN25" s="565">
        <v>23.061</v>
      </c>
      <c r="AO25" s="568">
        <f t="shared" si="24"/>
        <v>23.061</v>
      </c>
      <c r="AP25" s="565"/>
      <c r="AQ25" s="565">
        <v>22.969000000000001</v>
      </c>
      <c r="AR25" s="565">
        <v>24.218</v>
      </c>
      <c r="AS25" s="565">
        <v>31.95</v>
      </c>
      <c r="AT25" s="565">
        <v>29.989000000000001</v>
      </c>
      <c r="AU25" s="568">
        <f t="shared" si="25"/>
        <v>29.989000000000001</v>
      </c>
      <c r="AV25" s="565"/>
      <c r="AW25" s="567">
        <v>28.948</v>
      </c>
      <c r="AX25" s="565">
        <v>28.981000000000002</v>
      </c>
      <c r="AY25" s="565">
        <v>32.78</v>
      </c>
      <c r="AZ25" s="565">
        <v>34.808999999999997</v>
      </c>
      <c r="BA25" s="568">
        <f t="shared" si="26"/>
        <v>34.808999999999997</v>
      </c>
      <c r="BB25" s="565"/>
      <c r="BC25" s="565">
        <v>35.049999999999997</v>
      </c>
      <c r="BD25" s="565">
        <v>64.186000000000007</v>
      </c>
      <c r="BE25" s="565">
        <v>79.498999999999995</v>
      </c>
      <c r="BF25" s="565">
        <v>127.98699999999999</v>
      </c>
      <c r="BG25" s="568">
        <f t="shared" si="27"/>
        <v>127.98699999999999</v>
      </c>
      <c r="BH25" s="565"/>
      <c r="BI25" s="565">
        <v>124.661</v>
      </c>
      <c r="BJ25" s="565">
        <v>198.291</v>
      </c>
      <c r="BK25" s="565">
        <v>199.41300000000001</v>
      </c>
      <c r="BL25" s="565">
        <v>188.41200000000001</v>
      </c>
      <c r="BM25" s="568">
        <f t="shared" si="28"/>
        <v>188.41200000000001</v>
      </c>
      <c r="BN25" s="565"/>
      <c r="BO25" s="565">
        <v>182.87100000000001</v>
      </c>
      <c r="BP25" s="565">
        <v>173.45599999999999</v>
      </c>
      <c r="BQ25" s="565">
        <v>225.137</v>
      </c>
      <c r="BR25" s="565">
        <v>207.32300000000001</v>
      </c>
      <c r="BS25" s="568">
        <f t="shared" si="29"/>
        <v>207.32300000000001</v>
      </c>
      <c r="BT25" s="565"/>
      <c r="BU25" s="565">
        <v>192.429</v>
      </c>
      <c r="BV25" s="565">
        <v>537.38</v>
      </c>
      <c r="BW25" s="565">
        <v>505.82900000000001</v>
      </c>
      <c r="BX25" s="565">
        <v>481.91699999999997</v>
      </c>
      <c r="BY25" s="568">
        <f t="shared" si="30"/>
        <v>481.91699999999997</v>
      </c>
      <c r="BZ25" s="565"/>
      <c r="CA25" s="565">
        <v>455.81900000000002</v>
      </c>
      <c r="CB25" s="565">
        <v>449.49900000000002</v>
      </c>
      <c r="CC25" s="565">
        <v>448.08800000000002</v>
      </c>
      <c r="CD25" s="565">
        <v>433.39800000000002</v>
      </c>
      <c r="CE25" s="568">
        <f t="shared" si="31"/>
        <v>433.39800000000002</v>
      </c>
      <c r="CF25" s="565"/>
      <c r="CG25" s="565">
        <v>421.32299999999998</v>
      </c>
      <c r="CH25" s="565">
        <v>414.03500000000003</v>
      </c>
      <c r="CI25" s="565">
        <v>397.01299999999998</v>
      </c>
      <c r="CJ25" s="565">
        <v>384.25799999999998</v>
      </c>
      <c r="CK25" s="568">
        <f t="shared" si="32"/>
        <v>384.25799999999998</v>
      </c>
      <c r="CL25" s="565"/>
      <c r="CM25" s="565">
        <v>407.03</v>
      </c>
      <c r="CN25" s="565">
        <v>626.21400000000006</v>
      </c>
      <c r="CO25" s="565">
        <v>637.87699999999995</v>
      </c>
      <c r="CP25" s="565">
        <v>141.67099999999999</v>
      </c>
      <c r="CQ25" s="568">
        <f t="shared" si="33"/>
        <v>141.67099999999999</v>
      </c>
      <c r="CR25" s="565"/>
      <c r="CS25" s="565">
        <v>141.685</v>
      </c>
      <c r="CT25" s="565">
        <v>140.703</v>
      </c>
      <c r="CU25" s="565">
        <v>140.768</v>
      </c>
      <c r="CV25" s="565">
        <v>146.065</v>
      </c>
      <c r="CW25" s="568">
        <f t="shared" si="34"/>
        <v>146.065</v>
      </c>
      <c r="CX25" s="565"/>
      <c r="CY25" s="565">
        <f>CY120</f>
        <v>190.34293247119692</v>
      </c>
      <c r="CZ25" s="565">
        <f>CZ120</f>
        <v>233.64396285706647</v>
      </c>
      <c r="DA25" s="565">
        <f>DA120</f>
        <v>274.98895244870891</v>
      </c>
      <c r="DB25" s="565">
        <f>DB120</f>
        <v>315.75361000925972</v>
      </c>
      <c r="DC25" s="568">
        <f t="shared" si="35"/>
        <v>315.75361000925972</v>
      </c>
      <c r="DD25" s="565"/>
      <c r="DE25" s="565">
        <f>DE120</f>
        <v>354.96177781640733</v>
      </c>
      <c r="DF25" s="565">
        <f>DF120</f>
        <v>394.45474631690433</v>
      </c>
      <c r="DG25" s="565">
        <f>DG120</f>
        <v>432.85839554856932</v>
      </c>
      <c r="DH25" s="565">
        <f>DH120</f>
        <v>471.20783603856148</v>
      </c>
      <c r="DI25" s="568">
        <f t="shared" si="36"/>
        <v>471.20783603856148</v>
      </c>
      <c r="DJ25" s="565"/>
      <c r="DK25" s="565">
        <f>DK120</f>
        <v>508.80932937373109</v>
      </c>
      <c r="DL25" s="565">
        <f>DL120</f>
        <v>547.47951915548163</v>
      </c>
      <c r="DM25" s="565">
        <f>DM120</f>
        <v>585.60190349169534</v>
      </c>
      <c r="DN25" s="565">
        <f>DN120</f>
        <v>624.36219649529698</v>
      </c>
      <c r="DO25" s="568">
        <f t="shared" si="37"/>
        <v>624.36219649529698</v>
      </c>
      <c r="DP25" s="570"/>
      <c r="DQ25" s="955"/>
      <c r="DX25" s="957"/>
    </row>
    <row r="26" spans="1:128" ht="10.5" customHeight="1">
      <c r="A26" s="571" t="s">
        <v>386</v>
      </c>
      <c r="B26" s="571"/>
      <c r="C26" s="570">
        <v>9.7000000000000003E-2</v>
      </c>
      <c r="D26" s="570">
        <v>0.38200000000000001</v>
      </c>
      <c r="E26" s="570">
        <v>0.433</v>
      </c>
      <c r="F26" s="570"/>
      <c r="G26" s="570">
        <v>0.39500000000000002</v>
      </c>
      <c r="H26" s="570">
        <v>0.47199999999999998</v>
      </c>
      <c r="I26" s="570">
        <v>0.56999999999999995</v>
      </c>
      <c r="J26" s="570">
        <v>0.59499999999999997</v>
      </c>
      <c r="K26" s="570">
        <f t="shared" si="19"/>
        <v>0.59499999999999997</v>
      </c>
      <c r="L26" s="570"/>
      <c r="M26" s="570">
        <v>0.68400000000000005</v>
      </c>
      <c r="N26" s="570">
        <v>0.621</v>
      </c>
      <c r="O26" s="570">
        <v>0.755</v>
      </c>
      <c r="P26" s="572">
        <v>1.494</v>
      </c>
      <c r="Q26" s="570">
        <f t="shared" si="20"/>
        <v>1.494</v>
      </c>
      <c r="R26" s="570"/>
      <c r="S26" s="572">
        <v>1.69</v>
      </c>
      <c r="T26" s="570">
        <f>1.797</f>
        <v>1.7969999999999999</v>
      </c>
      <c r="U26" s="570">
        <f>1.778</f>
        <v>1.778</v>
      </c>
      <c r="V26" s="570">
        <f>1.779</f>
        <v>1.7789999999999999</v>
      </c>
      <c r="W26" s="570">
        <f t="shared" si="21"/>
        <v>1.7789999999999999</v>
      </c>
      <c r="X26" s="570"/>
      <c r="Y26" s="570">
        <v>2.1859999999999999</v>
      </c>
      <c r="Z26" s="570">
        <v>2.9369999999999998</v>
      </c>
      <c r="AA26" s="570">
        <v>3.6509999999999998</v>
      </c>
      <c r="AB26" s="570">
        <v>3.7839999999999998</v>
      </c>
      <c r="AC26" s="558">
        <f t="shared" si="22"/>
        <v>3.7839999999999998</v>
      </c>
      <c r="AD26" s="570"/>
      <c r="AE26" s="570">
        <v>10.391</v>
      </c>
      <c r="AF26" s="570">
        <v>10.048999999999999</v>
      </c>
      <c r="AG26" s="572">
        <v>12.311999999999999</v>
      </c>
      <c r="AH26" s="570">
        <f>18.685-AH25</f>
        <v>7.7019999999999982</v>
      </c>
      <c r="AI26" s="558">
        <f t="shared" si="23"/>
        <v>7.7019999999999982</v>
      </c>
      <c r="AJ26" s="570"/>
      <c r="AK26" s="570">
        <f>9.137</f>
        <v>9.1370000000000005</v>
      </c>
      <c r="AL26" s="570">
        <f>10.601</f>
        <v>10.601000000000001</v>
      </c>
      <c r="AM26" s="570">
        <f>10.829</f>
        <v>10.829000000000001</v>
      </c>
      <c r="AN26" s="570">
        <f>13.881</f>
        <v>13.881</v>
      </c>
      <c r="AO26" s="558">
        <f t="shared" si="24"/>
        <v>13.881</v>
      </c>
      <c r="AP26" s="570"/>
      <c r="AQ26" s="570">
        <f>14.888</f>
        <v>14.888</v>
      </c>
      <c r="AR26" s="570">
        <f>17.318</f>
        <v>17.318000000000001</v>
      </c>
      <c r="AS26" s="570">
        <v>47.375</v>
      </c>
      <c r="AT26" s="570">
        <v>30.126999999999999</v>
      </c>
      <c r="AU26" s="558">
        <f t="shared" si="25"/>
        <v>30.126999999999999</v>
      </c>
      <c r="AV26" s="570"/>
      <c r="AW26" s="572">
        <v>31.587</v>
      </c>
      <c r="AX26" s="570">
        <v>29.283999999999999</v>
      </c>
      <c r="AY26" s="570">
        <v>33.975999999999999</v>
      </c>
      <c r="AZ26" s="570">
        <v>39.765000000000001</v>
      </c>
      <c r="BA26" s="558">
        <f t="shared" si="26"/>
        <v>39.765000000000001</v>
      </c>
      <c r="BB26" s="570"/>
      <c r="BC26" s="570">
        <v>41.726999999999997</v>
      </c>
      <c r="BD26" s="570">
        <v>53.356999999999999</v>
      </c>
      <c r="BE26" s="570">
        <v>69.194000000000003</v>
      </c>
      <c r="BF26" s="570">
        <v>104.371</v>
      </c>
      <c r="BG26" s="558">
        <f t="shared" si="27"/>
        <v>104.371</v>
      </c>
      <c r="BH26" s="570"/>
      <c r="BI26" s="570">
        <v>109.595</v>
      </c>
      <c r="BJ26" s="570">
        <v>145.5</v>
      </c>
      <c r="BK26" s="570">
        <v>156.41800000000001</v>
      </c>
      <c r="BL26" s="570">
        <v>155.149</v>
      </c>
      <c r="BM26" s="558">
        <f t="shared" si="28"/>
        <v>155.149</v>
      </c>
      <c r="BN26" s="570"/>
      <c r="BO26" s="570">
        <v>151.494</v>
      </c>
      <c r="BP26" s="570">
        <v>148.03899999999999</v>
      </c>
      <c r="BQ26" s="570">
        <v>153.80000000000001</v>
      </c>
      <c r="BR26" s="570">
        <v>149.74799999999999</v>
      </c>
      <c r="BS26" s="558">
        <f t="shared" si="29"/>
        <v>149.74799999999999</v>
      </c>
      <c r="BT26" s="570"/>
      <c r="BU26" s="570">
        <f>190.623-BU24</f>
        <v>171.26499999999999</v>
      </c>
      <c r="BV26" s="570">
        <f>633.428-BV24</f>
        <v>625.23900000000003</v>
      </c>
      <c r="BW26" s="570">
        <f>599.511-BW24</f>
        <v>590.79999999999995</v>
      </c>
      <c r="BX26" s="570">
        <f>613.49-BX24</f>
        <v>603.79899999999998</v>
      </c>
      <c r="BY26" s="558">
        <f t="shared" si="30"/>
        <v>603.79899999999998</v>
      </c>
      <c r="BZ26" s="570"/>
      <c r="CA26" s="570">
        <f>600.09-CA24</f>
        <v>591.37900000000002</v>
      </c>
      <c r="CB26" s="570">
        <f>604.556-CB24</f>
        <v>595.84500000000003</v>
      </c>
      <c r="CC26" s="570">
        <f>595.163-CC24</f>
        <v>587.03499999999997</v>
      </c>
      <c r="CD26" s="570">
        <f>628.32+115.015-CD24</f>
        <v>734.06000000000006</v>
      </c>
      <c r="CE26" s="558">
        <f t="shared" si="31"/>
        <v>734.06000000000006</v>
      </c>
      <c r="CF26" s="570"/>
      <c r="CG26" s="570">
        <f>754.378-CG24</f>
        <v>745.44800000000009</v>
      </c>
      <c r="CH26" s="1638">
        <f>477.886+415.432-CH24</f>
        <v>884.74199999999996</v>
      </c>
      <c r="CI26" s="1638">
        <f>496.809+396.727-CI24</f>
        <v>886.30000000000007</v>
      </c>
      <c r="CJ26" s="570">
        <f>520.721+378.762-CJ24</f>
        <v>883.49699999999996</v>
      </c>
      <c r="CK26" s="558">
        <f t="shared" si="32"/>
        <v>883.49699999999996</v>
      </c>
      <c r="CL26" s="570"/>
      <c r="CM26" s="570">
        <f>520.75+409.185-CM24</f>
        <v>912.33799999999997</v>
      </c>
      <c r="CN26" s="570">
        <f>548.258+1455.797-CN24</f>
        <v>1981.51</v>
      </c>
      <c r="CO26" s="570">
        <f>555.968+1100.436-CO24</f>
        <v>1634.309</v>
      </c>
      <c r="CP26" s="570">
        <f>1113.374+486.869-CP24</f>
        <v>1571.3039999999999</v>
      </c>
      <c r="CQ26" s="558">
        <f t="shared" si="33"/>
        <v>1571.3039999999999</v>
      </c>
      <c r="CR26" s="570"/>
      <c r="CS26" s="570">
        <f>1041.384+475.234-CS24</f>
        <v>1487.306</v>
      </c>
      <c r="CT26" s="570">
        <f>965.887+457.996-CT24</f>
        <v>1393.9569999999999</v>
      </c>
      <c r="CU26" s="570">
        <f>424.888+895.768-CU24</f>
        <v>1289.06</v>
      </c>
      <c r="CV26" s="570">
        <f>395.64+826.445-CV24</f>
        <v>1185.5620000000001</v>
      </c>
      <c r="CW26" s="558">
        <f t="shared" si="34"/>
        <v>1185.5620000000001</v>
      </c>
      <c r="CX26" s="570"/>
      <c r="CY26" s="570">
        <f>(Model!CY$237*CY89)</f>
        <v>1631.3437127437996</v>
      </c>
      <c r="CZ26" s="570">
        <f>(Model!CZ$237*CZ89)</f>
        <v>1489.3642427363332</v>
      </c>
      <c r="DA26" s="570">
        <f>(Model!DA$237*DA89)</f>
        <v>1335.0826078956511</v>
      </c>
      <c r="DB26" s="570">
        <f>(Model!DB$237*DB89)</f>
        <v>1183.5976417938327</v>
      </c>
      <c r="DC26" s="558">
        <f t="shared" si="35"/>
        <v>1183.5976417938327</v>
      </c>
      <c r="DD26" s="570"/>
      <c r="DE26" s="570">
        <f>(Model!DE$237*DE89)</f>
        <v>1700.4786293003062</v>
      </c>
      <c r="DF26" s="570">
        <f>(Model!DF$237*DF89)</f>
        <v>1511.9711467415375</v>
      </c>
      <c r="DG26" s="570">
        <f>(Model!DG$237*DG89)</f>
        <v>1312.1168571577023</v>
      </c>
      <c r="DH26" s="570">
        <f>(Model!DH$237*DH89)</f>
        <v>1116.1116945857793</v>
      </c>
      <c r="DI26" s="558">
        <f t="shared" si="36"/>
        <v>1116.1116945857793</v>
      </c>
      <c r="DJ26" s="570"/>
      <c r="DK26" s="570">
        <f>(Model!DK$237*DK89)</f>
        <v>1720.64794370956</v>
      </c>
      <c r="DL26" s="570">
        <f>(Model!DL$237*DL89)</f>
        <v>1476.6103029005803</v>
      </c>
      <c r="DM26" s="570">
        <f>(Model!DM$237*DM89)</f>
        <v>1219.0928333835077</v>
      </c>
      <c r="DN26" s="570">
        <f>(Model!DN$237*DN89)</f>
        <v>968.12658817037482</v>
      </c>
      <c r="DO26" s="558">
        <f t="shared" si="37"/>
        <v>968.12658817037482</v>
      </c>
      <c r="DP26" s="570"/>
      <c r="DQ26" s="955"/>
      <c r="DX26" s="957"/>
    </row>
    <row r="27" spans="1:128" ht="12.75" customHeight="1">
      <c r="A27" s="407" t="s">
        <v>965</v>
      </c>
      <c r="B27" s="408"/>
      <c r="C27" s="409">
        <f>SUM(C17:C26)</f>
        <v>14.196</v>
      </c>
      <c r="D27" s="409">
        <f>SUM(D17:D26)</f>
        <v>37.046999999999997</v>
      </c>
      <c r="E27" s="409">
        <f>SUM(E17:E26)</f>
        <v>29.713000000000001</v>
      </c>
      <c r="F27" s="409"/>
      <c r="G27" s="409">
        <f>SUM(G17:G26)</f>
        <v>33</v>
      </c>
      <c r="H27" s="409">
        <f>SUM(H17:H26)</f>
        <v>36.62700000000001</v>
      </c>
      <c r="I27" s="409">
        <f>SUM(I17:I26)</f>
        <v>35.026000000000003</v>
      </c>
      <c r="J27" s="409">
        <f>SUM(J17:J26)</f>
        <v>39.672999999999995</v>
      </c>
      <c r="K27" s="409">
        <f t="shared" si="19"/>
        <v>39.672999999999995</v>
      </c>
      <c r="L27" s="409"/>
      <c r="M27" s="409">
        <f>SUM(M17:M26)</f>
        <v>46.967000000000006</v>
      </c>
      <c r="N27" s="409">
        <f>SUM(N17:N26)</f>
        <v>55.032999999999994</v>
      </c>
      <c r="O27" s="409">
        <f>SUM(O17:O26)</f>
        <v>67.968000000000004</v>
      </c>
      <c r="P27" s="409">
        <f>SUM(P17:P26)</f>
        <v>87.51100000000001</v>
      </c>
      <c r="Q27" s="409">
        <f t="shared" si="20"/>
        <v>87.51100000000001</v>
      </c>
      <c r="R27" s="409"/>
      <c r="S27" s="409">
        <f>SUM(S17:S26)</f>
        <v>92.977000000000004</v>
      </c>
      <c r="T27" s="409">
        <f>SUM(T17:T26)</f>
        <v>226.51299999999998</v>
      </c>
      <c r="U27" s="409">
        <f>SUM(U17:U26)</f>
        <v>246.70300000000003</v>
      </c>
      <c r="V27" s="409">
        <f>SUM(V17:V26)</f>
        <v>280.49900000000002</v>
      </c>
      <c r="W27" s="409">
        <f t="shared" si="21"/>
        <v>280.49900000000002</v>
      </c>
      <c r="X27" s="409"/>
      <c r="Y27" s="409">
        <f>SUM(Y17:Y26)</f>
        <v>294.6339999999999</v>
      </c>
      <c r="Z27" s="409">
        <f>SUM(Z17:Z26)</f>
        <v>323.67499999999995</v>
      </c>
      <c r="AA27" s="409">
        <f>SUM(AA17:AA26)</f>
        <v>359.44</v>
      </c>
      <c r="AB27" s="409">
        <f>SUM(AB17:AB26)</f>
        <v>434.74899999999997</v>
      </c>
      <c r="AC27" s="410">
        <f t="shared" si="22"/>
        <v>434.74899999999997</v>
      </c>
      <c r="AD27" s="409"/>
      <c r="AE27" s="409">
        <f>SUM(AE17:AE26)</f>
        <v>457.45600000000002</v>
      </c>
      <c r="AF27" s="409">
        <f>SUM(AF17:AF26)</f>
        <v>501.35099999999994</v>
      </c>
      <c r="AG27" s="409">
        <f>SUM(AG17:AG26)</f>
        <v>555.68900000000008</v>
      </c>
      <c r="AH27" s="411">
        <f>SUM(AH17:AH26)</f>
        <v>664.83199999999988</v>
      </c>
      <c r="AI27" s="410">
        <f t="shared" si="23"/>
        <v>664.83199999999988</v>
      </c>
      <c r="AJ27" s="409"/>
      <c r="AK27" s="409">
        <f>SUM(AK17:AK26)</f>
        <v>697.96900000000005</v>
      </c>
      <c r="AL27" s="409">
        <f>SUM(AL17:AL26)</f>
        <v>775.77899999999988</v>
      </c>
      <c r="AM27" s="409">
        <f>SUM(AM17:AM26)</f>
        <v>865.10900000000004</v>
      </c>
      <c r="AN27" s="409">
        <f>SUM(AN17:AN26)</f>
        <v>1089.5929999999998</v>
      </c>
      <c r="AO27" s="410">
        <f t="shared" si="24"/>
        <v>1089.5929999999998</v>
      </c>
      <c r="AP27" s="409"/>
      <c r="AQ27" s="409">
        <f>SUM(AQ17:AQ26)</f>
        <v>1119.5929999999998</v>
      </c>
      <c r="AR27" s="409">
        <f>SUM(AR17:AR26)</f>
        <v>1203.5430000000001</v>
      </c>
      <c r="AS27" s="409">
        <f>SUM(AS17:AS26)</f>
        <v>1275.7310000000002</v>
      </c>
      <c r="AT27" s="409">
        <f>SUM(AT17:AT26)</f>
        <v>1479.8220000000003</v>
      </c>
      <c r="AU27" s="410">
        <f t="shared" si="25"/>
        <v>1479.8220000000003</v>
      </c>
      <c r="AV27" s="409"/>
      <c r="AW27" s="409">
        <f>SUM(AW17:AW26)</f>
        <v>1467.7</v>
      </c>
      <c r="AX27" s="409">
        <f>SUM(AX17:AX26)</f>
        <v>1556.5270000000003</v>
      </c>
      <c r="AY27" s="409">
        <f>SUM(AY17:AY26)</f>
        <v>1643.2009999999996</v>
      </c>
      <c r="AZ27" s="409">
        <f>SUM(AZ17:AZ26)</f>
        <v>2460.201</v>
      </c>
      <c r="BA27" s="410">
        <f t="shared" si="26"/>
        <v>2460.201</v>
      </c>
      <c r="BB27" s="409"/>
      <c r="BC27" s="409">
        <f>SUM(BC17:BC26)</f>
        <v>2488.0970000000002</v>
      </c>
      <c r="BD27" s="409">
        <f>SUM(BD17:BD26)</f>
        <v>2698.4760000000006</v>
      </c>
      <c r="BE27" s="409">
        <f>SUM(BE17:BE26)</f>
        <v>2740.6940000000004</v>
      </c>
      <c r="BF27" s="409">
        <f>SUM(BF17:BF26)</f>
        <v>3091.1650000000004</v>
      </c>
      <c r="BG27" s="410">
        <f t="shared" si="27"/>
        <v>3091.1650000000004</v>
      </c>
      <c r="BH27" s="409"/>
      <c r="BI27" s="409">
        <f>SUM(BI17:BI26)</f>
        <v>3128.0679999999998</v>
      </c>
      <c r="BJ27" s="409">
        <f>SUM(BJ17:BJ26)</f>
        <v>3421.3280000000004</v>
      </c>
      <c r="BK27" s="409">
        <f>SUM(BK17:BK26)</f>
        <v>3511.2780000000002</v>
      </c>
      <c r="BL27" s="409">
        <f>SUM(BL17:BL26)</f>
        <v>4164.1539999999995</v>
      </c>
      <c r="BM27" s="410">
        <f t="shared" si="28"/>
        <v>4164.1539999999995</v>
      </c>
      <c r="BN27" s="409"/>
      <c r="BO27" s="409">
        <f>SUM(BO17:BO26)</f>
        <v>4156.0919999999996</v>
      </c>
      <c r="BP27" s="409">
        <f>SUM(BP17:BP26)</f>
        <v>4453.57</v>
      </c>
      <c r="BQ27" s="409">
        <f>SUM(BQ17:BQ26)</f>
        <v>4642.29</v>
      </c>
      <c r="BR27" s="409">
        <f>SUM(BR17:BR26)</f>
        <v>5528.9560000000001</v>
      </c>
      <c r="BS27" s="410">
        <f t="shared" si="29"/>
        <v>5528.9560000000001</v>
      </c>
      <c r="BT27" s="409"/>
      <c r="BU27" s="409">
        <f>SUM(BU17:BU26)</f>
        <v>6513.7090000000007</v>
      </c>
      <c r="BV27" s="409">
        <f>SUM(BV17:BV26)</f>
        <v>7969.8960000000006</v>
      </c>
      <c r="BW27" s="409">
        <f>SUM(BW17:BW26)</f>
        <v>8097.6340000000009</v>
      </c>
      <c r="BX27" s="409">
        <f>SUM(BX17:BX26)</f>
        <v>9152.93</v>
      </c>
      <c r="BY27" s="410">
        <f t="shared" si="30"/>
        <v>9152.93</v>
      </c>
      <c r="BZ27" s="409"/>
      <c r="CA27" s="411">
        <f>SUM(CA17:CA26)</f>
        <v>8641.344000000001</v>
      </c>
      <c r="CB27" s="409">
        <f>SUM(CB17:CB26)</f>
        <v>9009.8279999999995</v>
      </c>
      <c r="CC27" s="409">
        <f>SUM(CC17:CC26)</f>
        <v>9412.6630000000005</v>
      </c>
      <c r="CD27" s="409">
        <f>SUM(CD17:CD26)</f>
        <v>10692.981999999998</v>
      </c>
      <c r="CE27" s="410">
        <f t="shared" si="31"/>
        <v>10692.981999999998</v>
      </c>
      <c r="CF27" s="409"/>
      <c r="CG27" s="409">
        <f>SUM(CG17:CG26)</f>
        <v>10365.682000000001</v>
      </c>
      <c r="CH27" s="409">
        <f>SUM(CH17:CH26)</f>
        <v>10793.976999999999</v>
      </c>
      <c r="CI27" s="409">
        <f>SUM(CI17:CI26)</f>
        <v>10911.966000000002</v>
      </c>
      <c r="CJ27" s="409">
        <f>SUM(CJ17:CJ26)</f>
        <v>12770.771999999999</v>
      </c>
      <c r="CK27" s="410">
        <f t="shared" si="32"/>
        <v>12770.771999999999</v>
      </c>
      <c r="CL27" s="409"/>
      <c r="CM27" s="409">
        <f>SUM(CM17:CM26)</f>
        <v>12817.27</v>
      </c>
      <c r="CN27" s="409">
        <f>SUM(CN17:CN26)</f>
        <v>14381.314000000002</v>
      </c>
      <c r="CO27" s="409">
        <f>SUM(CO17:CO26)</f>
        <v>14387.668999999998</v>
      </c>
      <c r="CP27" s="409">
        <f>SUM(CP17:CP26)</f>
        <v>17584.922999999999</v>
      </c>
      <c r="CQ27" s="410">
        <f t="shared" si="33"/>
        <v>17584.922999999999</v>
      </c>
      <c r="CR27" s="409"/>
      <c r="CS27" s="409">
        <f>SUM(CS17:CS26)</f>
        <v>17058.93</v>
      </c>
      <c r="CT27" s="409">
        <f>SUM(CT17:CT26)</f>
        <v>17418.803</v>
      </c>
      <c r="CU27" s="409">
        <f>SUM(CU17:CU26)</f>
        <v>17490.036</v>
      </c>
      <c r="CV27" s="409">
        <f>SUM(CV17:CV26)</f>
        <v>21009.802</v>
      </c>
      <c r="CW27" s="410">
        <f t="shared" si="34"/>
        <v>21009.802</v>
      </c>
      <c r="CX27" s="409"/>
      <c r="CY27" s="409">
        <f>SUM(CY17:CY26)</f>
        <v>20311.571753914708</v>
      </c>
      <c r="CZ27" s="409">
        <f>SUM(CZ17:CZ26)</f>
        <v>20615.09239311624</v>
      </c>
      <c r="DA27" s="409">
        <f>SUM(DA17:DA26)</f>
        <v>20758.034557023359</v>
      </c>
      <c r="DB27" s="409">
        <f>SUM(DB17:DB26)</f>
        <v>25088.81111352225</v>
      </c>
      <c r="DC27" s="410">
        <f t="shared" si="35"/>
        <v>25088.81111352225</v>
      </c>
      <c r="DD27" s="409"/>
      <c r="DE27" s="409">
        <f>SUM(DE17:DE26)</f>
        <v>24215.648393801952</v>
      </c>
      <c r="DF27" s="409">
        <f>SUM(DF17:DF26)</f>
        <v>24644.885852094918</v>
      </c>
      <c r="DG27" s="409">
        <f>SUM(DG17:DG26)</f>
        <v>24877.951659730959</v>
      </c>
      <c r="DH27" s="409">
        <f>SUM(DH17:DH26)</f>
        <v>30388.017206548855</v>
      </c>
      <c r="DI27" s="410">
        <f t="shared" si="36"/>
        <v>30388.017206548855</v>
      </c>
      <c r="DJ27" s="409"/>
      <c r="DK27" s="409">
        <f>SUM(DK17:DK26)</f>
        <v>29260.500362378119</v>
      </c>
      <c r="DL27" s="409">
        <f>SUM(DL17:DL26)</f>
        <v>29849.615457302214</v>
      </c>
      <c r="DM27" s="409">
        <f>SUM(DM17:DM26)</f>
        <v>30213.542428287856</v>
      </c>
      <c r="DN27" s="409">
        <f>SUM(DN17:DN26)</f>
        <v>37038.546505495258</v>
      </c>
      <c r="DO27" s="410">
        <f t="shared" si="37"/>
        <v>37038.546505495258</v>
      </c>
      <c r="DP27" s="1681"/>
      <c r="DQ27" s="955"/>
      <c r="DX27" s="957"/>
    </row>
    <row r="28" spans="1:128" ht="5.25" customHeight="1">
      <c r="A28" s="10"/>
      <c r="B28" s="10"/>
      <c r="C28" s="11"/>
      <c r="D28" s="11"/>
      <c r="E28" s="11"/>
      <c r="F28" s="11"/>
      <c r="G28" s="11"/>
      <c r="H28" s="11"/>
      <c r="I28" s="11"/>
      <c r="J28" s="11"/>
      <c r="K28" s="11"/>
      <c r="L28" s="11"/>
      <c r="M28" s="11"/>
      <c r="N28" s="11"/>
      <c r="O28" s="11"/>
      <c r="P28" s="11"/>
      <c r="Q28" s="11"/>
      <c r="R28" s="11"/>
      <c r="S28" s="11"/>
      <c r="T28" s="18"/>
      <c r="U28" s="11"/>
      <c r="V28" s="18"/>
      <c r="W28" s="11"/>
      <c r="X28" s="11"/>
      <c r="Y28" s="18"/>
      <c r="Z28" s="11"/>
      <c r="AA28" s="11"/>
      <c r="AB28" s="11"/>
      <c r="AC28" s="68"/>
      <c r="AD28" s="11"/>
      <c r="AE28" s="11"/>
      <c r="AF28" s="11"/>
      <c r="AG28" s="11"/>
      <c r="AH28" s="18"/>
      <c r="AI28" s="68"/>
      <c r="AJ28" s="11"/>
      <c r="AK28" s="11"/>
      <c r="AL28" s="11"/>
      <c r="AM28" s="11"/>
      <c r="AN28" s="11"/>
      <c r="AO28" s="68"/>
      <c r="AP28" s="11"/>
      <c r="AQ28" s="18"/>
      <c r="AR28" s="11"/>
      <c r="AS28" s="18"/>
      <c r="AT28" s="18"/>
      <c r="AU28" s="68"/>
      <c r="AV28" s="11"/>
      <c r="AW28" s="11"/>
      <c r="AX28" s="18"/>
      <c r="AY28" s="11"/>
      <c r="AZ28" s="11"/>
      <c r="BA28" s="68"/>
      <c r="BB28" s="11"/>
      <c r="BC28" s="18"/>
      <c r="BD28" s="11"/>
      <c r="BE28" s="11"/>
      <c r="BF28" s="11"/>
      <c r="BG28" s="68"/>
      <c r="BH28" s="11"/>
      <c r="BI28" s="11"/>
      <c r="BJ28" s="11"/>
      <c r="BK28" s="11"/>
      <c r="BL28" s="11"/>
      <c r="BM28" s="68"/>
      <c r="BN28" s="11"/>
      <c r="BO28" s="11"/>
      <c r="BP28" s="11"/>
      <c r="BQ28" s="11"/>
      <c r="BR28" s="11"/>
      <c r="BS28" s="68"/>
      <c r="BT28" s="11"/>
      <c r="BU28" s="11"/>
      <c r="BV28" s="11"/>
      <c r="BW28" s="11"/>
      <c r="BX28" s="11"/>
      <c r="BY28" s="68"/>
      <c r="BZ28" s="11"/>
      <c r="CA28" s="11"/>
      <c r="CB28" s="11"/>
      <c r="CC28" s="11"/>
      <c r="CD28" s="11"/>
      <c r="CE28" s="68"/>
      <c r="CF28" s="11"/>
      <c r="CG28" s="11"/>
      <c r="CH28" s="11"/>
      <c r="CI28" s="11"/>
      <c r="CJ28" s="11"/>
      <c r="CK28" s="68"/>
      <c r="CL28" s="11"/>
      <c r="CM28" s="11"/>
      <c r="CN28" s="11"/>
      <c r="CO28" s="11"/>
      <c r="CP28" s="11"/>
      <c r="CQ28" s="68"/>
      <c r="CR28" s="11"/>
      <c r="CS28" s="11"/>
      <c r="CT28" s="11"/>
      <c r="CU28" s="11"/>
      <c r="CV28" s="11"/>
      <c r="CW28" s="68"/>
      <c r="CX28" s="11"/>
      <c r="CY28" s="11"/>
      <c r="CZ28" s="11"/>
      <c r="DA28" s="11"/>
      <c r="DB28" s="11"/>
      <c r="DC28" s="68"/>
      <c r="DD28" s="11"/>
      <c r="DE28" s="11"/>
      <c r="DF28" s="11"/>
      <c r="DG28" s="11"/>
      <c r="DH28" s="11"/>
      <c r="DI28" s="68"/>
      <c r="DJ28" s="11"/>
      <c r="DK28" s="11"/>
      <c r="DL28" s="11"/>
      <c r="DM28" s="11"/>
      <c r="DN28" s="11"/>
      <c r="DO28" s="68"/>
      <c r="DP28" s="11"/>
      <c r="DQ28" s="955"/>
      <c r="DX28" s="957"/>
    </row>
    <row r="29" spans="1:128" ht="12" customHeight="1">
      <c r="A29" s="550" t="s">
        <v>966</v>
      </c>
      <c r="B29" s="550"/>
      <c r="C29" s="552"/>
      <c r="D29" s="552"/>
      <c r="E29" s="552"/>
      <c r="F29" s="552"/>
      <c r="G29" s="552"/>
      <c r="H29" s="552"/>
      <c r="I29" s="552"/>
      <c r="J29" s="552"/>
      <c r="K29" s="552"/>
      <c r="L29" s="552"/>
      <c r="M29" s="552"/>
      <c r="N29" s="552"/>
      <c r="O29" s="552"/>
      <c r="P29" s="552"/>
      <c r="Q29" s="552"/>
      <c r="R29" s="552"/>
      <c r="S29" s="552"/>
      <c r="T29" s="552"/>
      <c r="U29" s="552"/>
      <c r="V29" s="552"/>
      <c r="W29" s="552"/>
      <c r="X29" s="552"/>
      <c r="Y29" s="552"/>
      <c r="Z29" s="552"/>
      <c r="AA29" s="552"/>
      <c r="AB29" s="552"/>
      <c r="AC29" s="573"/>
      <c r="AD29" s="552"/>
      <c r="AE29" s="552"/>
      <c r="AF29" s="552"/>
      <c r="AG29" s="552"/>
      <c r="AH29" s="552"/>
      <c r="AI29" s="573"/>
      <c r="AJ29" s="552"/>
      <c r="AK29" s="552"/>
      <c r="AL29" s="552"/>
      <c r="AM29" s="552"/>
      <c r="AN29" s="552"/>
      <c r="AO29" s="573"/>
      <c r="AP29" s="552"/>
      <c r="AQ29" s="552"/>
      <c r="AR29" s="552"/>
      <c r="AS29" s="552"/>
      <c r="AT29" s="552"/>
      <c r="AU29" s="573"/>
      <c r="AV29" s="552"/>
      <c r="AW29" s="552"/>
      <c r="AX29" s="552"/>
      <c r="AY29" s="552"/>
      <c r="AZ29" s="552"/>
      <c r="BA29" s="573"/>
      <c r="BB29" s="552"/>
      <c r="BC29" s="552"/>
      <c r="BD29" s="552"/>
      <c r="BE29" s="574"/>
      <c r="BF29" s="574"/>
      <c r="BG29" s="573"/>
      <c r="BH29" s="552"/>
      <c r="BI29" s="552"/>
      <c r="BJ29" s="552"/>
      <c r="BK29" s="552"/>
      <c r="BL29" s="552"/>
      <c r="BM29" s="573"/>
      <c r="BN29" s="552"/>
      <c r="BO29" s="552"/>
      <c r="BP29" s="552"/>
      <c r="BQ29" s="552"/>
      <c r="BR29" s="552"/>
      <c r="BS29" s="573"/>
      <c r="BT29" s="552"/>
      <c r="BU29" s="552"/>
      <c r="BV29" s="552"/>
      <c r="BW29" s="552"/>
      <c r="BX29" s="552"/>
      <c r="BY29" s="573"/>
      <c r="BZ29" s="552"/>
      <c r="CA29" s="552"/>
      <c r="CB29" s="552"/>
      <c r="CC29" s="552"/>
      <c r="CD29" s="552"/>
      <c r="CE29" s="573"/>
      <c r="CF29" s="552"/>
      <c r="CG29" s="552"/>
      <c r="CH29" s="552"/>
      <c r="CI29" s="552"/>
      <c r="CJ29" s="552"/>
      <c r="CK29" s="573"/>
      <c r="CL29" s="552"/>
      <c r="CM29" s="552"/>
      <c r="CN29" s="574"/>
      <c r="CO29" s="552"/>
      <c r="CP29" s="552"/>
      <c r="CQ29" s="573"/>
      <c r="CR29" s="552"/>
      <c r="CS29" s="552"/>
      <c r="CT29" s="574"/>
      <c r="CU29" s="552"/>
      <c r="CV29" s="552"/>
      <c r="CW29" s="573"/>
      <c r="CX29" s="552"/>
      <c r="CY29" s="552"/>
      <c r="CZ29" s="552"/>
      <c r="DA29" s="552"/>
      <c r="DB29" s="552"/>
      <c r="DC29" s="573"/>
      <c r="DD29" s="552"/>
      <c r="DE29" s="552"/>
      <c r="DF29" s="552"/>
      <c r="DG29" s="552"/>
      <c r="DH29" s="552"/>
      <c r="DI29" s="573"/>
      <c r="DJ29" s="552"/>
      <c r="DK29" s="552"/>
      <c r="DL29" s="552"/>
      <c r="DM29" s="552"/>
      <c r="DN29" s="552"/>
      <c r="DO29" s="573"/>
      <c r="DP29" s="1684"/>
      <c r="DQ29" s="955"/>
      <c r="DX29" s="957"/>
    </row>
    <row r="30" spans="1:128" ht="12" customHeight="1">
      <c r="A30" s="555" t="s">
        <v>636</v>
      </c>
      <c r="B30" s="555"/>
      <c r="C30" s="556">
        <f>SUM(C31:C32)</f>
        <v>0.88200000000000001</v>
      </c>
      <c r="D30" s="575">
        <f>3.073-D34</f>
        <v>2.4169999999999998</v>
      </c>
      <c r="E30" s="556">
        <v>4.2350000000000003</v>
      </c>
      <c r="F30" s="552"/>
      <c r="G30" s="576">
        <f>6.227-G34</f>
        <v>5.3710000000000004</v>
      </c>
      <c r="H30" s="576">
        <f>6.151-H34</f>
        <v>5.5110000000000001</v>
      </c>
      <c r="I30" s="576">
        <f>8.644-I34</f>
        <v>8.01</v>
      </c>
      <c r="J30" s="556">
        <f>9.624-J34</f>
        <v>9.093</v>
      </c>
      <c r="K30" s="556">
        <f t="shared" ref="K30:K36" si="38">J30</f>
        <v>9.093</v>
      </c>
      <c r="L30" s="552"/>
      <c r="M30" s="576">
        <f>10.714-M34</f>
        <v>10.314</v>
      </c>
      <c r="N30" s="576">
        <f>12.419-N34</f>
        <v>12.159000000000001</v>
      </c>
      <c r="O30" s="576">
        <f>17.918-O34</f>
        <v>17.754999999999999</v>
      </c>
      <c r="P30" s="556">
        <f>20.329-P34</f>
        <v>20.251000000000001</v>
      </c>
      <c r="Q30" s="556">
        <f t="shared" ref="Q30:Q36" si="39">P30</f>
        <v>20.251000000000001</v>
      </c>
      <c r="R30" s="552"/>
      <c r="S30" s="556">
        <v>20.99</v>
      </c>
      <c r="T30" s="556">
        <f>SUM(T31:T32)</f>
        <v>27.564999999999998</v>
      </c>
      <c r="U30" s="556">
        <f>SUM(U31:U32)</f>
        <v>31.012999999999998</v>
      </c>
      <c r="V30" s="556">
        <f>SUM(V31:V32)</f>
        <v>34.991999999999997</v>
      </c>
      <c r="W30" s="556">
        <f t="shared" ref="W30:W36" si="40">V30</f>
        <v>34.991999999999997</v>
      </c>
      <c r="X30" s="552"/>
      <c r="Y30" s="556">
        <f>SUM(Y31:Y32)</f>
        <v>31.524000000000001</v>
      </c>
      <c r="Z30" s="556">
        <f>SUM(Z31:Z32)</f>
        <v>36.026000000000003</v>
      </c>
      <c r="AA30" s="556">
        <f>SUM(AA31:AA32)</f>
        <v>44.508000000000003</v>
      </c>
      <c r="AB30" s="556">
        <f>SUM(AB31:AB32)</f>
        <v>58.994</v>
      </c>
      <c r="AC30" s="558">
        <f t="shared" ref="AC30:AC36" si="41">AB30</f>
        <v>58.994</v>
      </c>
      <c r="AD30" s="552"/>
      <c r="AE30" s="556">
        <f>SUM(AE31:AE32)</f>
        <v>51.263999999999996</v>
      </c>
      <c r="AF30" s="556">
        <f>SUM(AF31:AF32)</f>
        <v>55.275999999999996</v>
      </c>
      <c r="AG30" s="556">
        <f>SUM(AG31:AG32)</f>
        <v>64.685000000000002</v>
      </c>
      <c r="AH30" s="556">
        <f>SUM(AH31:AH32)</f>
        <v>86.021000000000001</v>
      </c>
      <c r="AI30" s="558">
        <f t="shared" ref="AI30:AI36" si="42">AH30</f>
        <v>86.021000000000001</v>
      </c>
      <c r="AJ30" s="552"/>
      <c r="AK30" s="556">
        <f>SUM(AK31:AK32)</f>
        <v>80.323999999999998</v>
      </c>
      <c r="AL30" s="556">
        <f>SUM(AL31:AL32)</f>
        <v>88.573000000000008</v>
      </c>
      <c r="AM30" s="556">
        <f>SUM(AM31:AM32)</f>
        <v>105.991</v>
      </c>
      <c r="AN30" s="556">
        <f>SUM(AN31:AN32)</f>
        <v>133.47399999999999</v>
      </c>
      <c r="AO30" s="558">
        <f t="shared" ref="AO30:AO36" si="43">AN30</f>
        <v>133.47399999999999</v>
      </c>
      <c r="AP30" s="552"/>
      <c r="AQ30" s="556">
        <f>SUM(AQ31:AQ32)</f>
        <v>121.911</v>
      </c>
      <c r="AR30" s="556">
        <f>SUM(AR31:AR32)</f>
        <v>131.608</v>
      </c>
      <c r="AS30" s="556">
        <f>SUM(AS31:AS32)</f>
        <v>155.47499999999999</v>
      </c>
      <c r="AT30" s="556">
        <f>SUM(AT31:AT32)</f>
        <v>179.584</v>
      </c>
      <c r="AU30" s="558">
        <f t="shared" ref="AU30:AU36" si="44">AT30</f>
        <v>179.584</v>
      </c>
      <c r="AV30" s="552"/>
      <c r="AW30" s="557">
        <f>SUM(AW31:AW32)</f>
        <v>147.46100000000001</v>
      </c>
      <c r="AX30" s="556">
        <f>SUM(AX31:AX32)</f>
        <v>170.99300000000002</v>
      </c>
      <c r="AY30" s="556">
        <f>SUM(AY31:AY32)</f>
        <v>189.92599999999999</v>
      </c>
      <c r="AZ30" s="556">
        <f>SUM(AZ31:AZ32)</f>
        <v>209.529</v>
      </c>
      <c r="BA30" s="558">
        <f t="shared" ref="BA30:BA36" si="45">AZ30</f>
        <v>209.529</v>
      </c>
      <c r="BB30" s="552"/>
      <c r="BC30" s="556">
        <f>SUM(BC31:BC32)</f>
        <v>184.745</v>
      </c>
      <c r="BD30" s="556">
        <f>SUM(BD31:BD32)</f>
        <v>256.779</v>
      </c>
      <c r="BE30" s="556">
        <f>SUM(BE31:BE32)</f>
        <v>310.947</v>
      </c>
      <c r="BF30" s="556">
        <f>SUM(BF31:BF32)</f>
        <v>355.447</v>
      </c>
      <c r="BG30" s="558">
        <f t="shared" ref="BG30:BG36" si="46">BF30</f>
        <v>355.447</v>
      </c>
      <c r="BH30" s="552"/>
      <c r="BI30" s="559">
        <f>SUM(BI31:BI32)</f>
        <v>312.93900000000002</v>
      </c>
      <c r="BJ30" s="559">
        <f>SUM(BJ31:BJ32)</f>
        <v>412.17400000000004</v>
      </c>
      <c r="BK30" s="559">
        <f>SUM(BK31:BK32)</f>
        <v>437.41499999999996</v>
      </c>
      <c r="BL30" s="559">
        <f>SUM(BL31:BL32)</f>
        <v>535.70000000000005</v>
      </c>
      <c r="BM30" s="558">
        <f t="shared" ref="BM30:BM36" si="47">BL30</f>
        <v>535.70000000000005</v>
      </c>
      <c r="BN30" s="552"/>
      <c r="BO30" s="559">
        <f>SUM(BO31:BO32)</f>
        <v>419.483</v>
      </c>
      <c r="BP30" s="559">
        <f>SUM(BP31:BP32)</f>
        <v>552.22699999999998</v>
      </c>
      <c r="BQ30" s="559">
        <f>SUM(BQ31:BQ32)</f>
        <v>582.20700000000011</v>
      </c>
      <c r="BR30" s="559">
        <f>SUM(BR31:BR32)</f>
        <v>597.70600000000002</v>
      </c>
      <c r="BS30" s="558">
        <f t="shared" ref="BS30:BS36" si="48">BR30</f>
        <v>597.70600000000002</v>
      </c>
      <c r="BT30" s="552"/>
      <c r="BU30" s="559">
        <f>SUM(BU31:BU32)</f>
        <v>527.08000000000004</v>
      </c>
      <c r="BV30" s="559">
        <f>SUM(BV31:BV32)</f>
        <v>764.08299999999997</v>
      </c>
      <c r="BW30" s="559">
        <f>SUM(BW31:BW32)</f>
        <v>839.30200000000002</v>
      </c>
      <c r="BX30" s="559">
        <f>SUM(BX31:BX32)</f>
        <v>934.32400000000007</v>
      </c>
      <c r="BY30" s="558">
        <f t="shared" ref="BY30:BY36" si="49">BX30</f>
        <v>934.32400000000007</v>
      </c>
      <c r="BZ30" s="552"/>
      <c r="CA30" s="559">
        <f>SUM(CA31:CA32)</f>
        <v>766.601</v>
      </c>
      <c r="CB30" s="559">
        <f>SUM(CB31:CB32)</f>
        <v>891.06200000000001</v>
      </c>
      <c r="CC30" s="559">
        <f>SUM(CC31:CC32)</f>
        <v>935.94200000000001</v>
      </c>
      <c r="CD30" s="559">
        <f>SUM(CD31:CD32)</f>
        <v>1103.335</v>
      </c>
      <c r="CE30" s="558">
        <f t="shared" ref="CE30:CE36" si="50">CD30</f>
        <v>1103.335</v>
      </c>
      <c r="CF30" s="552"/>
      <c r="CG30" s="559">
        <f>SUM(CG31:CG32)</f>
        <v>928.10500000000002</v>
      </c>
      <c r="CH30" s="559">
        <f>SUM(CH31:CH32)</f>
        <v>1098.0540000000001</v>
      </c>
      <c r="CI30" s="559">
        <f>SUM(CI31:CI32)</f>
        <v>1149.6930000000002</v>
      </c>
      <c r="CJ30" s="559">
        <f>SUM(CJ31:CJ32)</f>
        <v>1349.338</v>
      </c>
      <c r="CK30" s="558">
        <f t="shared" ref="CK30:CK36" si="51">CJ30</f>
        <v>1349.338</v>
      </c>
      <c r="CL30" s="552"/>
      <c r="CM30" s="559">
        <v>1093.1969999999999</v>
      </c>
      <c r="CN30" s="559">
        <v>1567.896</v>
      </c>
      <c r="CO30" s="559">
        <v>1496.8409999999999</v>
      </c>
      <c r="CP30" s="559">
        <v>1752.664</v>
      </c>
      <c r="CQ30" s="558">
        <f t="shared" ref="CQ30:CQ36" si="52">CP30</f>
        <v>1752.664</v>
      </c>
      <c r="CR30" s="552"/>
      <c r="CS30" s="559">
        <v>1459.6859999999999</v>
      </c>
      <c r="CT30" s="559">
        <v>1576.8219999999999</v>
      </c>
      <c r="CU30" s="559">
        <v>1686.4079999999999</v>
      </c>
      <c r="CV30" s="559">
        <v>2010.096</v>
      </c>
      <c r="CW30" s="558">
        <f t="shared" ref="CW30:CW36" si="53">CV30</f>
        <v>2010.096</v>
      </c>
      <c r="CX30" s="552"/>
      <c r="CY30" s="559">
        <f>SUM(CY31:CY32)</f>
        <v>1816.1313217783559</v>
      </c>
      <c r="CZ30" s="559">
        <f>SUM(CZ31:CZ32)</f>
        <v>1944.3219908930291</v>
      </c>
      <c r="DA30" s="559">
        <f>SUM(DA31:DA32)</f>
        <v>2062.4336409715474</v>
      </c>
      <c r="DB30" s="559">
        <f>SUM(DB31:DB32)</f>
        <v>2436.5537702971174</v>
      </c>
      <c r="DC30" s="558">
        <f t="shared" ref="DC30:DC36" si="54">DB30</f>
        <v>2436.5537702971174</v>
      </c>
      <c r="DD30" s="552"/>
      <c r="DE30" s="559">
        <f>SUM(DE31:DE32)</f>
        <v>2188.7908280970478</v>
      </c>
      <c r="DF30" s="559">
        <f>SUM(DF31:DF32)</f>
        <v>2337.8480125467336</v>
      </c>
      <c r="DG30" s="559">
        <f>SUM(DG31:DG32)</f>
        <v>2478.0967609900717</v>
      </c>
      <c r="DH30" s="559">
        <f>SUM(DH31:DH32)</f>
        <v>2925.5712168899026</v>
      </c>
      <c r="DI30" s="558">
        <f t="shared" ref="DI30:DI36" si="55">DH30</f>
        <v>2925.5712168899026</v>
      </c>
      <c r="DJ30" s="552"/>
      <c r="DK30" s="559">
        <f>SUM(DK31:DK32)</f>
        <v>2625.1056322883096</v>
      </c>
      <c r="DL30" s="559">
        <f>SUM(DL31:DL32)</f>
        <v>2798.5492539657043</v>
      </c>
      <c r="DM30" s="559">
        <f>SUM(DM31:DM32)</f>
        <v>2960.7794977541162</v>
      </c>
      <c r="DN30" s="559">
        <f>SUM(DN31:DN32)</f>
        <v>3492.8106763554579</v>
      </c>
      <c r="DO30" s="558">
        <f t="shared" ref="DO30:DO36" si="56">DN30</f>
        <v>3492.8106763554579</v>
      </c>
      <c r="DP30" s="570"/>
      <c r="DQ30" s="955"/>
      <c r="DX30" s="957"/>
    </row>
    <row r="31" spans="1:128" ht="12" customHeight="1">
      <c r="A31" s="555" t="s">
        <v>967</v>
      </c>
      <c r="B31" s="555"/>
      <c r="C31" s="556">
        <v>0.4</v>
      </c>
      <c r="D31" s="575">
        <f>0.6</f>
        <v>0.6</v>
      </c>
      <c r="E31" s="565">
        <v>0.80500000000000005</v>
      </c>
      <c r="F31" s="556"/>
      <c r="G31" s="575">
        <f>E31+(J31-E31)/4</f>
        <v>0.75524999999999998</v>
      </c>
      <c r="H31" s="575">
        <f>G31+(J31-G31)/3</f>
        <v>0.7054999999999999</v>
      </c>
      <c r="I31" s="575">
        <f>H31+(J31-H31)/2</f>
        <v>0.65574999999999983</v>
      </c>
      <c r="J31" s="565">
        <v>0.60599999999999987</v>
      </c>
      <c r="K31" s="565">
        <f>J31</f>
        <v>0.60599999999999987</v>
      </c>
      <c r="L31" s="556"/>
      <c r="M31" s="575">
        <f>J31+(P31-J31)/4</f>
        <v>1.0967499999999999</v>
      </c>
      <c r="N31" s="575">
        <f>M31+(P31-M31)/3</f>
        <v>1.5874999999999999</v>
      </c>
      <c r="O31" s="575">
        <v>2.1280000000000001</v>
      </c>
      <c r="P31" s="565">
        <f>2.035+0.534</f>
        <v>2.569</v>
      </c>
      <c r="Q31" s="565">
        <f t="shared" si="39"/>
        <v>2.569</v>
      </c>
      <c r="R31" s="556"/>
      <c r="S31" s="565">
        <f>1.782+0.56</f>
        <v>2.3420000000000001</v>
      </c>
      <c r="T31" s="556">
        <f>1.947+0.54</f>
        <v>2.4870000000000001</v>
      </c>
      <c r="U31" s="556">
        <f>3.844+0.414</f>
        <v>4.258</v>
      </c>
      <c r="V31" s="556">
        <v>2.5249999999999999</v>
      </c>
      <c r="W31" s="556">
        <f t="shared" si="40"/>
        <v>2.5249999999999999</v>
      </c>
      <c r="X31" s="556"/>
      <c r="Y31" s="556">
        <v>3.6349999999999998</v>
      </c>
      <c r="Z31" s="556">
        <v>3.9409999999999998</v>
      </c>
      <c r="AA31" s="556">
        <v>5.8680000000000003</v>
      </c>
      <c r="AB31" s="556">
        <v>10.212</v>
      </c>
      <c r="AC31" s="558">
        <f t="shared" si="41"/>
        <v>10.212</v>
      </c>
      <c r="AD31" s="556"/>
      <c r="AE31" s="556">
        <v>7.72</v>
      </c>
      <c r="AF31" s="556">
        <v>6.0259999999999998</v>
      </c>
      <c r="AG31" s="557">
        <v>5.66</v>
      </c>
      <c r="AH31" s="556">
        <v>8.8699999999999992</v>
      </c>
      <c r="AI31" s="558">
        <f t="shared" si="42"/>
        <v>8.8699999999999992</v>
      </c>
      <c r="AJ31" s="556"/>
      <c r="AK31" s="556">
        <v>11.606</v>
      </c>
      <c r="AL31" s="556">
        <v>7.2149999999999999</v>
      </c>
      <c r="AM31" s="556">
        <v>12.618</v>
      </c>
      <c r="AN31" s="556">
        <v>7.4779999999999998</v>
      </c>
      <c r="AO31" s="558">
        <f t="shared" si="43"/>
        <v>7.4779999999999998</v>
      </c>
      <c r="AP31" s="556"/>
      <c r="AQ31" s="556">
        <v>19.315000000000001</v>
      </c>
      <c r="AR31" s="556">
        <v>14.428000000000001</v>
      </c>
      <c r="AS31" s="556">
        <v>20.875</v>
      </c>
      <c r="AT31" s="556">
        <v>16.379000000000001</v>
      </c>
      <c r="AU31" s="558">
        <f t="shared" si="44"/>
        <v>16.379000000000001</v>
      </c>
      <c r="AV31" s="556"/>
      <c r="AW31" s="557">
        <v>15.757</v>
      </c>
      <c r="AX31" s="556">
        <v>13.388999999999999</v>
      </c>
      <c r="AY31" s="556">
        <v>15.617000000000001</v>
      </c>
      <c r="AZ31" s="556">
        <v>14.791</v>
      </c>
      <c r="BA31" s="558">
        <f t="shared" si="45"/>
        <v>14.791</v>
      </c>
      <c r="BB31" s="556"/>
      <c r="BC31" s="556">
        <v>13.132999999999999</v>
      </c>
      <c r="BD31" s="556">
        <v>20.745000000000001</v>
      </c>
      <c r="BE31" s="556">
        <v>23.32</v>
      </c>
      <c r="BF31" s="556">
        <v>18.106000000000002</v>
      </c>
      <c r="BG31" s="558">
        <f t="shared" si="46"/>
        <v>18.106000000000002</v>
      </c>
      <c r="BH31" s="556"/>
      <c r="BI31" s="559">
        <v>16.969000000000001</v>
      </c>
      <c r="BJ31" s="559">
        <v>22.321000000000002</v>
      </c>
      <c r="BK31" s="559">
        <v>28.265000000000001</v>
      </c>
      <c r="BL31" s="559">
        <v>33.258000000000003</v>
      </c>
      <c r="BM31" s="558">
        <f t="shared" si="47"/>
        <v>33.258000000000003</v>
      </c>
      <c r="BN31" s="556"/>
      <c r="BO31" s="559">
        <v>19.751999999999999</v>
      </c>
      <c r="BP31" s="559">
        <v>69.338999999999999</v>
      </c>
      <c r="BQ31" s="559">
        <v>57.94</v>
      </c>
      <c r="BR31" s="559">
        <v>14.535</v>
      </c>
      <c r="BS31" s="558">
        <f t="shared" si="48"/>
        <v>14.535</v>
      </c>
      <c r="BT31" s="556"/>
      <c r="BU31" s="559">
        <v>31.521999999999998</v>
      </c>
      <c r="BV31" s="559">
        <v>66.858999999999995</v>
      </c>
      <c r="BW31" s="559">
        <v>45.164999999999999</v>
      </c>
      <c r="BX31" s="559">
        <v>64.988</v>
      </c>
      <c r="BY31" s="558">
        <f t="shared" si="49"/>
        <v>64.988</v>
      </c>
      <c r="BZ31" s="556"/>
      <c r="CA31" s="559">
        <v>36.722999999999999</v>
      </c>
      <c r="CB31" s="559">
        <v>83.603999999999999</v>
      </c>
      <c r="CC31" s="559">
        <v>88.793999999999997</v>
      </c>
      <c r="CD31" s="559">
        <v>95.537000000000006</v>
      </c>
      <c r="CE31" s="558">
        <f t="shared" si="50"/>
        <v>95.537000000000006</v>
      </c>
      <c r="CF31" s="556"/>
      <c r="CG31" s="559">
        <v>60.226999999999997</v>
      </c>
      <c r="CH31" s="559">
        <v>99.286000000000001</v>
      </c>
      <c r="CI31" s="559">
        <v>88.754999999999995</v>
      </c>
      <c r="CJ31" s="559">
        <v>71.480999999999995</v>
      </c>
      <c r="CK31" s="558">
        <f t="shared" si="51"/>
        <v>71.480999999999995</v>
      </c>
      <c r="CL31" s="556"/>
      <c r="CM31" s="559">
        <v>54.582999999999998</v>
      </c>
      <c r="CN31" s="559">
        <v>101.404</v>
      </c>
      <c r="CO31" s="559">
        <v>140.541</v>
      </c>
      <c r="CP31" s="559">
        <v>115.25700000000001</v>
      </c>
      <c r="CQ31" s="558">
        <f t="shared" si="52"/>
        <v>115.25700000000001</v>
      </c>
      <c r="CR31" s="556"/>
      <c r="CS31" s="559">
        <v>128.065</v>
      </c>
      <c r="CT31" s="559">
        <v>148.279</v>
      </c>
      <c r="CU31" s="559">
        <v>120.01900000000001</v>
      </c>
      <c r="CV31" s="559">
        <v>76.465000000000003</v>
      </c>
      <c r="CW31" s="558">
        <f t="shared" si="53"/>
        <v>76.465000000000003</v>
      </c>
      <c r="CX31" s="556"/>
      <c r="CY31" s="559">
        <f>(Model!CY$19*BS!CY67)/90</f>
        <v>157.92220580813944</v>
      </c>
      <c r="CZ31" s="559">
        <f>(Model!CZ$19*BS!CZ67)/90</f>
        <v>180.41573907789291</v>
      </c>
      <c r="DA31" s="559">
        <f>(Model!DA$19*BS!DA67)/90</f>
        <v>144.90329433002853</v>
      </c>
      <c r="DB31" s="559">
        <f>(Model!DB$19*BS!DB67)/90</f>
        <v>91.542740664716419</v>
      </c>
      <c r="DC31" s="558">
        <f t="shared" si="54"/>
        <v>91.542740664716419</v>
      </c>
      <c r="DD31" s="556"/>
      <c r="DE31" s="559">
        <f>(Model!DE$19*BS!DE67)/90</f>
        <v>189.8344016429601</v>
      </c>
      <c r="DF31" s="559">
        <f>(Model!DF$19*BS!DF67)/90</f>
        <v>217.03941618989427</v>
      </c>
      <c r="DG31" s="559">
        <f>(Model!DG$19*BS!DG67)/90</f>
        <v>174.3270215836697</v>
      </c>
      <c r="DH31" s="559">
        <f>(Model!DH$19*BS!DH67)/90</f>
        <v>109.47448474500695</v>
      </c>
      <c r="DI31" s="558">
        <f t="shared" si="55"/>
        <v>109.47448474500695</v>
      </c>
      <c r="DJ31" s="556"/>
      <c r="DK31" s="559">
        <f>(Model!DK$19*BS!DK67)/90</f>
        <v>227.2167412302656</v>
      </c>
      <c r="DL31" s="559">
        <f>(Model!DL$19*BS!DL67)/90</f>
        <v>259.18582031834427</v>
      </c>
      <c r="DM31" s="559">
        <f>(Model!DM$19*BS!DM67)/90</f>
        <v>207.96392186327856</v>
      </c>
      <c r="DN31" s="559">
        <f>(Model!DN$19*BS!DN67)/90</f>
        <v>130.508644844808</v>
      </c>
      <c r="DO31" s="558">
        <f t="shared" si="56"/>
        <v>130.508644844808</v>
      </c>
      <c r="DP31" s="570"/>
      <c r="DQ31" s="955"/>
      <c r="DX31" s="957"/>
    </row>
    <row r="32" spans="1:128" ht="12" customHeight="1">
      <c r="A32" s="555" t="s">
        <v>756</v>
      </c>
      <c r="B32" s="555"/>
      <c r="C32" s="556">
        <v>0.48199999999999998</v>
      </c>
      <c r="D32" s="575">
        <f>D30-D31</f>
        <v>1.8169999999999997</v>
      </c>
      <c r="E32" s="565">
        <v>3.43</v>
      </c>
      <c r="F32" s="556"/>
      <c r="G32" s="575">
        <f>G30-G31</f>
        <v>4.6157500000000002</v>
      </c>
      <c r="H32" s="575">
        <f>H30-H31</f>
        <v>4.8055000000000003</v>
      </c>
      <c r="I32" s="575">
        <f>I30-I31</f>
        <v>7.3542500000000004</v>
      </c>
      <c r="J32" s="565">
        <v>8.4870000000000001</v>
      </c>
      <c r="K32" s="565">
        <f>J32</f>
        <v>8.4870000000000001</v>
      </c>
      <c r="L32" s="556"/>
      <c r="M32" s="575">
        <f>M30-M31</f>
        <v>9.2172499999999999</v>
      </c>
      <c r="N32" s="575">
        <f>N30-N31</f>
        <v>10.5715</v>
      </c>
      <c r="O32" s="575">
        <f>O30-O31</f>
        <v>15.626999999999999</v>
      </c>
      <c r="P32" s="565">
        <v>17.681999999999999</v>
      </c>
      <c r="Q32" s="565">
        <f t="shared" si="39"/>
        <v>17.681999999999999</v>
      </c>
      <c r="R32" s="556"/>
      <c r="S32" s="565">
        <v>18.648</v>
      </c>
      <c r="T32" s="556">
        <v>25.077999999999999</v>
      </c>
      <c r="U32" s="556">
        <v>26.754999999999999</v>
      </c>
      <c r="V32" s="556">
        <v>32.466999999999999</v>
      </c>
      <c r="W32" s="565">
        <f t="shared" si="40"/>
        <v>32.466999999999999</v>
      </c>
      <c r="X32" s="556"/>
      <c r="Y32" s="556">
        <v>27.888999999999999</v>
      </c>
      <c r="Z32" s="556">
        <v>32.085000000000001</v>
      </c>
      <c r="AA32" s="556">
        <v>38.64</v>
      </c>
      <c r="AB32" s="556">
        <v>48.781999999999996</v>
      </c>
      <c r="AC32" s="568">
        <f t="shared" si="41"/>
        <v>48.781999999999996</v>
      </c>
      <c r="AD32" s="556"/>
      <c r="AE32" s="556">
        <f>40.424+3.12</f>
        <v>43.543999999999997</v>
      </c>
      <c r="AF32" s="556">
        <v>49.25</v>
      </c>
      <c r="AG32" s="557">
        <v>59.024999999999999</v>
      </c>
      <c r="AH32" s="556">
        <v>77.150999999999996</v>
      </c>
      <c r="AI32" s="568">
        <f t="shared" si="42"/>
        <v>77.150999999999996</v>
      </c>
      <c r="AJ32" s="556"/>
      <c r="AK32" s="556">
        <v>68.718000000000004</v>
      </c>
      <c r="AL32" s="556">
        <v>81.358000000000004</v>
      </c>
      <c r="AM32" s="556">
        <v>93.373000000000005</v>
      </c>
      <c r="AN32" s="556">
        <v>125.996</v>
      </c>
      <c r="AO32" s="568">
        <f t="shared" si="43"/>
        <v>125.996</v>
      </c>
      <c r="AP32" s="556"/>
      <c r="AQ32" s="556">
        <v>102.596</v>
      </c>
      <c r="AR32" s="556">
        <v>117.18</v>
      </c>
      <c r="AS32" s="556">
        <v>134.6</v>
      </c>
      <c r="AT32" s="556">
        <v>163.20500000000001</v>
      </c>
      <c r="AU32" s="568">
        <f t="shared" si="44"/>
        <v>163.20500000000001</v>
      </c>
      <c r="AV32" s="556"/>
      <c r="AW32" s="557">
        <v>131.70400000000001</v>
      </c>
      <c r="AX32" s="556">
        <v>157.60400000000001</v>
      </c>
      <c r="AY32" s="556">
        <v>174.309</v>
      </c>
      <c r="AZ32" s="556">
        <v>194.738</v>
      </c>
      <c r="BA32" s="568">
        <f t="shared" si="45"/>
        <v>194.738</v>
      </c>
      <c r="BB32" s="556"/>
      <c r="BC32" s="556">
        <v>171.61199999999999</v>
      </c>
      <c r="BD32" s="556">
        <v>236.03399999999999</v>
      </c>
      <c r="BE32" s="556">
        <v>287.62700000000001</v>
      </c>
      <c r="BF32" s="556">
        <f>345.121-7.78</f>
        <v>337.34100000000001</v>
      </c>
      <c r="BG32" s="568">
        <f t="shared" si="46"/>
        <v>337.34100000000001</v>
      </c>
      <c r="BH32" s="556"/>
      <c r="BI32" s="559">
        <v>295.97000000000003</v>
      </c>
      <c r="BJ32" s="559">
        <v>389.85300000000001</v>
      </c>
      <c r="BK32" s="559">
        <v>409.15</v>
      </c>
      <c r="BL32" s="559">
        <v>502.44200000000001</v>
      </c>
      <c r="BM32" s="568">
        <f t="shared" si="47"/>
        <v>502.44200000000001</v>
      </c>
      <c r="BN32" s="556"/>
      <c r="BO32" s="559">
        <v>399.73099999999999</v>
      </c>
      <c r="BP32" s="559">
        <v>482.88799999999998</v>
      </c>
      <c r="BQ32" s="559">
        <v>524.26700000000005</v>
      </c>
      <c r="BR32" s="559">
        <f>597.706-BR31</f>
        <v>583.17100000000005</v>
      </c>
      <c r="BS32" s="568">
        <f t="shared" si="48"/>
        <v>583.17100000000005</v>
      </c>
      <c r="BT32" s="556"/>
      <c r="BU32" s="559">
        <f>527.08-BU31</f>
        <v>495.55800000000005</v>
      </c>
      <c r="BV32" s="559">
        <f>764.083-BV31</f>
        <v>697.22399999999993</v>
      </c>
      <c r="BW32" s="559">
        <f>839.302-BW31</f>
        <v>794.13700000000006</v>
      </c>
      <c r="BX32" s="559">
        <f>934.324-BX31</f>
        <v>869.33600000000001</v>
      </c>
      <c r="BY32" s="568">
        <f t="shared" si="49"/>
        <v>869.33600000000001</v>
      </c>
      <c r="BZ32" s="556"/>
      <c r="CA32" s="559">
        <f>766.601-CA31</f>
        <v>729.87800000000004</v>
      </c>
      <c r="CB32" s="559">
        <f>891.062-CB31</f>
        <v>807.45799999999997</v>
      </c>
      <c r="CC32" s="559">
        <f>935.942-CC31</f>
        <v>847.14800000000002</v>
      </c>
      <c r="CD32" s="559">
        <f>1103.335-CD31</f>
        <v>1007.798</v>
      </c>
      <c r="CE32" s="568">
        <f t="shared" si="50"/>
        <v>1007.798</v>
      </c>
      <c r="CF32" s="556"/>
      <c r="CG32" s="559">
        <f>928.105-CG31</f>
        <v>867.87800000000004</v>
      </c>
      <c r="CH32" s="559">
        <f>1098.054-CH31</f>
        <v>998.76800000000003</v>
      </c>
      <c r="CI32" s="559">
        <f>1149.693-CI31</f>
        <v>1060.9380000000001</v>
      </c>
      <c r="CJ32" s="559">
        <f>1349.338-CJ31</f>
        <v>1277.857</v>
      </c>
      <c r="CK32" s="568">
        <f t="shared" si="51"/>
        <v>1277.857</v>
      </c>
      <c r="CL32" s="556"/>
      <c r="CM32" s="559">
        <f>CM30-CM31</f>
        <v>1038.6139999999998</v>
      </c>
      <c r="CN32" s="559">
        <f>CN30-CN31</f>
        <v>1466.492</v>
      </c>
      <c r="CO32" s="559">
        <f>CO30-CO31</f>
        <v>1356.3</v>
      </c>
      <c r="CP32" s="559">
        <f>CP30-CP31</f>
        <v>1637.4069999999999</v>
      </c>
      <c r="CQ32" s="568">
        <f t="shared" si="52"/>
        <v>1637.4069999999999</v>
      </c>
      <c r="CR32" s="556"/>
      <c r="CS32" s="559">
        <f>CS30-CS31</f>
        <v>1331.6209999999999</v>
      </c>
      <c r="CT32" s="559">
        <f>CT30-CT31</f>
        <v>1428.5429999999999</v>
      </c>
      <c r="CU32" s="559">
        <f>CU30-CU31</f>
        <v>1566.3889999999999</v>
      </c>
      <c r="CV32" s="559">
        <f>CV30-CV31</f>
        <v>1933.6310000000001</v>
      </c>
      <c r="CW32" s="568">
        <f t="shared" si="53"/>
        <v>1933.6310000000001</v>
      </c>
      <c r="CX32" s="556"/>
      <c r="CY32" s="559">
        <f>Model!CY$237*CY90</f>
        <v>1658.2091159702163</v>
      </c>
      <c r="CZ32" s="559">
        <f>Model!CZ$237*CZ90</f>
        <v>1763.9062518151361</v>
      </c>
      <c r="DA32" s="559">
        <f>Model!DA$237*DA90</f>
        <v>1917.5303466415189</v>
      </c>
      <c r="DB32" s="559">
        <f>Model!DB$237*DB90</f>
        <v>2345.011029632401</v>
      </c>
      <c r="DC32" s="568">
        <f t="shared" si="54"/>
        <v>2345.011029632401</v>
      </c>
      <c r="DD32" s="556"/>
      <c r="DE32" s="559">
        <f>Model!DE$237*DE90</f>
        <v>1998.9564264540877</v>
      </c>
      <c r="DF32" s="559">
        <f>Model!DF$237*DF90</f>
        <v>2120.8085963568392</v>
      </c>
      <c r="DG32" s="559">
        <f>Model!DG$237*DG90</f>
        <v>2303.7697394064021</v>
      </c>
      <c r="DH32" s="559">
        <f>Model!DH$237*DH90</f>
        <v>2816.0967321448957</v>
      </c>
      <c r="DI32" s="568">
        <f t="shared" si="55"/>
        <v>2816.0967321448957</v>
      </c>
      <c r="DJ32" s="556"/>
      <c r="DK32" s="559">
        <f>Model!DK$237*DK90</f>
        <v>2397.888891058044</v>
      </c>
      <c r="DL32" s="559">
        <f>Model!DL$237*DL90</f>
        <v>2539.3634336473601</v>
      </c>
      <c r="DM32" s="559">
        <f>Model!DM$237*DM90</f>
        <v>2752.8155758908374</v>
      </c>
      <c r="DN32" s="559">
        <f>Model!DN$237*DN90</f>
        <v>3362.3020315106501</v>
      </c>
      <c r="DO32" s="568">
        <f t="shared" si="56"/>
        <v>3362.3020315106501</v>
      </c>
      <c r="DP32" s="570"/>
      <c r="DQ32" s="955"/>
      <c r="DX32" s="957"/>
    </row>
    <row r="33" spans="1:128" ht="12" customHeight="1">
      <c r="A33" s="555" t="s">
        <v>77</v>
      </c>
      <c r="B33" s="555"/>
      <c r="C33" s="556">
        <v>0</v>
      </c>
      <c r="D33" s="556">
        <v>1.78</v>
      </c>
      <c r="E33" s="556">
        <v>7.1280000000000001</v>
      </c>
      <c r="F33" s="556"/>
      <c r="G33" s="556">
        <v>10.487</v>
      </c>
      <c r="H33" s="556">
        <v>15.101000000000001</v>
      </c>
      <c r="I33" s="556">
        <v>14.247</v>
      </c>
      <c r="J33" s="556">
        <v>19.170999999999999</v>
      </c>
      <c r="K33" s="556">
        <f t="shared" si="38"/>
        <v>19.170999999999999</v>
      </c>
      <c r="L33" s="556"/>
      <c r="M33" s="556">
        <v>24.31</v>
      </c>
      <c r="N33" s="556">
        <v>29.449000000000002</v>
      </c>
      <c r="O33" s="556">
        <v>34.408000000000001</v>
      </c>
      <c r="P33" s="557">
        <v>49.677</v>
      </c>
      <c r="Q33" s="556">
        <f t="shared" si="39"/>
        <v>49.677</v>
      </c>
      <c r="R33" s="556"/>
      <c r="S33" s="557">
        <v>52.34</v>
      </c>
      <c r="T33" s="556">
        <v>61.557000000000002</v>
      </c>
      <c r="U33" s="556">
        <v>74.239999999999995</v>
      </c>
      <c r="V33" s="556">
        <v>95.9</v>
      </c>
      <c r="W33" s="556">
        <f t="shared" si="40"/>
        <v>95.9</v>
      </c>
      <c r="X33" s="577"/>
      <c r="Y33" s="556">
        <v>104.645</v>
      </c>
      <c r="Z33" s="556">
        <v>117.31100000000001</v>
      </c>
      <c r="AA33" s="556">
        <v>127.11</v>
      </c>
      <c r="AB33" s="556">
        <v>169.17500000000001</v>
      </c>
      <c r="AC33" s="558">
        <f t="shared" si="41"/>
        <v>169.17500000000001</v>
      </c>
      <c r="AD33" s="577"/>
      <c r="AE33" s="556">
        <v>182.036</v>
      </c>
      <c r="AF33" s="556">
        <v>202.83600000000001</v>
      </c>
      <c r="AG33" s="557">
        <v>219.43100000000001</v>
      </c>
      <c r="AH33" s="556">
        <v>284.06299999999999</v>
      </c>
      <c r="AI33" s="558">
        <f t="shared" si="42"/>
        <v>284.06299999999999</v>
      </c>
      <c r="AJ33" s="577"/>
      <c r="AK33" s="556">
        <v>295.67200000000003</v>
      </c>
      <c r="AL33" s="556">
        <v>321.85199999999998</v>
      </c>
      <c r="AM33" s="556">
        <v>340.80799999999999</v>
      </c>
      <c r="AN33" s="556">
        <v>468.82100000000003</v>
      </c>
      <c r="AO33" s="558">
        <f t="shared" si="43"/>
        <v>468.82100000000003</v>
      </c>
      <c r="AP33" s="577"/>
      <c r="AQ33" s="556">
        <v>457.91300000000001</v>
      </c>
      <c r="AR33" s="556">
        <v>466.94799999999998</v>
      </c>
      <c r="AS33" s="556">
        <v>458.04399999999998</v>
      </c>
      <c r="AT33" s="556">
        <v>583.76300000000003</v>
      </c>
      <c r="AU33" s="558">
        <f t="shared" si="44"/>
        <v>583.76300000000003</v>
      </c>
      <c r="AV33" s="577"/>
      <c r="AW33" s="557">
        <v>539.49</v>
      </c>
      <c r="AX33" s="556">
        <v>538.83600000000001</v>
      </c>
      <c r="AY33" s="556">
        <v>533.50199999999995</v>
      </c>
      <c r="AZ33" s="556">
        <v>690.17700000000002</v>
      </c>
      <c r="BA33" s="558">
        <f t="shared" si="45"/>
        <v>690.17700000000002</v>
      </c>
      <c r="BB33" s="556"/>
      <c r="BC33" s="556">
        <v>647.45399999999995</v>
      </c>
      <c r="BD33" s="556">
        <v>662.89700000000005</v>
      </c>
      <c r="BE33" s="556">
        <v>672.45399999999995</v>
      </c>
      <c r="BF33" s="556">
        <v>913.23900000000003</v>
      </c>
      <c r="BG33" s="558">
        <f t="shared" si="46"/>
        <v>913.23900000000003</v>
      </c>
      <c r="BH33" s="577"/>
      <c r="BI33" s="556">
        <v>893.904</v>
      </c>
      <c r="BJ33" s="556">
        <v>917.755</v>
      </c>
      <c r="BK33" s="556">
        <v>905.05499999999995</v>
      </c>
      <c r="BL33" s="556">
        <v>1291.6220000000001</v>
      </c>
      <c r="BM33" s="558">
        <f t="shared" si="47"/>
        <v>1291.6220000000001</v>
      </c>
      <c r="BN33" s="577"/>
      <c r="BO33" s="556">
        <v>1257.3689999999999</v>
      </c>
      <c r="BP33" s="556">
        <v>1268.4069999999999</v>
      </c>
      <c r="BQ33" s="556">
        <v>1226.1179999999999</v>
      </c>
      <c r="BR33" s="556">
        <v>1798.64</v>
      </c>
      <c r="BS33" s="558">
        <f t="shared" si="48"/>
        <v>1798.64</v>
      </c>
      <c r="BT33" s="577"/>
      <c r="BU33" s="556">
        <v>1674.797</v>
      </c>
      <c r="BV33" s="556">
        <v>1734.8409999999999</v>
      </c>
      <c r="BW33" s="556">
        <v>1686.2619999999999</v>
      </c>
      <c r="BX33" s="556">
        <v>2473.7049999999999</v>
      </c>
      <c r="BY33" s="558">
        <f t="shared" si="49"/>
        <v>2473.7049999999999</v>
      </c>
      <c r="BZ33" s="577"/>
      <c r="CA33" s="556">
        <v>2288.3240000000001</v>
      </c>
      <c r="CB33" s="556">
        <v>2316.5740000000001</v>
      </c>
      <c r="CC33" s="556">
        <v>2192.6550000000002</v>
      </c>
      <c r="CD33" s="556">
        <v>3286.768</v>
      </c>
      <c r="CE33" s="558">
        <f t="shared" si="50"/>
        <v>3286.768</v>
      </c>
      <c r="CF33" s="577"/>
      <c r="CG33" s="556">
        <v>3032.7710000000002</v>
      </c>
      <c r="CH33" s="556">
        <v>3014.94</v>
      </c>
      <c r="CI33" s="556">
        <v>2827.2849999999999</v>
      </c>
      <c r="CJ33" s="556">
        <v>4267.6670000000004</v>
      </c>
      <c r="CK33" s="558">
        <f t="shared" si="51"/>
        <v>4267.6670000000004</v>
      </c>
      <c r="CL33" s="577"/>
      <c r="CM33" s="556">
        <v>3991.9059999999999</v>
      </c>
      <c r="CN33" s="556">
        <v>3808.2</v>
      </c>
      <c r="CO33" s="12">
        <v>3478.6930000000002</v>
      </c>
      <c r="CP33" s="556">
        <v>5505.6890000000003</v>
      </c>
      <c r="CQ33" s="558">
        <f t="shared" si="52"/>
        <v>5505.6890000000003</v>
      </c>
      <c r="CR33" s="577"/>
      <c r="CS33" s="556">
        <v>5042.652</v>
      </c>
      <c r="CT33" s="556">
        <v>4818.634</v>
      </c>
      <c r="CU33" s="556">
        <v>4392.0820000000003</v>
      </c>
      <c r="CV33" s="556">
        <v>7094.7049999999999</v>
      </c>
      <c r="CW33" s="558">
        <f t="shared" si="53"/>
        <v>7094.7049999999999</v>
      </c>
      <c r="CX33" s="577"/>
      <c r="CY33" s="556">
        <f>'MS Revenue Analysis'!DG159-CY43</f>
        <v>6236.8411734401525</v>
      </c>
      <c r="CZ33" s="556">
        <f>'MS Revenue Analysis'!DH159-CZ43</f>
        <v>5943.2151205906903</v>
      </c>
      <c r="DA33" s="556">
        <f>'MS Revenue Analysis'!DI159-DA43</f>
        <v>5444.6095237232348</v>
      </c>
      <c r="DB33" s="556">
        <f>'MS Revenue Analysis'!DJ159-DB43</f>
        <v>8922.21128245215</v>
      </c>
      <c r="DC33" s="558">
        <f t="shared" si="54"/>
        <v>8922.21128245215</v>
      </c>
      <c r="DD33" s="577"/>
      <c r="DE33" s="556">
        <f>'MS Revenue Analysis'!DM159-DE43</f>
        <v>7748.8065175613392</v>
      </c>
      <c r="DF33" s="556">
        <f>'MS Revenue Analysis'!DN159-DF43</f>
        <v>7370.2144620320978</v>
      </c>
      <c r="DG33" s="556">
        <f>'MS Revenue Analysis'!DO159-DG43</f>
        <v>6750.5336802127586</v>
      </c>
      <c r="DH33" s="556">
        <f>'MS Revenue Analysis'!DP159-DH43</f>
        <v>11114.135527916565</v>
      </c>
      <c r="DI33" s="558">
        <f t="shared" si="55"/>
        <v>11114.135527916565</v>
      </c>
      <c r="DJ33" s="577"/>
      <c r="DK33" s="556">
        <f>'MS Revenue Analysis'!DS159-DK43</f>
        <v>9556.5619039500889</v>
      </c>
      <c r="DL33" s="556">
        <f>'MS Revenue Analysis'!DT159-DL43</f>
        <v>9107.8293127977176</v>
      </c>
      <c r="DM33" s="556">
        <f>'MS Revenue Analysis'!DU159-DM43</f>
        <v>8383.1908500294448</v>
      </c>
      <c r="DN33" s="556">
        <f>'MS Revenue Analysis'!DV159-DN43</f>
        <v>13743.688088975687</v>
      </c>
      <c r="DO33" s="558">
        <f t="shared" si="56"/>
        <v>13743.688088975687</v>
      </c>
      <c r="DP33" s="570"/>
      <c r="DQ33" s="955"/>
      <c r="DX33" s="957"/>
    </row>
    <row r="34" spans="1:128" ht="12" customHeight="1">
      <c r="A34" s="555" t="s">
        <v>897</v>
      </c>
      <c r="B34" s="555"/>
      <c r="C34" s="565">
        <v>0</v>
      </c>
      <c r="D34" s="575">
        <v>0.65600000000000003</v>
      </c>
      <c r="E34" s="565">
        <v>0.95499999999999996</v>
      </c>
      <c r="F34" s="556"/>
      <c r="G34" s="575">
        <v>0.85599999999999998</v>
      </c>
      <c r="H34" s="575">
        <v>0.64</v>
      </c>
      <c r="I34" s="575">
        <v>0.63400000000000001</v>
      </c>
      <c r="J34" s="565">
        <v>0.53100000000000003</v>
      </c>
      <c r="K34" s="565">
        <f t="shared" si="38"/>
        <v>0.53100000000000003</v>
      </c>
      <c r="L34" s="556"/>
      <c r="M34" s="575">
        <v>0.4</v>
      </c>
      <c r="N34" s="575">
        <v>0.26</v>
      </c>
      <c r="O34" s="575">
        <v>0.16300000000000001</v>
      </c>
      <c r="P34" s="567">
        <v>7.8E-2</v>
      </c>
      <c r="Q34" s="565">
        <f t="shared" si="39"/>
        <v>7.8E-2</v>
      </c>
      <c r="R34" s="556"/>
      <c r="S34" s="567">
        <v>0.02</v>
      </c>
      <c r="T34" s="565">
        <v>0.55800000000000005</v>
      </c>
      <c r="U34" s="565">
        <v>0.56100000000000005</v>
      </c>
      <c r="V34" s="565">
        <v>0.56299999999999994</v>
      </c>
      <c r="W34" s="565">
        <f t="shared" si="40"/>
        <v>0.56299999999999994</v>
      </c>
      <c r="X34" s="556"/>
      <c r="Y34" s="565">
        <v>0.56599999999999995</v>
      </c>
      <c r="Z34" s="565">
        <v>0.60599999999999998</v>
      </c>
      <c r="AA34" s="565">
        <v>0.61</v>
      </c>
      <c r="AB34" s="565">
        <v>0.61499999999999999</v>
      </c>
      <c r="AC34" s="568">
        <f t="shared" si="41"/>
        <v>0.61499999999999999</v>
      </c>
      <c r="AD34" s="556"/>
      <c r="AE34" s="565">
        <v>0.62</v>
      </c>
      <c r="AF34" s="565">
        <v>0.47499999999999998</v>
      </c>
      <c r="AG34" s="567">
        <v>0.32700000000000001</v>
      </c>
      <c r="AH34" s="565">
        <v>0.17599999999999999</v>
      </c>
      <c r="AI34" s="568">
        <f t="shared" si="42"/>
        <v>0.17599999999999999</v>
      </c>
      <c r="AJ34" s="556"/>
      <c r="AK34" s="565">
        <v>0</v>
      </c>
      <c r="AL34" s="565">
        <v>0</v>
      </c>
      <c r="AM34" s="565">
        <v>0</v>
      </c>
      <c r="AN34" s="565">
        <f>AM34</f>
        <v>0</v>
      </c>
      <c r="AO34" s="568">
        <f t="shared" si="43"/>
        <v>0</v>
      </c>
      <c r="AP34" s="556"/>
      <c r="AQ34" s="565">
        <v>0</v>
      </c>
      <c r="AR34" s="565">
        <v>0</v>
      </c>
      <c r="AS34" s="565">
        <v>0</v>
      </c>
      <c r="AT34" s="565">
        <v>0</v>
      </c>
      <c r="AU34" s="568">
        <f t="shared" si="44"/>
        <v>0</v>
      </c>
      <c r="AV34" s="556"/>
      <c r="AW34" s="567">
        <v>0</v>
      </c>
      <c r="AX34" s="565">
        <v>0</v>
      </c>
      <c r="AY34" s="565">
        <v>0</v>
      </c>
      <c r="AZ34" s="565">
        <v>0</v>
      </c>
      <c r="BA34" s="568">
        <f t="shared" si="45"/>
        <v>0</v>
      </c>
      <c r="BB34" s="556"/>
      <c r="BC34" s="565">
        <v>0</v>
      </c>
      <c r="BD34" s="565">
        <v>0</v>
      </c>
      <c r="BE34" s="565">
        <v>0</v>
      </c>
      <c r="BF34" s="565">
        <f>BE34</f>
        <v>0</v>
      </c>
      <c r="BG34" s="568">
        <f t="shared" si="46"/>
        <v>0</v>
      </c>
      <c r="BH34" s="556"/>
      <c r="BI34" s="569">
        <v>478.36900000000003</v>
      </c>
      <c r="BJ34" s="569">
        <v>484.12799999999999</v>
      </c>
      <c r="BK34" s="569">
        <v>490.11900000000003</v>
      </c>
      <c r="BL34" s="569">
        <v>496.149</v>
      </c>
      <c r="BM34" s="568">
        <f t="shared" si="47"/>
        <v>496.149</v>
      </c>
      <c r="BN34" s="556"/>
      <c r="BO34" s="569">
        <v>0</v>
      </c>
      <c r="BP34" s="569">
        <v>508.53300000000002</v>
      </c>
      <c r="BQ34" s="569">
        <v>514.89099999999996</v>
      </c>
      <c r="BR34" s="569">
        <v>521.27800000000002</v>
      </c>
      <c r="BS34" s="568">
        <f t="shared" si="48"/>
        <v>521.27800000000002</v>
      </c>
      <c r="BT34" s="556"/>
      <c r="BU34" s="569">
        <v>527.80999999999995</v>
      </c>
      <c r="BV34" s="569">
        <v>534.39099999999996</v>
      </c>
      <c r="BW34" s="569">
        <v>541.125</v>
      </c>
      <c r="BX34" s="569">
        <v>542.15899999999999</v>
      </c>
      <c r="BY34" s="568">
        <f t="shared" si="49"/>
        <v>542.15899999999999</v>
      </c>
      <c r="BZ34" s="556"/>
      <c r="CA34" s="569">
        <v>275.029</v>
      </c>
      <c r="CB34" s="569">
        <v>265.10199999999998</v>
      </c>
      <c r="CC34" s="569">
        <v>179.755</v>
      </c>
      <c r="CD34" s="569">
        <v>0</v>
      </c>
      <c r="CE34" s="568">
        <f t="shared" si="50"/>
        <v>0</v>
      </c>
      <c r="CF34" s="556"/>
      <c r="CG34" s="569">
        <v>0</v>
      </c>
      <c r="CH34" s="569">
        <v>0</v>
      </c>
      <c r="CI34" s="569">
        <v>0</v>
      </c>
      <c r="CJ34" s="569">
        <v>0</v>
      </c>
      <c r="CK34" s="568">
        <f t="shared" si="51"/>
        <v>0</v>
      </c>
      <c r="CL34" s="556"/>
      <c r="CM34" s="569">
        <v>0</v>
      </c>
      <c r="CN34" s="569">
        <v>0</v>
      </c>
      <c r="CO34" s="569">
        <v>0</v>
      </c>
      <c r="CP34" s="569">
        <v>0</v>
      </c>
      <c r="CQ34" s="568">
        <f t="shared" si="52"/>
        <v>0</v>
      </c>
      <c r="CR34" s="556"/>
      <c r="CS34" s="569">
        <v>1123.5250000000001</v>
      </c>
      <c r="CT34" s="569">
        <v>1130.729</v>
      </c>
      <c r="CU34" s="569">
        <v>1137.954</v>
      </c>
      <c r="CV34" s="569">
        <v>1024.7170000000001</v>
      </c>
      <c r="CW34" s="568">
        <f t="shared" si="53"/>
        <v>1024.7170000000001</v>
      </c>
      <c r="CX34" s="556"/>
      <c r="CY34" s="569">
        <v>0</v>
      </c>
      <c r="CZ34" s="569">
        <v>0</v>
      </c>
      <c r="DA34" s="569">
        <v>0</v>
      </c>
      <c r="DB34" s="569">
        <v>0</v>
      </c>
      <c r="DC34" s="568">
        <f t="shared" si="54"/>
        <v>0</v>
      </c>
      <c r="DD34" s="556"/>
      <c r="DE34" s="569">
        <v>0</v>
      </c>
      <c r="DF34" s="569">
        <v>0</v>
      </c>
      <c r="DG34" s="569">
        <v>0</v>
      </c>
      <c r="DH34" s="569">
        <v>0</v>
      </c>
      <c r="DI34" s="568">
        <f t="shared" si="55"/>
        <v>0</v>
      </c>
      <c r="DJ34" s="556"/>
      <c r="DK34" s="569">
        <v>0</v>
      </c>
      <c r="DL34" s="569">
        <v>0</v>
      </c>
      <c r="DM34" s="569">
        <v>0</v>
      </c>
      <c r="DN34" s="569">
        <v>0</v>
      </c>
      <c r="DO34" s="568">
        <f t="shared" si="56"/>
        <v>0</v>
      </c>
      <c r="DP34" s="570"/>
      <c r="DQ34" s="955"/>
      <c r="DX34" s="957"/>
    </row>
    <row r="35" spans="1:128" ht="10.5" customHeight="1">
      <c r="A35" s="555" t="s">
        <v>956</v>
      </c>
      <c r="B35" s="555"/>
      <c r="C35" s="565"/>
      <c r="D35" s="565"/>
      <c r="E35" s="565"/>
      <c r="F35" s="556"/>
      <c r="G35" s="565"/>
      <c r="H35" s="565"/>
      <c r="I35" s="565"/>
      <c r="J35" s="565"/>
      <c r="K35" s="565"/>
      <c r="L35" s="556"/>
      <c r="M35" s="565"/>
      <c r="N35" s="565"/>
      <c r="O35" s="565"/>
      <c r="P35" s="557"/>
      <c r="Q35" s="565"/>
      <c r="R35" s="556"/>
      <c r="S35" s="557"/>
      <c r="T35" s="557"/>
      <c r="U35" s="556"/>
      <c r="V35" s="565"/>
      <c r="W35" s="565"/>
      <c r="X35" s="556"/>
      <c r="Y35" s="565"/>
      <c r="Z35" s="565"/>
      <c r="AA35" s="565"/>
      <c r="AB35" s="565"/>
      <c r="AC35" s="568"/>
      <c r="AD35" s="556"/>
      <c r="AE35" s="565"/>
      <c r="AF35" s="565"/>
      <c r="AG35" s="567"/>
      <c r="AH35" s="565"/>
      <c r="AI35" s="568"/>
      <c r="AJ35" s="556"/>
      <c r="AK35" s="565"/>
      <c r="AL35" s="565"/>
      <c r="AM35" s="565"/>
      <c r="AN35" s="565"/>
      <c r="AO35" s="568"/>
      <c r="AP35" s="556"/>
      <c r="AQ35" s="565"/>
      <c r="AR35" s="565"/>
      <c r="AS35" s="565"/>
      <c r="AT35" s="565"/>
      <c r="AU35" s="568"/>
      <c r="AV35" s="556"/>
      <c r="AW35" s="567"/>
      <c r="AX35" s="565"/>
      <c r="AY35" s="565"/>
      <c r="AZ35" s="565"/>
      <c r="BA35" s="568">
        <v>0</v>
      </c>
      <c r="BB35" s="556"/>
      <c r="BC35" s="565"/>
      <c r="BD35" s="565"/>
      <c r="BE35" s="565"/>
      <c r="BF35" s="565"/>
      <c r="BG35" s="568">
        <v>0</v>
      </c>
      <c r="BH35" s="556"/>
      <c r="BI35" s="569"/>
      <c r="BJ35" s="569"/>
      <c r="BK35" s="569"/>
      <c r="BL35" s="569"/>
      <c r="BM35" s="568">
        <v>0</v>
      </c>
      <c r="BN35" s="556"/>
      <c r="BO35" s="569">
        <v>0</v>
      </c>
      <c r="BP35" s="569">
        <v>0</v>
      </c>
      <c r="BQ35" s="569">
        <v>0</v>
      </c>
      <c r="BR35" s="569">
        <v>0</v>
      </c>
      <c r="BS35" s="568">
        <v>0</v>
      </c>
      <c r="BT35" s="556"/>
      <c r="BU35" s="569">
        <v>0</v>
      </c>
      <c r="BV35" s="569">
        <v>30</v>
      </c>
      <c r="BW35" s="569">
        <v>30</v>
      </c>
      <c r="BX35" s="569">
        <v>30</v>
      </c>
      <c r="BY35" s="568">
        <f>BX35</f>
        <v>30</v>
      </c>
      <c r="BZ35" s="556"/>
      <c r="CA35" s="569">
        <v>30</v>
      </c>
      <c r="CB35" s="569">
        <v>30</v>
      </c>
      <c r="CC35" s="569">
        <v>0</v>
      </c>
      <c r="CD35" s="569">
        <v>0</v>
      </c>
      <c r="CE35" s="568">
        <f>CD35</f>
        <v>0</v>
      </c>
      <c r="CF35" s="556"/>
      <c r="CG35" s="569">
        <v>0</v>
      </c>
      <c r="CH35" s="569">
        <v>0</v>
      </c>
      <c r="CI35" s="569">
        <v>0</v>
      </c>
      <c r="CJ35" s="569">
        <v>0</v>
      </c>
      <c r="CK35" s="568">
        <f>CJ35</f>
        <v>0</v>
      </c>
      <c r="CL35" s="556"/>
      <c r="CM35" s="569">
        <v>0</v>
      </c>
      <c r="CN35" s="569">
        <v>0</v>
      </c>
      <c r="CO35" s="569">
        <v>0</v>
      </c>
      <c r="CP35" s="569">
        <v>0</v>
      </c>
      <c r="CQ35" s="568">
        <f t="shared" si="52"/>
        <v>0</v>
      </c>
      <c r="CR35" s="556"/>
      <c r="CS35" s="569">
        <v>0</v>
      </c>
      <c r="CT35" s="569">
        <v>0</v>
      </c>
      <c r="CU35" s="569">
        <v>0</v>
      </c>
      <c r="CV35" s="569">
        <v>0</v>
      </c>
      <c r="CW35" s="568">
        <f t="shared" si="53"/>
        <v>0</v>
      </c>
      <c r="CX35" s="556"/>
      <c r="CY35" s="569">
        <v>0</v>
      </c>
      <c r="CZ35" s="569">
        <v>0</v>
      </c>
      <c r="DA35" s="569">
        <v>0</v>
      </c>
      <c r="DB35" s="569">
        <v>0</v>
      </c>
      <c r="DC35" s="568">
        <f t="shared" si="54"/>
        <v>0</v>
      </c>
      <c r="DD35" s="556"/>
      <c r="DE35" s="569">
        <v>0</v>
      </c>
      <c r="DF35" s="569">
        <v>0</v>
      </c>
      <c r="DG35" s="569">
        <v>0</v>
      </c>
      <c r="DH35" s="569">
        <v>0</v>
      </c>
      <c r="DI35" s="568">
        <f t="shared" si="55"/>
        <v>0</v>
      </c>
      <c r="DJ35" s="556"/>
      <c r="DK35" s="569">
        <v>0</v>
      </c>
      <c r="DL35" s="569">
        <v>0</v>
      </c>
      <c r="DM35" s="569">
        <v>0</v>
      </c>
      <c r="DN35" s="569">
        <v>0</v>
      </c>
      <c r="DO35" s="568">
        <f t="shared" si="56"/>
        <v>0</v>
      </c>
      <c r="DP35" s="570"/>
      <c r="DQ35" s="955"/>
      <c r="DX35" s="957"/>
    </row>
    <row r="36" spans="1:128" ht="12" customHeight="1">
      <c r="A36" s="555" t="s">
        <v>128</v>
      </c>
      <c r="B36" s="555"/>
      <c r="C36" s="565">
        <v>0</v>
      </c>
      <c r="D36" s="565">
        <v>0</v>
      </c>
      <c r="E36" s="565">
        <v>0</v>
      </c>
      <c r="F36" s="556"/>
      <c r="G36" s="565">
        <v>0</v>
      </c>
      <c r="H36" s="565">
        <v>0</v>
      </c>
      <c r="I36" s="565">
        <v>0</v>
      </c>
      <c r="J36" s="565">
        <v>0</v>
      </c>
      <c r="K36" s="565">
        <f t="shared" si="38"/>
        <v>0</v>
      </c>
      <c r="L36" s="556"/>
      <c r="M36" s="565">
        <v>0</v>
      </c>
      <c r="N36" s="565">
        <v>0</v>
      </c>
      <c r="O36" s="565">
        <v>0</v>
      </c>
      <c r="P36" s="565">
        <v>0</v>
      </c>
      <c r="Q36" s="565">
        <f t="shared" si="39"/>
        <v>0</v>
      </c>
      <c r="R36" s="556"/>
      <c r="S36" s="565">
        <v>0</v>
      </c>
      <c r="T36" s="565">
        <v>0</v>
      </c>
      <c r="U36" s="565">
        <v>0</v>
      </c>
      <c r="V36" s="556">
        <v>0.216</v>
      </c>
      <c r="W36" s="565">
        <f t="shared" si="40"/>
        <v>0.216</v>
      </c>
      <c r="X36" s="556"/>
      <c r="Y36" s="556">
        <v>1.482</v>
      </c>
      <c r="Z36" s="556">
        <v>0.86399999999999999</v>
      </c>
      <c r="AA36" s="556">
        <v>1.6319999999999999</v>
      </c>
      <c r="AB36" s="556">
        <f>3.191+2.65</f>
        <v>5.8409999999999993</v>
      </c>
      <c r="AC36" s="568">
        <f t="shared" si="41"/>
        <v>5.8409999999999993</v>
      </c>
      <c r="AD36" s="556"/>
      <c r="AE36" s="556">
        <f>5.039</f>
        <v>5.0389999999999997</v>
      </c>
      <c r="AF36" s="556">
        <f>3.736+4.393</f>
        <v>8.1289999999999996</v>
      </c>
      <c r="AG36" s="557">
        <f>4.207+5.637</f>
        <v>9.8439999999999994</v>
      </c>
      <c r="AH36" s="556">
        <v>6.7389999999999999</v>
      </c>
      <c r="AI36" s="568">
        <f t="shared" si="42"/>
        <v>6.7389999999999999</v>
      </c>
      <c r="AJ36" s="556"/>
      <c r="AK36" s="556">
        <v>1.321</v>
      </c>
      <c r="AL36" s="556">
        <v>1.6890000000000001</v>
      </c>
      <c r="AM36" s="556">
        <v>3.1419999999999999</v>
      </c>
      <c r="AN36" s="556">
        <v>3.6219999999999999</v>
      </c>
      <c r="AO36" s="568">
        <f t="shared" si="43"/>
        <v>3.6219999999999999</v>
      </c>
      <c r="AP36" s="556"/>
      <c r="AQ36" s="556">
        <v>1.155</v>
      </c>
      <c r="AR36" s="556">
        <v>1.2689999999999999</v>
      </c>
      <c r="AS36" s="556">
        <v>1.923</v>
      </c>
      <c r="AT36" s="556">
        <v>3.6190000000000002</v>
      </c>
      <c r="AU36" s="568">
        <f t="shared" si="44"/>
        <v>3.6190000000000002</v>
      </c>
      <c r="AV36" s="556"/>
      <c r="AW36" s="557">
        <v>3.1429999999999998</v>
      </c>
      <c r="AX36" s="556">
        <v>2.7589999999999999</v>
      </c>
      <c r="AY36" s="556">
        <v>3.05</v>
      </c>
      <c r="AZ36" s="556">
        <v>8.4239999999999995</v>
      </c>
      <c r="BA36" s="568">
        <f t="shared" si="45"/>
        <v>8.4239999999999995</v>
      </c>
      <c r="BB36" s="556"/>
      <c r="BC36" s="556">
        <v>5.9009999999999998</v>
      </c>
      <c r="BD36" s="556">
        <v>8.89</v>
      </c>
      <c r="BE36" s="556">
        <v>9.6440000000000001</v>
      </c>
      <c r="BF36" s="556">
        <v>7.78</v>
      </c>
      <c r="BG36" s="568">
        <f t="shared" si="46"/>
        <v>7.78</v>
      </c>
      <c r="BH36" s="556"/>
      <c r="BI36" s="559">
        <v>0</v>
      </c>
      <c r="BJ36" s="559">
        <v>0</v>
      </c>
      <c r="BK36" s="559">
        <v>0</v>
      </c>
      <c r="BL36" s="559">
        <v>0</v>
      </c>
      <c r="BM36" s="568">
        <f t="shared" si="47"/>
        <v>0</v>
      </c>
      <c r="BN36" s="556"/>
      <c r="BO36" s="559">
        <v>0</v>
      </c>
      <c r="BP36" s="559">
        <v>0</v>
      </c>
      <c r="BQ36" s="559">
        <v>0</v>
      </c>
      <c r="BR36" s="559">
        <v>0</v>
      </c>
      <c r="BS36" s="568">
        <f t="shared" si="48"/>
        <v>0</v>
      </c>
      <c r="BT36" s="556"/>
      <c r="BU36" s="559">
        <v>0</v>
      </c>
      <c r="BV36" s="559">
        <v>0</v>
      </c>
      <c r="BW36" s="559">
        <v>0</v>
      </c>
      <c r="BX36" s="559">
        <v>0</v>
      </c>
      <c r="BY36" s="568">
        <f t="shared" si="49"/>
        <v>0</v>
      </c>
      <c r="BZ36" s="556"/>
      <c r="CA36" s="559">
        <v>0</v>
      </c>
      <c r="CB36" s="559">
        <v>0</v>
      </c>
      <c r="CC36" s="559">
        <v>0</v>
      </c>
      <c r="CD36" s="559">
        <v>0</v>
      </c>
      <c r="CE36" s="568">
        <f t="shared" si="50"/>
        <v>0</v>
      </c>
      <c r="CF36" s="556"/>
      <c r="CG36" s="559">
        <v>0</v>
      </c>
      <c r="CH36" s="559">
        <v>0</v>
      </c>
      <c r="CI36" s="559">
        <v>0</v>
      </c>
      <c r="CJ36" s="559">
        <v>0</v>
      </c>
      <c r="CK36" s="568">
        <f t="shared" si="51"/>
        <v>0</v>
      </c>
      <c r="CL36" s="556"/>
      <c r="CM36" s="559">
        <v>0</v>
      </c>
      <c r="CN36" s="559">
        <v>0</v>
      </c>
      <c r="CO36" s="559">
        <v>0</v>
      </c>
      <c r="CP36" s="559">
        <v>0</v>
      </c>
      <c r="CQ36" s="568">
        <f t="shared" si="52"/>
        <v>0</v>
      </c>
      <c r="CR36" s="556"/>
      <c r="CS36" s="559">
        <v>0</v>
      </c>
      <c r="CT36" s="559">
        <v>0</v>
      </c>
      <c r="CU36" s="559">
        <v>0</v>
      </c>
      <c r="CV36" s="559">
        <v>0</v>
      </c>
      <c r="CW36" s="568">
        <f t="shared" si="53"/>
        <v>0</v>
      </c>
      <c r="CX36" s="556"/>
      <c r="CY36" s="559">
        <f>(Model!CY$237*CY93)</f>
        <v>0</v>
      </c>
      <c r="CZ36" s="559">
        <f>(Model!CZ$237*CZ93)</f>
        <v>0</v>
      </c>
      <c r="DA36" s="559">
        <f>(Model!DA$237*DA93)</f>
        <v>0</v>
      </c>
      <c r="DB36" s="559">
        <f>(Model!DB$237*DB93)</f>
        <v>0</v>
      </c>
      <c r="DC36" s="568">
        <f t="shared" si="54"/>
        <v>0</v>
      </c>
      <c r="DD36" s="556"/>
      <c r="DE36" s="559">
        <f>(Model!DE$237*DE93)</f>
        <v>0</v>
      </c>
      <c r="DF36" s="559">
        <f>(Model!DF$237*DF93)</f>
        <v>0</v>
      </c>
      <c r="DG36" s="559">
        <f>(Model!DG$237*DG93)</f>
        <v>0</v>
      </c>
      <c r="DH36" s="559">
        <f>(Model!DH$237*DH93)</f>
        <v>0</v>
      </c>
      <c r="DI36" s="568">
        <f t="shared" si="55"/>
        <v>0</v>
      </c>
      <c r="DJ36" s="556"/>
      <c r="DK36" s="559">
        <f>(Model!DK$237*DK93)</f>
        <v>0</v>
      </c>
      <c r="DL36" s="559">
        <f>(Model!DL$237*DL93)</f>
        <v>0</v>
      </c>
      <c r="DM36" s="559">
        <f>(Model!DM$237*DM93)</f>
        <v>0</v>
      </c>
      <c r="DN36" s="559">
        <f>(Model!DN$237*DN93)</f>
        <v>0</v>
      </c>
      <c r="DO36" s="568">
        <f t="shared" si="56"/>
        <v>0</v>
      </c>
      <c r="DP36" s="570"/>
      <c r="DQ36" s="955"/>
      <c r="DX36" s="957"/>
    </row>
    <row r="37" spans="1:128" ht="10.5" customHeight="1">
      <c r="A37" s="407" t="s">
        <v>968</v>
      </c>
      <c r="B37" s="408"/>
      <c r="C37" s="409">
        <f>C30+C33+C34+C36</f>
        <v>0.88200000000000001</v>
      </c>
      <c r="D37" s="409">
        <f>D30+D33+D34+D36</f>
        <v>4.8529999999999998</v>
      </c>
      <c r="E37" s="409">
        <f>E30+E33+E34+E36</f>
        <v>12.318</v>
      </c>
      <c r="F37" s="409"/>
      <c r="G37" s="409">
        <f>G30+G33+G34+G36</f>
        <v>16.714000000000002</v>
      </c>
      <c r="H37" s="409">
        <f>H30+H33+H34+H36</f>
        <v>21.252000000000002</v>
      </c>
      <c r="I37" s="409">
        <f>I30+I33+I34+I36</f>
        <v>22.890999999999998</v>
      </c>
      <c r="J37" s="409">
        <f>J30+J33+J34+J36</f>
        <v>28.794999999999998</v>
      </c>
      <c r="K37" s="409">
        <f>K30+K33+K34+K36</f>
        <v>28.794999999999998</v>
      </c>
      <c r="L37" s="409"/>
      <c r="M37" s="409">
        <f>M30+M33+M34+M36</f>
        <v>35.023999999999994</v>
      </c>
      <c r="N37" s="409">
        <f>N30+N33+N34+N36</f>
        <v>41.868000000000002</v>
      </c>
      <c r="O37" s="409">
        <f>O30+O33+O34+O36</f>
        <v>52.325999999999993</v>
      </c>
      <c r="P37" s="409">
        <f>P30+P33+P34+P36</f>
        <v>70.006</v>
      </c>
      <c r="Q37" s="409">
        <f>Q30+Q33+Q34+Q36</f>
        <v>70.006</v>
      </c>
      <c r="R37" s="409"/>
      <c r="S37" s="409">
        <f>S30+S33+S34+S36</f>
        <v>73.349999999999994</v>
      </c>
      <c r="T37" s="409">
        <f>T30+T33+T34+T36</f>
        <v>89.68</v>
      </c>
      <c r="U37" s="409">
        <f>U30+U33+U34+U36</f>
        <v>105.81399999999999</v>
      </c>
      <c r="V37" s="409">
        <f>V30+V33+V34+V36</f>
        <v>131.67099999999999</v>
      </c>
      <c r="W37" s="409">
        <f>W30+W33+W34+W36</f>
        <v>131.67099999999999</v>
      </c>
      <c r="X37" s="409"/>
      <c r="Y37" s="409">
        <f>Y30+Y33+Y34+Y36</f>
        <v>138.21699999999998</v>
      </c>
      <c r="Z37" s="409">
        <f>Z30+Z33+Z34+Z36</f>
        <v>154.80700000000002</v>
      </c>
      <c r="AA37" s="409">
        <f>AA30+AA33+AA34+AA36</f>
        <v>173.86</v>
      </c>
      <c r="AB37" s="409">
        <f>AB30+AB33+AB34+AB36</f>
        <v>234.62500000000003</v>
      </c>
      <c r="AC37" s="410">
        <f>AC30+AC33+AC34+AC36</f>
        <v>234.62500000000003</v>
      </c>
      <c r="AD37" s="409"/>
      <c r="AE37" s="409">
        <f>AE30+AE33+AE34+AE36</f>
        <v>238.959</v>
      </c>
      <c r="AF37" s="409">
        <f>AF30+AF33+AF34+AF36</f>
        <v>266.71600000000007</v>
      </c>
      <c r="AG37" s="409">
        <f>AG30+AG33+AG34+AG36</f>
        <v>294.28699999999998</v>
      </c>
      <c r="AH37" s="411">
        <f>AH30+AH33+AH34+AH36</f>
        <v>376.99899999999997</v>
      </c>
      <c r="AI37" s="410">
        <f>AI30+AI33+AI34+AI36</f>
        <v>376.99899999999997</v>
      </c>
      <c r="AJ37" s="409"/>
      <c r="AK37" s="409">
        <f>AK30+AK33+AK34+AK36</f>
        <v>377.31700000000006</v>
      </c>
      <c r="AL37" s="409">
        <f>AL30+AL33+AL34+AL36</f>
        <v>412.11399999999998</v>
      </c>
      <c r="AM37" s="409">
        <f>AM30+AM33+AM34+AM36</f>
        <v>449.94099999999997</v>
      </c>
      <c r="AN37" s="409">
        <f>AN30+AN33+AN34+AN36</f>
        <v>605.91700000000003</v>
      </c>
      <c r="AO37" s="410">
        <f>AO30+AO33+AO34+AO36</f>
        <v>605.91700000000003</v>
      </c>
      <c r="AP37" s="409"/>
      <c r="AQ37" s="409">
        <f>AQ30+AQ33+AQ34+AQ36</f>
        <v>580.97900000000004</v>
      </c>
      <c r="AR37" s="409">
        <f>AR30+AR33+AR34+AR36</f>
        <v>599.82500000000005</v>
      </c>
      <c r="AS37" s="409">
        <f>AS30+AS33+AS34+AS36</f>
        <v>615.44200000000001</v>
      </c>
      <c r="AT37" s="409">
        <f>AT30+AT33+AT34+AT36</f>
        <v>766.96600000000001</v>
      </c>
      <c r="AU37" s="410">
        <f>AU30+AU33+AU34+AU36</f>
        <v>766.96600000000001</v>
      </c>
      <c r="AV37" s="409"/>
      <c r="AW37" s="409">
        <f>AW30+AW33+AW34+AW36</f>
        <v>690.09400000000005</v>
      </c>
      <c r="AX37" s="409">
        <f>AX30+AX33+AX34+AX36</f>
        <v>712.58800000000008</v>
      </c>
      <c r="AY37" s="409">
        <f>AY30+AY33+AY34+AY36</f>
        <v>726.47799999999984</v>
      </c>
      <c r="AZ37" s="409">
        <f>AZ30+AZ33+AZ34+AZ36</f>
        <v>908.13</v>
      </c>
      <c r="BA37" s="410">
        <f>BA30+BA33+BA34+BA36</f>
        <v>908.13</v>
      </c>
      <c r="BB37" s="409"/>
      <c r="BC37" s="409">
        <f>BC30+BC33+BC34+BC36</f>
        <v>838.09999999999991</v>
      </c>
      <c r="BD37" s="409">
        <f>BD30+BD33+BD34+BD36</f>
        <v>928.56600000000003</v>
      </c>
      <c r="BE37" s="409">
        <f>BE30+BE33+BE34+BE36</f>
        <v>993.04499999999996</v>
      </c>
      <c r="BF37" s="409">
        <f>BF30+BF33+BF34+BF36</f>
        <v>1276.4660000000001</v>
      </c>
      <c r="BG37" s="410">
        <f>BG30+BG33+BG34+BG36</f>
        <v>1276.4660000000001</v>
      </c>
      <c r="BH37" s="409"/>
      <c r="BI37" s="409">
        <f>BI30+BI33+BI34+BI36</f>
        <v>1685.212</v>
      </c>
      <c r="BJ37" s="409">
        <f>BJ30+BJ33+BJ34+BJ36</f>
        <v>1814.057</v>
      </c>
      <c r="BK37" s="409">
        <f>BK30+BK33+BK34+BK36</f>
        <v>1832.5889999999999</v>
      </c>
      <c r="BL37" s="409">
        <f>BL30+BL33+BL34+BL36</f>
        <v>2323.471</v>
      </c>
      <c r="BM37" s="410">
        <f>BM30+BM33+BM34+BM36</f>
        <v>2323.471</v>
      </c>
      <c r="BN37" s="409"/>
      <c r="BO37" s="409">
        <f>BO30+BO33+BO34+BO36</f>
        <v>1676.8519999999999</v>
      </c>
      <c r="BP37" s="409">
        <f>BP30+BP33+BP34+BP36</f>
        <v>2329.1669999999999</v>
      </c>
      <c r="BQ37" s="409">
        <f>BQ30+BQ33+BQ34+BQ36</f>
        <v>2323.2159999999999</v>
      </c>
      <c r="BR37" s="409">
        <f>BR30+BR33+BR34+BR36</f>
        <v>2917.6239999999998</v>
      </c>
      <c r="BS37" s="410">
        <f>BS30+BS33+BS34+BS36</f>
        <v>2917.6239999999998</v>
      </c>
      <c r="BT37" s="409"/>
      <c r="BU37" s="409">
        <f>BU30+BU33+BU34+BU36</f>
        <v>2729.6869999999999</v>
      </c>
      <c r="BV37" s="409">
        <f>BV30+BV33+BV34+BV36+BV35</f>
        <v>3063.3150000000001</v>
      </c>
      <c r="BW37" s="409">
        <f>BW30+BW33+BW34+BW36+BW35</f>
        <v>3096.6889999999999</v>
      </c>
      <c r="BX37" s="409">
        <f>BX30+BX33+BX34+BX36+BX35</f>
        <v>3980.1880000000001</v>
      </c>
      <c r="BY37" s="410">
        <f>BY30+BY33+BY34+BY36+BY35</f>
        <v>3980.1880000000001</v>
      </c>
      <c r="BZ37" s="409"/>
      <c r="CA37" s="409">
        <f>CA30+CA33+CA34+CA36+CA35</f>
        <v>3359.9540000000002</v>
      </c>
      <c r="CB37" s="409">
        <f>CB30+CB33+CB34+CB36+CB35</f>
        <v>3502.7379999999998</v>
      </c>
      <c r="CC37" s="409">
        <f>CC30+CC33+CC34+CC36+CC35</f>
        <v>3308.3520000000003</v>
      </c>
      <c r="CD37" s="409">
        <f>CD30+CD33+CD34+CD36+CD35</f>
        <v>4390.1030000000001</v>
      </c>
      <c r="CE37" s="410">
        <f>CE30+CE33+CE34+CE36+CE35</f>
        <v>4390.1030000000001</v>
      </c>
      <c r="CF37" s="409"/>
      <c r="CG37" s="409">
        <f>CG30+CG33+CG34+CG36+CG35</f>
        <v>3960.8760000000002</v>
      </c>
      <c r="CH37" s="409">
        <f>CH30+CH33+CH34+CH36+CH35</f>
        <v>4112.9940000000006</v>
      </c>
      <c r="CI37" s="409">
        <f>CI30+CI33+CI34+CI36+CI35</f>
        <v>3976.9780000000001</v>
      </c>
      <c r="CJ37" s="409">
        <f>CJ30+CJ33+CJ34+CJ36+CJ35</f>
        <v>5617.0050000000001</v>
      </c>
      <c r="CK37" s="410">
        <f>CK30+CK33+CK34+CK36+CK35</f>
        <v>5617.0050000000001</v>
      </c>
      <c r="CL37" s="409"/>
      <c r="CM37" s="409">
        <f>CM30+CM33+CM34+CM36+CM35</f>
        <v>5085.1030000000001</v>
      </c>
      <c r="CN37" s="409">
        <f>CN30+CN33+CN34+CN36+CN35</f>
        <v>5376.0959999999995</v>
      </c>
      <c r="CO37" s="409">
        <f>CO30+CO33+CO34+CO36+CO35</f>
        <v>4975.5339999999997</v>
      </c>
      <c r="CP37" s="409">
        <f>CP30+CP33+CP34+CP36+CP35</f>
        <v>7258.3530000000001</v>
      </c>
      <c r="CQ37" s="410">
        <f>CQ30+CQ33+CQ34+CQ36+CQ35</f>
        <v>7258.3530000000001</v>
      </c>
      <c r="CR37" s="409"/>
      <c r="CS37" s="409">
        <f>CS30+CS33+CS34+CS36+CS35</f>
        <v>7625.8629999999994</v>
      </c>
      <c r="CT37" s="409">
        <f>CT30+CT33+CT34+CT36+CT35</f>
        <v>7526.1850000000004</v>
      </c>
      <c r="CU37" s="409">
        <f>CU30+CU33+CU34+CU36+CU35</f>
        <v>7216.4439999999995</v>
      </c>
      <c r="CV37" s="409">
        <f>CV30+CV33+CV34+CV36+CV35</f>
        <v>10129.518</v>
      </c>
      <c r="CW37" s="410">
        <f>CW30+CW33+CW34+CW36+CW35</f>
        <v>10129.518</v>
      </c>
      <c r="CX37" s="409"/>
      <c r="CY37" s="409">
        <f>CY30+CY33+CY34+CY36+CY35</f>
        <v>8052.9724952185079</v>
      </c>
      <c r="CZ37" s="409">
        <f>CZ30+CZ33+CZ34+CZ36+CZ35</f>
        <v>7887.5371114837199</v>
      </c>
      <c r="DA37" s="409">
        <f>DA30+DA33+DA34+DA36+DA35</f>
        <v>7507.0431646947818</v>
      </c>
      <c r="DB37" s="409">
        <f>DB30+DB33+DB34+DB36+DB35</f>
        <v>11358.765052749268</v>
      </c>
      <c r="DC37" s="410">
        <f>DC30+DC33+DC34+DC36+DC35</f>
        <v>11358.765052749268</v>
      </c>
      <c r="DD37" s="409"/>
      <c r="DE37" s="409">
        <f>DE30+DE33+DE34+DE36+DE35</f>
        <v>9937.597345658387</v>
      </c>
      <c r="DF37" s="409">
        <f>DF30+DF33+DF34+DF36+DF35</f>
        <v>9708.0624745788318</v>
      </c>
      <c r="DG37" s="409">
        <f>DG30+DG33+DG34+DG36+DG35</f>
        <v>9228.6304412028294</v>
      </c>
      <c r="DH37" s="409">
        <f>DH30+DH33+DH34+DH36+DH35</f>
        <v>14039.706744806468</v>
      </c>
      <c r="DI37" s="410">
        <f>DI30+DI33+DI34+DI36+DI35</f>
        <v>14039.706744806468</v>
      </c>
      <c r="DJ37" s="409"/>
      <c r="DK37" s="409">
        <f>DK30+DK33+DK34+DK36+DK35</f>
        <v>12181.667536238398</v>
      </c>
      <c r="DL37" s="409">
        <f>DL30+DL33+DL34+DL36+DL35</f>
        <v>11906.378566763422</v>
      </c>
      <c r="DM37" s="409">
        <f>DM30+DM33+DM34+DM36+DM35</f>
        <v>11343.970347783561</v>
      </c>
      <c r="DN37" s="409">
        <f>DN30+DN33+DN34+DN36+DN35</f>
        <v>17236.498765331144</v>
      </c>
      <c r="DO37" s="410">
        <f>DO30+DO33+DO34+DO36+DO35</f>
        <v>17236.498765331144</v>
      </c>
      <c r="DP37" s="1681"/>
      <c r="DQ37" s="955"/>
      <c r="DX37" s="957"/>
    </row>
    <row r="38" spans="1:128" ht="5.25" customHeight="1">
      <c r="A38" s="10"/>
      <c r="B38" s="10"/>
      <c r="C38" s="11"/>
      <c r="D38" s="11"/>
      <c r="E38" s="11"/>
      <c r="F38" s="11"/>
      <c r="G38" s="11"/>
      <c r="H38" s="11"/>
      <c r="I38" s="11"/>
      <c r="J38" s="11"/>
      <c r="K38" s="11"/>
      <c r="L38" s="11"/>
      <c r="M38" s="11"/>
      <c r="N38" s="11"/>
      <c r="O38" s="11"/>
      <c r="P38" s="11"/>
      <c r="Q38" s="11"/>
      <c r="R38" s="11"/>
      <c r="S38" s="11"/>
      <c r="T38" s="18"/>
      <c r="U38" s="11"/>
      <c r="V38" s="11"/>
      <c r="W38" s="11"/>
      <c r="X38" s="11"/>
      <c r="Y38" s="11"/>
      <c r="Z38" s="11"/>
      <c r="AA38" s="11"/>
      <c r="AB38" s="11"/>
      <c r="AC38" s="68"/>
      <c r="AD38" s="11"/>
      <c r="AE38" s="11"/>
      <c r="AF38" s="18"/>
      <c r="AG38" s="51"/>
      <c r="AH38" s="18"/>
      <c r="AI38" s="68"/>
      <c r="AJ38" s="11"/>
      <c r="AK38" s="11"/>
      <c r="AL38" s="18"/>
      <c r="AM38" s="11"/>
      <c r="AN38" s="11"/>
      <c r="AO38" s="68"/>
      <c r="AP38" s="11"/>
      <c r="AQ38" s="18"/>
      <c r="AR38" s="11"/>
      <c r="AS38" s="18"/>
      <c r="AT38" s="18"/>
      <c r="AU38" s="68"/>
      <c r="AV38" s="11"/>
      <c r="AW38" s="51"/>
      <c r="AX38" s="18"/>
      <c r="AY38" s="11"/>
      <c r="AZ38" s="11"/>
      <c r="BA38" s="68"/>
      <c r="BB38" s="11"/>
      <c r="BC38" s="18"/>
      <c r="BD38" s="18"/>
      <c r="BE38" s="18"/>
      <c r="BF38" s="18"/>
      <c r="BG38" s="563"/>
      <c r="BH38" s="561"/>
      <c r="BI38" s="561"/>
      <c r="BJ38" s="561"/>
      <c r="BK38" s="561"/>
      <c r="BL38" s="561"/>
      <c r="BM38" s="563"/>
      <c r="BN38" s="561"/>
      <c r="BO38" s="561"/>
      <c r="BP38" s="561"/>
      <c r="BQ38" s="561"/>
      <c r="BR38" s="561"/>
      <c r="BS38" s="563"/>
      <c r="BT38" s="561"/>
      <c r="BU38" s="561"/>
      <c r="BV38" s="561"/>
      <c r="BW38" s="561"/>
      <c r="BX38" s="561"/>
      <c r="BY38" s="563"/>
      <c r="BZ38" s="561"/>
      <c r="CA38" s="561"/>
      <c r="CB38" s="561"/>
      <c r="CC38" s="561"/>
      <c r="CD38" s="561"/>
      <c r="CE38" s="563"/>
      <c r="CF38" s="561"/>
      <c r="CG38" s="561"/>
      <c r="CH38" s="561"/>
      <c r="CI38" s="561"/>
      <c r="CJ38" s="561"/>
      <c r="CK38" s="563"/>
      <c r="CL38" s="561"/>
      <c r="CM38" s="561"/>
      <c r="CN38" s="561"/>
      <c r="CO38" s="561"/>
      <c r="CP38" s="561"/>
      <c r="CQ38" s="563"/>
      <c r="CR38" s="561"/>
      <c r="CS38" s="561"/>
      <c r="CT38" s="561"/>
      <c r="CU38" s="561"/>
      <c r="CV38" s="561"/>
      <c r="CW38" s="563"/>
      <c r="CX38" s="561"/>
      <c r="CY38" s="561"/>
      <c r="CZ38" s="561"/>
      <c r="DA38" s="561"/>
      <c r="DB38" s="561"/>
      <c r="DC38" s="563"/>
      <c r="DD38" s="561"/>
      <c r="DE38" s="561"/>
      <c r="DF38" s="561"/>
      <c r="DG38" s="561"/>
      <c r="DH38" s="561"/>
      <c r="DI38" s="563"/>
      <c r="DJ38" s="561"/>
      <c r="DK38" s="561"/>
      <c r="DL38" s="561"/>
      <c r="DM38" s="561"/>
      <c r="DN38" s="561"/>
      <c r="DO38" s="563"/>
      <c r="DP38" s="561"/>
      <c r="DQ38" s="955"/>
      <c r="DX38" s="957"/>
    </row>
    <row r="39" spans="1:128" ht="10.5" customHeight="1">
      <c r="A39" s="555" t="s">
        <v>384</v>
      </c>
      <c r="B39" s="555"/>
      <c r="C39" s="565">
        <v>0</v>
      </c>
      <c r="D39" s="575">
        <v>1.425</v>
      </c>
      <c r="E39" s="565">
        <f>0.956</f>
        <v>0.95599999999999996</v>
      </c>
      <c r="F39" s="556"/>
      <c r="G39" s="575">
        <f>E39+(J39-E39)/4</f>
        <v>0.73649999999999993</v>
      </c>
      <c r="H39" s="575">
        <f>G39+(J39-E39)/4</f>
        <v>0.5169999999999999</v>
      </c>
      <c r="I39" s="575">
        <f>H39+(J39-E39)/4</f>
        <v>0.29749999999999988</v>
      </c>
      <c r="J39" s="565">
        <f>0.078</f>
        <v>7.8E-2</v>
      </c>
      <c r="K39" s="565">
        <f t="shared" ref="K39:K55" si="57">J39</f>
        <v>7.8E-2</v>
      </c>
      <c r="L39" s="556"/>
      <c r="M39" s="565">
        <v>0</v>
      </c>
      <c r="N39" s="565">
        <v>0</v>
      </c>
      <c r="O39" s="565">
        <v>0</v>
      </c>
      <c r="P39" s="565">
        <v>0</v>
      </c>
      <c r="Q39" s="565">
        <v>0</v>
      </c>
      <c r="R39" s="556"/>
      <c r="S39" s="565">
        <v>0</v>
      </c>
      <c r="T39" s="565">
        <v>1.004</v>
      </c>
      <c r="U39" s="565">
        <v>0.86199999999999999</v>
      </c>
      <c r="V39" s="565">
        <v>0.72099999999999997</v>
      </c>
      <c r="W39" s="565">
        <f t="shared" ref="W39:W46" si="58">V39</f>
        <v>0.72099999999999997</v>
      </c>
      <c r="X39" s="556"/>
      <c r="Y39" s="565">
        <v>0.57799999999999996</v>
      </c>
      <c r="Z39" s="565">
        <v>0.48899999999999999</v>
      </c>
      <c r="AA39" s="565">
        <v>0.34</v>
      </c>
      <c r="AB39" s="565">
        <v>0.184</v>
      </c>
      <c r="AC39" s="568">
        <f t="shared" ref="AC39:AC46" si="59">AB39</f>
        <v>0.184</v>
      </c>
      <c r="AD39" s="556"/>
      <c r="AE39" s="565">
        <v>2.8000000000000001E-2</v>
      </c>
      <c r="AF39" s="565">
        <v>0.02</v>
      </c>
      <c r="AG39" s="567">
        <v>1.2999999999999999E-2</v>
      </c>
      <c r="AH39" s="565">
        <v>6.0000000000000001E-3</v>
      </c>
      <c r="AI39" s="568">
        <f t="shared" ref="AH39:AI44" si="60">AH39</f>
        <v>6.0000000000000001E-3</v>
      </c>
      <c r="AJ39" s="556"/>
      <c r="AK39" s="565">
        <f>AH39</f>
        <v>6.0000000000000001E-3</v>
      </c>
      <c r="AL39" s="565">
        <v>0</v>
      </c>
      <c r="AM39" s="565">
        <v>1.42</v>
      </c>
      <c r="AN39" s="565">
        <v>2.1360000000000001</v>
      </c>
      <c r="AO39" s="568">
        <f t="shared" ref="AO39:AO46" si="61">AN39</f>
        <v>2.1360000000000001</v>
      </c>
      <c r="AP39" s="556"/>
      <c r="AQ39" s="565">
        <v>3.1949999999999998</v>
      </c>
      <c r="AR39" s="565">
        <v>2.9860000000000002</v>
      </c>
      <c r="AS39" s="565">
        <v>6.15</v>
      </c>
      <c r="AT39" s="565">
        <v>7.6159999999999997</v>
      </c>
      <c r="AU39" s="568">
        <f t="shared" ref="AU39:AU46" si="62">AT39</f>
        <v>7.6159999999999997</v>
      </c>
      <c r="AV39" s="556"/>
      <c r="AW39" s="567">
        <v>14.879</v>
      </c>
      <c r="AX39" s="565">
        <v>14.795999999999999</v>
      </c>
      <c r="AY39" s="565">
        <v>14.795999999999999</v>
      </c>
      <c r="AZ39" s="565">
        <v>13.484999999999999</v>
      </c>
      <c r="BA39" s="568">
        <f t="shared" ref="BA39:BA46" si="63">AZ39</f>
        <v>13.484999999999999</v>
      </c>
      <c r="BB39" s="556"/>
      <c r="BC39" s="565">
        <v>11.805</v>
      </c>
      <c r="BD39" s="565">
        <v>14.577</v>
      </c>
      <c r="BE39" s="565">
        <f>27.949</f>
        <v>27.949000000000002</v>
      </c>
      <c r="BF39" s="565">
        <v>25.486999999999998</v>
      </c>
      <c r="BG39" s="568">
        <f>BF39</f>
        <v>25.486999999999998</v>
      </c>
      <c r="BH39" s="556"/>
      <c r="BI39" s="569">
        <v>49.061999999999998</v>
      </c>
      <c r="BJ39" s="569">
        <v>46.088000000000001</v>
      </c>
      <c r="BK39" s="569">
        <v>52.558999999999997</v>
      </c>
      <c r="BL39" s="569">
        <v>48.651000000000003</v>
      </c>
      <c r="BM39" s="568">
        <f t="shared" ref="BM39:BM46" si="64">BL39</f>
        <v>48.651000000000003</v>
      </c>
      <c r="BN39" s="556"/>
      <c r="BO39" s="569">
        <v>47.787999999999997</v>
      </c>
      <c r="BP39" s="569">
        <v>49.79</v>
      </c>
      <c r="BQ39" s="569">
        <v>63.628999999999998</v>
      </c>
      <c r="BR39" s="569">
        <v>126.658</v>
      </c>
      <c r="BS39" s="568">
        <f>BR39</f>
        <v>126.658</v>
      </c>
      <c r="BT39" s="556"/>
      <c r="BU39" s="569">
        <v>137.04900000000001</v>
      </c>
      <c r="BV39" s="569">
        <v>570.11400000000003</v>
      </c>
      <c r="BW39" s="569">
        <v>583.08500000000004</v>
      </c>
      <c r="BX39" s="569">
        <v>594.303</v>
      </c>
      <c r="BY39" s="568">
        <f>BX39</f>
        <v>594.303</v>
      </c>
      <c r="BZ39" s="556"/>
      <c r="CA39" s="569">
        <v>634.67899999999997</v>
      </c>
      <c r="CB39" s="569">
        <v>680.14499999999998</v>
      </c>
      <c r="CC39" s="569">
        <v>703.53</v>
      </c>
      <c r="CD39" s="569">
        <v>701.61199999999997</v>
      </c>
      <c r="CE39" s="568">
        <f t="shared" ref="CE39:CE46" si="65">CD39</f>
        <v>701.61199999999997</v>
      </c>
      <c r="CF39" s="556"/>
      <c r="CG39" s="569">
        <v>618.00900000000001</v>
      </c>
      <c r="CH39" s="569">
        <v>574.56399999999996</v>
      </c>
      <c r="CI39" s="569">
        <v>569.81600000000003</v>
      </c>
      <c r="CJ39" s="569">
        <v>550.29200000000003</v>
      </c>
      <c r="CK39" s="568">
        <f>CJ39</f>
        <v>550.29200000000003</v>
      </c>
      <c r="CL39" s="556"/>
      <c r="CM39" s="569">
        <v>551.9</v>
      </c>
      <c r="CN39" s="569">
        <v>496.91199999999998</v>
      </c>
      <c r="CO39" s="569">
        <v>490.55</v>
      </c>
      <c r="CP39" s="569">
        <v>480.85</v>
      </c>
      <c r="CQ39" s="568">
        <f>CP39</f>
        <v>480.85</v>
      </c>
      <c r="CR39" s="556"/>
      <c r="CS39" s="569">
        <v>0</v>
      </c>
      <c r="CT39" s="569">
        <v>0</v>
      </c>
      <c r="CU39" s="569">
        <v>0</v>
      </c>
      <c r="CV39" s="569">
        <v>0</v>
      </c>
      <c r="CW39" s="568">
        <f>CV39</f>
        <v>0</v>
      </c>
      <c r="CX39" s="556"/>
      <c r="CY39" s="569">
        <f>CV39+CF!CY49</f>
        <v>0</v>
      </c>
      <c r="CZ39" s="569">
        <f>CY39</f>
        <v>0</v>
      </c>
      <c r="DA39" s="569">
        <f>CZ39</f>
        <v>0</v>
      </c>
      <c r="DB39" s="569">
        <f>DA39</f>
        <v>0</v>
      </c>
      <c r="DC39" s="568">
        <f>DB39</f>
        <v>0</v>
      </c>
      <c r="DD39" s="556"/>
      <c r="DE39" s="569">
        <f>DB39+CF!DE49</f>
        <v>0</v>
      </c>
      <c r="DF39" s="569">
        <f>DE39</f>
        <v>0</v>
      </c>
      <c r="DG39" s="569">
        <f>DF39</f>
        <v>0</v>
      </c>
      <c r="DH39" s="569">
        <f>DG39</f>
        <v>0</v>
      </c>
      <c r="DI39" s="568">
        <f>DH39</f>
        <v>0</v>
      </c>
      <c r="DJ39" s="556"/>
      <c r="DK39" s="569">
        <f>DH39+CF!DK49</f>
        <v>0</v>
      </c>
      <c r="DL39" s="569">
        <f>DK39</f>
        <v>0</v>
      </c>
      <c r="DM39" s="569">
        <f>DL39</f>
        <v>0</v>
      </c>
      <c r="DN39" s="569">
        <f>DM39</f>
        <v>0</v>
      </c>
      <c r="DO39" s="568">
        <f>DN39</f>
        <v>0</v>
      </c>
      <c r="DP39" s="570"/>
      <c r="DQ39" s="955"/>
      <c r="DX39" s="957"/>
    </row>
    <row r="40" spans="1:128" ht="10.5" customHeight="1">
      <c r="A40" s="555" t="s">
        <v>587</v>
      </c>
      <c r="B40" s="555"/>
      <c r="C40" s="565">
        <v>0</v>
      </c>
      <c r="D40" s="565">
        <v>0</v>
      </c>
      <c r="E40" s="565">
        <v>0</v>
      </c>
      <c r="F40" s="556"/>
      <c r="G40" s="565">
        <v>0</v>
      </c>
      <c r="H40" s="565">
        <v>0</v>
      </c>
      <c r="I40" s="565">
        <v>0</v>
      </c>
      <c r="J40" s="565">
        <v>0</v>
      </c>
      <c r="K40" s="565">
        <f t="shared" si="57"/>
        <v>0</v>
      </c>
      <c r="L40" s="556"/>
      <c r="M40" s="565">
        <v>0</v>
      </c>
      <c r="N40" s="565">
        <v>0</v>
      </c>
      <c r="O40" s="565">
        <v>0</v>
      </c>
      <c r="P40" s="557">
        <v>0</v>
      </c>
      <c r="Q40" s="565">
        <f t="shared" ref="Q40:Q46" si="66">P40</f>
        <v>0</v>
      </c>
      <c r="R40" s="556"/>
      <c r="S40" s="557">
        <v>0</v>
      </c>
      <c r="T40" s="557">
        <v>0</v>
      </c>
      <c r="U40" s="556">
        <v>0</v>
      </c>
      <c r="V40" s="565">
        <v>0</v>
      </c>
      <c r="W40" s="565">
        <f t="shared" si="58"/>
        <v>0</v>
      </c>
      <c r="X40" s="556"/>
      <c r="Y40" s="565">
        <v>0</v>
      </c>
      <c r="Z40" s="565">
        <f>Y40</f>
        <v>0</v>
      </c>
      <c r="AA40" s="565">
        <v>0</v>
      </c>
      <c r="AB40" s="565">
        <v>0</v>
      </c>
      <c r="AC40" s="568">
        <f t="shared" si="59"/>
        <v>0</v>
      </c>
      <c r="AD40" s="556"/>
      <c r="AE40" s="565">
        <f>AB40</f>
        <v>0</v>
      </c>
      <c r="AF40" s="565">
        <v>0</v>
      </c>
      <c r="AG40" s="567">
        <v>0</v>
      </c>
      <c r="AH40" s="565">
        <f t="shared" si="60"/>
        <v>0</v>
      </c>
      <c r="AI40" s="568">
        <f t="shared" si="60"/>
        <v>0</v>
      </c>
      <c r="AJ40" s="556"/>
      <c r="AK40" s="565">
        <f>AH40</f>
        <v>0</v>
      </c>
      <c r="AL40" s="565">
        <v>0</v>
      </c>
      <c r="AM40" s="565">
        <v>0</v>
      </c>
      <c r="AN40" s="565">
        <v>0</v>
      </c>
      <c r="AO40" s="568">
        <f t="shared" si="61"/>
        <v>0</v>
      </c>
      <c r="AP40" s="556"/>
      <c r="AQ40" s="565">
        <f>AN40</f>
        <v>0</v>
      </c>
      <c r="AR40" s="565">
        <v>0</v>
      </c>
      <c r="AS40" s="565">
        <f>AR40</f>
        <v>0</v>
      </c>
      <c r="AT40" s="565">
        <v>0</v>
      </c>
      <c r="AU40" s="568">
        <f t="shared" si="62"/>
        <v>0</v>
      </c>
      <c r="AV40" s="556"/>
      <c r="AW40" s="567">
        <v>0</v>
      </c>
      <c r="AX40" s="565">
        <v>0</v>
      </c>
      <c r="AY40" s="565">
        <v>0</v>
      </c>
      <c r="AZ40" s="565">
        <v>450.19799999999998</v>
      </c>
      <c r="BA40" s="568">
        <f t="shared" si="63"/>
        <v>450.19799999999998</v>
      </c>
      <c r="BB40" s="556"/>
      <c r="BC40" s="565">
        <v>455.649</v>
      </c>
      <c r="BD40" s="565">
        <v>461.18200000000002</v>
      </c>
      <c r="BE40" s="565">
        <v>466.84699999999998</v>
      </c>
      <c r="BF40" s="565">
        <v>472.53800000000001</v>
      </c>
      <c r="BG40" s="568">
        <f t="shared" ref="BG40:BG46" si="67">BF40</f>
        <v>472.53800000000001</v>
      </c>
      <c r="BH40" s="556"/>
      <c r="BI40" s="569">
        <v>0</v>
      </c>
      <c r="BJ40" s="569">
        <v>0</v>
      </c>
      <c r="BK40" s="569">
        <v>0</v>
      </c>
      <c r="BL40" s="569">
        <v>0</v>
      </c>
      <c r="BM40" s="568">
        <f t="shared" si="64"/>
        <v>0</v>
      </c>
      <c r="BN40" s="556"/>
      <c r="BO40" s="569">
        <v>502.32600000000002</v>
      </c>
      <c r="BP40" s="569">
        <v>0</v>
      </c>
      <c r="BQ40" s="569">
        <v>0</v>
      </c>
      <c r="BR40" s="569">
        <v>0</v>
      </c>
      <c r="BS40" s="568">
        <f t="shared" ref="BS40:BS46" si="68">BR40</f>
        <v>0</v>
      </c>
      <c r="BT40" s="556"/>
      <c r="BU40" s="569">
        <v>1029.4949999999999</v>
      </c>
      <c r="BV40" s="569">
        <v>1035.271</v>
      </c>
      <c r="BW40" s="569">
        <v>1041.0830000000001</v>
      </c>
      <c r="BX40" s="569">
        <v>1046.93</v>
      </c>
      <c r="BY40" s="568">
        <f t="shared" ref="BY40:BY46" si="69">BX40</f>
        <v>1046.93</v>
      </c>
      <c r="BZ40" s="556"/>
      <c r="CA40" s="569">
        <v>1052.8150000000001</v>
      </c>
      <c r="CB40" s="569">
        <v>1058.7370000000001</v>
      </c>
      <c r="CC40" s="569">
        <v>1064.683</v>
      </c>
      <c r="CD40" s="569">
        <v>1070.692</v>
      </c>
      <c r="CE40" s="568">
        <f t="shared" si="65"/>
        <v>1070.692</v>
      </c>
      <c r="CF40" s="556"/>
      <c r="CG40" s="569">
        <v>1076.7270000000001</v>
      </c>
      <c r="CH40" s="569">
        <v>1082.799</v>
      </c>
      <c r="CI40" s="569">
        <v>1088.9100000000001</v>
      </c>
      <c r="CJ40" s="569">
        <v>1095.059</v>
      </c>
      <c r="CK40" s="568">
        <f t="shared" ref="CK40:CK47" si="70">CJ40</f>
        <v>1095.059</v>
      </c>
      <c r="CL40" s="556"/>
      <c r="CM40" s="569">
        <v>1095.104</v>
      </c>
      <c r="CN40" s="569">
        <v>1102.1500000000001</v>
      </c>
      <c r="CO40" s="569">
        <v>1109.2360000000001</v>
      </c>
      <c r="CP40" s="569">
        <v>1116.3599999999999</v>
      </c>
      <c r="CQ40" s="568">
        <f t="shared" ref="CQ40:CQ46" si="71">CP40</f>
        <v>1116.3599999999999</v>
      </c>
      <c r="CR40" s="556"/>
      <c r="CS40" s="569">
        <v>0</v>
      </c>
      <c r="CT40" s="569">
        <v>0</v>
      </c>
      <c r="CU40" s="569">
        <v>0</v>
      </c>
      <c r="CV40" s="569">
        <v>0</v>
      </c>
      <c r="CW40" s="568">
        <f t="shared" ref="CW40:CW46" si="72">CV40</f>
        <v>0</v>
      </c>
      <c r="CX40" s="556"/>
      <c r="CY40" s="569">
        <f>CY269</f>
        <v>1149.4949999999999</v>
      </c>
      <c r="CZ40" s="569">
        <f>CZ269</f>
        <v>1155.4949999999999</v>
      </c>
      <c r="DA40" s="569">
        <f>DA269</f>
        <v>1161.4949999999999</v>
      </c>
      <c r="DB40" s="569">
        <f>DB269</f>
        <v>1167.4949999999999</v>
      </c>
      <c r="DC40" s="568">
        <f t="shared" ref="DC40:DC46" si="73">DB40</f>
        <v>1167.4949999999999</v>
      </c>
      <c r="DD40" s="556"/>
      <c r="DE40" s="569">
        <f>DE269</f>
        <v>1173.4949999999999</v>
      </c>
      <c r="DF40" s="569">
        <f>DF269</f>
        <v>1179.4949999999999</v>
      </c>
      <c r="DG40" s="569">
        <f>DG269</f>
        <v>1185.4949999999999</v>
      </c>
      <c r="DH40" s="569">
        <f>DH269</f>
        <v>1191.4949999999999</v>
      </c>
      <c r="DI40" s="568">
        <f t="shared" ref="DI40:DI46" si="74">DH40</f>
        <v>1191.4949999999999</v>
      </c>
      <c r="DJ40" s="556"/>
      <c r="DK40" s="569">
        <f>DK269</f>
        <v>1197.4949999999999</v>
      </c>
      <c r="DL40" s="569">
        <f>DL269</f>
        <v>1203.4949999999999</v>
      </c>
      <c r="DM40" s="569">
        <f>DM269</f>
        <v>1209.4949999999999</v>
      </c>
      <c r="DN40" s="569">
        <f>DN269</f>
        <v>1215.4949999999999</v>
      </c>
      <c r="DO40" s="568">
        <f t="shared" ref="DO40:DO46" si="75">DN40</f>
        <v>1215.4949999999999</v>
      </c>
      <c r="DP40" s="570"/>
      <c r="DQ40" s="955"/>
      <c r="DX40" s="957"/>
    </row>
    <row r="41" spans="1:128" ht="10.5" customHeight="1">
      <c r="A41" s="555" t="s">
        <v>955</v>
      </c>
      <c r="B41" s="555"/>
      <c r="C41" s="565"/>
      <c r="D41" s="565"/>
      <c r="E41" s="565"/>
      <c r="F41" s="556"/>
      <c r="G41" s="565"/>
      <c r="H41" s="565"/>
      <c r="I41" s="565"/>
      <c r="J41" s="565"/>
      <c r="K41" s="565"/>
      <c r="L41" s="556"/>
      <c r="M41" s="565"/>
      <c r="N41" s="565"/>
      <c r="O41" s="565"/>
      <c r="P41" s="557"/>
      <c r="Q41" s="565"/>
      <c r="R41" s="556"/>
      <c r="S41" s="557"/>
      <c r="T41" s="557"/>
      <c r="U41" s="556"/>
      <c r="V41" s="565"/>
      <c r="W41" s="565"/>
      <c r="X41" s="556"/>
      <c r="Y41" s="565"/>
      <c r="Z41" s="565"/>
      <c r="AA41" s="565"/>
      <c r="AB41" s="565"/>
      <c r="AC41" s="568"/>
      <c r="AD41" s="556"/>
      <c r="AE41" s="565"/>
      <c r="AF41" s="565"/>
      <c r="AG41" s="567"/>
      <c r="AH41" s="565"/>
      <c r="AI41" s="568"/>
      <c r="AJ41" s="556"/>
      <c r="AK41" s="565"/>
      <c r="AL41" s="565"/>
      <c r="AM41" s="565"/>
      <c r="AN41" s="565"/>
      <c r="AO41" s="568"/>
      <c r="AP41" s="556"/>
      <c r="AQ41" s="565"/>
      <c r="AR41" s="565"/>
      <c r="AS41" s="565"/>
      <c r="AT41" s="565"/>
      <c r="AU41" s="568"/>
      <c r="AV41" s="556"/>
      <c r="AW41" s="567"/>
      <c r="AX41" s="565"/>
      <c r="AY41" s="565"/>
      <c r="AZ41" s="565"/>
      <c r="BA41" s="568">
        <v>0</v>
      </c>
      <c r="BB41" s="556"/>
      <c r="BC41" s="565"/>
      <c r="BD41" s="565"/>
      <c r="BE41" s="565"/>
      <c r="BF41" s="565"/>
      <c r="BG41" s="568">
        <v>0</v>
      </c>
      <c r="BH41" s="556"/>
      <c r="BI41" s="569"/>
      <c r="BJ41" s="569"/>
      <c r="BK41" s="569"/>
      <c r="BL41" s="569"/>
      <c r="BM41" s="568">
        <v>0</v>
      </c>
      <c r="BN41" s="556"/>
      <c r="BO41" s="569">
        <v>0</v>
      </c>
      <c r="BP41" s="569">
        <v>0</v>
      </c>
      <c r="BQ41" s="569">
        <v>0</v>
      </c>
      <c r="BR41" s="569">
        <v>0</v>
      </c>
      <c r="BS41" s="568">
        <v>0</v>
      </c>
      <c r="BT41" s="556"/>
      <c r="BU41" s="569">
        <v>0</v>
      </c>
      <c r="BV41" s="569">
        <v>270</v>
      </c>
      <c r="BW41" s="569">
        <v>262.5</v>
      </c>
      <c r="BX41" s="569">
        <v>255</v>
      </c>
      <c r="BY41" s="568">
        <f>BX41</f>
        <v>255</v>
      </c>
      <c r="BZ41" s="556"/>
      <c r="CA41" s="569">
        <v>247.5</v>
      </c>
      <c r="CB41" s="569">
        <v>240</v>
      </c>
      <c r="CC41" s="569">
        <v>300</v>
      </c>
      <c r="CD41" s="569">
        <v>300</v>
      </c>
      <c r="CE41" s="568">
        <f t="shared" si="65"/>
        <v>300</v>
      </c>
      <c r="CF41" s="556"/>
      <c r="CG41" s="569">
        <v>0</v>
      </c>
      <c r="CH41" s="569">
        <v>0</v>
      </c>
      <c r="CI41" s="569">
        <v>0</v>
      </c>
      <c r="CJ41" s="569">
        <v>0</v>
      </c>
      <c r="CK41" s="568">
        <f>CJ41</f>
        <v>0</v>
      </c>
      <c r="CL41" s="556"/>
      <c r="CM41" s="569">
        <v>0</v>
      </c>
      <c r="CN41" s="569">
        <v>496.64600000000002</v>
      </c>
      <c r="CO41" s="569">
        <v>496.93400000000003</v>
      </c>
      <c r="CP41" s="569">
        <v>497.221</v>
      </c>
      <c r="CQ41" s="568">
        <f t="shared" si="71"/>
        <v>497.221</v>
      </c>
      <c r="CR41" s="556"/>
      <c r="CS41" s="569">
        <v>497.50900000000001</v>
      </c>
      <c r="CT41" s="569">
        <v>497.79599999999999</v>
      </c>
      <c r="CU41" s="569">
        <v>498.084</v>
      </c>
      <c r="CV41" s="569">
        <v>694.78099999999995</v>
      </c>
      <c r="CW41" s="568">
        <f t="shared" si="72"/>
        <v>694.78099999999995</v>
      </c>
      <c r="CX41" s="556"/>
      <c r="CY41" s="569">
        <f>CY275</f>
        <v>496.64600000000002</v>
      </c>
      <c r="CZ41" s="569">
        <f t="shared" ref="CZ41:DB41" si="76">CZ275</f>
        <v>496.64600000000002</v>
      </c>
      <c r="DA41" s="569">
        <f t="shared" si="76"/>
        <v>496.64600000000002</v>
      </c>
      <c r="DB41" s="569">
        <f t="shared" si="76"/>
        <v>496.64600000000002</v>
      </c>
      <c r="DC41" s="568">
        <f t="shared" si="73"/>
        <v>496.64600000000002</v>
      </c>
      <c r="DD41" s="556"/>
      <c r="DE41" s="569">
        <f>DE275</f>
        <v>496.64600000000002</v>
      </c>
      <c r="DF41" s="569">
        <f t="shared" ref="DF41:DH41" si="77">DF275</f>
        <v>496.64600000000002</v>
      </c>
      <c r="DG41" s="569">
        <f t="shared" si="77"/>
        <v>496.64600000000002</v>
      </c>
      <c r="DH41" s="569">
        <f t="shared" si="77"/>
        <v>496.64600000000002</v>
      </c>
      <c r="DI41" s="568">
        <f t="shared" si="74"/>
        <v>496.64600000000002</v>
      </c>
      <c r="DJ41" s="556"/>
      <c r="DK41" s="569">
        <f>DK275</f>
        <v>496.64600000000002</v>
      </c>
      <c r="DL41" s="569">
        <f t="shared" ref="DL41:DN41" si="78">DL275</f>
        <v>496.64600000000002</v>
      </c>
      <c r="DM41" s="569">
        <f t="shared" si="78"/>
        <v>496.64600000000002</v>
      </c>
      <c r="DN41" s="569">
        <f t="shared" si="78"/>
        <v>496.64600000000002</v>
      </c>
      <c r="DO41" s="568">
        <f t="shared" si="75"/>
        <v>496.64600000000002</v>
      </c>
      <c r="DP41" s="570"/>
      <c r="DQ41" s="955"/>
      <c r="DX41" s="957"/>
    </row>
    <row r="42" spans="1:128" ht="10.5" customHeight="1">
      <c r="A42" s="555" t="s">
        <v>383</v>
      </c>
      <c r="B42" s="555"/>
      <c r="C42" s="565">
        <v>0</v>
      </c>
      <c r="D42" s="565">
        <v>0</v>
      </c>
      <c r="E42" s="565">
        <v>0</v>
      </c>
      <c r="F42" s="556"/>
      <c r="G42" s="565">
        <v>0</v>
      </c>
      <c r="H42" s="565">
        <v>0</v>
      </c>
      <c r="I42" s="565">
        <v>0</v>
      </c>
      <c r="J42" s="565">
        <v>0</v>
      </c>
      <c r="K42" s="565">
        <f t="shared" si="57"/>
        <v>0</v>
      </c>
      <c r="L42" s="556"/>
      <c r="M42" s="565">
        <v>0</v>
      </c>
      <c r="N42" s="565">
        <v>0</v>
      </c>
      <c r="O42" s="565">
        <v>0</v>
      </c>
      <c r="P42" s="557">
        <v>0</v>
      </c>
      <c r="Q42" s="565">
        <f t="shared" si="66"/>
        <v>0</v>
      </c>
      <c r="R42" s="556"/>
      <c r="S42" s="557">
        <v>0</v>
      </c>
      <c r="T42" s="557">
        <v>0</v>
      </c>
      <c r="U42" s="556">
        <v>0</v>
      </c>
      <c r="V42" s="565">
        <v>0</v>
      </c>
      <c r="W42" s="565">
        <f t="shared" si="58"/>
        <v>0</v>
      </c>
      <c r="X42" s="556"/>
      <c r="Y42" s="565">
        <v>0</v>
      </c>
      <c r="Z42" s="565">
        <f>Y42</f>
        <v>0</v>
      </c>
      <c r="AA42" s="565">
        <v>0</v>
      </c>
      <c r="AB42" s="565">
        <v>0</v>
      </c>
      <c r="AC42" s="568">
        <f t="shared" si="59"/>
        <v>0</v>
      </c>
      <c r="AD42" s="556"/>
      <c r="AE42" s="565">
        <f>AB42</f>
        <v>0</v>
      </c>
      <c r="AF42" s="565">
        <v>0</v>
      </c>
      <c r="AG42" s="567">
        <v>0</v>
      </c>
      <c r="AH42" s="565">
        <f t="shared" si="60"/>
        <v>0</v>
      </c>
      <c r="AI42" s="568">
        <f t="shared" si="60"/>
        <v>0</v>
      </c>
      <c r="AJ42" s="556"/>
      <c r="AK42" s="565">
        <v>4.6349999999999998</v>
      </c>
      <c r="AL42" s="565">
        <v>5.0069999999999997</v>
      </c>
      <c r="AM42" s="565">
        <v>5.2850000000000001</v>
      </c>
      <c r="AN42" s="565">
        <v>8.4649999999999999</v>
      </c>
      <c r="AO42" s="568">
        <f t="shared" si="61"/>
        <v>8.4649999999999999</v>
      </c>
      <c r="AP42" s="556"/>
      <c r="AQ42" s="565">
        <v>9.5109999999999992</v>
      </c>
      <c r="AR42" s="565">
        <v>10.289</v>
      </c>
      <c r="AS42" s="565">
        <v>10.834</v>
      </c>
      <c r="AT42" s="565">
        <v>12.49</v>
      </c>
      <c r="AU42" s="568">
        <f t="shared" si="62"/>
        <v>12.49</v>
      </c>
      <c r="AV42" s="556"/>
      <c r="AW42" s="567">
        <v>14.041</v>
      </c>
      <c r="AX42" s="565">
        <v>16.579000000000001</v>
      </c>
      <c r="AY42" s="565">
        <v>19.297999999999998</v>
      </c>
      <c r="AZ42" s="565">
        <v>17.550999999999998</v>
      </c>
      <c r="BA42" s="568">
        <f t="shared" si="63"/>
        <v>17.550999999999998</v>
      </c>
      <c r="BB42" s="556"/>
      <c r="BC42" s="565">
        <v>17.100999999999999</v>
      </c>
      <c r="BD42" s="565">
        <v>18.474</v>
      </c>
      <c r="BE42" s="565">
        <v>18.283999999999999</v>
      </c>
      <c r="BF42" s="565">
        <v>18.481000000000002</v>
      </c>
      <c r="BG42" s="568">
        <f t="shared" si="67"/>
        <v>18.481000000000002</v>
      </c>
      <c r="BH42" s="556"/>
      <c r="BI42" s="569">
        <v>20.292000000000002</v>
      </c>
      <c r="BJ42" s="569">
        <v>34.777000000000001</v>
      </c>
      <c r="BK42" s="569">
        <v>30.204000000000001</v>
      </c>
      <c r="BL42" s="569">
        <v>37.258000000000003</v>
      </c>
      <c r="BM42" s="568">
        <f t="shared" si="64"/>
        <v>37.258000000000003</v>
      </c>
      <c r="BN42" s="556"/>
      <c r="BO42" s="569">
        <v>42.01</v>
      </c>
      <c r="BP42" s="569">
        <v>47.164999999999999</v>
      </c>
      <c r="BQ42" s="569">
        <v>46.246000000000002</v>
      </c>
      <c r="BR42" s="569">
        <v>49.073999999999998</v>
      </c>
      <c r="BS42" s="568">
        <f t="shared" si="68"/>
        <v>49.073999999999998</v>
      </c>
      <c r="BT42" s="556"/>
      <c r="BU42" s="569">
        <v>49.238999999999997</v>
      </c>
      <c r="BV42" s="569">
        <v>86.658000000000001</v>
      </c>
      <c r="BW42" s="569">
        <v>96.081999999999994</v>
      </c>
      <c r="BX42" s="569">
        <v>108.76</v>
      </c>
      <c r="BY42" s="568">
        <f t="shared" si="69"/>
        <v>108.76</v>
      </c>
      <c r="BZ42" s="556"/>
      <c r="CA42" s="569">
        <v>106.42</v>
      </c>
      <c r="CB42" s="569">
        <v>107.51</v>
      </c>
      <c r="CC42" s="569">
        <v>106.759</v>
      </c>
      <c r="CD42" s="569">
        <v>94.396000000000001</v>
      </c>
      <c r="CE42" s="568">
        <f t="shared" si="65"/>
        <v>94.396000000000001</v>
      </c>
      <c r="CF42" s="556"/>
      <c r="CG42" s="569">
        <v>106.499</v>
      </c>
      <c r="CH42" s="569">
        <v>111.294</v>
      </c>
      <c r="CI42" s="569">
        <v>113.801</v>
      </c>
      <c r="CJ42" s="569">
        <v>85.995999999999995</v>
      </c>
      <c r="CK42" s="568">
        <f t="shared" si="70"/>
        <v>85.995999999999995</v>
      </c>
      <c r="CL42" s="556"/>
      <c r="CM42" s="569">
        <v>85.578999999999994</v>
      </c>
      <c r="CN42" s="569">
        <v>89.052999999999997</v>
      </c>
      <c r="CO42" s="569">
        <v>93.453999999999994</v>
      </c>
      <c r="CP42" s="569">
        <v>99.378</v>
      </c>
      <c r="CQ42" s="568">
        <f t="shared" si="71"/>
        <v>99.378</v>
      </c>
      <c r="CR42" s="556"/>
      <c r="CS42" s="569">
        <v>0</v>
      </c>
      <c r="CT42" s="569">
        <v>0</v>
      </c>
      <c r="CU42" s="569">
        <v>0</v>
      </c>
      <c r="CV42" s="569">
        <v>0</v>
      </c>
      <c r="CW42" s="568">
        <f t="shared" si="72"/>
        <v>0</v>
      </c>
      <c r="CX42" s="556"/>
      <c r="CY42" s="569">
        <f>CV42</f>
        <v>0</v>
      </c>
      <c r="CZ42" s="569">
        <f t="shared" ref="CZ42:DB43" si="79">CY42</f>
        <v>0</v>
      </c>
      <c r="DA42" s="569">
        <f t="shared" si="79"/>
        <v>0</v>
      </c>
      <c r="DB42" s="569">
        <f t="shared" si="79"/>
        <v>0</v>
      </c>
      <c r="DC42" s="568">
        <f t="shared" si="73"/>
        <v>0</v>
      </c>
      <c r="DD42" s="556"/>
      <c r="DE42" s="569">
        <f>DB42</f>
        <v>0</v>
      </c>
      <c r="DF42" s="569">
        <f t="shared" ref="DF42:DF43" si="80">DE42</f>
        <v>0</v>
      </c>
      <c r="DG42" s="569">
        <f t="shared" ref="DG42:DG43" si="81">DF42</f>
        <v>0</v>
      </c>
      <c r="DH42" s="569">
        <f t="shared" ref="DH42:DH43" si="82">DG42</f>
        <v>0</v>
      </c>
      <c r="DI42" s="568">
        <f t="shared" si="74"/>
        <v>0</v>
      </c>
      <c r="DJ42" s="556"/>
      <c r="DK42" s="569">
        <f>DH42</f>
        <v>0</v>
      </c>
      <c r="DL42" s="569">
        <f t="shared" ref="DL42:DL43" si="83">DK42</f>
        <v>0</v>
      </c>
      <c r="DM42" s="569">
        <f t="shared" ref="DM42:DM43" si="84">DL42</f>
        <v>0</v>
      </c>
      <c r="DN42" s="569">
        <f t="shared" ref="DN42:DN43" si="85">DM42</f>
        <v>0</v>
      </c>
      <c r="DO42" s="568">
        <f t="shared" si="75"/>
        <v>0</v>
      </c>
      <c r="DP42" s="570"/>
      <c r="DQ42" s="955"/>
      <c r="DX42" s="957"/>
    </row>
    <row r="43" spans="1:128" ht="10.5" customHeight="1">
      <c r="A43" s="555" t="s">
        <v>689</v>
      </c>
      <c r="B43" s="555"/>
      <c r="C43" s="565">
        <v>0</v>
      </c>
      <c r="D43" s="565">
        <v>0</v>
      </c>
      <c r="E43" s="565">
        <v>0</v>
      </c>
      <c r="F43" s="556"/>
      <c r="G43" s="556">
        <v>0</v>
      </c>
      <c r="H43" s="556">
        <v>0</v>
      </c>
      <c r="I43" s="556">
        <v>0</v>
      </c>
      <c r="J43" s="556">
        <v>0</v>
      </c>
      <c r="K43" s="565">
        <f t="shared" si="57"/>
        <v>0</v>
      </c>
      <c r="L43" s="556"/>
      <c r="M43" s="556">
        <v>0</v>
      </c>
      <c r="N43" s="565">
        <v>0</v>
      </c>
      <c r="O43" s="565">
        <v>0</v>
      </c>
      <c r="P43" s="567">
        <v>0</v>
      </c>
      <c r="Q43" s="565">
        <f t="shared" si="66"/>
        <v>0</v>
      </c>
      <c r="R43" s="556"/>
      <c r="S43" s="567">
        <v>0</v>
      </c>
      <c r="T43" s="567">
        <v>0</v>
      </c>
      <c r="U43" s="565">
        <v>0</v>
      </c>
      <c r="V43" s="565">
        <v>0</v>
      </c>
      <c r="W43" s="565">
        <f t="shared" si="58"/>
        <v>0</v>
      </c>
      <c r="X43" s="556"/>
      <c r="Y43" s="565">
        <v>0</v>
      </c>
      <c r="Z43" s="565">
        <f>Y43</f>
        <v>0</v>
      </c>
      <c r="AA43" s="565">
        <v>0</v>
      </c>
      <c r="AB43" s="565">
        <v>0</v>
      </c>
      <c r="AC43" s="568">
        <f t="shared" si="59"/>
        <v>0</v>
      </c>
      <c r="AD43" s="556"/>
      <c r="AE43" s="565">
        <f>AB43</f>
        <v>0</v>
      </c>
      <c r="AF43" s="565">
        <v>0</v>
      </c>
      <c r="AG43" s="567">
        <v>0</v>
      </c>
      <c r="AH43" s="565">
        <f t="shared" si="60"/>
        <v>0</v>
      </c>
      <c r="AI43" s="568">
        <f t="shared" si="60"/>
        <v>0</v>
      </c>
      <c r="AJ43" s="556"/>
      <c r="AK43" s="565">
        <v>0</v>
      </c>
      <c r="AL43" s="565">
        <v>0</v>
      </c>
      <c r="AM43" s="565">
        <v>0</v>
      </c>
      <c r="AN43" s="565">
        <v>12.073</v>
      </c>
      <c r="AO43" s="568">
        <f t="shared" si="61"/>
        <v>12.073</v>
      </c>
      <c r="AP43" s="556"/>
      <c r="AQ43" s="565">
        <v>12.384</v>
      </c>
      <c r="AR43" s="565">
        <v>12.598000000000001</v>
      </c>
      <c r="AS43" s="565">
        <v>11.49</v>
      </c>
      <c r="AT43" s="565">
        <v>10.263</v>
      </c>
      <c r="AU43" s="568">
        <f t="shared" si="62"/>
        <v>10.263</v>
      </c>
      <c r="AV43" s="556"/>
      <c r="AW43" s="567">
        <v>9.8829999999999991</v>
      </c>
      <c r="AX43" s="565">
        <v>10.173999999999999</v>
      </c>
      <c r="AY43" s="565">
        <v>11.933</v>
      </c>
      <c r="AZ43" s="565">
        <v>14.170999999999999</v>
      </c>
      <c r="BA43" s="568">
        <f t="shared" si="63"/>
        <v>14.170999999999999</v>
      </c>
      <c r="BB43" s="556"/>
      <c r="BC43" s="565">
        <v>17.074999999999999</v>
      </c>
      <c r="BD43" s="565">
        <v>20.122</v>
      </c>
      <c r="BE43" s="565">
        <v>22.103000000000002</v>
      </c>
      <c r="BF43" s="565">
        <v>21.702000000000002</v>
      </c>
      <c r="BG43" s="568">
        <f t="shared" si="67"/>
        <v>21.702000000000002</v>
      </c>
      <c r="BH43" s="556"/>
      <c r="BI43" s="569">
        <v>21.228999999999999</v>
      </c>
      <c r="BJ43" s="569">
        <v>17.510999999999999</v>
      </c>
      <c r="BK43" s="569">
        <v>12.766</v>
      </c>
      <c r="BL43" s="569">
        <v>88.673000000000002</v>
      </c>
      <c r="BM43" s="568">
        <f t="shared" si="64"/>
        <v>88.673000000000002</v>
      </c>
      <c r="BN43" s="556"/>
      <c r="BO43" s="569">
        <v>77.346999999999994</v>
      </c>
      <c r="BP43" s="569">
        <v>68.777000000000001</v>
      </c>
      <c r="BQ43" s="569">
        <v>65.584999999999994</v>
      </c>
      <c r="BR43" s="569">
        <v>64.355000000000004</v>
      </c>
      <c r="BS43" s="568">
        <f t="shared" si="68"/>
        <v>64.355000000000004</v>
      </c>
      <c r="BT43" s="556"/>
      <c r="BU43" s="569">
        <v>58.363</v>
      </c>
      <c r="BV43" s="569">
        <v>54.807000000000002</v>
      </c>
      <c r="BW43" s="569">
        <v>48.356999999999999</v>
      </c>
      <c r="BX43" s="569">
        <v>48.41</v>
      </c>
      <c r="BY43" s="568">
        <f t="shared" si="69"/>
        <v>48.41</v>
      </c>
      <c r="BZ43" s="556"/>
      <c r="CA43" s="569">
        <v>36.290999999999997</v>
      </c>
      <c r="CB43" s="569">
        <v>36.33</v>
      </c>
      <c r="CC43" s="569">
        <v>31.321999999999999</v>
      </c>
      <c r="CD43" s="569">
        <v>34.680999999999997</v>
      </c>
      <c r="CE43" s="568">
        <f t="shared" si="65"/>
        <v>34.680999999999997</v>
      </c>
      <c r="CF43" s="556"/>
      <c r="CG43" s="569">
        <v>24.048999999999999</v>
      </c>
      <c r="CH43" s="569">
        <v>20.050999999999998</v>
      </c>
      <c r="CI43" s="569">
        <v>19.225000000000001</v>
      </c>
      <c r="CJ43" s="569">
        <v>23.885999999999999</v>
      </c>
      <c r="CK43" s="568">
        <f t="shared" si="70"/>
        <v>23.885999999999999</v>
      </c>
      <c r="CL43" s="556"/>
      <c r="CM43" s="569">
        <v>15.007999999999999</v>
      </c>
      <c r="CN43" s="569">
        <v>15.361000000000001</v>
      </c>
      <c r="CO43" s="1907">
        <v>16.440000000000001</v>
      </c>
      <c r="CP43" s="569">
        <v>37.113</v>
      </c>
      <c r="CQ43" s="568">
        <f t="shared" si="71"/>
        <v>37.113</v>
      </c>
      <c r="CR43" s="556"/>
      <c r="CS43" s="569">
        <v>0</v>
      </c>
      <c r="CT43" s="569">
        <v>0</v>
      </c>
      <c r="CU43" s="569">
        <v>0</v>
      </c>
      <c r="CV43" s="569">
        <v>0</v>
      </c>
      <c r="CW43" s="568">
        <f t="shared" si="72"/>
        <v>0</v>
      </c>
      <c r="CX43" s="556"/>
      <c r="CY43" s="569">
        <f>CV43</f>
        <v>0</v>
      </c>
      <c r="CZ43" s="569">
        <f t="shared" si="79"/>
        <v>0</v>
      </c>
      <c r="DA43" s="569">
        <f t="shared" si="79"/>
        <v>0</v>
      </c>
      <c r="DB43" s="569">
        <f t="shared" si="79"/>
        <v>0</v>
      </c>
      <c r="DC43" s="568">
        <f t="shared" si="73"/>
        <v>0</v>
      </c>
      <c r="DD43" s="556"/>
      <c r="DE43" s="569">
        <f>DB43</f>
        <v>0</v>
      </c>
      <c r="DF43" s="569">
        <f t="shared" si="80"/>
        <v>0</v>
      </c>
      <c r="DG43" s="569">
        <f t="shared" si="81"/>
        <v>0</v>
      </c>
      <c r="DH43" s="569">
        <f t="shared" si="82"/>
        <v>0</v>
      </c>
      <c r="DI43" s="568">
        <f t="shared" si="74"/>
        <v>0</v>
      </c>
      <c r="DJ43" s="556"/>
      <c r="DK43" s="569">
        <f>DH43</f>
        <v>0</v>
      </c>
      <c r="DL43" s="569">
        <f t="shared" si="83"/>
        <v>0</v>
      </c>
      <c r="DM43" s="569">
        <f t="shared" si="84"/>
        <v>0</v>
      </c>
      <c r="DN43" s="569">
        <f t="shared" si="85"/>
        <v>0</v>
      </c>
      <c r="DO43" s="568">
        <f t="shared" si="75"/>
        <v>0</v>
      </c>
      <c r="DP43" s="570"/>
      <c r="DQ43" s="955"/>
      <c r="DX43" s="957"/>
    </row>
    <row r="44" spans="1:128" ht="10.5" customHeight="1">
      <c r="A44" s="555" t="s">
        <v>805</v>
      </c>
      <c r="B44" s="555"/>
      <c r="C44" s="565">
        <v>0</v>
      </c>
      <c r="D44" s="565">
        <v>0.246</v>
      </c>
      <c r="E44" s="565">
        <v>0.315</v>
      </c>
      <c r="F44" s="556"/>
      <c r="G44" s="556">
        <v>0.27200000000000002</v>
      </c>
      <c r="H44" s="556">
        <v>0.19500000000000001</v>
      </c>
      <c r="I44" s="556">
        <v>0.32400000000000001</v>
      </c>
      <c r="J44" s="556">
        <v>0.41</v>
      </c>
      <c r="K44" s="565">
        <f t="shared" si="57"/>
        <v>0.41</v>
      </c>
      <c r="L44" s="556"/>
      <c r="M44" s="556">
        <v>0.39300000000000002</v>
      </c>
      <c r="N44" s="565">
        <v>0.39900000000000002</v>
      </c>
      <c r="O44" s="565">
        <v>0.69299999999999995</v>
      </c>
      <c r="P44" s="567">
        <v>0.77500000000000002</v>
      </c>
      <c r="Q44" s="565">
        <f t="shared" si="66"/>
        <v>0.77500000000000002</v>
      </c>
      <c r="R44" s="556"/>
      <c r="S44" s="567">
        <v>0.79200000000000004</v>
      </c>
      <c r="T44" s="565">
        <v>0.95299999999999996</v>
      </c>
      <c r="U44" s="565">
        <v>1.03</v>
      </c>
      <c r="V44" s="565">
        <v>1.38</v>
      </c>
      <c r="W44" s="565">
        <f t="shared" si="58"/>
        <v>1.38</v>
      </c>
      <c r="X44" s="556"/>
      <c r="Y44" s="565">
        <v>1.6040000000000001</v>
      </c>
      <c r="Z44" s="565">
        <v>1.806</v>
      </c>
      <c r="AA44" s="565">
        <v>2.1469999999999998</v>
      </c>
      <c r="AB44" s="565">
        <v>2.4140000000000001</v>
      </c>
      <c r="AC44" s="568">
        <f t="shared" si="59"/>
        <v>2.4140000000000001</v>
      </c>
      <c r="AD44" s="556"/>
      <c r="AE44" s="565">
        <v>2.8980000000000001</v>
      </c>
      <c r="AF44" s="565">
        <v>3.3580000000000001</v>
      </c>
      <c r="AG44" s="567">
        <v>3.919</v>
      </c>
      <c r="AH44" s="565">
        <v>4.6340000000000003</v>
      </c>
      <c r="AI44" s="568">
        <f t="shared" si="60"/>
        <v>4.6340000000000003</v>
      </c>
      <c r="AJ44" s="556"/>
      <c r="AK44" s="565">
        <v>5.3769999999999998</v>
      </c>
      <c r="AL44" s="565">
        <v>6.2309999999999999</v>
      </c>
      <c r="AM44" s="565">
        <v>7.1680000000000001</v>
      </c>
      <c r="AN44" s="565">
        <v>8.9429999999999996</v>
      </c>
      <c r="AO44" s="568">
        <f t="shared" si="61"/>
        <v>8.9429999999999996</v>
      </c>
      <c r="AP44" s="556"/>
      <c r="AQ44" s="565">
        <v>10.457000000000001</v>
      </c>
      <c r="AR44" s="565">
        <v>11.869</v>
      </c>
      <c r="AS44" s="565">
        <v>13.428000000000001</v>
      </c>
      <c r="AT44" s="565">
        <v>10.702999999999999</v>
      </c>
      <c r="AU44" s="568">
        <f t="shared" si="62"/>
        <v>10.702999999999999</v>
      </c>
      <c r="AV44" s="556"/>
      <c r="AW44" s="567">
        <v>10.948</v>
      </c>
      <c r="AX44" s="565">
        <v>11.273</v>
      </c>
      <c r="AY44" s="565">
        <v>11.648999999999999</v>
      </c>
      <c r="AZ44" s="565">
        <v>12.864000000000001</v>
      </c>
      <c r="BA44" s="568">
        <f t="shared" si="63"/>
        <v>12.864000000000001</v>
      </c>
      <c r="BB44" s="556"/>
      <c r="BC44" s="565">
        <v>13.856999999999999</v>
      </c>
      <c r="BD44" s="565">
        <v>14.929</v>
      </c>
      <c r="BE44" s="565">
        <v>2.1779999999999999</v>
      </c>
      <c r="BF44" s="565">
        <v>0</v>
      </c>
      <c r="BG44" s="568">
        <f t="shared" si="67"/>
        <v>0</v>
      </c>
      <c r="BH44" s="556"/>
      <c r="BI44" s="569">
        <v>0</v>
      </c>
      <c r="BJ44" s="569">
        <v>0</v>
      </c>
      <c r="BK44" s="569">
        <v>0</v>
      </c>
      <c r="BL44" s="569">
        <v>0</v>
      </c>
      <c r="BM44" s="568">
        <f t="shared" si="64"/>
        <v>0</v>
      </c>
      <c r="BN44" s="556"/>
      <c r="BO44" s="569">
        <v>0</v>
      </c>
      <c r="BP44" s="569">
        <f>BO44+CF!BP93</f>
        <v>0</v>
      </c>
      <c r="BQ44" s="569">
        <v>0</v>
      </c>
      <c r="BR44" s="569">
        <v>0</v>
      </c>
      <c r="BS44" s="568">
        <f t="shared" si="68"/>
        <v>0</v>
      </c>
      <c r="BT44" s="556"/>
      <c r="BU44" s="569">
        <f>BR44+CF!BU93</f>
        <v>0</v>
      </c>
      <c r="BV44" s="569">
        <v>0</v>
      </c>
      <c r="BW44" s="569">
        <v>0</v>
      </c>
      <c r="BX44" s="569">
        <v>0</v>
      </c>
      <c r="BY44" s="568">
        <f t="shared" si="69"/>
        <v>0</v>
      </c>
      <c r="BZ44" s="556"/>
      <c r="CA44" s="569">
        <v>0</v>
      </c>
      <c r="CB44" s="569">
        <v>0</v>
      </c>
      <c r="CC44" s="569">
        <f>CB44+CF!CC93</f>
        <v>0</v>
      </c>
      <c r="CD44" s="569">
        <f>CC44+CF!CD93</f>
        <v>0</v>
      </c>
      <c r="CE44" s="568">
        <f t="shared" si="65"/>
        <v>0</v>
      </c>
      <c r="CF44" s="556"/>
      <c r="CG44" s="569">
        <f>CD44+CF!CG93</f>
        <v>0</v>
      </c>
      <c r="CH44" s="569">
        <v>0</v>
      </c>
      <c r="CI44" s="569">
        <f>CH44+CF!CI93</f>
        <v>0</v>
      </c>
      <c r="CJ44" s="569">
        <v>0</v>
      </c>
      <c r="CK44" s="568">
        <f t="shared" si="70"/>
        <v>0</v>
      </c>
      <c r="CL44" s="556"/>
      <c r="CM44" s="569">
        <f>CJ44+CF!CM93</f>
        <v>0</v>
      </c>
      <c r="CN44" s="569">
        <v>0</v>
      </c>
      <c r="CO44" s="569">
        <v>0</v>
      </c>
      <c r="CP44" s="569">
        <v>0</v>
      </c>
      <c r="CQ44" s="568">
        <f t="shared" si="71"/>
        <v>0</v>
      </c>
      <c r="CR44" s="556"/>
      <c r="CS44" s="569">
        <v>0</v>
      </c>
      <c r="CT44" s="569">
        <v>0</v>
      </c>
      <c r="CU44" s="569">
        <v>0</v>
      </c>
      <c r="CV44" s="569">
        <v>0</v>
      </c>
      <c r="CW44" s="568">
        <f t="shared" si="72"/>
        <v>0</v>
      </c>
      <c r="CX44" s="556"/>
      <c r="CY44" s="569">
        <f>CV44+CF!CY93</f>
        <v>0</v>
      </c>
      <c r="CZ44" s="569">
        <f>CY44+CF!CZ93</f>
        <v>0</v>
      </c>
      <c r="DA44" s="569">
        <f>CZ44+CF!DA93</f>
        <v>0</v>
      </c>
      <c r="DB44" s="569">
        <f>DA44+CF!DB93</f>
        <v>0</v>
      </c>
      <c r="DC44" s="568">
        <f t="shared" si="73"/>
        <v>0</v>
      </c>
      <c r="DD44" s="556"/>
      <c r="DE44" s="569">
        <f>DB44+CF!DE93</f>
        <v>0</v>
      </c>
      <c r="DF44" s="569">
        <f>DE44+CF!DF93</f>
        <v>0</v>
      </c>
      <c r="DG44" s="569">
        <f>DF44+CF!DG93</f>
        <v>0</v>
      </c>
      <c r="DH44" s="569">
        <f>DG44+CF!DH93</f>
        <v>0</v>
      </c>
      <c r="DI44" s="568">
        <f t="shared" si="74"/>
        <v>0</v>
      </c>
      <c r="DJ44" s="556"/>
      <c r="DK44" s="569">
        <f>DH44+CF!DK93</f>
        <v>0</v>
      </c>
      <c r="DL44" s="569">
        <f>DK44+CF!DL93</f>
        <v>0</v>
      </c>
      <c r="DM44" s="569">
        <f>DL44+CF!DM93</f>
        <v>0</v>
      </c>
      <c r="DN44" s="569">
        <f>DM44+CF!DN93</f>
        <v>0</v>
      </c>
      <c r="DO44" s="568">
        <f t="shared" si="75"/>
        <v>0</v>
      </c>
      <c r="DP44" s="570"/>
      <c r="DQ44" s="955"/>
      <c r="DX44" s="957"/>
    </row>
    <row r="45" spans="1:128" ht="10.5" customHeight="1">
      <c r="A45" s="555" t="s">
        <v>802</v>
      </c>
      <c r="B45" s="555"/>
      <c r="C45" s="565">
        <v>3.5999999999999997E-2</v>
      </c>
      <c r="D45" s="575">
        <v>0</v>
      </c>
      <c r="E45" s="565">
        <f>6.335</f>
        <v>6.335</v>
      </c>
      <c r="F45" s="556"/>
      <c r="G45" s="575">
        <f>6.919-G39</f>
        <v>6.1824999999999992</v>
      </c>
      <c r="H45" s="575">
        <f>6.303-H39</f>
        <v>5.7859999999999996</v>
      </c>
      <c r="I45" s="575">
        <f>5.621-I39</f>
        <v>5.323500000000001</v>
      </c>
      <c r="J45" s="565">
        <v>5.1280000000000001</v>
      </c>
      <c r="K45" s="565">
        <f t="shared" si="57"/>
        <v>5.1280000000000001</v>
      </c>
      <c r="L45" s="556"/>
      <c r="M45" s="565">
        <v>4.8259999999999996</v>
      </c>
      <c r="N45" s="565">
        <v>4.5250000000000004</v>
      </c>
      <c r="O45" s="565">
        <v>0.80400000000000005</v>
      </c>
      <c r="P45" s="557">
        <v>1.83</v>
      </c>
      <c r="Q45" s="565">
        <f t="shared" si="66"/>
        <v>1.83</v>
      </c>
      <c r="R45" s="556"/>
      <c r="S45" s="557">
        <v>1.754</v>
      </c>
      <c r="T45" s="556">
        <v>1.6890000000000001</v>
      </c>
      <c r="U45" s="556">
        <v>1.6419999999999999</v>
      </c>
      <c r="V45" s="556">
        <v>1.5960000000000001</v>
      </c>
      <c r="W45" s="565">
        <f t="shared" si="58"/>
        <v>1.5960000000000001</v>
      </c>
      <c r="X45" s="556"/>
      <c r="Y45" s="556">
        <v>1.2370000000000001</v>
      </c>
      <c r="Z45" s="556">
        <v>1.171</v>
      </c>
      <c r="AA45" s="556">
        <v>1.1140000000000001</v>
      </c>
      <c r="AB45" s="556">
        <v>1.155</v>
      </c>
      <c r="AC45" s="568">
        <f t="shared" si="59"/>
        <v>1.155</v>
      </c>
      <c r="AD45" s="556"/>
      <c r="AE45" s="556">
        <f>1.181+2.513</f>
        <v>3.694</v>
      </c>
      <c r="AF45" s="556">
        <v>1.1379999999999999</v>
      </c>
      <c r="AG45" s="557">
        <v>1.089</v>
      </c>
      <c r="AH45" s="556">
        <v>1.4019999999999999</v>
      </c>
      <c r="AI45" s="568">
        <f>AH45</f>
        <v>1.4019999999999999</v>
      </c>
      <c r="AJ45" s="556"/>
      <c r="AK45" s="556">
        <v>1.3520000000000001</v>
      </c>
      <c r="AL45" s="556">
        <v>1.371</v>
      </c>
      <c r="AM45" s="556">
        <v>0</v>
      </c>
      <c r="AN45" s="556">
        <v>0</v>
      </c>
      <c r="AO45" s="568">
        <f t="shared" si="61"/>
        <v>0</v>
      </c>
      <c r="AP45" s="556"/>
      <c r="AQ45" s="556">
        <v>0</v>
      </c>
      <c r="AR45" s="556">
        <v>0</v>
      </c>
      <c r="AS45" s="556">
        <v>0</v>
      </c>
      <c r="AT45" s="556">
        <v>0</v>
      </c>
      <c r="AU45" s="568">
        <f t="shared" si="62"/>
        <v>0</v>
      </c>
      <c r="AV45" s="556"/>
      <c r="AW45" s="557">
        <v>0</v>
      </c>
      <c r="AX45" s="556">
        <v>0</v>
      </c>
      <c r="AY45" s="556">
        <v>0</v>
      </c>
      <c r="AZ45" s="556">
        <v>0</v>
      </c>
      <c r="BA45" s="568">
        <f t="shared" si="63"/>
        <v>0</v>
      </c>
      <c r="BB45" s="556"/>
      <c r="BC45" s="556">
        <v>0</v>
      </c>
      <c r="BD45" s="556">
        <v>0</v>
      </c>
      <c r="BE45" s="556">
        <v>0</v>
      </c>
      <c r="BF45" s="556">
        <v>0</v>
      </c>
      <c r="BG45" s="568">
        <f t="shared" si="67"/>
        <v>0</v>
      </c>
      <c r="BH45" s="556"/>
      <c r="BI45" s="559">
        <v>0</v>
      </c>
      <c r="BJ45" s="559">
        <v>0</v>
      </c>
      <c r="BK45" s="559">
        <v>0</v>
      </c>
      <c r="BL45" s="559">
        <v>0</v>
      </c>
      <c r="BM45" s="568">
        <f t="shared" si="64"/>
        <v>0</v>
      </c>
      <c r="BN45" s="556"/>
      <c r="BO45" s="559">
        <v>0</v>
      </c>
      <c r="BP45" s="559">
        <v>0</v>
      </c>
      <c r="BQ45" s="559">
        <v>0</v>
      </c>
      <c r="BR45" s="559">
        <v>0</v>
      </c>
      <c r="BS45" s="568">
        <f t="shared" si="68"/>
        <v>0</v>
      </c>
      <c r="BT45" s="556"/>
      <c r="BU45" s="559">
        <v>0</v>
      </c>
      <c r="BV45" s="559">
        <v>30.582999999999998</v>
      </c>
      <c r="BW45" s="559">
        <v>23.751000000000001</v>
      </c>
      <c r="BX45" s="559">
        <f>757.187-BX39-BX42-BX44</f>
        <v>54.124000000000009</v>
      </c>
      <c r="BY45" s="568">
        <f t="shared" si="69"/>
        <v>54.124000000000009</v>
      </c>
      <c r="BZ45" s="556"/>
      <c r="CA45" s="559">
        <f>802.927-CA39-CA42-CA44</f>
        <v>61.828000000000046</v>
      </c>
      <c r="CB45" s="559">
        <f>865.277-CB39-CB42-CB44</f>
        <v>77.622000000000057</v>
      </c>
      <c r="CC45" s="559">
        <f>915.81-CC39-CC42</f>
        <v>105.52099999999997</v>
      </c>
      <c r="CD45" s="559">
        <f>922.323-CD39-CD42-CD44</f>
        <v>126.31500000000001</v>
      </c>
      <c r="CE45" s="568">
        <f t="shared" si="65"/>
        <v>126.31500000000001</v>
      </c>
      <c r="CF45" s="556"/>
      <c r="CG45" s="559">
        <f>870.051+198.776-CG39-CG42-CG44</f>
        <v>344.31899999999996</v>
      </c>
      <c r="CH45" s="559">
        <f>843.517-CH39-CH42+198.813</f>
        <v>356.47200000000009</v>
      </c>
      <c r="CI45" s="559">
        <f>878.048-CI39-CI42+198.851</f>
        <v>393.28199999999998</v>
      </c>
      <c r="CJ45" s="559">
        <f>833.065+198.888-CJ39-CJ42</f>
        <v>395.66499999999996</v>
      </c>
      <c r="CK45" s="568">
        <f>CJ45</f>
        <v>395.66499999999996</v>
      </c>
      <c r="CL45" s="556"/>
      <c r="CM45" s="559">
        <f>839.725+198.066-CM39-CM42-CM44</f>
        <v>400.31199999999995</v>
      </c>
      <c r="CN45" s="559">
        <f>1060.352+198.133-CN39-CN42-CN44</f>
        <v>672.5200000000001</v>
      </c>
      <c r="CO45" s="559">
        <f>785.287+198.201-CO39-CO42-CO44</f>
        <v>399.48400000000004</v>
      </c>
      <c r="CP45" s="559">
        <f>780.939+198.268+196.542-CP39-CP42</f>
        <v>595.52099999999996</v>
      </c>
      <c r="CQ45" s="568">
        <f t="shared" si="71"/>
        <v>595.52099999999996</v>
      </c>
      <c r="CR45" s="556"/>
      <c r="CS45" s="559">
        <f>198.336+802.734</f>
        <v>1001.07</v>
      </c>
      <c r="CT45" s="559">
        <f>727.882+198.403-CT39-CT42-CT44</f>
        <v>926.28499999999997</v>
      </c>
      <c r="CU45" s="559">
        <f>736.87+198.471</f>
        <v>935.34100000000001</v>
      </c>
      <c r="CV45" s="559">
        <v>793.14</v>
      </c>
      <c r="CW45" s="568">
        <f t="shared" si="72"/>
        <v>793.14</v>
      </c>
      <c r="CX45" s="556"/>
      <c r="CY45" s="559">
        <f>CV45</f>
        <v>793.14</v>
      </c>
      <c r="CZ45" s="559">
        <f>CY45</f>
        <v>793.14</v>
      </c>
      <c r="DA45" s="559">
        <f>CZ45</f>
        <v>793.14</v>
      </c>
      <c r="DB45" s="559">
        <f>DA45</f>
        <v>793.14</v>
      </c>
      <c r="DC45" s="568">
        <f t="shared" si="73"/>
        <v>793.14</v>
      </c>
      <c r="DD45" s="556"/>
      <c r="DE45" s="559">
        <f>DB45</f>
        <v>793.14</v>
      </c>
      <c r="DF45" s="559">
        <f>DE45</f>
        <v>793.14</v>
      </c>
      <c r="DG45" s="559">
        <f>DF45</f>
        <v>793.14</v>
      </c>
      <c r="DH45" s="559">
        <f>DG45</f>
        <v>793.14</v>
      </c>
      <c r="DI45" s="568">
        <f t="shared" si="74"/>
        <v>793.14</v>
      </c>
      <c r="DJ45" s="556"/>
      <c r="DK45" s="559">
        <f>DH45</f>
        <v>793.14</v>
      </c>
      <c r="DL45" s="559">
        <f>DK45</f>
        <v>793.14</v>
      </c>
      <c r="DM45" s="559">
        <f>DL45</f>
        <v>793.14</v>
      </c>
      <c r="DN45" s="559">
        <f>DM45</f>
        <v>793.14</v>
      </c>
      <c r="DO45" s="568">
        <f t="shared" si="75"/>
        <v>793.14</v>
      </c>
      <c r="DP45" s="570"/>
      <c r="DQ45" s="955"/>
      <c r="DX45" s="957"/>
    </row>
    <row r="46" spans="1:128" ht="10.5" customHeight="1">
      <c r="A46" s="407" t="s">
        <v>969</v>
      </c>
      <c r="B46" s="408"/>
      <c r="C46" s="409">
        <f>SUM(C37:C45)</f>
        <v>0.91800000000000004</v>
      </c>
      <c r="D46" s="409">
        <f>SUM(D37:D45)</f>
        <v>6.5239999999999991</v>
      </c>
      <c r="E46" s="409">
        <f>SUM(E37:E45)</f>
        <v>19.923999999999999</v>
      </c>
      <c r="F46" s="409"/>
      <c r="G46" s="409">
        <f>SUM(G37:G45)</f>
        <v>23.905000000000001</v>
      </c>
      <c r="H46" s="409">
        <f>SUM(H37:H45)</f>
        <v>27.75</v>
      </c>
      <c r="I46" s="409">
        <f>SUM(I37:I45)</f>
        <v>28.835999999999999</v>
      </c>
      <c r="J46" s="409">
        <f>SUM(J37:J45)</f>
        <v>34.411000000000001</v>
      </c>
      <c r="K46" s="409">
        <f t="shared" si="57"/>
        <v>34.411000000000001</v>
      </c>
      <c r="L46" s="409"/>
      <c r="M46" s="409">
        <f>SUM(M37:M45)</f>
        <v>40.242999999999995</v>
      </c>
      <c r="N46" s="409">
        <f>SUM(N37:N45)</f>
        <v>46.792000000000002</v>
      </c>
      <c r="O46" s="409">
        <f>SUM(O37:O45)</f>
        <v>53.822999999999993</v>
      </c>
      <c r="P46" s="409">
        <f>SUM(P37:P45)</f>
        <v>72.611000000000004</v>
      </c>
      <c r="Q46" s="409">
        <f t="shared" si="66"/>
        <v>72.611000000000004</v>
      </c>
      <c r="R46" s="409"/>
      <c r="S46" s="409">
        <f>SUM(S37:S45)</f>
        <v>75.896000000000001</v>
      </c>
      <c r="T46" s="409">
        <f>SUM(T37:T45)</f>
        <v>93.326000000000022</v>
      </c>
      <c r="U46" s="409">
        <f>SUM(U37:U45)</f>
        <v>109.34799999999998</v>
      </c>
      <c r="V46" s="409">
        <f>SUM(V37:V45)</f>
        <v>135.36799999999999</v>
      </c>
      <c r="W46" s="409">
        <f t="shared" si="58"/>
        <v>135.36799999999999</v>
      </c>
      <c r="X46" s="409"/>
      <c r="Y46" s="409">
        <f>SUM(Y37:Y45)</f>
        <v>141.636</v>
      </c>
      <c r="Z46" s="409">
        <f>SUM(Z37:Z45)</f>
        <v>158.27300000000002</v>
      </c>
      <c r="AA46" s="409">
        <f>SUM(AA37:AA45)</f>
        <v>177.46100000000001</v>
      </c>
      <c r="AB46" s="409">
        <f>SUM(AB37:AB45)</f>
        <v>238.37800000000001</v>
      </c>
      <c r="AC46" s="410">
        <f t="shared" si="59"/>
        <v>238.37800000000001</v>
      </c>
      <c r="AD46" s="409"/>
      <c r="AE46" s="409">
        <f>SUM(AE37:AE45)</f>
        <v>245.57899999999998</v>
      </c>
      <c r="AF46" s="409">
        <f>SUM(AF37:AF45)</f>
        <v>271.23200000000003</v>
      </c>
      <c r="AG46" s="409">
        <f>SUM(AG37:AG45)</f>
        <v>299.30799999999994</v>
      </c>
      <c r="AH46" s="411">
        <f>SUM(AH37:AH45)</f>
        <v>383.04099999999994</v>
      </c>
      <c r="AI46" s="410">
        <f>AH46</f>
        <v>383.04099999999994</v>
      </c>
      <c r="AJ46" s="409"/>
      <c r="AK46" s="409">
        <f>SUM(AK37:AK45)</f>
        <v>388.68700000000001</v>
      </c>
      <c r="AL46" s="409">
        <f>SUM(AL37:AL45)</f>
        <v>424.72299999999996</v>
      </c>
      <c r="AM46" s="409">
        <f>SUM(AM37:AM45)</f>
        <v>463.81400000000002</v>
      </c>
      <c r="AN46" s="409">
        <f>SUM(AN37:AN45)</f>
        <v>637.53399999999999</v>
      </c>
      <c r="AO46" s="410">
        <f t="shared" si="61"/>
        <v>637.53399999999999</v>
      </c>
      <c r="AP46" s="409"/>
      <c r="AQ46" s="409">
        <f>SUM(AQ37:AQ45)</f>
        <v>616.52600000000007</v>
      </c>
      <c r="AR46" s="409">
        <f>SUM(AR37:AR45)</f>
        <v>637.56700000000001</v>
      </c>
      <c r="AS46" s="409">
        <f>SUM(AS37:AS45)</f>
        <v>657.34399999999994</v>
      </c>
      <c r="AT46" s="409">
        <f>SUM(AT37:AT45)</f>
        <v>808.03800000000001</v>
      </c>
      <c r="AU46" s="410">
        <f t="shared" si="62"/>
        <v>808.03800000000001</v>
      </c>
      <c r="AV46" s="409"/>
      <c r="AW46" s="409">
        <f>SUM(AW37:AW45)</f>
        <v>739.84500000000014</v>
      </c>
      <c r="AX46" s="409">
        <f>SUM(AX37:AX45)</f>
        <v>765.41000000000008</v>
      </c>
      <c r="AY46" s="409">
        <f>SUM(AY37:AY45)</f>
        <v>784.15399999999988</v>
      </c>
      <c r="AZ46" s="409">
        <f>SUM(AZ37:AZ45)</f>
        <v>1416.3990000000001</v>
      </c>
      <c r="BA46" s="410">
        <f t="shared" si="63"/>
        <v>1416.3990000000001</v>
      </c>
      <c r="BB46" s="409"/>
      <c r="BC46" s="409">
        <f>SUM(BC37:BC45)</f>
        <v>1353.5869999999998</v>
      </c>
      <c r="BD46" s="409">
        <f>SUM(BD37:BD45)</f>
        <v>1457.8500000000001</v>
      </c>
      <c r="BE46" s="409">
        <f>SUM(BE37:BE45)</f>
        <v>1530.4060000000002</v>
      </c>
      <c r="BF46" s="409">
        <f>SUM(BF37:BF45)</f>
        <v>1814.6740000000002</v>
      </c>
      <c r="BG46" s="410">
        <f t="shared" si="67"/>
        <v>1814.6740000000002</v>
      </c>
      <c r="BH46" s="409"/>
      <c r="BI46" s="409">
        <f>SUM(BI37:BI45)</f>
        <v>1775.7949999999998</v>
      </c>
      <c r="BJ46" s="409">
        <f>SUM(BJ37:BJ45)</f>
        <v>1912.433</v>
      </c>
      <c r="BK46" s="409">
        <f>SUM(BK37:BK45)</f>
        <v>1928.1179999999999</v>
      </c>
      <c r="BL46" s="409">
        <f>SUM(BL37:BL45)</f>
        <v>2498.0529999999999</v>
      </c>
      <c r="BM46" s="410">
        <f t="shared" si="64"/>
        <v>2498.0529999999999</v>
      </c>
      <c r="BN46" s="409"/>
      <c r="BO46" s="409">
        <f>SUM(BO37:BO45)</f>
        <v>2346.3230000000003</v>
      </c>
      <c r="BP46" s="409">
        <f>SUM(BP37:BP45)</f>
        <v>2494.8989999999999</v>
      </c>
      <c r="BQ46" s="409">
        <f>SUM(BQ37:BQ45)</f>
        <v>2498.6759999999999</v>
      </c>
      <c r="BR46" s="409">
        <f>SUM(BR37:BR45)</f>
        <v>3157.7109999999998</v>
      </c>
      <c r="BS46" s="410">
        <f t="shared" si="68"/>
        <v>3157.7109999999998</v>
      </c>
      <c r="BT46" s="409"/>
      <c r="BU46" s="409">
        <f>SUM(BU37:BU45)</f>
        <v>4003.8329999999996</v>
      </c>
      <c r="BV46" s="409">
        <f>SUM(BV37:BV45)</f>
        <v>5110.7479999999996</v>
      </c>
      <c r="BW46" s="409">
        <f>SUM(BW37:BW45)</f>
        <v>5151.5470000000005</v>
      </c>
      <c r="BX46" s="409">
        <f>SUM(BX37:BX45)</f>
        <v>6087.7150000000001</v>
      </c>
      <c r="BY46" s="410">
        <f t="shared" si="69"/>
        <v>6087.7150000000001</v>
      </c>
      <c r="BZ46" s="409"/>
      <c r="CA46" s="411">
        <f>SUM(CA37:CA45)</f>
        <v>5499.487000000001</v>
      </c>
      <c r="CB46" s="409">
        <f>SUM(CB37:CB45)</f>
        <v>5703.0820000000003</v>
      </c>
      <c r="CC46" s="409">
        <f>SUM(CC37:CC45)</f>
        <v>5620.1670000000004</v>
      </c>
      <c r="CD46" s="409">
        <f>SUM(CD37:CD45)</f>
        <v>6717.7989999999991</v>
      </c>
      <c r="CE46" s="410">
        <f t="shared" si="65"/>
        <v>6717.7989999999991</v>
      </c>
      <c r="CF46" s="409"/>
      <c r="CG46" s="409">
        <f>SUM(CG37:CG45)</f>
        <v>6130.4789999999994</v>
      </c>
      <c r="CH46" s="409">
        <f>SUM(CH37:CH45)</f>
        <v>6258.1740000000009</v>
      </c>
      <c r="CI46" s="409">
        <f>SUM(CI37:CI45)</f>
        <v>6162.0120000000006</v>
      </c>
      <c r="CJ46" s="409">
        <f>SUM(CJ37:CJ45)</f>
        <v>7767.9030000000012</v>
      </c>
      <c r="CK46" s="410">
        <f t="shared" si="70"/>
        <v>7767.9030000000012</v>
      </c>
      <c r="CL46" s="409"/>
      <c r="CM46" s="409">
        <f>SUM(CM37:CM45)</f>
        <v>7233.0059999999994</v>
      </c>
      <c r="CN46" s="409">
        <f>SUM(CN37:CN45)</f>
        <v>8248.7379999999994</v>
      </c>
      <c r="CO46" s="409">
        <f>SUM(CO37:CO45)</f>
        <v>7581.6319999999996</v>
      </c>
      <c r="CP46" s="409">
        <f>SUM(CP37:CP45)</f>
        <v>10084.796</v>
      </c>
      <c r="CQ46" s="410">
        <f t="shared" si="71"/>
        <v>10084.796</v>
      </c>
      <c r="CR46" s="409"/>
      <c r="CS46" s="409">
        <f>SUM(CS37:CS45)</f>
        <v>9124.4419999999991</v>
      </c>
      <c r="CT46" s="409">
        <f>SUM(CT37:CT45)</f>
        <v>8950.2660000000014</v>
      </c>
      <c r="CU46" s="409">
        <f>SUM(CU37:CU45)</f>
        <v>8649.8689999999988</v>
      </c>
      <c r="CV46" s="409">
        <f>SUM(CV37:CV45)</f>
        <v>11617.438999999998</v>
      </c>
      <c r="CW46" s="410">
        <f t="shared" si="72"/>
        <v>11617.438999999998</v>
      </c>
      <c r="CX46" s="409"/>
      <c r="CY46" s="409">
        <f>SUM(CY37:CY45)</f>
        <v>10492.253495218509</v>
      </c>
      <c r="CZ46" s="409">
        <f>SUM(CZ37:CZ45)</f>
        <v>10332.818111483721</v>
      </c>
      <c r="DA46" s="409">
        <f>SUM(DA37:DA45)</f>
        <v>9958.3241646947827</v>
      </c>
      <c r="DB46" s="409">
        <f>SUM(DB37:DB45)</f>
        <v>13816.046052749269</v>
      </c>
      <c r="DC46" s="410">
        <f t="shared" si="73"/>
        <v>13816.046052749269</v>
      </c>
      <c r="DD46" s="409"/>
      <c r="DE46" s="409">
        <f>SUM(DE37:DE45)</f>
        <v>12400.878345658388</v>
      </c>
      <c r="DF46" s="409">
        <f>SUM(DF37:DF45)</f>
        <v>12177.343474578833</v>
      </c>
      <c r="DG46" s="409">
        <f>SUM(DG37:DG45)</f>
        <v>11703.911441202828</v>
      </c>
      <c r="DH46" s="409">
        <f>SUM(DH37:DH45)</f>
        <v>16520.987744806469</v>
      </c>
      <c r="DI46" s="410">
        <f t="shared" si="74"/>
        <v>16520.987744806469</v>
      </c>
      <c r="DJ46" s="409"/>
      <c r="DK46" s="409">
        <f>SUM(DK37:DK45)</f>
        <v>14668.948536238397</v>
      </c>
      <c r="DL46" s="409">
        <f>SUM(DL37:DL45)</f>
        <v>14399.659566763421</v>
      </c>
      <c r="DM46" s="409">
        <f>SUM(DM37:DM45)</f>
        <v>13843.25134778356</v>
      </c>
      <c r="DN46" s="409">
        <f>SUM(DN37:DN45)</f>
        <v>19741.779765331143</v>
      </c>
      <c r="DO46" s="410">
        <f t="shared" si="75"/>
        <v>19741.779765331143</v>
      </c>
      <c r="DP46" s="1681"/>
      <c r="DQ46" s="955"/>
      <c r="DX46" s="957"/>
    </row>
    <row r="47" spans="1:128" ht="5.25" customHeight="1">
      <c r="A47" s="560"/>
      <c r="B47" s="560"/>
      <c r="C47" s="561"/>
      <c r="D47" s="561"/>
      <c r="E47" s="561"/>
      <c r="F47" s="561"/>
      <c r="G47" s="561"/>
      <c r="H47" s="561"/>
      <c r="I47" s="561"/>
      <c r="J47" s="561"/>
      <c r="K47" s="561"/>
      <c r="L47" s="561"/>
      <c r="M47" s="561"/>
      <c r="N47" s="561"/>
      <c r="O47" s="561"/>
      <c r="P47" s="561"/>
      <c r="Q47" s="561"/>
      <c r="R47" s="561"/>
      <c r="S47" s="561"/>
      <c r="T47" s="562"/>
      <c r="U47" s="562"/>
      <c r="V47" s="562"/>
      <c r="W47" s="561"/>
      <c r="X47" s="561"/>
      <c r="Y47" s="562"/>
      <c r="Z47" s="561"/>
      <c r="AA47" s="561"/>
      <c r="AB47" s="561"/>
      <c r="AC47" s="563"/>
      <c r="AD47" s="561"/>
      <c r="AE47" s="561"/>
      <c r="AF47" s="561"/>
      <c r="AG47" s="564"/>
      <c r="AH47" s="562"/>
      <c r="AI47" s="563"/>
      <c r="AJ47" s="561"/>
      <c r="AK47" s="561"/>
      <c r="AL47" s="561"/>
      <c r="AM47" s="561"/>
      <c r="AN47" s="561"/>
      <c r="AO47" s="563"/>
      <c r="AP47" s="561"/>
      <c r="AQ47" s="562"/>
      <c r="AR47" s="562"/>
      <c r="AS47" s="561"/>
      <c r="AT47" s="562"/>
      <c r="AU47" s="563"/>
      <c r="AV47" s="561"/>
      <c r="AW47" s="564"/>
      <c r="AX47" s="561"/>
      <c r="AY47" s="561"/>
      <c r="AZ47" s="561"/>
      <c r="BA47" s="563"/>
      <c r="BB47" s="561"/>
      <c r="BC47" s="562"/>
      <c r="BD47" s="562"/>
      <c r="BE47" s="562"/>
      <c r="BF47" s="562"/>
      <c r="BG47" s="563"/>
      <c r="BH47" s="561"/>
      <c r="BI47" s="561"/>
      <c r="BJ47" s="561"/>
      <c r="BK47" s="561"/>
      <c r="BL47" s="561"/>
      <c r="BM47" s="563"/>
      <c r="BN47" s="561"/>
      <c r="BO47" s="561"/>
      <c r="BP47" s="561"/>
      <c r="BQ47" s="561"/>
      <c r="BR47" s="561"/>
      <c r="BS47" s="563"/>
      <c r="BT47" s="561"/>
      <c r="BU47" s="561"/>
      <c r="BV47" s="561"/>
      <c r="BW47" s="561"/>
      <c r="BX47" s="561"/>
      <c r="BY47" s="563"/>
      <c r="BZ47" s="561"/>
      <c r="CA47" s="561"/>
      <c r="CB47" s="561"/>
      <c r="CC47" s="561"/>
      <c r="CD47" s="561"/>
      <c r="CE47" s="563"/>
      <c r="CF47" s="561"/>
      <c r="CG47" s="561"/>
      <c r="CH47" s="561"/>
      <c r="CI47" s="561"/>
      <c r="CJ47" s="561">
        <f>CJ46-7767.903</f>
        <v>0</v>
      </c>
      <c r="CK47" s="563">
        <f t="shared" si="70"/>
        <v>0</v>
      </c>
      <c r="CL47" s="561"/>
      <c r="CM47" s="561"/>
      <c r="CN47" s="561"/>
      <c r="CO47" s="561"/>
      <c r="CP47" s="561">
        <f>CP46-7767.903</f>
        <v>2316.893</v>
      </c>
      <c r="CQ47" s="563"/>
      <c r="CR47" s="561"/>
      <c r="CS47" s="561"/>
      <c r="CT47" s="561"/>
      <c r="CU47" s="561"/>
      <c r="CV47" s="561"/>
      <c r="CW47" s="563"/>
      <c r="CX47" s="561"/>
      <c r="CY47" s="561"/>
      <c r="CZ47" s="561"/>
      <c r="DA47" s="561"/>
      <c r="DB47" s="561"/>
      <c r="DC47" s="563"/>
      <c r="DD47" s="561"/>
      <c r="DE47" s="561"/>
      <c r="DF47" s="561"/>
      <c r="DG47" s="561"/>
      <c r="DH47" s="561"/>
      <c r="DI47" s="563"/>
      <c r="DJ47" s="561"/>
      <c r="DK47" s="561"/>
      <c r="DL47" s="561"/>
      <c r="DM47" s="561"/>
      <c r="DN47" s="561"/>
      <c r="DO47" s="563"/>
      <c r="DP47" s="561"/>
      <c r="DQ47" s="955"/>
      <c r="DX47" s="957"/>
    </row>
    <row r="48" spans="1:128" ht="12.75" hidden="1" customHeight="1" outlineLevel="1">
      <c r="A48" s="560" t="s">
        <v>160</v>
      </c>
      <c r="B48" s="560"/>
      <c r="C48" s="938"/>
      <c r="D48" s="641"/>
      <c r="E48" s="565">
        <v>61.137</v>
      </c>
      <c r="F48" s="938"/>
      <c r="G48" s="938">
        <v>61.137</v>
      </c>
      <c r="H48" s="938">
        <v>61.137</v>
      </c>
      <c r="I48" s="938">
        <v>61.137</v>
      </c>
      <c r="J48" s="565">
        <v>61.137</v>
      </c>
      <c r="K48" s="565">
        <f t="shared" si="57"/>
        <v>61.137</v>
      </c>
      <c r="L48" s="938"/>
      <c r="M48" s="938">
        <v>61.137</v>
      </c>
      <c r="N48" s="938">
        <v>61.137</v>
      </c>
      <c r="O48" s="938">
        <v>61.137</v>
      </c>
      <c r="P48" s="565">
        <v>61.137</v>
      </c>
      <c r="Q48" s="565">
        <f t="shared" ref="Q48:Q55" si="86">P48</f>
        <v>61.137</v>
      </c>
      <c r="R48" s="938"/>
      <c r="S48" s="565">
        <v>61.137</v>
      </c>
      <c r="T48" s="938">
        <v>0</v>
      </c>
      <c r="U48" s="938">
        <v>0</v>
      </c>
      <c r="V48" s="938">
        <v>0</v>
      </c>
      <c r="W48" s="565">
        <f t="shared" ref="W48:W55" si="87">V48</f>
        <v>0</v>
      </c>
      <c r="X48" s="938"/>
      <c r="Y48" s="938">
        <v>0</v>
      </c>
      <c r="Z48" s="938">
        <f>Y48</f>
        <v>0</v>
      </c>
      <c r="AA48" s="938">
        <f>Z48</f>
        <v>0</v>
      </c>
      <c r="AB48" s="938">
        <v>0</v>
      </c>
      <c r="AC48" s="568">
        <f t="shared" ref="AC48:AC55" si="88">AB48</f>
        <v>0</v>
      </c>
      <c r="AD48" s="938"/>
      <c r="AE48" s="938">
        <v>0</v>
      </c>
      <c r="AF48" s="938">
        <v>0</v>
      </c>
      <c r="AG48" s="939">
        <f>AF48</f>
        <v>0</v>
      </c>
      <c r="AH48" s="938">
        <f>AG48</f>
        <v>0</v>
      </c>
      <c r="AI48" s="568">
        <f t="shared" ref="AI48:AI55" si="89">AH48</f>
        <v>0</v>
      </c>
      <c r="AJ48" s="938"/>
      <c r="AK48" s="938">
        <v>0</v>
      </c>
      <c r="AL48" s="938">
        <f>AK48</f>
        <v>0</v>
      </c>
      <c r="AM48" s="938">
        <v>0</v>
      </c>
      <c r="AN48" s="938">
        <f>AM48</f>
        <v>0</v>
      </c>
      <c r="AO48" s="568">
        <f t="shared" ref="AO48:AO55" si="90">AN48</f>
        <v>0</v>
      </c>
      <c r="AP48" s="938"/>
      <c r="AQ48" s="938">
        <v>0</v>
      </c>
      <c r="AR48" s="938">
        <f>AQ48</f>
        <v>0</v>
      </c>
      <c r="AS48" s="938">
        <f>AR48</f>
        <v>0</v>
      </c>
      <c r="AT48" s="938">
        <v>0</v>
      </c>
      <c r="AU48" s="568">
        <f t="shared" ref="AU48:AU55" si="91">AT48</f>
        <v>0</v>
      </c>
      <c r="AV48" s="938"/>
      <c r="AW48" s="939">
        <v>0</v>
      </c>
      <c r="AX48" s="938">
        <f>AW48</f>
        <v>0</v>
      </c>
      <c r="AY48" s="938">
        <f>AX48</f>
        <v>0</v>
      </c>
      <c r="AZ48" s="938">
        <v>0</v>
      </c>
      <c r="BA48" s="568">
        <f t="shared" ref="BA48:BA55" si="92">AZ48</f>
        <v>0</v>
      </c>
      <c r="BB48" s="938"/>
      <c r="BC48" s="938">
        <v>0</v>
      </c>
      <c r="BD48" s="938">
        <v>0</v>
      </c>
      <c r="BE48" s="938">
        <f>BD48</f>
        <v>0</v>
      </c>
      <c r="BF48" s="938">
        <f>BE48</f>
        <v>0</v>
      </c>
      <c r="BG48" s="568">
        <f t="shared" ref="BG48:BG55" si="93">BF48</f>
        <v>0</v>
      </c>
      <c r="BH48" s="938"/>
      <c r="BI48" s="938">
        <v>0</v>
      </c>
      <c r="BJ48" s="938">
        <v>0</v>
      </c>
      <c r="BK48" s="938">
        <v>0</v>
      </c>
      <c r="BL48" s="938">
        <f>BK48</f>
        <v>0</v>
      </c>
      <c r="BM48" s="568">
        <f t="shared" ref="BM48:BM55" si="94">BL48</f>
        <v>0</v>
      </c>
      <c r="BN48" s="938"/>
      <c r="BO48" s="938">
        <v>0</v>
      </c>
      <c r="BP48" s="938">
        <v>0</v>
      </c>
      <c r="BQ48" s="938">
        <f>BP48</f>
        <v>0</v>
      </c>
      <c r="BR48" s="938">
        <f>BQ48</f>
        <v>0</v>
      </c>
      <c r="BS48" s="568">
        <f t="shared" ref="BS48:BS55" si="95">BR48</f>
        <v>0</v>
      </c>
      <c r="BT48" s="938"/>
      <c r="BU48" s="938">
        <v>0</v>
      </c>
      <c r="BV48" s="938">
        <f>BU48</f>
        <v>0</v>
      </c>
      <c r="BW48" s="938">
        <f>BV48</f>
        <v>0</v>
      </c>
      <c r="BX48" s="938">
        <f>BW48</f>
        <v>0</v>
      </c>
      <c r="BY48" s="568">
        <f t="shared" ref="BY48:BY55" si="96">BX48</f>
        <v>0</v>
      </c>
      <c r="BZ48" s="938"/>
      <c r="CA48" s="938">
        <v>0</v>
      </c>
      <c r="CB48" s="938">
        <v>0</v>
      </c>
      <c r="CC48" s="938">
        <v>0</v>
      </c>
      <c r="CD48" s="938">
        <v>0</v>
      </c>
      <c r="CE48" s="568">
        <f t="shared" ref="CE48:CE55" si="97">CD48</f>
        <v>0</v>
      </c>
      <c r="CF48" s="938"/>
      <c r="CG48" s="938">
        <v>0</v>
      </c>
      <c r="CH48" s="938">
        <f>CG48</f>
        <v>0</v>
      </c>
      <c r="CI48" s="938">
        <f>CH48</f>
        <v>0</v>
      </c>
      <c r="CJ48" s="938">
        <f>CI48</f>
        <v>0</v>
      </c>
      <c r="CK48" s="568">
        <f t="shared" ref="CK48:CK55" si="98">CJ48</f>
        <v>0</v>
      </c>
      <c r="CL48" s="938"/>
      <c r="CM48" s="938">
        <v>0</v>
      </c>
      <c r="CN48" s="938">
        <v>0</v>
      </c>
      <c r="CO48" s="938">
        <v>0</v>
      </c>
      <c r="CP48" s="938">
        <f>CO48</f>
        <v>0</v>
      </c>
      <c r="CQ48" s="568">
        <f>CP48</f>
        <v>0</v>
      </c>
      <c r="CR48" s="938"/>
      <c r="CS48" s="938">
        <v>0</v>
      </c>
      <c r="CT48" s="938">
        <v>0</v>
      </c>
      <c r="CU48" s="938">
        <v>0</v>
      </c>
      <c r="CV48" s="938">
        <v>0</v>
      </c>
      <c r="CW48" s="568">
        <f>CV48</f>
        <v>0</v>
      </c>
      <c r="CX48" s="938"/>
      <c r="CY48" s="938">
        <v>0</v>
      </c>
      <c r="CZ48" s="938">
        <f>CY48</f>
        <v>0</v>
      </c>
      <c r="DA48" s="938">
        <f>CZ48</f>
        <v>0</v>
      </c>
      <c r="DB48" s="938">
        <f>DA48</f>
        <v>0</v>
      </c>
      <c r="DC48" s="568">
        <f>DB48</f>
        <v>0</v>
      </c>
      <c r="DD48" s="938"/>
      <c r="DE48" s="938">
        <v>0</v>
      </c>
      <c r="DF48" s="938">
        <f>DE48</f>
        <v>0</v>
      </c>
      <c r="DG48" s="938">
        <f>DF48</f>
        <v>0</v>
      </c>
      <c r="DH48" s="938">
        <f>DG48</f>
        <v>0</v>
      </c>
      <c r="DI48" s="568">
        <f>DH48</f>
        <v>0</v>
      </c>
      <c r="DJ48" s="938"/>
      <c r="DK48" s="938">
        <v>0</v>
      </c>
      <c r="DL48" s="938">
        <f>DK48</f>
        <v>0</v>
      </c>
      <c r="DM48" s="938">
        <f>DL48</f>
        <v>0</v>
      </c>
      <c r="DN48" s="938">
        <f>DM48</f>
        <v>0</v>
      </c>
      <c r="DO48" s="568">
        <f>DN48</f>
        <v>0</v>
      </c>
      <c r="DP48" s="570"/>
      <c r="DQ48" s="955"/>
      <c r="DX48" s="957"/>
    </row>
    <row r="49" spans="1:128" ht="3.75" hidden="1" customHeight="1" outlineLevel="1">
      <c r="A49" s="560"/>
      <c r="B49" s="560"/>
      <c r="C49" s="938"/>
      <c r="D49" s="938"/>
      <c r="E49" s="938"/>
      <c r="F49" s="938"/>
      <c r="G49" s="938"/>
      <c r="H49" s="938"/>
      <c r="I49" s="938"/>
      <c r="J49" s="565"/>
      <c r="K49" s="565"/>
      <c r="L49" s="938"/>
      <c r="M49" s="560"/>
      <c r="N49" s="938"/>
      <c r="O49" s="938"/>
      <c r="P49" s="565"/>
      <c r="Q49" s="565"/>
      <c r="R49" s="938"/>
      <c r="S49" s="565"/>
      <c r="T49" s="938"/>
      <c r="U49" s="938"/>
      <c r="V49" s="938"/>
      <c r="W49" s="565"/>
      <c r="X49" s="938"/>
      <c r="Y49" s="938"/>
      <c r="Z49" s="938"/>
      <c r="AA49" s="938"/>
      <c r="AB49" s="938"/>
      <c r="AC49" s="568"/>
      <c r="AD49" s="938"/>
      <c r="AE49" s="938"/>
      <c r="AF49" s="938"/>
      <c r="AG49" s="939"/>
      <c r="AH49" s="938"/>
      <c r="AI49" s="568"/>
      <c r="AJ49" s="938"/>
      <c r="AK49" s="938"/>
      <c r="AL49" s="938"/>
      <c r="AM49" s="938"/>
      <c r="AN49" s="938"/>
      <c r="AO49" s="568"/>
      <c r="AP49" s="938"/>
      <c r="AQ49" s="938"/>
      <c r="AR49" s="938"/>
      <c r="AS49" s="938"/>
      <c r="AT49" s="938"/>
      <c r="AU49" s="568"/>
      <c r="AV49" s="938"/>
      <c r="AW49" s="939"/>
      <c r="AX49" s="938"/>
      <c r="AY49" s="938"/>
      <c r="AZ49" s="938"/>
      <c r="BA49" s="568"/>
      <c r="BB49" s="938"/>
      <c r="BC49" s="938"/>
      <c r="BD49" s="938"/>
      <c r="BE49" s="938"/>
      <c r="BF49" s="938"/>
      <c r="BG49" s="568"/>
      <c r="BH49" s="938"/>
      <c r="BI49" s="938"/>
      <c r="BJ49" s="938"/>
      <c r="BK49" s="938"/>
      <c r="BL49" s="938"/>
      <c r="BM49" s="568"/>
      <c r="BN49" s="938"/>
      <c r="BO49" s="938"/>
      <c r="BP49" s="938"/>
      <c r="BQ49" s="938"/>
      <c r="BR49" s="938"/>
      <c r="BS49" s="568"/>
      <c r="BT49" s="938"/>
      <c r="BU49" s="938"/>
      <c r="BV49" s="938"/>
      <c r="BW49" s="938"/>
      <c r="BX49" s="938"/>
      <c r="BY49" s="568"/>
      <c r="BZ49" s="938"/>
      <c r="CA49" s="938"/>
      <c r="CB49" s="938"/>
      <c r="CC49" s="938"/>
      <c r="CD49" s="938"/>
      <c r="CE49" s="568"/>
      <c r="CF49" s="938"/>
      <c r="CG49" s="938"/>
      <c r="CH49" s="938"/>
      <c r="CI49" s="938"/>
      <c r="CJ49" s="938"/>
      <c r="CK49" s="568"/>
      <c r="CL49" s="938"/>
      <c r="CM49" s="938"/>
      <c r="CN49" s="938"/>
      <c r="CO49" s="938"/>
      <c r="CP49" s="938"/>
      <c r="CQ49" s="568"/>
      <c r="CR49" s="938"/>
      <c r="CS49" s="938"/>
      <c r="CT49" s="938"/>
      <c r="CU49" s="938"/>
      <c r="CV49" s="938"/>
      <c r="CW49" s="568"/>
      <c r="CX49" s="938"/>
      <c r="CY49" s="938"/>
      <c r="CZ49" s="938"/>
      <c r="DA49" s="938"/>
      <c r="DB49" s="938"/>
      <c r="DC49" s="568"/>
      <c r="DD49" s="938"/>
      <c r="DE49" s="938"/>
      <c r="DF49" s="938"/>
      <c r="DG49" s="938"/>
      <c r="DH49" s="938"/>
      <c r="DI49" s="568"/>
      <c r="DJ49" s="938"/>
      <c r="DK49" s="938"/>
      <c r="DL49" s="938"/>
      <c r="DM49" s="938"/>
      <c r="DN49" s="938"/>
      <c r="DO49" s="568"/>
      <c r="DP49" s="566"/>
      <c r="DQ49" s="955"/>
      <c r="DX49" s="957"/>
    </row>
    <row r="50" spans="1:128" ht="12.75" hidden="1" customHeight="1" outlineLevel="1">
      <c r="A50" s="560" t="s">
        <v>925</v>
      </c>
      <c r="B50" s="560"/>
      <c r="C50" s="938"/>
      <c r="D50" s="938"/>
      <c r="E50" s="565">
        <v>2.9000000000000001E-2</v>
      </c>
      <c r="F50" s="938"/>
      <c r="G50" s="565">
        <v>2.9000000000000001E-2</v>
      </c>
      <c r="H50" s="565">
        <v>2.9000000000000001E-2</v>
      </c>
      <c r="I50" s="565">
        <v>2.9000000000000001E-2</v>
      </c>
      <c r="J50" s="565">
        <v>2.9000000000000001E-2</v>
      </c>
      <c r="K50" s="565">
        <f t="shared" si="57"/>
        <v>2.9000000000000001E-2</v>
      </c>
      <c r="L50" s="940"/>
      <c r="M50" s="575">
        <v>2.9000000000000001E-2</v>
      </c>
      <c r="N50" s="575">
        <v>2.9000000000000001E-2</v>
      </c>
      <c r="O50" s="575">
        <v>0.03</v>
      </c>
      <c r="P50" s="565">
        <v>3.2000000000000001E-2</v>
      </c>
      <c r="Q50" s="565">
        <f t="shared" si="86"/>
        <v>3.2000000000000001E-2</v>
      </c>
      <c r="R50" s="938"/>
      <c r="S50" s="565">
        <v>3.3000000000000002E-2</v>
      </c>
      <c r="T50" s="938">
        <v>0.10299999999999999</v>
      </c>
      <c r="U50" s="938">
        <v>0.10299999999999999</v>
      </c>
      <c r="V50" s="938">
        <v>0.105</v>
      </c>
      <c r="W50" s="565">
        <f t="shared" si="87"/>
        <v>0.105</v>
      </c>
      <c r="X50" s="938"/>
      <c r="Y50" s="938">
        <v>0.106</v>
      </c>
      <c r="Z50" s="938">
        <v>0.108</v>
      </c>
      <c r="AA50" s="938">
        <v>0.108</v>
      </c>
      <c r="AB50" s="938">
        <v>0.111</v>
      </c>
      <c r="AC50" s="568">
        <f t="shared" si="88"/>
        <v>0.111</v>
      </c>
      <c r="AD50" s="938"/>
      <c r="AE50" s="938">
        <v>0.111</v>
      </c>
      <c r="AF50" s="938">
        <v>0.112</v>
      </c>
      <c r="AG50" s="939">
        <v>0.114</v>
      </c>
      <c r="AH50" s="938">
        <v>0.115</v>
      </c>
      <c r="AI50" s="568">
        <f t="shared" si="89"/>
        <v>0.115</v>
      </c>
      <c r="AJ50" s="938"/>
      <c r="AK50" s="938">
        <v>0.115</v>
      </c>
      <c r="AL50" s="938">
        <v>0.11700000000000001</v>
      </c>
      <c r="AM50" s="938">
        <v>0.11799999999999999</v>
      </c>
      <c r="AN50" s="938">
        <v>0.11899999999999999</v>
      </c>
      <c r="AO50" s="568">
        <f t="shared" si="90"/>
        <v>0.11899999999999999</v>
      </c>
      <c r="AP50" s="938"/>
      <c r="AQ50" s="938">
        <v>0.12</v>
      </c>
      <c r="AR50" s="938">
        <v>0.121</v>
      </c>
      <c r="AS50" s="938">
        <v>0.122</v>
      </c>
      <c r="AT50" s="938">
        <v>0.123</v>
      </c>
      <c r="AU50" s="642">
        <f t="shared" si="91"/>
        <v>0.123</v>
      </c>
      <c r="AV50" s="938"/>
      <c r="AW50" s="939">
        <v>0.124</v>
      </c>
      <c r="AX50" s="938">
        <v>0.124</v>
      </c>
      <c r="AY50" s="938">
        <v>0.125</v>
      </c>
      <c r="AZ50" s="938">
        <v>0.127</v>
      </c>
      <c r="BA50" s="642">
        <f t="shared" si="92"/>
        <v>0.127</v>
      </c>
      <c r="BB50" s="938"/>
      <c r="BC50" s="938">
        <v>0.129</v>
      </c>
      <c r="BD50" s="938">
        <v>0.13</v>
      </c>
      <c r="BE50" s="938">
        <v>0.13100000000000001</v>
      </c>
      <c r="BF50" s="938">
        <v>0.13300000000000001</v>
      </c>
      <c r="BG50" s="642">
        <f t="shared" si="93"/>
        <v>0.13300000000000001</v>
      </c>
      <c r="BH50" s="938"/>
      <c r="BI50" s="941">
        <v>0.13400000000000001</v>
      </c>
      <c r="BJ50" s="941">
        <v>0.13500000000000001</v>
      </c>
      <c r="BK50" s="941">
        <v>0.13600000000000001</v>
      </c>
      <c r="BL50" s="941">
        <v>0.13700000000000001</v>
      </c>
      <c r="BM50" s="642">
        <f t="shared" si="94"/>
        <v>0.13700000000000001</v>
      </c>
      <c r="BN50" s="938"/>
      <c r="BO50" s="941">
        <v>0.13800000000000001</v>
      </c>
      <c r="BP50" s="941">
        <v>0.13900000000000001</v>
      </c>
      <c r="BQ50" s="941">
        <v>0.14199999999999999</v>
      </c>
      <c r="BR50" s="941">
        <v>0.14599999999999999</v>
      </c>
      <c r="BS50" s="642">
        <f t="shared" si="95"/>
        <v>0.14599999999999999</v>
      </c>
      <c r="BT50" s="938"/>
      <c r="BU50" s="941">
        <v>0.59</v>
      </c>
      <c r="BV50" s="941">
        <v>0.59599999999999997</v>
      </c>
      <c r="BW50" s="941">
        <v>0.60299999999999998</v>
      </c>
      <c r="BX50" s="941">
        <v>0.61</v>
      </c>
      <c r="BY50" s="642">
        <f t="shared" si="96"/>
        <v>0.61</v>
      </c>
      <c r="BZ50" s="938"/>
      <c r="CA50" s="941">
        <v>0.61399999999999999</v>
      </c>
      <c r="CB50" s="941">
        <v>0.61899999999999999</v>
      </c>
      <c r="CC50" s="941">
        <v>0.63100000000000001</v>
      </c>
      <c r="CD50" s="941">
        <v>0.65100000000000002</v>
      </c>
      <c r="CE50" s="642">
        <f t="shared" si="97"/>
        <v>0.65100000000000002</v>
      </c>
      <c r="CF50" s="938"/>
      <c r="CG50" s="941">
        <v>0.65600000000000003</v>
      </c>
      <c r="CH50" s="941">
        <v>0.66</v>
      </c>
      <c r="CI50" s="941">
        <v>0.66400000000000003</v>
      </c>
      <c r="CJ50" s="941">
        <v>0.67100000000000004</v>
      </c>
      <c r="CK50" s="642">
        <f t="shared" si="98"/>
        <v>0.67100000000000004</v>
      </c>
      <c r="CL50" s="938"/>
      <c r="CM50" s="941">
        <v>0.67800000000000005</v>
      </c>
      <c r="CN50" s="941">
        <v>0.68500000000000005</v>
      </c>
      <c r="CO50" s="941">
        <v>0.69699999999999995</v>
      </c>
      <c r="CP50" s="941">
        <v>0.70799999999999996</v>
      </c>
      <c r="CQ50" s="642">
        <f t="shared" ref="CQ50:CQ55" si="99">CP50</f>
        <v>0.70799999999999996</v>
      </c>
      <c r="CR50" s="938"/>
      <c r="CS50" s="941">
        <v>0.71199999999999997</v>
      </c>
      <c r="CT50" s="941">
        <v>0.71899999999999997</v>
      </c>
      <c r="CU50" s="941">
        <v>0.72199999999999998</v>
      </c>
      <c r="CV50" s="941">
        <v>0.73</v>
      </c>
      <c r="CW50" s="642">
        <f t="shared" ref="CW50:CW55" si="100">CV50</f>
        <v>0.73</v>
      </c>
      <c r="CX50" s="938"/>
      <c r="CY50" s="941">
        <f>CV50</f>
        <v>0.73</v>
      </c>
      <c r="CZ50" s="941">
        <f>CY50</f>
        <v>0.73</v>
      </c>
      <c r="DA50" s="941">
        <f>CZ50</f>
        <v>0.73</v>
      </c>
      <c r="DB50" s="941">
        <f>DA50</f>
        <v>0.73</v>
      </c>
      <c r="DC50" s="642">
        <f t="shared" ref="DC50:DC55" si="101">DB50</f>
        <v>0.73</v>
      </c>
      <c r="DD50" s="938"/>
      <c r="DE50" s="941">
        <f>DB50</f>
        <v>0.73</v>
      </c>
      <c r="DF50" s="941">
        <f>DE50</f>
        <v>0.73</v>
      </c>
      <c r="DG50" s="941">
        <f>DF50</f>
        <v>0.73</v>
      </c>
      <c r="DH50" s="941">
        <f>DG50</f>
        <v>0.73</v>
      </c>
      <c r="DI50" s="642">
        <f t="shared" ref="DI50:DI55" si="102">DH50</f>
        <v>0.73</v>
      </c>
      <c r="DJ50" s="938"/>
      <c r="DK50" s="941">
        <f>DH50</f>
        <v>0.73</v>
      </c>
      <c r="DL50" s="941">
        <f>DK50</f>
        <v>0.73</v>
      </c>
      <c r="DM50" s="941">
        <f>DL50</f>
        <v>0.73</v>
      </c>
      <c r="DN50" s="941">
        <f>DM50</f>
        <v>0.73</v>
      </c>
      <c r="DO50" s="642">
        <f t="shared" ref="DO50:DO55" si="103">DN50</f>
        <v>0.73</v>
      </c>
      <c r="DP50" s="1685"/>
      <c r="DQ50" s="955"/>
      <c r="DX50" s="957"/>
    </row>
    <row r="51" spans="1:128" ht="12.75" hidden="1" customHeight="1" outlineLevel="1">
      <c r="A51" s="560" t="s">
        <v>592</v>
      </c>
      <c r="B51" s="560"/>
      <c r="C51" s="938"/>
      <c r="D51" s="938"/>
      <c r="E51" s="938">
        <v>21.087</v>
      </c>
      <c r="F51" s="938"/>
      <c r="G51" s="942">
        <f>E51+(($J51-$E51)/4)</f>
        <v>23.49025</v>
      </c>
      <c r="H51" s="942">
        <f t="shared" ref="H51:I54" si="104">G51+(($J51-$E51)/4)</f>
        <v>25.8935</v>
      </c>
      <c r="I51" s="942">
        <f t="shared" si="104"/>
        <v>28.296749999999999</v>
      </c>
      <c r="J51" s="565">
        <v>30.7</v>
      </c>
      <c r="K51" s="565">
        <f t="shared" si="57"/>
        <v>30.7</v>
      </c>
      <c r="L51" s="938"/>
      <c r="M51" s="942">
        <f>M56-SUM(M50,M52:M55)</f>
        <v>31.48551364991971</v>
      </c>
      <c r="N51" s="942">
        <f>N56-SUM(N50,N52:N55)</f>
        <v>32.584296168846066</v>
      </c>
      <c r="O51" s="942">
        <f>O56-SUM(O50,O52:O55)</f>
        <v>34.412813948153243</v>
      </c>
      <c r="P51" s="565">
        <v>35.58</v>
      </c>
      <c r="Q51" s="565">
        <f t="shared" si="86"/>
        <v>35.58</v>
      </c>
      <c r="R51" s="938"/>
      <c r="S51" s="565">
        <v>36.624000000000002</v>
      </c>
      <c r="T51" s="938">
        <v>213.321</v>
      </c>
      <c r="U51" s="938">
        <v>213.87</v>
      </c>
      <c r="V51" s="938">
        <v>217.24799999999999</v>
      </c>
      <c r="W51" s="565">
        <f t="shared" si="87"/>
        <v>217.24799999999999</v>
      </c>
      <c r="X51" s="938"/>
      <c r="Y51" s="938">
        <v>219.422</v>
      </c>
      <c r="Z51" s="938">
        <v>226.61799999999999</v>
      </c>
      <c r="AA51" s="938">
        <v>229.71600000000001</v>
      </c>
      <c r="AB51" s="938">
        <v>237.01</v>
      </c>
      <c r="AC51" s="568">
        <f t="shared" si="88"/>
        <v>237.01</v>
      </c>
      <c r="AD51" s="938"/>
      <c r="AE51" s="938">
        <v>250.36699999999999</v>
      </c>
      <c r="AF51" s="938">
        <v>268.85500000000002</v>
      </c>
      <c r="AG51" s="939">
        <v>294.36500000000001</v>
      </c>
      <c r="AH51" s="938">
        <v>319.49599999999998</v>
      </c>
      <c r="AI51" s="568">
        <f t="shared" si="89"/>
        <v>319.49599999999998</v>
      </c>
      <c r="AJ51" s="938"/>
      <c r="AK51" s="938">
        <v>346.46600000000001</v>
      </c>
      <c r="AL51" s="938">
        <v>384.51</v>
      </c>
      <c r="AM51" s="938">
        <v>429.23500000000001</v>
      </c>
      <c r="AN51" s="938">
        <v>471.80200000000002</v>
      </c>
      <c r="AO51" s="568">
        <f t="shared" si="90"/>
        <v>471.80200000000002</v>
      </c>
      <c r="AP51" s="938"/>
      <c r="AQ51" s="938">
        <v>514.62099999999998</v>
      </c>
      <c r="AR51" s="938">
        <v>568.07799999999997</v>
      </c>
      <c r="AS51" s="938">
        <v>613.76800000000003</v>
      </c>
      <c r="AT51" s="938">
        <v>648.72400000000005</v>
      </c>
      <c r="AU51" s="568">
        <f t="shared" si="91"/>
        <v>648.72400000000005</v>
      </c>
      <c r="AV51" s="938"/>
      <c r="AW51" s="939">
        <v>687.50300000000004</v>
      </c>
      <c r="AX51" s="938">
        <v>719.71300000000008</v>
      </c>
      <c r="AY51" s="938">
        <v>775.83799999999997</v>
      </c>
      <c r="AZ51" s="938">
        <v>938.54399999999998</v>
      </c>
      <c r="BA51" s="568">
        <f t="shared" si="92"/>
        <v>938.54399999999998</v>
      </c>
      <c r="BB51" s="938"/>
      <c r="BC51" s="938">
        <v>1010.005</v>
      </c>
      <c r="BD51" s="938">
        <v>1093.5909999999999</v>
      </c>
      <c r="BE51" s="938">
        <v>1041.0050000000001</v>
      </c>
      <c r="BF51" s="938">
        <v>1098.604</v>
      </c>
      <c r="BG51" s="568">
        <f t="shared" si="93"/>
        <v>1098.604</v>
      </c>
      <c r="BH51" s="938"/>
      <c r="BI51" s="941">
        <f>1083.867+96.631</f>
        <v>1180.498</v>
      </c>
      <c r="BJ51" s="941">
        <f>1243.472+90.772</f>
        <v>1334.2439999999999</v>
      </c>
      <c r="BK51" s="941">
        <f>1330.735+84.771</f>
        <v>1415.5059999999999</v>
      </c>
      <c r="BL51" s="941">
        <f>1415.077+78.741</f>
        <v>1493.818</v>
      </c>
      <c r="BM51" s="568">
        <f t="shared" si="94"/>
        <v>1493.818</v>
      </c>
      <c r="BN51" s="938"/>
      <c r="BO51" s="941">
        <v>1659.4459999999999</v>
      </c>
      <c r="BP51" s="941">
        <f>1742.286+66.357</f>
        <v>1808.643</v>
      </c>
      <c r="BQ51" s="941">
        <f>2149.962+59.999</f>
        <v>2209.9609999999998</v>
      </c>
      <c r="BR51" s="941">
        <f>2411.332+53.612</f>
        <v>2464.944</v>
      </c>
      <c r="BS51" s="568">
        <f t="shared" si="95"/>
        <v>2464.944</v>
      </c>
      <c r="BT51" s="938"/>
      <c r="BU51" s="941">
        <f>2627.183+47.08</f>
        <v>2674.2629999999999</v>
      </c>
      <c r="BV51" s="941">
        <f>2908.914+40.499</f>
        <v>2949.413</v>
      </c>
      <c r="BW51" s="941">
        <f>3121.481+33.731</f>
        <v>3155.2120000000004</v>
      </c>
      <c r="BX51" s="941">
        <f>3363.377+26.705</f>
        <v>3390.0819999999999</v>
      </c>
      <c r="BY51" s="568">
        <f t="shared" si="96"/>
        <v>3390.0819999999999</v>
      </c>
      <c r="BZ51" s="938"/>
      <c r="CA51" s="941">
        <f>3556.07+9.943</f>
        <v>3566.0130000000004</v>
      </c>
      <c r="CB51" s="941">
        <f>3789.942+6.178</f>
        <v>3796.12</v>
      </c>
      <c r="CC51" s="941">
        <f>1.882+4331.314</f>
        <v>4333.1959999999999</v>
      </c>
      <c r="CD51" s="941">
        <v>4604.4849999999997</v>
      </c>
      <c r="CE51" s="568">
        <f t="shared" si="97"/>
        <v>4604.4849999999997</v>
      </c>
      <c r="CF51" s="938"/>
      <c r="CG51" s="941">
        <v>4864.652</v>
      </c>
      <c r="CH51" s="941">
        <v>5165.8919999999998</v>
      </c>
      <c r="CI51" s="941">
        <v>5410.3770000000004</v>
      </c>
      <c r="CJ51" s="941">
        <v>5705.3860000000004</v>
      </c>
      <c r="CK51" s="568">
        <f t="shared" si="98"/>
        <v>5705.3860000000004</v>
      </c>
      <c r="CL51" s="938"/>
      <c r="CM51" s="941">
        <v>6217.9459999999999</v>
      </c>
      <c r="CN51" s="941">
        <v>6519.2669999999998</v>
      </c>
      <c r="CO51" s="941">
        <v>7281.7529999999997</v>
      </c>
      <c r="CP51" s="941">
        <v>8040.17</v>
      </c>
      <c r="CQ51" s="568">
        <f t="shared" si="99"/>
        <v>8040.17</v>
      </c>
      <c r="CR51" s="938"/>
      <c r="CS51" s="941">
        <v>8398.3799999999992</v>
      </c>
      <c r="CT51" s="941">
        <v>8889.4410000000007</v>
      </c>
      <c r="CU51" s="941">
        <v>9230.0810000000001</v>
      </c>
      <c r="CV51" s="941">
        <v>9752.34</v>
      </c>
      <c r="CW51" s="568">
        <f t="shared" si="100"/>
        <v>9752.34</v>
      </c>
      <c r="CX51" s="938"/>
      <c r="CY51" s="941">
        <f>CV51+CY172</f>
        <v>10081.487450000001</v>
      </c>
      <c r="CZ51" s="941">
        <f>CY51+CZ172</f>
        <v>10371.12095</v>
      </c>
      <c r="DA51" s="941">
        <f>CZ51+DA172</f>
        <v>10655.02565</v>
      </c>
      <c r="DB51" s="941">
        <f>DA51+DB172</f>
        <v>10923.975849999999</v>
      </c>
      <c r="DC51" s="568">
        <f t="shared" si="101"/>
        <v>10923.975849999999</v>
      </c>
      <c r="DD51" s="938"/>
      <c r="DE51" s="941">
        <f>DB51+DE172</f>
        <v>11238.830672499998</v>
      </c>
      <c r="DF51" s="941">
        <f>DE51+DF172</f>
        <v>11572.570847499999</v>
      </c>
      <c r="DG51" s="941">
        <f>DF51+DG172</f>
        <v>11900.295782499999</v>
      </c>
      <c r="DH51" s="941">
        <f>DG51+DH172</f>
        <v>12212.318492499999</v>
      </c>
      <c r="DI51" s="568">
        <f t="shared" si="102"/>
        <v>12212.318492499999</v>
      </c>
      <c r="DJ51" s="938"/>
      <c r="DK51" s="941">
        <f>DH51+DK172</f>
        <v>12541.041056124999</v>
      </c>
      <c r="DL51" s="941">
        <f>DK51+DL172</f>
        <v>12889.593239874999</v>
      </c>
      <c r="DM51" s="941">
        <f>DL51+DM172</f>
        <v>13231.829421625</v>
      </c>
      <c r="DN51" s="941">
        <f>DM51+DN172</f>
        <v>13557.578267125</v>
      </c>
      <c r="DO51" s="568">
        <f t="shared" si="103"/>
        <v>13557.578267125</v>
      </c>
      <c r="DP51" s="566"/>
      <c r="DQ51" s="955"/>
      <c r="DX51" s="957"/>
    </row>
    <row r="52" spans="1:128" ht="12.75" hidden="1" customHeight="1" outlineLevel="1">
      <c r="A52" s="560" t="s">
        <v>593</v>
      </c>
      <c r="B52" s="560"/>
      <c r="C52" s="938"/>
      <c r="D52" s="938"/>
      <c r="E52" s="938">
        <v>-4.93</v>
      </c>
      <c r="F52" s="938"/>
      <c r="G52" s="942">
        <f>E52+(($J52-$E52)/4)</f>
        <v>-6.0945</v>
      </c>
      <c r="H52" s="942">
        <f t="shared" si="104"/>
        <v>-7.2590000000000003</v>
      </c>
      <c r="I52" s="942">
        <f t="shared" si="104"/>
        <v>-8.4235000000000007</v>
      </c>
      <c r="J52" s="565">
        <v>-9.5879999999999992</v>
      </c>
      <c r="K52" s="565">
        <f t="shared" si="57"/>
        <v>-9.5879999999999992</v>
      </c>
      <c r="L52" s="938"/>
      <c r="M52" s="942">
        <f>J52+((1.337/4.359)*CF!M86)</f>
        <v>-9.2555136499197062</v>
      </c>
      <c r="N52" s="942">
        <f>M52+((1.337/4.359)*CF!N86)</f>
        <v>-8.9352961688460653</v>
      </c>
      <c r="O52" s="942">
        <f>N52+((1.337/4.359)*CF!O86)</f>
        <v>-8.6258139481532456</v>
      </c>
      <c r="P52" s="565">
        <v>-8.2509999999999994</v>
      </c>
      <c r="Q52" s="565">
        <f t="shared" si="86"/>
        <v>-8.2509999999999994</v>
      </c>
      <c r="R52" s="938"/>
      <c r="S52" s="565">
        <v>-7.5259999999999998</v>
      </c>
      <c r="T52" s="938">
        <v>-8.0869999999999997</v>
      </c>
      <c r="U52" s="938">
        <v>-6.734</v>
      </c>
      <c r="V52" s="938">
        <v>-5.9080000000000004</v>
      </c>
      <c r="W52" s="565">
        <f t="shared" si="87"/>
        <v>-5.9080000000000004</v>
      </c>
      <c r="X52" s="938"/>
      <c r="Y52" s="938">
        <v>-4.9950000000000001</v>
      </c>
      <c r="Z52" s="938">
        <v>-3.996</v>
      </c>
      <c r="AA52" s="938">
        <v>-3.194</v>
      </c>
      <c r="AB52" s="938">
        <v>-2.5310000000000001</v>
      </c>
      <c r="AC52" s="568">
        <f t="shared" si="88"/>
        <v>-2.5310000000000001</v>
      </c>
      <c r="AD52" s="938"/>
      <c r="AE52" s="938">
        <v>0</v>
      </c>
      <c r="AF52" s="938">
        <v>0</v>
      </c>
      <c r="AG52" s="939">
        <v>0</v>
      </c>
      <c r="AH52" s="938">
        <v>0</v>
      </c>
      <c r="AI52" s="568">
        <f t="shared" si="89"/>
        <v>0</v>
      </c>
      <c r="AJ52" s="938"/>
      <c r="AK52" s="938">
        <v>0</v>
      </c>
      <c r="AL52" s="938">
        <v>0</v>
      </c>
      <c r="AM52" s="938">
        <v>0</v>
      </c>
      <c r="AN52" s="938">
        <v>0</v>
      </c>
      <c r="AO52" s="568">
        <f t="shared" si="90"/>
        <v>0</v>
      </c>
      <c r="AP52" s="938"/>
      <c r="AQ52" s="938">
        <v>0</v>
      </c>
      <c r="AR52" s="938">
        <f>AQ52+AR182</f>
        <v>0</v>
      </c>
      <c r="AS52" s="938">
        <v>0</v>
      </c>
      <c r="AT52" s="938">
        <v>0</v>
      </c>
      <c r="AU52" s="568">
        <f t="shared" si="91"/>
        <v>0</v>
      </c>
      <c r="AV52" s="938"/>
      <c r="AW52" s="939">
        <v>0</v>
      </c>
      <c r="AX52" s="938">
        <v>0</v>
      </c>
      <c r="AY52" s="938">
        <v>0</v>
      </c>
      <c r="AZ52" s="938">
        <v>0</v>
      </c>
      <c r="BA52" s="568">
        <f t="shared" si="92"/>
        <v>0</v>
      </c>
      <c r="BB52" s="938"/>
      <c r="BC52" s="938">
        <v>0</v>
      </c>
      <c r="BD52" s="938">
        <v>0</v>
      </c>
      <c r="BE52" s="938">
        <v>0</v>
      </c>
      <c r="BF52" s="938">
        <f>BE52+BF182</f>
        <v>0</v>
      </c>
      <c r="BG52" s="568">
        <f t="shared" si="93"/>
        <v>0</v>
      </c>
      <c r="BH52" s="938"/>
      <c r="BI52" s="941">
        <v>0</v>
      </c>
      <c r="BJ52" s="941">
        <v>0</v>
      </c>
      <c r="BK52" s="941">
        <v>0</v>
      </c>
      <c r="BL52" s="941">
        <v>0</v>
      </c>
      <c r="BM52" s="568">
        <f t="shared" si="94"/>
        <v>0</v>
      </c>
      <c r="BN52" s="938"/>
      <c r="BO52" s="941">
        <v>0</v>
      </c>
      <c r="BP52" s="941">
        <v>0</v>
      </c>
      <c r="BQ52" s="941">
        <v>0</v>
      </c>
      <c r="BR52" s="941">
        <v>0</v>
      </c>
      <c r="BS52" s="568">
        <f t="shared" si="95"/>
        <v>0</v>
      </c>
      <c r="BT52" s="938"/>
      <c r="BU52" s="941">
        <v>0</v>
      </c>
      <c r="BV52" s="941">
        <v>0</v>
      </c>
      <c r="BW52" s="941">
        <v>0</v>
      </c>
      <c r="BX52" s="941">
        <v>0</v>
      </c>
      <c r="BY52" s="568">
        <f t="shared" si="96"/>
        <v>0</v>
      </c>
      <c r="BZ52" s="938"/>
      <c r="CA52" s="941">
        <v>0</v>
      </c>
      <c r="CB52" s="941">
        <v>0</v>
      </c>
      <c r="CC52" s="941">
        <v>0</v>
      </c>
      <c r="CD52" s="941">
        <v>0</v>
      </c>
      <c r="CE52" s="568">
        <f t="shared" si="97"/>
        <v>0</v>
      </c>
      <c r="CF52" s="938"/>
      <c r="CG52" s="941">
        <v>0</v>
      </c>
      <c r="CH52" s="941">
        <v>0</v>
      </c>
      <c r="CI52" s="941">
        <v>0</v>
      </c>
      <c r="CJ52" s="941">
        <v>0</v>
      </c>
      <c r="CK52" s="568">
        <f t="shared" si="98"/>
        <v>0</v>
      </c>
      <c r="CL52" s="938"/>
      <c r="CM52" s="941">
        <v>0</v>
      </c>
      <c r="CN52" s="941">
        <v>0</v>
      </c>
      <c r="CO52" s="941">
        <v>0</v>
      </c>
      <c r="CP52" s="941">
        <v>0</v>
      </c>
      <c r="CQ52" s="568">
        <f t="shared" si="99"/>
        <v>0</v>
      </c>
      <c r="CR52" s="938"/>
      <c r="CS52" s="941">
        <v>0</v>
      </c>
      <c r="CT52" s="941">
        <v>0</v>
      </c>
      <c r="CU52" s="941">
        <v>0</v>
      </c>
      <c r="CV52" s="941">
        <v>0</v>
      </c>
      <c r="CW52" s="568">
        <f t="shared" si="100"/>
        <v>0</v>
      </c>
      <c r="CX52" s="938"/>
      <c r="CY52" s="941">
        <f>CV52+CY182</f>
        <v>0</v>
      </c>
      <c r="CZ52" s="941">
        <f>CY52+CZ182</f>
        <v>0</v>
      </c>
      <c r="DA52" s="941">
        <f>CZ52+DA182</f>
        <v>0</v>
      </c>
      <c r="DB52" s="941">
        <f>DA52+DB182</f>
        <v>0</v>
      </c>
      <c r="DC52" s="568">
        <f t="shared" si="101"/>
        <v>0</v>
      </c>
      <c r="DD52" s="938"/>
      <c r="DE52" s="941">
        <f>DB52+DE182</f>
        <v>0</v>
      </c>
      <c r="DF52" s="941">
        <f>DE52+DF182</f>
        <v>0</v>
      </c>
      <c r="DG52" s="941">
        <f>DF52+DG182</f>
        <v>0</v>
      </c>
      <c r="DH52" s="941">
        <f>DG52+DH182</f>
        <v>0</v>
      </c>
      <c r="DI52" s="568">
        <f t="shared" si="102"/>
        <v>0</v>
      </c>
      <c r="DJ52" s="938"/>
      <c r="DK52" s="941">
        <f>DH52+DK182</f>
        <v>0</v>
      </c>
      <c r="DL52" s="941">
        <f>DK52+DL182</f>
        <v>0</v>
      </c>
      <c r="DM52" s="941">
        <f>DL52+DM182</f>
        <v>0</v>
      </c>
      <c r="DN52" s="941">
        <f>DM52+DN182</f>
        <v>0</v>
      </c>
      <c r="DO52" s="568">
        <f t="shared" si="103"/>
        <v>0</v>
      </c>
      <c r="DP52" s="566"/>
      <c r="DQ52" s="955"/>
      <c r="DX52" s="957"/>
    </row>
    <row r="53" spans="1:128" ht="12.75" hidden="1" customHeight="1" outlineLevel="1">
      <c r="A53" s="560" t="s">
        <v>594</v>
      </c>
      <c r="B53" s="560"/>
      <c r="C53" s="938"/>
      <c r="D53" s="938"/>
      <c r="E53" s="565">
        <v>-1.5940000000000001</v>
      </c>
      <c r="F53" s="938"/>
      <c r="G53" s="942">
        <f>E53+(($J53-$E53)/4)</f>
        <v>-1.589</v>
      </c>
      <c r="H53" s="942">
        <f t="shared" si="104"/>
        <v>-1.5840000000000001</v>
      </c>
      <c r="I53" s="942">
        <f t="shared" si="104"/>
        <v>-1.5790000000000002</v>
      </c>
      <c r="J53" s="565">
        <v>-1.5740000000000001</v>
      </c>
      <c r="K53" s="565">
        <f t="shared" si="57"/>
        <v>-1.5740000000000001</v>
      </c>
      <c r="L53" s="938"/>
      <c r="M53" s="942">
        <f>J53-0.025</f>
        <v>-1.599</v>
      </c>
      <c r="N53" s="942">
        <f>M53-0.025</f>
        <v>-1.6239999999999999</v>
      </c>
      <c r="O53" s="942">
        <f>N53-0.025</f>
        <v>-1.6489999999999998</v>
      </c>
      <c r="P53" s="565">
        <v>-1.6739999999999999</v>
      </c>
      <c r="Q53" s="565">
        <f t="shared" si="86"/>
        <v>-1.6739999999999999</v>
      </c>
      <c r="R53" s="940"/>
      <c r="S53" s="565">
        <v>-1.698</v>
      </c>
      <c r="T53" s="938">
        <v>-1.7230000000000001</v>
      </c>
      <c r="U53" s="938">
        <v>-1.748</v>
      </c>
      <c r="V53" s="938">
        <v>-0.72699999999999998</v>
      </c>
      <c r="W53" s="565">
        <f t="shared" si="87"/>
        <v>-0.72699999999999998</v>
      </c>
      <c r="X53" s="938"/>
      <c r="Y53" s="938">
        <v>0</v>
      </c>
      <c r="Z53" s="938">
        <v>0</v>
      </c>
      <c r="AA53" s="938">
        <v>0</v>
      </c>
      <c r="AB53" s="938">
        <v>0</v>
      </c>
      <c r="AC53" s="568">
        <f t="shared" si="88"/>
        <v>0</v>
      </c>
      <c r="AD53" s="938"/>
      <c r="AE53" s="938">
        <v>0</v>
      </c>
      <c r="AF53" s="938">
        <v>0</v>
      </c>
      <c r="AG53" s="939">
        <v>0</v>
      </c>
      <c r="AH53" s="938">
        <f>AG53</f>
        <v>0</v>
      </c>
      <c r="AI53" s="568">
        <f t="shared" si="89"/>
        <v>0</v>
      </c>
      <c r="AJ53" s="938"/>
      <c r="AK53" s="938">
        <f>AH53</f>
        <v>0</v>
      </c>
      <c r="AL53" s="938">
        <v>0</v>
      </c>
      <c r="AM53" s="938">
        <v>0</v>
      </c>
      <c r="AN53" s="938">
        <v>0</v>
      </c>
      <c r="AO53" s="568">
        <f t="shared" si="90"/>
        <v>0</v>
      </c>
      <c r="AP53" s="938"/>
      <c r="AQ53" s="938">
        <v>0</v>
      </c>
      <c r="AR53" s="938">
        <f>AQ53</f>
        <v>0</v>
      </c>
      <c r="AS53" s="938">
        <v>0</v>
      </c>
      <c r="AT53" s="938">
        <v>0</v>
      </c>
      <c r="AU53" s="568">
        <f t="shared" si="91"/>
        <v>0</v>
      </c>
      <c r="AV53" s="938"/>
      <c r="AW53" s="939">
        <v>0</v>
      </c>
      <c r="AX53" s="938">
        <v>0</v>
      </c>
      <c r="AY53" s="938">
        <v>0</v>
      </c>
      <c r="AZ53" s="938">
        <v>0</v>
      </c>
      <c r="BA53" s="568">
        <f t="shared" si="92"/>
        <v>0</v>
      </c>
      <c r="BB53" s="938"/>
      <c r="BC53" s="938">
        <v>0</v>
      </c>
      <c r="BD53" s="938">
        <v>0</v>
      </c>
      <c r="BE53" s="938">
        <v>0</v>
      </c>
      <c r="BF53" s="938">
        <f>BE53</f>
        <v>0</v>
      </c>
      <c r="BG53" s="568">
        <f t="shared" si="93"/>
        <v>0</v>
      </c>
      <c r="BH53" s="938"/>
      <c r="BI53" s="941">
        <v>0</v>
      </c>
      <c r="BJ53" s="941">
        <v>0</v>
      </c>
      <c r="BK53" s="941">
        <v>0</v>
      </c>
      <c r="BL53" s="941">
        <v>0</v>
      </c>
      <c r="BM53" s="568">
        <f t="shared" si="94"/>
        <v>0</v>
      </c>
      <c r="BN53" s="938"/>
      <c r="BO53" s="941">
        <v>0</v>
      </c>
      <c r="BP53" s="941">
        <v>0</v>
      </c>
      <c r="BQ53" s="941">
        <v>0</v>
      </c>
      <c r="BR53" s="941">
        <v>0</v>
      </c>
      <c r="BS53" s="568">
        <f t="shared" si="95"/>
        <v>0</v>
      </c>
      <c r="BT53" s="938"/>
      <c r="BU53" s="941">
        <v>0</v>
      </c>
      <c r="BV53" s="941">
        <v>0</v>
      </c>
      <c r="BW53" s="941">
        <v>0</v>
      </c>
      <c r="BX53" s="941">
        <v>0</v>
      </c>
      <c r="BY53" s="568">
        <f t="shared" si="96"/>
        <v>0</v>
      </c>
      <c r="BZ53" s="938"/>
      <c r="CA53" s="941">
        <v>0</v>
      </c>
      <c r="CB53" s="941">
        <v>0</v>
      </c>
      <c r="CC53" s="941">
        <v>0</v>
      </c>
      <c r="CD53" s="941">
        <v>0</v>
      </c>
      <c r="CE53" s="568">
        <f t="shared" si="97"/>
        <v>0</v>
      </c>
      <c r="CF53" s="938"/>
      <c r="CG53" s="941">
        <v>0</v>
      </c>
      <c r="CH53" s="941">
        <v>0</v>
      </c>
      <c r="CI53" s="941">
        <v>0</v>
      </c>
      <c r="CJ53" s="941">
        <v>0</v>
      </c>
      <c r="CK53" s="568">
        <f t="shared" si="98"/>
        <v>0</v>
      </c>
      <c r="CL53" s="938"/>
      <c r="CM53" s="941">
        <v>0</v>
      </c>
      <c r="CN53" s="941">
        <v>0</v>
      </c>
      <c r="CO53" s="941">
        <v>0</v>
      </c>
      <c r="CP53" s="941">
        <v>0</v>
      </c>
      <c r="CQ53" s="568">
        <f t="shared" si="99"/>
        <v>0</v>
      </c>
      <c r="CR53" s="938"/>
      <c r="CS53" s="941">
        <v>0</v>
      </c>
      <c r="CT53" s="941">
        <v>17.222999999999999</v>
      </c>
      <c r="CU53" s="941">
        <v>10.797000000000001</v>
      </c>
      <c r="CV53" s="941">
        <v>0</v>
      </c>
      <c r="CW53" s="568">
        <f t="shared" si="100"/>
        <v>0</v>
      </c>
      <c r="CX53" s="938"/>
      <c r="CY53" s="941">
        <f>CV53</f>
        <v>0</v>
      </c>
      <c r="CZ53" s="941">
        <f>CY53</f>
        <v>0</v>
      </c>
      <c r="DA53" s="941">
        <f>CZ53</f>
        <v>0</v>
      </c>
      <c r="DB53" s="941">
        <f>DA53</f>
        <v>0</v>
      </c>
      <c r="DC53" s="568">
        <f t="shared" si="101"/>
        <v>0</v>
      </c>
      <c r="DD53" s="938"/>
      <c r="DE53" s="941">
        <f>DB53</f>
        <v>0</v>
      </c>
      <c r="DF53" s="941">
        <f>DE53</f>
        <v>0</v>
      </c>
      <c r="DG53" s="941">
        <f>DF53</f>
        <v>0</v>
      </c>
      <c r="DH53" s="941">
        <f>DG53</f>
        <v>0</v>
      </c>
      <c r="DI53" s="568">
        <f t="shared" si="102"/>
        <v>0</v>
      </c>
      <c r="DJ53" s="938"/>
      <c r="DK53" s="941">
        <f>DH53</f>
        <v>0</v>
      </c>
      <c r="DL53" s="941">
        <f>DK53</f>
        <v>0</v>
      </c>
      <c r="DM53" s="941">
        <f>DL53</f>
        <v>0</v>
      </c>
      <c r="DN53" s="941">
        <f>DM53</f>
        <v>0</v>
      </c>
      <c r="DO53" s="568">
        <f t="shared" si="103"/>
        <v>0</v>
      </c>
      <c r="DP53" s="566"/>
      <c r="DQ53" s="955"/>
      <c r="DX53" s="957"/>
    </row>
    <row r="54" spans="1:128" ht="12.75" hidden="1" customHeight="1" outlineLevel="1">
      <c r="A54" s="560" t="s">
        <v>634</v>
      </c>
      <c r="B54" s="560"/>
      <c r="C54" s="938"/>
      <c r="D54" s="938"/>
      <c r="E54" s="938">
        <v>-0.20799999999999999</v>
      </c>
      <c r="F54" s="938"/>
      <c r="G54" s="942">
        <f>E54+(($J54-$E54)/4)</f>
        <v>-0.1545</v>
      </c>
      <c r="H54" s="942">
        <f t="shared" si="104"/>
        <v>-0.10100000000000001</v>
      </c>
      <c r="I54" s="942">
        <f t="shared" si="104"/>
        <v>-4.7500000000000007E-2</v>
      </c>
      <c r="J54" s="565">
        <v>6.0000000000000001E-3</v>
      </c>
      <c r="K54" s="565">
        <f t="shared" si="57"/>
        <v>6.0000000000000001E-3</v>
      </c>
      <c r="L54" s="940"/>
      <c r="M54" s="942">
        <v>7.0000000000000001E-3</v>
      </c>
      <c r="N54" s="942">
        <v>8.0000000000000002E-3</v>
      </c>
      <c r="O54" s="942">
        <v>8.9999999999999993E-3</v>
      </c>
      <c r="P54" s="567">
        <v>0.01</v>
      </c>
      <c r="Q54" s="567">
        <f t="shared" si="86"/>
        <v>0.01</v>
      </c>
      <c r="R54" s="943"/>
      <c r="S54" s="567">
        <v>8.0000000000000002E-3</v>
      </c>
      <c r="T54" s="943">
        <v>-0.1</v>
      </c>
      <c r="U54" s="943">
        <v>3.7999999999999999E-2</v>
      </c>
      <c r="V54" s="943">
        <v>-0.999</v>
      </c>
      <c r="W54" s="944">
        <f t="shared" si="87"/>
        <v>-0.999</v>
      </c>
      <c r="X54" s="943"/>
      <c r="Y54" s="943">
        <v>-1.327</v>
      </c>
      <c r="Z54" s="943">
        <v>-2.16</v>
      </c>
      <c r="AA54" s="943">
        <v>-2.58</v>
      </c>
      <c r="AB54" s="943">
        <v>-2.105</v>
      </c>
      <c r="AC54" s="945">
        <f t="shared" si="88"/>
        <v>-2.105</v>
      </c>
      <c r="AD54" s="943"/>
      <c r="AE54" s="943">
        <v>-2.258</v>
      </c>
      <c r="AF54" s="943">
        <v>-2.36</v>
      </c>
      <c r="AG54" s="946">
        <v>-1.9490000000000001</v>
      </c>
      <c r="AH54" s="943">
        <v>-2.1869999999999998</v>
      </c>
      <c r="AI54" s="945">
        <f t="shared" si="89"/>
        <v>-2.1869999999999998</v>
      </c>
      <c r="AJ54" s="943"/>
      <c r="AK54" s="943">
        <v>-2.0870000000000002</v>
      </c>
      <c r="AL54" s="943">
        <v>-2.0939999999999999</v>
      </c>
      <c r="AM54" s="943">
        <v>-3.093</v>
      </c>
      <c r="AN54" s="943">
        <v>-2.2759999999999998</v>
      </c>
      <c r="AO54" s="945">
        <f t="shared" si="90"/>
        <v>-2.2759999999999998</v>
      </c>
      <c r="AP54" s="943"/>
      <c r="AQ54" s="943">
        <v>-3.6429999999999998</v>
      </c>
      <c r="AR54" s="943">
        <v>-4.1879999999999997</v>
      </c>
      <c r="AS54" s="943">
        <v>-7.5919999999999996</v>
      </c>
      <c r="AT54" s="943">
        <v>-2.9049999999999998</v>
      </c>
      <c r="AU54" s="945">
        <f t="shared" si="91"/>
        <v>-2.9049999999999998</v>
      </c>
      <c r="AV54" s="943"/>
      <c r="AW54" s="946">
        <v>-4.05</v>
      </c>
      <c r="AX54" s="943">
        <v>5.8040000000000589</v>
      </c>
      <c r="AY54" s="943">
        <v>-3.2389999999999999</v>
      </c>
      <c r="AZ54" s="943">
        <v>-1.43</v>
      </c>
      <c r="BA54" s="945">
        <f t="shared" si="92"/>
        <v>-1.43</v>
      </c>
      <c r="BB54" s="943"/>
      <c r="BC54" s="943">
        <v>7.0000000000000007E-2</v>
      </c>
      <c r="BD54" s="943">
        <v>7.8550000000000004</v>
      </c>
      <c r="BE54" s="943">
        <v>9.0299999999999994</v>
      </c>
      <c r="BF54" s="943">
        <v>6.7190000000000003</v>
      </c>
      <c r="BG54" s="945">
        <f t="shared" si="93"/>
        <v>6.7190000000000003</v>
      </c>
      <c r="BH54" s="943"/>
      <c r="BI54" s="947">
        <f>0.076</f>
        <v>7.5999999999999998E-2</v>
      </c>
      <c r="BJ54" s="947">
        <v>7.2190000000000003</v>
      </c>
      <c r="BK54" s="947">
        <v>3.9769999999999999</v>
      </c>
      <c r="BL54" s="947">
        <v>12.683</v>
      </c>
      <c r="BM54" s="945">
        <f t="shared" si="94"/>
        <v>12.683</v>
      </c>
      <c r="BN54" s="943"/>
      <c r="BO54" s="947">
        <v>10.196999999999999</v>
      </c>
      <c r="BP54" s="947">
        <v>19.73</v>
      </c>
      <c r="BQ54" s="947">
        <v>23.649000000000001</v>
      </c>
      <c r="BR54" s="947">
        <v>17.137</v>
      </c>
      <c r="BS54" s="945">
        <f t="shared" si="95"/>
        <v>17.137</v>
      </c>
      <c r="BT54" s="943"/>
      <c r="BU54" s="947">
        <v>13.726000000000001</v>
      </c>
      <c r="BV54" s="947">
        <v>11.239000000000001</v>
      </c>
      <c r="BW54" s="947">
        <v>16.806000000000001</v>
      </c>
      <c r="BX54" s="947">
        <v>17.68</v>
      </c>
      <c r="BY54" s="945">
        <f t="shared" si="96"/>
        <v>17.68</v>
      </c>
      <c r="BZ54" s="943"/>
      <c r="CA54" s="947">
        <v>15.298</v>
      </c>
      <c r="CB54" s="947">
        <v>11.163</v>
      </c>
      <c r="CC54" s="947">
        <v>-1.2509999999999999</v>
      </c>
      <c r="CD54" s="947">
        <v>-24.108000000000001</v>
      </c>
      <c r="CE54" s="945">
        <f t="shared" si="97"/>
        <v>-24.108000000000001</v>
      </c>
      <c r="CF54" s="943"/>
      <c r="CG54" s="947">
        <v>-28.352</v>
      </c>
      <c r="CH54" s="947">
        <v>-28.143999999999998</v>
      </c>
      <c r="CI54" s="947">
        <v>-33.325000000000003</v>
      </c>
      <c r="CJ54" s="947">
        <v>-49.917000000000002</v>
      </c>
      <c r="CK54" s="945">
        <f t="shared" si="98"/>
        <v>-49.917000000000002</v>
      </c>
      <c r="CL54" s="943"/>
      <c r="CM54" s="947">
        <v>-28.577000000000002</v>
      </c>
      <c r="CN54" s="947">
        <v>-11.215</v>
      </c>
      <c r="CO54" s="947">
        <v>-62.942999999999998</v>
      </c>
      <c r="CP54" s="947">
        <v>-75.840999999999994</v>
      </c>
      <c r="CQ54" s="945">
        <f t="shared" si="99"/>
        <v>-75.840999999999994</v>
      </c>
      <c r="CR54" s="943"/>
      <c r="CS54" s="947">
        <v>9.5129999999999999</v>
      </c>
      <c r="CT54" s="947">
        <v>17.535</v>
      </c>
      <c r="CU54" s="947">
        <v>3.5539999999999998</v>
      </c>
      <c r="CV54" s="947">
        <f>-27.142+3.867</f>
        <v>-23.274999999999999</v>
      </c>
      <c r="CW54" s="945">
        <f t="shared" si="100"/>
        <v>-23.274999999999999</v>
      </c>
      <c r="CX54" s="943"/>
      <c r="CY54" s="947">
        <f>CY184</f>
        <v>-23.274999999998499</v>
      </c>
      <c r="CZ54" s="947">
        <f>CZ184</f>
        <v>-23.274999999998499</v>
      </c>
      <c r="DA54" s="947">
        <f>DA184</f>
        <v>-23.274999999998499</v>
      </c>
      <c r="DB54" s="947">
        <f>DB184</f>
        <v>-23.274999999998499</v>
      </c>
      <c r="DC54" s="945">
        <f t="shared" si="101"/>
        <v>-23.274999999998499</v>
      </c>
      <c r="DD54" s="943"/>
      <c r="DE54" s="947">
        <f>DE184</f>
        <v>-23.274999999998499</v>
      </c>
      <c r="DF54" s="947">
        <f>DF184</f>
        <v>-23.274999999998499</v>
      </c>
      <c r="DG54" s="947">
        <f>DG184</f>
        <v>-23.274999999998499</v>
      </c>
      <c r="DH54" s="947">
        <f>DH184</f>
        <v>-23.274999999998499</v>
      </c>
      <c r="DI54" s="945">
        <f t="shared" si="102"/>
        <v>-23.274999999998499</v>
      </c>
      <c r="DJ54" s="943"/>
      <c r="DK54" s="947">
        <f>DK184</f>
        <v>-23.274999999998499</v>
      </c>
      <c r="DL54" s="947">
        <f>DL184</f>
        <v>-23.274999999998499</v>
      </c>
      <c r="DM54" s="947">
        <f>DM184</f>
        <v>-23.274999999998499</v>
      </c>
      <c r="DN54" s="947">
        <f>DN184</f>
        <v>-23.274999999998499</v>
      </c>
      <c r="DO54" s="945">
        <f t="shared" si="103"/>
        <v>-23.274999999998499</v>
      </c>
      <c r="DP54" s="1686"/>
      <c r="DQ54" s="955"/>
      <c r="DX54" s="957"/>
    </row>
    <row r="55" spans="1:128" ht="12.75" hidden="1" customHeight="1" outlineLevel="1">
      <c r="A55" s="560" t="s">
        <v>635</v>
      </c>
      <c r="B55" s="560"/>
      <c r="C55" s="938"/>
      <c r="D55" s="938"/>
      <c r="E55" s="938">
        <v>-65.731999999999999</v>
      </c>
      <c r="F55" s="938"/>
      <c r="G55" s="938">
        <f>E55+Model!G106-Model!G119</f>
        <v>-67.293999999999997</v>
      </c>
      <c r="H55" s="938">
        <f>G55+Model!H106-Model!H119</f>
        <v>-68.42</v>
      </c>
      <c r="I55" s="938">
        <f>H55+Model!I106-Model!I119</f>
        <v>-73.260999999999996</v>
      </c>
      <c r="J55" s="938">
        <v>-75.447999999999993</v>
      </c>
      <c r="K55" s="565">
        <f t="shared" si="57"/>
        <v>-75.447999999999993</v>
      </c>
      <c r="L55" s="938"/>
      <c r="M55" s="938">
        <f>J55+Model!M106-Model!M119</f>
        <v>-75.08</v>
      </c>
      <c r="N55" s="938">
        <f>M55+Model!N106-Model!N119</f>
        <v>-74.957999999999998</v>
      </c>
      <c r="O55" s="938">
        <f>N55+Model!O106-Model!O119</f>
        <v>-71.168999999999997</v>
      </c>
      <c r="P55" s="565">
        <v>-71.933999999999997</v>
      </c>
      <c r="Q55" s="565">
        <f t="shared" si="86"/>
        <v>-71.933999999999997</v>
      </c>
      <c r="R55" s="938"/>
      <c r="S55" s="565">
        <v>-71.497</v>
      </c>
      <c r="T55" s="938">
        <v>-70.326999999999998</v>
      </c>
      <c r="U55" s="938">
        <v>-68.173999999999992</v>
      </c>
      <c r="V55" s="938">
        <v>-64.587999999999994</v>
      </c>
      <c r="W55" s="565">
        <f t="shared" si="87"/>
        <v>-64.587999999999994</v>
      </c>
      <c r="X55" s="938"/>
      <c r="Y55" s="938">
        <v>-60.207999999999991</v>
      </c>
      <c r="Z55" s="938">
        <v>-55.167999999999999</v>
      </c>
      <c r="AA55" s="938">
        <v>-42.070999999999998</v>
      </c>
      <c r="AB55" s="938">
        <v>-36.113999999999997</v>
      </c>
      <c r="AC55" s="568">
        <f t="shared" si="88"/>
        <v>-36.113999999999997</v>
      </c>
      <c r="AD55" s="938"/>
      <c r="AE55" s="938">
        <v>-36.343000000000004</v>
      </c>
      <c r="AF55" s="938">
        <f>AE55+Model!AF106-Model!AF119</f>
        <v>-36.488000000000007</v>
      </c>
      <c r="AG55" s="938">
        <v>-36.149000000000001</v>
      </c>
      <c r="AH55" s="938">
        <v>-35.633000000000003</v>
      </c>
      <c r="AI55" s="568">
        <f t="shared" si="89"/>
        <v>-35.633000000000003</v>
      </c>
      <c r="AJ55" s="938"/>
      <c r="AK55" s="938">
        <v>-35.212000000000003</v>
      </c>
      <c r="AL55" s="938">
        <v>-31.477</v>
      </c>
      <c r="AM55" s="938">
        <v>-24.965</v>
      </c>
      <c r="AN55" s="938">
        <v>-17.585999999999999</v>
      </c>
      <c r="AO55" s="568">
        <f t="shared" si="90"/>
        <v>-17.585999999999999</v>
      </c>
      <c r="AP55" s="938"/>
      <c r="AQ55" s="938">
        <v>-8.0310000000000006</v>
      </c>
      <c r="AR55" s="938">
        <v>1.9650000000000001</v>
      </c>
      <c r="AS55" s="938">
        <v>12.089</v>
      </c>
      <c r="AT55" s="938">
        <v>25.841999999999999</v>
      </c>
      <c r="AU55" s="568">
        <f t="shared" si="91"/>
        <v>25.841999999999999</v>
      </c>
      <c r="AV55" s="938"/>
      <c r="AW55" s="939">
        <v>44.277999999999999</v>
      </c>
      <c r="AX55" s="938">
        <v>65.476000000000028</v>
      </c>
      <c r="AY55" s="938">
        <v>86.167000000000002</v>
      </c>
      <c r="AZ55" s="938">
        <v>106.56100000000001</v>
      </c>
      <c r="BA55" s="568">
        <f t="shared" si="92"/>
        <v>106.56100000000001</v>
      </c>
      <c r="BB55" s="938"/>
      <c r="BC55" s="938">
        <v>124.306</v>
      </c>
      <c r="BD55" s="938">
        <v>139.05000000000001</v>
      </c>
      <c r="BE55" s="938">
        <v>160.12200000000001</v>
      </c>
      <c r="BF55" s="938">
        <v>171.035</v>
      </c>
      <c r="BG55" s="568">
        <f t="shared" si="93"/>
        <v>171.035</v>
      </c>
      <c r="BH55" s="938"/>
      <c r="BI55" s="938">
        <v>171.565</v>
      </c>
      <c r="BJ55" s="938">
        <v>167.297</v>
      </c>
      <c r="BK55" s="938">
        <v>163.541</v>
      </c>
      <c r="BL55" s="938">
        <v>159.46299999999999</v>
      </c>
      <c r="BM55" s="568">
        <f t="shared" si="94"/>
        <v>159.46299999999999</v>
      </c>
      <c r="BN55" s="938"/>
      <c r="BO55" s="938">
        <v>139.988</v>
      </c>
      <c r="BP55" s="938">
        <v>130.15899999999999</v>
      </c>
      <c r="BQ55" s="938">
        <v>-90.138000000000005</v>
      </c>
      <c r="BR55" s="938">
        <v>-110.982</v>
      </c>
      <c r="BS55" s="568">
        <f t="shared" si="95"/>
        <v>-110.982</v>
      </c>
      <c r="BT55" s="938"/>
      <c r="BU55" s="938">
        <v>-178.703</v>
      </c>
      <c r="BV55" s="938">
        <v>-102.1</v>
      </c>
      <c r="BW55" s="938">
        <v>-226.53399999999999</v>
      </c>
      <c r="BX55" s="938">
        <v>-343.15699999999998</v>
      </c>
      <c r="BY55" s="568">
        <f t="shared" si="96"/>
        <v>-343.15699999999998</v>
      </c>
      <c r="BZ55" s="938"/>
      <c r="CA55" s="938">
        <v>-440.06799999999998</v>
      </c>
      <c r="CB55" s="938">
        <v>-501.15600000000001</v>
      </c>
      <c r="CC55" s="938">
        <v>-540.08000000000004</v>
      </c>
      <c r="CD55" s="938">
        <v>-605.84500000000003</v>
      </c>
      <c r="CE55" s="568">
        <f t="shared" si="97"/>
        <v>-605.84500000000003</v>
      </c>
      <c r="CF55" s="938"/>
      <c r="CG55" s="938">
        <v>-601.75300000000004</v>
      </c>
      <c r="CH55" s="938">
        <v>-602.60500000000002</v>
      </c>
      <c r="CI55" s="938">
        <v>-627.76199999999994</v>
      </c>
      <c r="CJ55" s="938">
        <v>-653.27099999999996</v>
      </c>
      <c r="CK55" s="568">
        <f t="shared" si="98"/>
        <v>-653.27099999999996</v>
      </c>
      <c r="CL55" s="938"/>
      <c r="CM55" s="938">
        <v>-605.78300000000002</v>
      </c>
      <c r="CN55" s="938">
        <v>-376.161</v>
      </c>
      <c r="CO55" s="938">
        <v>-413.47</v>
      </c>
      <c r="CP55" s="938">
        <v>-464.91</v>
      </c>
      <c r="CQ55" s="568">
        <f t="shared" si="99"/>
        <v>-464.91</v>
      </c>
      <c r="CR55" s="938"/>
      <c r="CS55" s="938">
        <f>+-474.117</f>
        <v>-474.11700000000002</v>
      </c>
      <c r="CT55" s="938">
        <v>-456.38099999999997</v>
      </c>
      <c r="CU55" s="938">
        <v>-404.98700000000002</v>
      </c>
      <c r="CV55" s="938">
        <v>-337.43200000000002</v>
      </c>
      <c r="CW55" s="568">
        <f t="shared" si="100"/>
        <v>-337.43200000000002</v>
      </c>
      <c r="CX55" s="938"/>
      <c r="CY55" s="938">
        <f>CV55+Model!CY106-Model!CY119</f>
        <v>-239.62280915521791</v>
      </c>
      <c r="CZ55" s="938">
        <f>CY55+Model!CZ106-Model!CZ119</f>
        <v>-66.300286218893064</v>
      </c>
      <c r="DA55" s="938">
        <f>CZ55+Model!DA106-Model!DA119</f>
        <v>167.23112447716454</v>
      </c>
      <c r="DB55" s="938">
        <f>DA55+Model!DB106-Model!DB119</f>
        <v>371.33559292157469</v>
      </c>
      <c r="DC55" s="568">
        <f t="shared" si="101"/>
        <v>371.33559292157469</v>
      </c>
      <c r="DD55" s="938"/>
      <c r="DE55" s="938">
        <f>DB55+Model!DE106-Model!DE119</f>
        <v>598.48575779215116</v>
      </c>
      <c r="DF55" s="938">
        <f>DE55+Model!DF106-Model!DF119</f>
        <v>917.51791216467223</v>
      </c>
      <c r="DG55" s="938">
        <f>DF55+Model!DG106-Model!DG119</f>
        <v>1296.2908181767125</v>
      </c>
      <c r="DH55" s="938">
        <f>DG55+Model!DH106-Model!DH119</f>
        <v>1677.257351390972</v>
      </c>
      <c r="DI55" s="568">
        <f t="shared" si="102"/>
        <v>1677.257351390972</v>
      </c>
      <c r="DJ55" s="938"/>
      <c r="DK55" s="938">
        <f>DH55+Model!DK106-Model!DK119</f>
        <v>2073.0571521632992</v>
      </c>
      <c r="DL55" s="938">
        <f>DK55+Model!DL106-Model!DL119</f>
        <v>2582.9090328123784</v>
      </c>
      <c r="DM55" s="938">
        <f>DL55+Model!DM106-Model!DM119</f>
        <v>3161.0080410278756</v>
      </c>
      <c r="DN55" s="938">
        <f>DM55+Model!DN106-Model!DN119</f>
        <v>3761.7348551876976</v>
      </c>
      <c r="DO55" s="568">
        <f t="shared" si="103"/>
        <v>3761.7348551876976</v>
      </c>
      <c r="DP55" s="566"/>
      <c r="DQ55" s="955"/>
      <c r="DX55" s="957"/>
    </row>
    <row r="56" spans="1:128" ht="12.75" hidden="1" customHeight="1" outlineLevel="1">
      <c r="A56" s="13" t="s">
        <v>584</v>
      </c>
      <c r="B56" s="13"/>
      <c r="C56" s="14"/>
      <c r="D56" s="14">
        <v>-29.329000000000001</v>
      </c>
      <c r="E56" s="14">
        <f>SUM(E50:E55)</f>
        <v>-51.347999999999999</v>
      </c>
      <c r="F56" s="14"/>
      <c r="G56" s="14">
        <f>SUM(G50:G55)</f>
        <v>-51.612749999999998</v>
      </c>
      <c r="H56" s="14">
        <f>SUM(H50:H55)</f>
        <v>-51.441500000000005</v>
      </c>
      <c r="I56" s="14">
        <f>SUM(I50:I55)</f>
        <v>-54.985249999999994</v>
      </c>
      <c r="J56" s="14">
        <f>SUM(J50:J55)</f>
        <v>-55.875</v>
      </c>
      <c r="K56" s="14">
        <f>SUM(K50:K55)</f>
        <v>-55.875</v>
      </c>
      <c r="L56" s="14"/>
      <c r="M56" s="14">
        <f>M57-M48</f>
        <v>-54.412999999999997</v>
      </c>
      <c r="N56" s="14">
        <f>N57-N48</f>
        <v>-52.896000000000001</v>
      </c>
      <c r="O56" s="14">
        <f>O57-O48</f>
        <v>-46.992000000000004</v>
      </c>
      <c r="P56" s="43">
        <f t="shared" ref="P56:AB56" si="105">SUM(P50:P55)</f>
        <v>-46.236999999999995</v>
      </c>
      <c r="Q56" s="14">
        <f>SUM(Q50:Q55)</f>
        <v>-46.236999999999995</v>
      </c>
      <c r="R56" s="14"/>
      <c r="S56" s="14">
        <f t="shared" si="105"/>
        <v>-44.055999999999997</v>
      </c>
      <c r="T56" s="14">
        <f t="shared" si="105"/>
        <v>133.18700000000001</v>
      </c>
      <c r="U56" s="14">
        <f t="shared" si="105"/>
        <v>137.35500000000002</v>
      </c>
      <c r="V56" s="14">
        <f t="shared" si="105"/>
        <v>145.131</v>
      </c>
      <c r="W56" s="14">
        <f t="shared" si="105"/>
        <v>145.131</v>
      </c>
      <c r="X56" s="14"/>
      <c r="Y56" s="14">
        <f t="shared" si="105"/>
        <v>152.99799999999999</v>
      </c>
      <c r="Z56" s="14">
        <f t="shared" si="105"/>
        <v>165.40199999999999</v>
      </c>
      <c r="AA56" s="14">
        <f t="shared" si="105"/>
        <v>181.97900000000001</v>
      </c>
      <c r="AB56" s="14">
        <f t="shared" si="105"/>
        <v>196.37099999999998</v>
      </c>
      <c r="AC56" s="70">
        <f>SUM(AC50:AC55)</f>
        <v>196.37099999999998</v>
      </c>
      <c r="AD56" s="14"/>
      <c r="AE56" s="14">
        <f>SUM(AE50:AE55)</f>
        <v>211.87699999999995</v>
      </c>
      <c r="AF56" s="14">
        <f>SUM(AF50:AF55)</f>
        <v>230.11900000000003</v>
      </c>
      <c r="AG56" s="14">
        <f>SUM(AG50:AG55)</f>
        <v>256.38099999999997</v>
      </c>
      <c r="AH56" s="14">
        <f>SUM(AH50:AH55)</f>
        <v>281.791</v>
      </c>
      <c r="AI56" s="70">
        <f>SUM(AI50:AI55)</f>
        <v>281.791</v>
      </c>
      <c r="AJ56" s="14"/>
      <c r="AK56" s="14">
        <f>SUM(AK50:AK55)</f>
        <v>309.28200000000004</v>
      </c>
      <c r="AL56" s="14">
        <f>SUM(AL50:AL55)</f>
        <v>351.05600000000004</v>
      </c>
      <c r="AM56" s="14">
        <f>SUM(AM50:AM55)</f>
        <v>401.29500000000002</v>
      </c>
      <c r="AN56" s="14">
        <f>SUM(AN50:AN55)</f>
        <v>452.05900000000003</v>
      </c>
      <c r="AO56" s="70">
        <f>SUM(AO50:AO55)</f>
        <v>452.05900000000003</v>
      </c>
      <c r="AP56" s="14"/>
      <c r="AQ56" s="14">
        <f>SUM(AQ50:AQ55)</f>
        <v>503.06700000000001</v>
      </c>
      <c r="AR56" s="14">
        <f>SUM(AR50:AR55)</f>
        <v>565.976</v>
      </c>
      <c r="AS56" s="14">
        <f>SUM(AS50:AS55)</f>
        <v>618.38700000000006</v>
      </c>
      <c r="AT56" s="14">
        <f>SUM(AT50:AT55)</f>
        <v>671.78400000000011</v>
      </c>
      <c r="AU56" s="70">
        <f>SUM(AU50:AU55)</f>
        <v>671.78400000000011</v>
      </c>
      <c r="AV56" s="14"/>
      <c r="AW56" s="126">
        <f>SUM(AW50:AW55)</f>
        <v>727.85500000000013</v>
      </c>
      <c r="AX56" s="14">
        <f>SUM(AX50:AX55)</f>
        <v>791.11700000000019</v>
      </c>
      <c r="AY56" s="14">
        <f>SUM(AY50:AY55)</f>
        <v>858.89099999999996</v>
      </c>
      <c r="AZ56" s="14">
        <f>SUM(AZ50:AZ55)</f>
        <v>1043.8019999999999</v>
      </c>
      <c r="BA56" s="70">
        <f>SUM(BA50:BA55)</f>
        <v>1043.8019999999999</v>
      </c>
      <c r="BB56" s="14"/>
      <c r="BC56" s="14">
        <f>SUM(BC50:BC55)</f>
        <v>1134.51</v>
      </c>
      <c r="BD56" s="14">
        <f>SUM(BD50:BD55)</f>
        <v>1240.626</v>
      </c>
      <c r="BE56" s="14">
        <f>SUM(BE50:BE55)</f>
        <v>1210.2880000000002</v>
      </c>
      <c r="BF56" s="14">
        <f>SUM(BF50:BF55)</f>
        <v>1276.4910000000002</v>
      </c>
      <c r="BG56" s="70">
        <f>SUM(BG50:BG55)</f>
        <v>1276.4910000000002</v>
      </c>
      <c r="BH56" s="14"/>
      <c r="BI56" s="14">
        <f>SUM(BI50:BI55)</f>
        <v>1352.2730000000001</v>
      </c>
      <c r="BJ56" s="14">
        <f>SUM(BJ50:BJ55)</f>
        <v>1508.895</v>
      </c>
      <c r="BK56" s="14">
        <f>SUM(BK50:BK55)</f>
        <v>1583.1599999999999</v>
      </c>
      <c r="BL56" s="14">
        <f>SUM(BL50:BL55)</f>
        <v>1666.1009999999999</v>
      </c>
      <c r="BM56" s="70">
        <f>SUM(BM50:BM55)</f>
        <v>1666.1009999999999</v>
      </c>
      <c r="BN56" s="14"/>
      <c r="BO56" s="14">
        <f>SUM(BO50:BO55)</f>
        <v>1809.7689999999998</v>
      </c>
      <c r="BP56" s="14">
        <f>SUM(BP50:BP55)</f>
        <v>1958.6709999999998</v>
      </c>
      <c r="BQ56" s="14">
        <f>SUM(BQ50:BQ55)</f>
        <v>2143.6139999999996</v>
      </c>
      <c r="BR56" s="14">
        <f>SUM(BR50:BR55)</f>
        <v>2371.2450000000003</v>
      </c>
      <c r="BS56" s="70">
        <f>SUM(BS50:BS55)</f>
        <v>2371.2450000000003</v>
      </c>
      <c r="BT56" s="14"/>
      <c r="BU56" s="14">
        <f>SUM(BU50:BU55)</f>
        <v>2509.8760000000002</v>
      </c>
      <c r="BV56" s="14">
        <f>SUM(BV50:BV55)</f>
        <v>2859.1480000000001</v>
      </c>
      <c r="BW56" s="14">
        <f>SUM(BW50:BW55)</f>
        <v>2946.0870000000004</v>
      </c>
      <c r="BX56" s="14">
        <f>SUM(BX50:BX55)</f>
        <v>3065.2149999999997</v>
      </c>
      <c r="BY56" s="70">
        <f>SUM(BY50:BY55)</f>
        <v>3065.2149999999997</v>
      </c>
      <c r="BZ56" s="14"/>
      <c r="CA56" s="14">
        <f>SUM(CA50:CA55)</f>
        <v>3141.857</v>
      </c>
      <c r="CB56" s="14">
        <f>SUM(CB50:CB55)</f>
        <v>3306.7460000000001</v>
      </c>
      <c r="CC56" s="14">
        <f>SUM(CC50:CC55)</f>
        <v>3792.4960000000001</v>
      </c>
      <c r="CD56" s="14">
        <f>SUM(CD50:CD55)</f>
        <v>3975.1829999999991</v>
      </c>
      <c r="CE56" s="70">
        <f>SUM(CE50:CE55)</f>
        <v>3975.1829999999991</v>
      </c>
      <c r="CF56" s="14"/>
      <c r="CG56" s="14">
        <f>SUM(CG50:CG55)</f>
        <v>4235.2030000000004</v>
      </c>
      <c r="CH56" s="14">
        <f>SUM(CH50:CH55)</f>
        <v>4535.8029999999999</v>
      </c>
      <c r="CI56" s="14">
        <f>SUM(CI50:CI55)</f>
        <v>4749.9540000000006</v>
      </c>
      <c r="CJ56" s="14">
        <f>SUM(CJ50:CJ55)</f>
        <v>5002.8690000000006</v>
      </c>
      <c r="CK56" s="70">
        <f>SUM(CK50:CK55)</f>
        <v>5002.8690000000006</v>
      </c>
      <c r="CL56" s="14"/>
      <c r="CM56" s="14">
        <f>SUM(CM50:CM55)</f>
        <v>5584.2639999999992</v>
      </c>
      <c r="CN56" s="14">
        <f>SUM(CN50:CN55)</f>
        <v>6132.576</v>
      </c>
      <c r="CO56" s="14">
        <f>SUM(CO50:CO55)</f>
        <v>6806.0369999999994</v>
      </c>
      <c r="CP56" s="14">
        <f>SUM(CP50:CP55)</f>
        <v>7500.1269999999995</v>
      </c>
      <c r="CQ56" s="70">
        <f>SUM(CQ50:CQ55)</f>
        <v>7500.1269999999995</v>
      </c>
      <c r="CR56" s="14"/>
      <c r="CS56" s="14">
        <f>SUM(CS50:CS55)</f>
        <v>7934.4879999999994</v>
      </c>
      <c r="CT56" s="14">
        <f>SUM(CT50:CT55)</f>
        <v>8468.5370000000003</v>
      </c>
      <c r="CU56" s="14">
        <f>SUM(CU50:CU55)</f>
        <v>8840.1670000000013</v>
      </c>
      <c r="CV56" s="14">
        <f>SUM(CV50:CV55)</f>
        <v>9392.3629999999994</v>
      </c>
      <c r="CW56" s="70">
        <f>SUM(CW50:CW55)</f>
        <v>9392.3629999999994</v>
      </c>
      <c r="CX56" s="14"/>
      <c r="CY56" s="14">
        <f>SUM(CY50:CY55)</f>
        <v>9819.3196408447839</v>
      </c>
      <c r="CZ56" s="14">
        <f>SUM(CZ50:CZ55)</f>
        <v>10282.275663781109</v>
      </c>
      <c r="DA56" s="14">
        <f>SUM(DA50:DA55)</f>
        <v>10799.711774477166</v>
      </c>
      <c r="DB56" s="14">
        <f>SUM(DB50:DB55)</f>
        <v>11272.766442921575</v>
      </c>
      <c r="DC56" s="70">
        <f>SUM(DC50:DC55)</f>
        <v>11272.766442921575</v>
      </c>
      <c r="DD56" s="14"/>
      <c r="DE56" s="14">
        <f>SUM(DE50:DE55)</f>
        <v>11814.771430292152</v>
      </c>
      <c r="DF56" s="14">
        <f>SUM(DF50:DF55)</f>
        <v>12467.543759664673</v>
      </c>
      <c r="DG56" s="14">
        <f>SUM(DG50:DG55)</f>
        <v>13174.041600676714</v>
      </c>
      <c r="DH56" s="14">
        <f>SUM(DH50:DH55)</f>
        <v>13867.030843890972</v>
      </c>
      <c r="DI56" s="70">
        <f>SUM(DI50:DI55)</f>
        <v>13867.030843890972</v>
      </c>
      <c r="DJ56" s="14"/>
      <c r="DK56" s="14">
        <f>SUM(DK50:DK55)</f>
        <v>14591.5532082883</v>
      </c>
      <c r="DL56" s="14">
        <f>SUM(DL50:DL55)</f>
        <v>15449.957272687379</v>
      </c>
      <c r="DM56" s="14">
        <f>SUM(DM50:DM55)</f>
        <v>16370.292462652877</v>
      </c>
      <c r="DN56" s="14">
        <f>SUM(DN50:DN55)</f>
        <v>17296.7681223127</v>
      </c>
      <c r="DO56" s="70">
        <f>SUM(DO50:DO55)</f>
        <v>17296.7681223127</v>
      </c>
      <c r="DP56" s="14"/>
      <c r="DQ56" s="955"/>
      <c r="DX56" s="957"/>
    </row>
    <row r="57" spans="1:128" ht="10.5" customHeight="1" collapsed="1">
      <c r="A57" s="407" t="s">
        <v>684</v>
      </c>
      <c r="B57" s="408"/>
      <c r="C57" s="409">
        <v>13.278</v>
      </c>
      <c r="D57" s="409">
        <v>30.523</v>
      </c>
      <c r="E57" s="409">
        <v>9.7889999999999997</v>
      </c>
      <c r="F57" s="409"/>
      <c r="G57" s="409">
        <v>9.0950000000000006</v>
      </c>
      <c r="H57" s="409">
        <v>8.8770000000000007</v>
      </c>
      <c r="I57" s="409">
        <v>6.19</v>
      </c>
      <c r="J57" s="409">
        <f>J48+J56</f>
        <v>5.2620000000000005</v>
      </c>
      <c r="K57" s="409">
        <f>J57</f>
        <v>5.2620000000000005</v>
      </c>
      <c r="L57" s="409"/>
      <c r="M57" s="409">
        <v>6.7240000000000002</v>
      </c>
      <c r="N57" s="409">
        <v>8.2409999999999997</v>
      </c>
      <c r="O57" s="409">
        <v>14.145</v>
      </c>
      <c r="P57" s="409">
        <v>14.9</v>
      </c>
      <c r="Q57" s="409">
        <f>P57</f>
        <v>14.9</v>
      </c>
      <c r="R57" s="409"/>
      <c r="S57" s="409">
        <f>S48+S56</f>
        <v>17.081000000000003</v>
      </c>
      <c r="T57" s="409">
        <f>T48+T56</f>
        <v>133.18700000000001</v>
      </c>
      <c r="U57" s="409">
        <f>U48+U56</f>
        <v>137.35500000000002</v>
      </c>
      <c r="V57" s="409">
        <f>V48+V56</f>
        <v>145.131</v>
      </c>
      <c r="W57" s="409">
        <f>SUM(W48:W55)</f>
        <v>145.131</v>
      </c>
      <c r="X57" s="409"/>
      <c r="Y57" s="409">
        <f>Y48+Y56</f>
        <v>152.99799999999999</v>
      </c>
      <c r="Z57" s="409">
        <f>Z48+Z56</f>
        <v>165.40199999999999</v>
      </c>
      <c r="AA57" s="409">
        <f>AA48+AA56</f>
        <v>181.97900000000001</v>
      </c>
      <c r="AB57" s="409">
        <f>AB48+AB56</f>
        <v>196.37099999999998</v>
      </c>
      <c r="AC57" s="410">
        <f>SUM(AC48:AC55)</f>
        <v>196.37099999999998</v>
      </c>
      <c r="AD57" s="409"/>
      <c r="AE57" s="409">
        <f>AE48+AE56</f>
        <v>211.87699999999995</v>
      </c>
      <c r="AF57" s="409">
        <f>AF48+AF56</f>
        <v>230.11900000000003</v>
      </c>
      <c r="AG57" s="409">
        <f>AG48+AG56</f>
        <v>256.38099999999997</v>
      </c>
      <c r="AH57" s="411">
        <f>AH48+AH56</f>
        <v>281.791</v>
      </c>
      <c r="AI57" s="410">
        <f>AH57</f>
        <v>281.791</v>
      </c>
      <c r="AJ57" s="409"/>
      <c r="AK57" s="409">
        <f>AK48+AK56</f>
        <v>309.28200000000004</v>
      </c>
      <c r="AL57" s="409">
        <f>AL48+AL56</f>
        <v>351.05600000000004</v>
      </c>
      <c r="AM57" s="409">
        <f>AM48+AM56</f>
        <v>401.29500000000002</v>
      </c>
      <c r="AN57" s="409">
        <f>AN48+AN56</f>
        <v>452.05900000000003</v>
      </c>
      <c r="AO57" s="410">
        <f>AN57</f>
        <v>452.05900000000003</v>
      </c>
      <c r="AP57" s="409"/>
      <c r="AQ57" s="409">
        <f>AQ48+AQ56</f>
        <v>503.06700000000001</v>
      </c>
      <c r="AR57" s="409">
        <f>AR48+AR56</f>
        <v>565.976</v>
      </c>
      <c r="AS57" s="409">
        <f>AS48+AS56</f>
        <v>618.38700000000006</v>
      </c>
      <c r="AT57" s="409">
        <f>AT48+AT56</f>
        <v>671.78400000000011</v>
      </c>
      <c r="AU57" s="410">
        <f>AT57</f>
        <v>671.78400000000011</v>
      </c>
      <c r="AV57" s="409"/>
      <c r="AW57" s="409">
        <f>AW48+AW56</f>
        <v>727.85500000000013</v>
      </c>
      <c r="AX57" s="409">
        <f>AX48+AX56</f>
        <v>791.11700000000019</v>
      </c>
      <c r="AY57" s="409">
        <f>AY48+AY56</f>
        <v>858.89099999999996</v>
      </c>
      <c r="AZ57" s="409">
        <f>AZ48+AZ56</f>
        <v>1043.8019999999999</v>
      </c>
      <c r="BA57" s="410">
        <f>AZ57</f>
        <v>1043.8019999999999</v>
      </c>
      <c r="BB57" s="409"/>
      <c r="BC57" s="409">
        <f>BC48+BC56</f>
        <v>1134.51</v>
      </c>
      <c r="BD57" s="409">
        <f>BD48+BD56</f>
        <v>1240.626</v>
      </c>
      <c r="BE57" s="409">
        <f>BE48+BE56</f>
        <v>1210.2880000000002</v>
      </c>
      <c r="BF57" s="409">
        <f>BF48+BF56</f>
        <v>1276.4910000000002</v>
      </c>
      <c r="BG57" s="410">
        <f>BF57</f>
        <v>1276.4910000000002</v>
      </c>
      <c r="BH57" s="409"/>
      <c r="BI57" s="409">
        <f>BI48+BI56</f>
        <v>1352.2730000000001</v>
      </c>
      <c r="BJ57" s="409">
        <f>BJ48+BJ56</f>
        <v>1508.895</v>
      </c>
      <c r="BK57" s="409">
        <f>BK48+BK56</f>
        <v>1583.1599999999999</v>
      </c>
      <c r="BL57" s="409">
        <f>BL48+BL56</f>
        <v>1666.1009999999999</v>
      </c>
      <c r="BM57" s="410">
        <f>BL57</f>
        <v>1666.1009999999999</v>
      </c>
      <c r="BN57" s="409"/>
      <c r="BO57" s="409">
        <f>BO48+BO56</f>
        <v>1809.7689999999998</v>
      </c>
      <c r="BP57" s="409">
        <f>BP48+BP56</f>
        <v>1958.6709999999998</v>
      </c>
      <c r="BQ57" s="409">
        <f>BQ48+BQ56</f>
        <v>2143.6139999999996</v>
      </c>
      <c r="BR57" s="409">
        <f>BR48+BR56</f>
        <v>2371.2450000000003</v>
      </c>
      <c r="BS57" s="410">
        <f>BR57</f>
        <v>2371.2450000000003</v>
      </c>
      <c r="BT57" s="409"/>
      <c r="BU57" s="409">
        <f>BU48+BU56</f>
        <v>2509.8760000000002</v>
      </c>
      <c r="BV57" s="409">
        <f>BV48+BV56</f>
        <v>2859.1480000000001</v>
      </c>
      <c r="BW57" s="409">
        <f>BW48+BW56</f>
        <v>2946.0870000000004</v>
      </c>
      <c r="BX57" s="409">
        <f>BX48+BX56</f>
        <v>3065.2149999999997</v>
      </c>
      <c r="BY57" s="410">
        <f>BX57</f>
        <v>3065.2149999999997</v>
      </c>
      <c r="BZ57" s="409"/>
      <c r="CA57" s="409">
        <f>CA48+CA56</f>
        <v>3141.857</v>
      </c>
      <c r="CB57" s="409">
        <f>CB48+CB56</f>
        <v>3306.7460000000001</v>
      </c>
      <c r="CC57" s="409">
        <f>CC48+CC56</f>
        <v>3792.4960000000001</v>
      </c>
      <c r="CD57" s="409">
        <f>CD48+CD56</f>
        <v>3975.1829999999991</v>
      </c>
      <c r="CE57" s="410">
        <f>CD57</f>
        <v>3975.1829999999991</v>
      </c>
      <c r="CF57" s="409"/>
      <c r="CG57" s="409">
        <f>CG48+CG56</f>
        <v>4235.2030000000004</v>
      </c>
      <c r="CH57" s="409">
        <f>CH48+CH56</f>
        <v>4535.8029999999999</v>
      </c>
      <c r="CI57" s="409">
        <f>CI48+CI56</f>
        <v>4749.9540000000006</v>
      </c>
      <c r="CJ57" s="409">
        <f>CJ48+CJ56</f>
        <v>5002.8690000000006</v>
      </c>
      <c r="CK57" s="410">
        <f>CJ57</f>
        <v>5002.8690000000006</v>
      </c>
      <c r="CL57" s="409"/>
      <c r="CM57" s="409">
        <f>CM48+CM56</f>
        <v>5584.2639999999992</v>
      </c>
      <c r="CN57" s="409">
        <f>CN48+CN56</f>
        <v>6132.576</v>
      </c>
      <c r="CO57" s="409">
        <f>CO48+CO56</f>
        <v>6806.0369999999994</v>
      </c>
      <c r="CP57" s="409">
        <f>CP48+CP56</f>
        <v>7500.1269999999995</v>
      </c>
      <c r="CQ57" s="410">
        <f>CP57</f>
        <v>7500.1269999999995</v>
      </c>
      <c r="CR57" s="409"/>
      <c r="CS57" s="409">
        <f>CS48+CS56</f>
        <v>7934.4879999999994</v>
      </c>
      <c r="CT57" s="409">
        <f>CT48+CT56</f>
        <v>8468.5370000000003</v>
      </c>
      <c r="CU57" s="409">
        <f>CU48+CU56</f>
        <v>8840.1670000000013</v>
      </c>
      <c r="CV57" s="409">
        <f>CV48+CV56</f>
        <v>9392.3629999999994</v>
      </c>
      <c r="CW57" s="410">
        <f>CV57</f>
        <v>9392.3629999999994</v>
      </c>
      <c r="CX57" s="409"/>
      <c r="CY57" s="409">
        <f>CY48+CY56</f>
        <v>9819.3196408447839</v>
      </c>
      <c r="CZ57" s="409">
        <f>CZ48+CZ56</f>
        <v>10282.275663781109</v>
      </c>
      <c r="DA57" s="409">
        <f>DA48+DA56</f>
        <v>10799.711774477166</v>
      </c>
      <c r="DB57" s="409">
        <f>DB48+DB56</f>
        <v>11272.766442921575</v>
      </c>
      <c r="DC57" s="410">
        <f>DB57</f>
        <v>11272.766442921575</v>
      </c>
      <c r="DD57" s="409"/>
      <c r="DE57" s="409">
        <f>DE48+DE56</f>
        <v>11814.771430292152</v>
      </c>
      <c r="DF57" s="409">
        <f>DF48+DF56</f>
        <v>12467.543759664673</v>
      </c>
      <c r="DG57" s="409">
        <f>DG48+DG56</f>
        <v>13174.041600676714</v>
      </c>
      <c r="DH57" s="409">
        <f>DH48+DH56</f>
        <v>13867.030843890972</v>
      </c>
      <c r="DI57" s="410">
        <f>DH57</f>
        <v>13867.030843890972</v>
      </c>
      <c r="DJ57" s="409"/>
      <c r="DK57" s="409">
        <f>DK48+DK56</f>
        <v>14591.5532082883</v>
      </c>
      <c r="DL57" s="409">
        <f>DL48+DL56</f>
        <v>15449.957272687379</v>
      </c>
      <c r="DM57" s="409">
        <f>DM48+DM56</f>
        <v>16370.292462652877</v>
      </c>
      <c r="DN57" s="409">
        <f>DN48+DN56</f>
        <v>17296.7681223127</v>
      </c>
      <c r="DO57" s="410">
        <f>DN57</f>
        <v>17296.7681223127</v>
      </c>
      <c r="DP57" s="1681"/>
      <c r="DQ57" s="955"/>
      <c r="DX57" s="957"/>
    </row>
    <row r="58" spans="1:128" ht="5.25" customHeight="1">
      <c r="A58" s="10"/>
      <c r="B58" s="10"/>
      <c r="C58" s="11"/>
      <c r="D58" s="11"/>
      <c r="E58" s="11"/>
      <c r="F58" s="11"/>
      <c r="G58" s="11"/>
      <c r="H58" s="11"/>
      <c r="I58" s="11"/>
      <c r="J58" s="11"/>
      <c r="K58" s="11"/>
      <c r="L58" s="11"/>
      <c r="M58" s="11"/>
      <c r="N58" s="11"/>
      <c r="O58" s="11"/>
      <c r="P58" s="11"/>
      <c r="Q58" s="11"/>
      <c r="R58" s="11"/>
      <c r="S58" s="11"/>
      <c r="T58" s="11"/>
      <c r="U58" s="11"/>
      <c r="V58" s="11"/>
      <c r="W58" s="11"/>
      <c r="X58" s="11"/>
      <c r="Y58" s="18"/>
      <c r="Z58" s="11"/>
      <c r="AA58" s="11"/>
      <c r="AB58" s="11"/>
      <c r="AC58" s="68"/>
      <c r="AD58" s="11"/>
      <c r="AE58" s="11"/>
      <c r="AF58" s="11"/>
      <c r="AG58" s="11"/>
      <c r="AH58" s="11"/>
      <c r="AI58" s="68"/>
      <c r="AJ58" s="11"/>
      <c r="AK58" s="11"/>
      <c r="AL58" s="11"/>
      <c r="AM58" s="11"/>
      <c r="AN58" s="11"/>
      <c r="AO58" s="68"/>
      <c r="AP58" s="11"/>
      <c r="AQ58" s="18"/>
      <c r="AR58" s="11"/>
      <c r="AS58" s="11"/>
      <c r="AT58" s="18"/>
      <c r="AU58" s="68"/>
      <c r="AV58" s="11"/>
      <c r="AW58" s="51"/>
      <c r="AX58" s="11"/>
      <c r="AY58" s="11"/>
      <c r="AZ58" s="11"/>
      <c r="BA58" s="68"/>
      <c r="BB58" s="561"/>
      <c r="BC58" s="561"/>
      <c r="BD58" s="561"/>
      <c r="BE58" s="561"/>
      <c r="BF58" s="561"/>
      <c r="BG58" s="563"/>
      <c r="BH58" s="561"/>
      <c r="BI58" s="561"/>
      <c r="BJ58" s="561"/>
      <c r="BK58" s="561"/>
      <c r="BL58" s="561"/>
      <c r="BM58" s="563"/>
      <c r="BN58" s="561"/>
      <c r="BO58" s="561"/>
      <c r="BP58" s="561"/>
      <c r="BQ58" s="561"/>
      <c r="BR58" s="561"/>
      <c r="BS58" s="563"/>
      <c r="BT58" s="561"/>
      <c r="BU58" s="561"/>
      <c r="BV58" s="561"/>
      <c r="BW58" s="561"/>
      <c r="BX58" s="561"/>
      <c r="BY58" s="563"/>
      <c r="BZ58" s="561"/>
      <c r="CA58" s="561"/>
      <c r="CB58" s="561"/>
      <c r="CC58" s="561"/>
      <c r="CD58" s="561"/>
      <c r="CE58" s="563"/>
      <c r="CF58" s="561"/>
      <c r="CG58" s="561"/>
      <c r="CH58" s="561"/>
      <c r="CI58" s="561"/>
      <c r="CJ58" s="561"/>
      <c r="CK58" s="563"/>
      <c r="CL58" s="561"/>
      <c r="CM58" s="561"/>
      <c r="CN58" s="561"/>
      <c r="CO58" s="561"/>
      <c r="CP58" s="561"/>
      <c r="CQ58" s="563"/>
      <c r="CR58" s="561"/>
      <c r="CS58" s="561"/>
      <c r="CT58" s="561"/>
      <c r="CU58" s="561"/>
      <c r="CV58" s="561"/>
      <c r="CW58" s="563"/>
      <c r="CX58" s="561"/>
      <c r="CY58" s="561"/>
      <c r="CZ58" s="561"/>
      <c r="DA58" s="561"/>
      <c r="DB58" s="561"/>
      <c r="DC58" s="563"/>
      <c r="DD58" s="561"/>
      <c r="DE58" s="561"/>
      <c r="DF58" s="561"/>
      <c r="DG58" s="561"/>
      <c r="DH58" s="561"/>
      <c r="DI58" s="563"/>
      <c r="DJ58" s="561"/>
      <c r="DK58" s="561"/>
      <c r="DL58" s="561"/>
      <c r="DM58" s="561"/>
      <c r="DN58" s="561"/>
      <c r="DO58" s="563"/>
      <c r="DP58" s="561"/>
      <c r="DQ58" s="955"/>
      <c r="DX58" s="957"/>
    </row>
    <row r="59" spans="1:128" ht="10.5" customHeight="1">
      <c r="A59" s="407" t="s">
        <v>532</v>
      </c>
      <c r="B59" s="408"/>
      <c r="C59" s="409">
        <f>C46+C57</f>
        <v>14.196</v>
      </c>
      <c r="D59" s="409">
        <f>D46+D57</f>
        <v>37.046999999999997</v>
      </c>
      <c r="E59" s="409">
        <f>E46+E57</f>
        <v>29.713000000000001</v>
      </c>
      <c r="F59" s="409"/>
      <c r="G59" s="409">
        <f>G46+G57</f>
        <v>33</v>
      </c>
      <c r="H59" s="409">
        <f>H46+H57</f>
        <v>36.627000000000002</v>
      </c>
      <c r="I59" s="409">
        <f>I46+I57</f>
        <v>35.025999999999996</v>
      </c>
      <c r="J59" s="409">
        <f>J46+J57</f>
        <v>39.673000000000002</v>
      </c>
      <c r="K59" s="409">
        <f>J59</f>
        <v>39.673000000000002</v>
      </c>
      <c r="L59" s="409"/>
      <c r="M59" s="409">
        <f>M46+M57</f>
        <v>46.966999999999999</v>
      </c>
      <c r="N59" s="409">
        <f>N46+N57</f>
        <v>55.033000000000001</v>
      </c>
      <c r="O59" s="409">
        <f>O46+O57</f>
        <v>67.967999999999989</v>
      </c>
      <c r="P59" s="409">
        <f>P46+P57</f>
        <v>87.51100000000001</v>
      </c>
      <c r="Q59" s="409">
        <f>P59</f>
        <v>87.51100000000001</v>
      </c>
      <c r="R59" s="409"/>
      <c r="S59" s="409">
        <f>S46+S57</f>
        <v>92.977000000000004</v>
      </c>
      <c r="T59" s="409">
        <f>T46+T57</f>
        <v>226.51300000000003</v>
      </c>
      <c r="U59" s="409">
        <f>U46+U57</f>
        <v>246.703</v>
      </c>
      <c r="V59" s="409">
        <f>V46+V57</f>
        <v>280.49900000000002</v>
      </c>
      <c r="W59" s="409">
        <f>V59</f>
        <v>280.49900000000002</v>
      </c>
      <c r="X59" s="409"/>
      <c r="Y59" s="409">
        <f>Y46+Y57</f>
        <v>294.63400000000001</v>
      </c>
      <c r="Z59" s="409">
        <f>Z46+Z57</f>
        <v>323.67500000000001</v>
      </c>
      <c r="AA59" s="409">
        <f>AA46+AA57</f>
        <v>359.44000000000005</v>
      </c>
      <c r="AB59" s="409">
        <f>AB46+AB57</f>
        <v>434.74900000000002</v>
      </c>
      <c r="AC59" s="410">
        <f>AB59</f>
        <v>434.74900000000002</v>
      </c>
      <c r="AD59" s="409"/>
      <c r="AE59" s="409">
        <f>AE46+AE57</f>
        <v>457.4559999999999</v>
      </c>
      <c r="AF59" s="409">
        <f>AF46+AF57</f>
        <v>501.35100000000006</v>
      </c>
      <c r="AG59" s="409">
        <f>AG46+AG57</f>
        <v>555.68899999999985</v>
      </c>
      <c r="AH59" s="411">
        <f>AH46+AH57</f>
        <v>664.83199999999988</v>
      </c>
      <c r="AI59" s="410">
        <f>AH59</f>
        <v>664.83199999999988</v>
      </c>
      <c r="AJ59" s="409"/>
      <c r="AK59" s="409">
        <f>AK46+AK57</f>
        <v>697.96900000000005</v>
      </c>
      <c r="AL59" s="409">
        <f>AL46+AL57</f>
        <v>775.779</v>
      </c>
      <c r="AM59" s="409">
        <f>AM46+AM57</f>
        <v>865.10900000000004</v>
      </c>
      <c r="AN59" s="409">
        <f>AN46+AN57</f>
        <v>1089.5930000000001</v>
      </c>
      <c r="AO59" s="410">
        <f>AN59</f>
        <v>1089.5930000000001</v>
      </c>
      <c r="AP59" s="409"/>
      <c r="AQ59" s="409">
        <f>AQ46+AQ57</f>
        <v>1119.5930000000001</v>
      </c>
      <c r="AR59" s="409">
        <f>AR46+AR57</f>
        <v>1203.5430000000001</v>
      </c>
      <c r="AS59" s="409">
        <f>AS46+AS57</f>
        <v>1275.731</v>
      </c>
      <c r="AT59" s="409">
        <f>AT46+AT57</f>
        <v>1479.8220000000001</v>
      </c>
      <c r="AU59" s="410">
        <f>AT59</f>
        <v>1479.8220000000001</v>
      </c>
      <c r="AV59" s="409"/>
      <c r="AW59" s="409">
        <f>AW46+AW57</f>
        <v>1467.7000000000003</v>
      </c>
      <c r="AX59" s="409">
        <f>AX46+AX57</f>
        <v>1556.5270000000003</v>
      </c>
      <c r="AY59" s="409">
        <f>AY46+AY57</f>
        <v>1643.0449999999998</v>
      </c>
      <c r="AZ59" s="409">
        <f>AZ46+AZ57</f>
        <v>2460.201</v>
      </c>
      <c r="BA59" s="410">
        <f>AZ59</f>
        <v>2460.201</v>
      </c>
      <c r="BB59" s="409"/>
      <c r="BC59" s="409">
        <f>BC46+BC57</f>
        <v>2488.0969999999998</v>
      </c>
      <c r="BD59" s="409">
        <f>BD46+BD57</f>
        <v>2698.4760000000001</v>
      </c>
      <c r="BE59" s="409">
        <f>BE46+BE57</f>
        <v>2740.6940000000004</v>
      </c>
      <c r="BF59" s="409">
        <f>BF46+BF57</f>
        <v>3091.1650000000004</v>
      </c>
      <c r="BG59" s="410">
        <f>BF59</f>
        <v>3091.1650000000004</v>
      </c>
      <c r="BH59" s="409"/>
      <c r="BI59" s="409">
        <f>BI46+BI57</f>
        <v>3128.0680000000002</v>
      </c>
      <c r="BJ59" s="409">
        <f>BJ46+BJ57</f>
        <v>3421.328</v>
      </c>
      <c r="BK59" s="409">
        <f>BK46+BK57</f>
        <v>3511.2779999999998</v>
      </c>
      <c r="BL59" s="409">
        <f>BL46+BL57</f>
        <v>4164.1539999999995</v>
      </c>
      <c r="BM59" s="410">
        <f>BL59</f>
        <v>4164.1539999999995</v>
      </c>
      <c r="BN59" s="409"/>
      <c r="BO59" s="409">
        <f>BO46+BO57</f>
        <v>4156.0920000000006</v>
      </c>
      <c r="BP59" s="409">
        <f>BP46+BP57</f>
        <v>4453.57</v>
      </c>
      <c r="BQ59" s="409">
        <f>BQ46+BQ57</f>
        <v>4642.2899999999991</v>
      </c>
      <c r="BR59" s="409">
        <f>BR46+BR57</f>
        <v>5528.9560000000001</v>
      </c>
      <c r="BS59" s="410">
        <f>BR59</f>
        <v>5528.9560000000001</v>
      </c>
      <c r="BT59" s="409"/>
      <c r="BU59" s="409">
        <f>BU46+BU57</f>
        <v>6513.7089999999998</v>
      </c>
      <c r="BV59" s="409">
        <f>BV46+BV57</f>
        <v>7969.8959999999997</v>
      </c>
      <c r="BW59" s="409">
        <f>BW46+BW57</f>
        <v>8097.6340000000009</v>
      </c>
      <c r="BX59" s="409">
        <f>BX46+BX57</f>
        <v>9152.93</v>
      </c>
      <c r="BY59" s="410">
        <f>BX59</f>
        <v>9152.93</v>
      </c>
      <c r="BZ59" s="409"/>
      <c r="CA59" s="409">
        <f>CA46+CA57</f>
        <v>8641.344000000001</v>
      </c>
      <c r="CB59" s="409">
        <f>CB46+CB57</f>
        <v>9009.8280000000013</v>
      </c>
      <c r="CC59" s="409">
        <f>CC46+CC57</f>
        <v>9412.6630000000005</v>
      </c>
      <c r="CD59" s="409">
        <f>CD46+CD57</f>
        <v>10692.981999999998</v>
      </c>
      <c r="CE59" s="410">
        <f>CD59</f>
        <v>10692.981999999998</v>
      </c>
      <c r="CF59" s="409"/>
      <c r="CG59" s="409">
        <f>CG46+CG57</f>
        <v>10365.682000000001</v>
      </c>
      <c r="CH59" s="409">
        <f>CH46+CH57</f>
        <v>10793.977000000001</v>
      </c>
      <c r="CI59" s="409">
        <f>CI46+CI57</f>
        <v>10911.966</v>
      </c>
      <c r="CJ59" s="409">
        <f>CJ46+CJ57</f>
        <v>12770.772000000001</v>
      </c>
      <c r="CK59" s="410">
        <f>CJ59</f>
        <v>12770.772000000001</v>
      </c>
      <c r="CL59" s="409"/>
      <c r="CM59" s="409">
        <f>CM46+CM57</f>
        <v>12817.269999999999</v>
      </c>
      <c r="CN59" s="409">
        <f>CN46+CN57</f>
        <v>14381.313999999998</v>
      </c>
      <c r="CO59" s="409">
        <f>CO46+CO57</f>
        <v>14387.668999999998</v>
      </c>
      <c r="CP59" s="409">
        <f>CP46+CP57</f>
        <v>17584.922999999999</v>
      </c>
      <c r="CQ59" s="410">
        <f>CP59</f>
        <v>17584.922999999999</v>
      </c>
      <c r="CR59" s="409"/>
      <c r="CS59" s="409">
        <f>CS46+CS57</f>
        <v>17058.93</v>
      </c>
      <c r="CT59" s="409">
        <f>CT46+CT57</f>
        <v>17418.803</v>
      </c>
      <c r="CU59" s="409">
        <f>CU46+CU57</f>
        <v>17490.036</v>
      </c>
      <c r="CV59" s="409">
        <f>CV46+CV57</f>
        <v>21009.801999999996</v>
      </c>
      <c r="CW59" s="410">
        <f>CV59</f>
        <v>21009.801999999996</v>
      </c>
      <c r="CX59" s="409"/>
      <c r="CY59" s="409">
        <f>CY46+CY57</f>
        <v>20311.573136063293</v>
      </c>
      <c r="CZ59" s="409">
        <f>CZ46+CZ57</f>
        <v>20615.093775264831</v>
      </c>
      <c r="DA59" s="409">
        <f>DA46+DA57</f>
        <v>20758.035939171947</v>
      </c>
      <c r="DB59" s="409">
        <f>DB46+DB57</f>
        <v>25088.812495670842</v>
      </c>
      <c r="DC59" s="410">
        <f>DB59</f>
        <v>25088.812495670842</v>
      </c>
      <c r="DD59" s="409"/>
      <c r="DE59" s="409">
        <f>DE46+DE57</f>
        <v>24215.64977595054</v>
      </c>
      <c r="DF59" s="409">
        <f>DF46+DF57</f>
        <v>24644.887234243506</v>
      </c>
      <c r="DG59" s="409">
        <f>DG46+DG57</f>
        <v>24877.95304187954</v>
      </c>
      <c r="DH59" s="409">
        <f>DH46+DH57</f>
        <v>30388.018588697443</v>
      </c>
      <c r="DI59" s="410">
        <f>DH59</f>
        <v>30388.018588697443</v>
      </c>
      <c r="DJ59" s="409"/>
      <c r="DK59" s="409">
        <f>DK46+DK57</f>
        <v>29260.501744526697</v>
      </c>
      <c r="DL59" s="409">
        <f>DL46+DL57</f>
        <v>29849.616839450799</v>
      </c>
      <c r="DM59" s="409">
        <f>DM46+DM57</f>
        <v>30213.543810436437</v>
      </c>
      <c r="DN59" s="409">
        <f>DN46+DN57</f>
        <v>37038.547887643843</v>
      </c>
      <c r="DO59" s="410">
        <f>DN59</f>
        <v>37038.547887643843</v>
      </c>
      <c r="DP59" s="1681"/>
      <c r="DQ59" s="955"/>
      <c r="DX59" s="957"/>
    </row>
    <row r="60" spans="1:128" s="1704" customFormat="1" ht="10.5" customHeight="1">
      <c r="A60" s="578"/>
      <c r="B60" s="578"/>
      <c r="C60" s="579" t="str">
        <f>IF(ROUND(C59-C27,4)=0,"",C59-C27)</f>
        <v/>
      </c>
      <c r="D60" s="579" t="str">
        <f>IF(ROUND(D59-D27,4)=0,"",D59-D27)</f>
        <v/>
      </c>
      <c r="E60" s="579" t="str">
        <f>IF(ROUND(E59-E27,4)=0,"",E59-E27)</f>
        <v/>
      </c>
      <c r="F60" s="580"/>
      <c r="G60" s="579" t="str">
        <f>IF(ROUND(G59-G27,4)=0,"",G59-G27)</f>
        <v/>
      </c>
      <c r="H60" s="579" t="str">
        <f>IF(ROUND(H59-H27,4)=0,"",H59-H27)</f>
        <v/>
      </c>
      <c r="I60" s="579" t="str">
        <f>IF(ROUND(I59-I27,4)=0,"",I59-I27)</f>
        <v/>
      </c>
      <c r="J60" s="579" t="str">
        <f>IF(ROUND(J59-J27,4)=0,"",J59-J27)</f>
        <v/>
      </c>
      <c r="K60" s="579"/>
      <c r="L60" s="580"/>
      <c r="M60" s="579" t="str">
        <f>IF(ROUND(M59-M27,4)=0,"",M59-M27)</f>
        <v/>
      </c>
      <c r="N60" s="579" t="str">
        <f>IF(ROUND(N59-N27,4)=0,"",N59-N27)</f>
        <v/>
      </c>
      <c r="O60" s="579" t="str">
        <f>IF(ROUND(O59-O27,4)=0,"",O59-O27)</f>
        <v/>
      </c>
      <c r="P60" s="579" t="str">
        <f>IF(ROUND(P59-P27,4)=0,"",P59-P27)</f>
        <v/>
      </c>
      <c r="Q60" s="579"/>
      <c r="R60" s="580"/>
      <c r="S60" s="579" t="str">
        <f>IF(ROUND(S59-S27,4)=0,"",S59-S27)</f>
        <v/>
      </c>
      <c r="T60" s="579"/>
      <c r="U60" s="579" t="str">
        <f>IF(ROUND(U59-U27,4)=0,"",U59-U27)</f>
        <v/>
      </c>
      <c r="V60" s="579"/>
      <c r="W60" s="579"/>
      <c r="X60" s="580"/>
      <c r="Y60" s="579"/>
      <c r="Z60" s="579" t="str">
        <f>IF(ROUND(Z59-Z27,4)=0,"",Z59-Z27)</f>
        <v/>
      </c>
      <c r="AA60" s="579" t="str">
        <f>IF(ROUND(AA59-AA27,4)=0,"",AA59-AA27)</f>
        <v/>
      </c>
      <c r="AB60" s="579" t="str">
        <f>IF(ROUND(AB59-AB27,4)=0,"",AB59-AB27)</f>
        <v/>
      </c>
      <c r="AC60" s="581" t="str">
        <f>IF(ROUND(AC59-AC27,4)=0,"",AC59-AC27)</f>
        <v/>
      </c>
      <c r="AD60" s="580"/>
      <c r="AE60" s="579" t="str">
        <f>IF(ROUND(AE59-AE27,4)=0,"",AE59-AE27)</f>
        <v/>
      </c>
      <c r="AF60" s="579" t="str">
        <f>IF(ROUND(AF59-AF27,4)=0,"",AF59-AF27)</f>
        <v/>
      </c>
      <c r="AG60" s="579" t="str">
        <f>IF(ROUND(AG59-AG27,4)=0,"",AG59-AG27)</f>
        <v/>
      </c>
      <c r="AH60" s="579" t="str">
        <f>IF(ROUND(AH59-AH27,4)=0,"",AH59-AH27)</f>
        <v/>
      </c>
      <c r="AI60" s="581" t="str">
        <f>IF(ROUND(AI59-AI27,4)=0,"",AI59-AI27)</f>
        <v/>
      </c>
      <c r="AJ60" s="580"/>
      <c r="AK60" s="579" t="str">
        <f>IF(ROUND(AK59-AK27,4)=0,"",AK59-AK27)</f>
        <v/>
      </c>
      <c r="AL60" s="579" t="str">
        <f>IF(ROUND(AL59-AL27,4)=0,"",AL59-AL27)</f>
        <v/>
      </c>
      <c r="AM60" s="579" t="str">
        <f>IF(ROUND(AM59-AM27,4)=0,"",AM59-AM27)</f>
        <v/>
      </c>
      <c r="AN60" s="579" t="str">
        <f>IF(ROUND(AN59-AN27,4)=0,"",AN59-AN27)</f>
        <v/>
      </c>
      <c r="AO60" s="581" t="str">
        <f>IF(ROUND(AO59-AO27,4)=0,"",AO59-AO27)</f>
        <v/>
      </c>
      <c r="AP60" s="580"/>
      <c r="AQ60" s="579" t="str">
        <f>IF(ROUND(AQ59-AQ27,4)=0,"",AQ59-AQ27)</f>
        <v/>
      </c>
      <c r="AR60" s="579"/>
      <c r="AS60" s="582"/>
      <c r="AT60" s="579"/>
      <c r="AU60" s="581"/>
      <c r="AV60" s="580"/>
      <c r="AW60" s="579"/>
      <c r="AX60" s="579"/>
      <c r="AY60" s="579"/>
      <c r="AZ60" s="579"/>
      <c r="BA60" s="581"/>
      <c r="BB60" s="580"/>
      <c r="BC60" s="579"/>
      <c r="BD60" s="579" t="str">
        <f>IF(ROUND(BD59-BD27,4)=0,"",BD59-BD27)</f>
        <v/>
      </c>
      <c r="BE60" s="579" t="str">
        <f>IF(ROUND(BE59-BE27,4)=0,"",BE59-BE27)</f>
        <v/>
      </c>
      <c r="BF60" s="579" t="str">
        <f>IF(ROUND(BF59-BF27,3)=0,"",BF59-BF27)</f>
        <v/>
      </c>
      <c r="BG60" s="581" t="str">
        <f>IF(ROUND(BG59-BG27,4)=0,"",BG59-BG27)</f>
        <v/>
      </c>
      <c r="BH60" s="580"/>
      <c r="BI60" s="582" t="str">
        <f>IF(ROUND(BI59-BI27,4)=0,"",BI59-BI27)</f>
        <v/>
      </c>
      <c r="BJ60" s="582" t="str">
        <f>IF(ROUND(BJ59-BJ27,4)=0,"",BJ59-BJ27)</f>
        <v/>
      </c>
      <c r="BK60" s="582" t="str">
        <f>IF(ROUND(BK59-BK27,4)=0,"",BK59-BK27)</f>
        <v/>
      </c>
      <c r="BL60" s="582" t="str">
        <f>IF(ROUND(BL59-BL27,4)=0,"",BL59-BL27)</f>
        <v/>
      </c>
      <c r="BM60" s="1989" t="str">
        <f>IF(ROUND(BM59-BM27,4)=0,"",BM59-BM27)</f>
        <v/>
      </c>
      <c r="BN60" s="582"/>
      <c r="BO60" s="582"/>
      <c r="BP60" s="582"/>
      <c r="BQ60" s="582" t="str">
        <f>IF(ROUND(BQ59-BQ27,4)=0,"",BQ59-BQ27)</f>
        <v/>
      </c>
      <c r="BR60" s="582" t="str">
        <f>IF(ROUND(BR59-BR27,4)=0,"",BR59-BR27)</f>
        <v/>
      </c>
      <c r="BS60" s="1989" t="str">
        <f>IF(ROUND(BS59-BS27,4)=0,"",BS59-BS27)</f>
        <v/>
      </c>
      <c r="BT60" s="582"/>
      <c r="BU60" s="582" t="str">
        <f>IF(ROUND(BU59-BU27,4)=0,"",BU59-BU27)</f>
        <v/>
      </c>
      <c r="BV60" s="582" t="str">
        <f>IF(ROUND(BV59-BV27,4)=0,"",BV59-BV27)</f>
        <v/>
      </c>
      <c r="BW60" s="582" t="str">
        <f>IF(ROUND(BW59-BW27,4)=0,"",BW59-BW27)</f>
        <v/>
      </c>
      <c r="BX60" s="582" t="str">
        <f>IF(ROUND(BX59-BX27,4)=0,"",BX59-BX27)</f>
        <v/>
      </c>
      <c r="BY60" s="1989" t="str">
        <f>IF(ROUND(BY59-BY27,4)=0,"",BY59-BY27)</f>
        <v/>
      </c>
      <c r="BZ60" s="582"/>
      <c r="CA60" s="582" t="str">
        <f>IF(ROUND(CA59-CA27,4)=0,"",CA59-CA27)</f>
        <v/>
      </c>
      <c r="CB60" s="582" t="str">
        <f>IF(ROUND(CB59-CB27,4)=0,"",CB59-CB27)</f>
        <v/>
      </c>
      <c r="CC60" s="1996" t="str">
        <f>IF(ROUND(CC59-CC27,4)=0,"",CC59-CC27)</f>
        <v/>
      </c>
      <c r="CD60" s="582" t="str">
        <f>IF(ROUND(CD59-CD27,4)=0,"",CD59-CD27)</f>
        <v/>
      </c>
      <c r="CE60" s="1989" t="str">
        <f>IF(ROUND(CE59-CE27,4)=0,"",CE59-CE27)</f>
        <v/>
      </c>
      <c r="CF60" s="582"/>
      <c r="CG60" s="1990" t="str">
        <f>IF(ROUND(CG59-CG27,4)=0,"",CG59-CG27)</f>
        <v/>
      </c>
      <c r="CH60" s="582" t="str">
        <f>IF(ROUND(CH59-CH27,4)=0,"",CH59-CH27)</f>
        <v/>
      </c>
      <c r="CI60" s="582" t="str">
        <f>IF(ROUND(CI59-CI27,4)=0,"",CI59-CI27)</f>
        <v/>
      </c>
      <c r="CJ60" s="582" t="str">
        <f>IF(ROUND(CJ59-CJ27,4)=0,"",CJ59-CJ27)</f>
        <v/>
      </c>
      <c r="CK60" s="1989" t="str">
        <f>IF(ROUND(CK59-CK27,4)=0,"",CK59-CK27)</f>
        <v/>
      </c>
      <c r="CL60" s="582"/>
      <c r="CM60" s="582" t="str">
        <f>IF(ROUND(CM59-CM27,4)=0,"",CM59-CM27)</f>
        <v/>
      </c>
      <c r="CN60" s="582" t="str">
        <f>IF(ROUND(CN59-CN27,4)=0,"",CN59-CN27)</f>
        <v/>
      </c>
      <c r="CO60" s="582" t="str">
        <f>IF(ROUND(CO59-CO27,4)=0,"",CO59-CO27)</f>
        <v/>
      </c>
      <c r="CP60" s="579" t="str">
        <f>IF(ROUND(CP59-CP27,4)=0,"",CP59-CP27)</f>
        <v/>
      </c>
      <c r="CQ60" s="1992" t="str">
        <f>IF(ROUND(CQ59-CQ27,4)=0,"",CQ59-CQ27)</f>
        <v/>
      </c>
      <c r="CR60" s="582"/>
      <c r="CS60" s="1990" t="str">
        <f t="shared" ref="CS60:CU60" si="106">IF(ROUND(CS59-CS27,4)=0,"",CS59-CS27)</f>
        <v/>
      </c>
      <c r="CT60" s="1990" t="str">
        <f t="shared" si="106"/>
        <v/>
      </c>
      <c r="CU60" s="1990" t="str">
        <f t="shared" si="106"/>
        <v/>
      </c>
      <c r="CV60" s="1990" t="str">
        <f>IF(ROUND(CV59-CV27,4)=0,"",CV59-CV27)</f>
        <v/>
      </c>
      <c r="CW60" s="1993" t="str">
        <f>IF(ROUND(CW59-CW27,4)=0,"",CW59-CW27)</f>
        <v/>
      </c>
      <c r="CX60" s="1994"/>
      <c r="CY60" s="1994">
        <f>IF(ROUND(CY59-CY27,4)=0,"",CY59-CY27)</f>
        <v>1.3821485845255665E-3</v>
      </c>
      <c r="CZ60" s="1994">
        <f>IF(ROUND(CZ59-CZ27,4)=0,"",CZ59-CZ27)</f>
        <v>1.3821485918015242E-3</v>
      </c>
      <c r="DA60" s="1994">
        <f>IF(ROUND(DA59-DA27,4)=0,"",DA59-DA27)</f>
        <v>1.3821485881635454E-3</v>
      </c>
      <c r="DB60" s="1994">
        <f>IF(ROUND(DB59-DB27,4)=0,"",DB59-DB27)</f>
        <v>1.3821485918015242E-3</v>
      </c>
      <c r="DC60" s="1993">
        <f>IF(ROUND(DC59-DC27,4)=0,"",DC59-DC27)</f>
        <v>1.3821485918015242E-3</v>
      </c>
      <c r="DD60" s="1994"/>
      <c r="DE60" s="1994">
        <f>IF(ROUND(DE59-DE27,4)=0,"",DE59-DE27)</f>
        <v>1.3821485881635454E-3</v>
      </c>
      <c r="DF60" s="1994">
        <f>IF(ROUND(DF59-DF27,4)=0,"",DF59-DF27)</f>
        <v>1.3821485881635454E-3</v>
      </c>
      <c r="DG60" s="1994">
        <f>IF(ROUND(DG59-DG27,4)=0,"",DG59-DG27)</f>
        <v>1.3821485808875877E-3</v>
      </c>
      <c r="DH60" s="1994">
        <f>IF(ROUND(DH59-DH27,4)=0,"",DH59-DH27)</f>
        <v>1.3821485881635454E-3</v>
      </c>
      <c r="DI60" s="1993">
        <f>IF(ROUND(DI59-DI27,4)=0,"",DI59-DI27)</f>
        <v>1.3821485881635454E-3</v>
      </c>
      <c r="DJ60" s="1994"/>
      <c r="DK60" s="1994">
        <f>IF(ROUND(DK59-DK27,4)=0,"",DK59-DK27)</f>
        <v>1.3821485772496089E-3</v>
      </c>
      <c r="DL60" s="1994">
        <f>IF(ROUND(DL59-DL27,4)=0,"",DL59-DL27)</f>
        <v>1.3821485845255665E-3</v>
      </c>
      <c r="DM60" s="1994">
        <f>IF(ROUND(DM59-DM27,4)=0,"",DM59-DM27)</f>
        <v>1.3821485808875877E-3</v>
      </c>
      <c r="DN60" s="1994">
        <f>IF(ROUND(DN59-DN27,4)=0,"",DN59-DN27)</f>
        <v>1.3821485845255665E-3</v>
      </c>
      <c r="DO60" s="1993">
        <f>IF(ROUND(DO59-DO27,4)=0,"",DO59-DO27)</f>
        <v>1.3821485845255665E-3</v>
      </c>
      <c r="DP60" s="1991"/>
      <c r="DQ60" s="958"/>
      <c r="DR60"/>
      <c r="DS60"/>
      <c r="DT60"/>
      <c r="DU60"/>
      <c r="DV60"/>
      <c r="DW60"/>
    </row>
    <row r="61" spans="1:128" ht="10.5" customHeight="1">
      <c r="A61" s="555" t="s">
        <v>9</v>
      </c>
      <c r="B61" s="578"/>
      <c r="C61" s="579"/>
      <c r="D61" s="579"/>
      <c r="E61" s="579"/>
      <c r="F61" s="580"/>
      <c r="G61" s="579"/>
      <c r="H61" s="579"/>
      <c r="I61" s="579"/>
      <c r="J61" s="579"/>
      <c r="K61" s="579"/>
      <c r="L61" s="580"/>
      <c r="M61" s="579"/>
      <c r="N61" s="579"/>
      <c r="O61" s="579"/>
      <c r="P61" s="579"/>
      <c r="Q61" s="579"/>
      <c r="R61" s="580"/>
      <c r="S61" s="579"/>
      <c r="T61" s="579"/>
      <c r="U61" s="579"/>
      <c r="V61" s="579"/>
      <c r="W61" s="579"/>
      <c r="X61" s="580"/>
      <c r="Y61" s="579"/>
      <c r="Z61" s="579"/>
      <c r="AA61" s="579"/>
      <c r="AB61" s="579"/>
      <c r="AC61" s="581"/>
      <c r="AD61" s="580"/>
      <c r="AE61" s="579"/>
      <c r="AF61" s="579"/>
      <c r="AG61" s="579"/>
      <c r="AH61" s="579"/>
      <c r="AI61" s="581"/>
      <c r="AJ61" s="580"/>
      <c r="AK61" s="579"/>
      <c r="AL61" s="579"/>
      <c r="AM61" s="579"/>
      <c r="AN61" s="579"/>
      <c r="AO61" s="581"/>
      <c r="AP61" s="580"/>
      <c r="AQ61" s="579"/>
      <c r="AR61" s="579"/>
      <c r="AS61" s="579"/>
      <c r="AT61" s="579"/>
      <c r="AU61" s="581"/>
      <c r="AV61" s="580"/>
      <c r="AW61" s="556">
        <f>AW10+AW11+AW22-AW40</f>
        <v>983.82400000000007</v>
      </c>
      <c r="AX61" s="556">
        <f>AX10+AX11+AX22-AX40</f>
        <v>1030.4059999999999</v>
      </c>
      <c r="AY61" s="556">
        <f>AY10+AY11+AY22-AY40</f>
        <v>1070.0920000000001</v>
      </c>
      <c r="AZ61" s="556">
        <f>AZ10+AZ11+AZ22-AZ40</f>
        <v>1276.8500000000004</v>
      </c>
      <c r="BA61" s="583"/>
      <c r="BB61" s="584"/>
      <c r="BC61" s="556">
        <f>BC10+BC11+BC22-BC40</f>
        <v>1445.8989999999999</v>
      </c>
      <c r="BD61" s="556">
        <f>BD10+BD11+BD22-BD40</f>
        <v>1397.7460000000001</v>
      </c>
      <c r="BE61" s="556">
        <f>BE10+BE11+BE22-BE40</f>
        <v>1335.5930000000001</v>
      </c>
      <c r="BF61" s="556">
        <f>BF10+BF11+BF22-BF40</f>
        <v>935.01900000000001</v>
      </c>
      <c r="BG61" s="581"/>
      <c r="BH61" s="556">
        <f>BH10+BH11+BH22-BH40</f>
        <v>0</v>
      </c>
      <c r="BI61" s="556">
        <f>BI10+BI11+BI22-BI34</f>
        <v>1043.9159999999997</v>
      </c>
      <c r="BJ61" s="556">
        <f>BJ10+BJ11+BJ22-BJ34</f>
        <v>802.53</v>
      </c>
      <c r="BK61" s="556">
        <f>BK10+BK11+BK22-BK34</f>
        <v>806.57399999999996</v>
      </c>
      <c r="BL61" s="556">
        <f>BL10+BL11+BL22-BL34</f>
        <v>951.02499999999998</v>
      </c>
      <c r="BM61" s="581"/>
      <c r="BN61" s="580"/>
      <c r="BO61" s="556">
        <f>BO10+BO11+BO22-BO34-BO40</f>
        <v>1154.7629999999999</v>
      </c>
      <c r="BP61" s="556">
        <f>BP10+BP11+BP22-BP34-BP40</f>
        <v>1295.732</v>
      </c>
      <c r="BQ61" s="556">
        <f>BQ10+BQ11+BQ22-BQ34-BQ40</f>
        <v>901.15900000000022</v>
      </c>
      <c r="BR61" s="556">
        <f>BR10+BR11+BR22-BR34-BR40</f>
        <v>1237.0069999999998</v>
      </c>
      <c r="BS61" s="581"/>
      <c r="BT61" s="580"/>
      <c r="BU61" s="556">
        <f>BU10+BU11+BU22-BU34-BU40</f>
        <v>1522.152</v>
      </c>
      <c r="BV61" s="556">
        <f>BV10+BV11+BV22-BV34-BV40-BV41-BV35</f>
        <v>-939.65399999999988</v>
      </c>
      <c r="BW61" s="556">
        <f>BW10+BW11+BW22-BW34-BW40-BW41-BW35</f>
        <v>-789.40100000000007</v>
      </c>
      <c r="BX61" s="556">
        <f>BX10+BX11+BX22-BX34-BX40-BX41-BX35</f>
        <v>-553.072</v>
      </c>
      <c r="BY61" s="581"/>
      <c r="BZ61" s="580"/>
      <c r="CA61" s="556">
        <f>CA10+CA11+CA22-CA34-CA40</f>
        <v>202.04399999999987</v>
      </c>
      <c r="CB61" s="556">
        <f>CB10+CB11+CB22-CB34-CB40-CB41-CB35</f>
        <v>77.918999999999869</v>
      </c>
      <c r="CC61" s="556">
        <f>CC10+CC11+CC22-CC34-CC40-CC41-CC35</f>
        <v>397.77399999999989</v>
      </c>
      <c r="CD61" s="556">
        <f>CD10+CD11+CD22-CD34-CD40-CD41-CD35</f>
        <v>519.5920000000001</v>
      </c>
      <c r="CE61" s="581"/>
      <c r="CF61" s="580"/>
      <c r="CG61" s="556">
        <f>CG10+CG11+CG22-CG34-CG40</f>
        <v>845.74900000000002</v>
      </c>
      <c r="CH61" s="556">
        <f>CH10+CH11+CH22-CH34-CH40-CH41-CH35</f>
        <v>984.16400000000021</v>
      </c>
      <c r="CI61" s="556">
        <f>CI10+CI11+CI22-CI34-CI40-CI41-CI35</f>
        <v>1212.396</v>
      </c>
      <c r="CJ61" s="556">
        <f>CJ10+CJ11+CJ22-CJ34-CJ40-CJ41-CJ35</f>
        <v>1630.3180000000004</v>
      </c>
      <c r="CK61" s="581"/>
      <c r="CL61" s="580"/>
      <c r="CM61" s="556">
        <f>CM10+CM11+CM22-CM34-CM40</f>
        <v>2620.348</v>
      </c>
      <c r="CN61" s="556">
        <f>CN10+CN11+CN22-CN34-CN40-CN41-CN35</f>
        <v>121.15000000000003</v>
      </c>
      <c r="CO61" s="556">
        <f>CO10+CO11+CO22-CO34-CO40-CO41-CO35</f>
        <v>144.95999999999998</v>
      </c>
      <c r="CP61" s="556">
        <f>CP10+CP11+CP22-CP34-CP40-CP41-CP35</f>
        <v>1162.2589999999998</v>
      </c>
      <c r="CQ61" s="581"/>
      <c r="CR61" s="580"/>
      <c r="CS61" s="556">
        <f>CS10+CS11+CS22-CS34-CS40</f>
        <v>2735.2159999999999</v>
      </c>
      <c r="CT61" s="556">
        <f>CT10+CT11+CT22-CT34-CT40-CT41-CT35</f>
        <v>2530.4069999999997</v>
      </c>
      <c r="CU61" s="556">
        <f>CU10+CU11+CU22-CU34-CU40-CU41-CU35</f>
        <v>2663.0330000000004</v>
      </c>
      <c r="CV61" s="556">
        <f>CV10+CV11+CV22-CV34-CV40-CV41-CV35</f>
        <v>3479.4900000000007</v>
      </c>
      <c r="CW61" s="581"/>
      <c r="CX61" s="580"/>
      <c r="CY61" s="556">
        <f>CY10+CY11+CY22-CY34-CY40</f>
        <v>4923.4337525970186</v>
      </c>
      <c r="CZ61" s="556">
        <f>CZ10+CZ11+CZ22-CZ34-CZ40-CZ41-CZ35</f>
        <v>4871.1323163540828</v>
      </c>
      <c r="DA61" s="556">
        <f>DA10+DA11+DA22-DA34-DA40-DA41-DA35</f>
        <v>5187.6993881989556</v>
      </c>
      <c r="DB61" s="556">
        <f>DB10+DB11+DB22-DB34-DB40-DB41-DB35</f>
        <v>6433.8836583660423</v>
      </c>
      <c r="DC61" s="2014"/>
      <c r="DD61" s="580"/>
      <c r="DE61" s="556">
        <f>DE10+DE11+DE22-DE34-DE40</f>
        <v>8158.180348299692</v>
      </c>
      <c r="DF61" s="556">
        <f>DF10+DF11+DF22-DF34-DF40-DF41-DF35</f>
        <v>8200.105389152206</v>
      </c>
      <c r="DG61" s="556">
        <f>DG10+DG11+DG22-DG34-DG40-DG41-DG35</f>
        <v>8629.399711515016</v>
      </c>
      <c r="DH61" s="556">
        <f>DH10+DH11+DH22-DH34-DH40-DH41-DH35</f>
        <v>10523.231603019427</v>
      </c>
      <c r="DI61" s="581"/>
      <c r="DJ61" s="580"/>
      <c r="DK61" s="556">
        <f>DK10+DK11+DK22-DK34-DK40</f>
        <v>12546.630689645448</v>
      </c>
      <c r="DL61" s="556">
        <f>DL10+DL11+DL22-DL34-DL40-DL41-DL35</f>
        <v>12862.527811136639</v>
      </c>
      <c r="DM61" s="556">
        <f>DM10+DM11+DM22-DM34-DM40-DM41-DM35</f>
        <v>13471.0155891055</v>
      </c>
      <c r="DN61" s="556">
        <f>DN10+DN11+DN22-DN34-DN40-DN41-DN35</f>
        <v>15747.040303608905</v>
      </c>
      <c r="DO61" s="581"/>
      <c r="DP61" s="1687"/>
      <c r="DQ61" s="958"/>
    </row>
    <row r="62" spans="1:128" ht="10.5" customHeight="1">
      <c r="A62" s="578" t="s">
        <v>419</v>
      </c>
      <c r="B62" s="578"/>
      <c r="C62" s="579"/>
      <c r="D62" s="579"/>
      <c r="E62" s="579"/>
      <c r="F62" s="580"/>
      <c r="G62" s="579"/>
      <c r="H62" s="579"/>
      <c r="I62" s="579"/>
      <c r="J62" s="579"/>
      <c r="K62" s="579"/>
      <c r="L62" s="580"/>
      <c r="M62" s="579"/>
      <c r="N62" s="579"/>
      <c r="O62" s="579"/>
      <c r="P62" s="579"/>
      <c r="Q62" s="579"/>
      <c r="R62" s="580"/>
      <c r="S62" s="579"/>
      <c r="T62" s="579"/>
      <c r="U62" s="579"/>
      <c r="V62" s="579"/>
      <c r="W62" s="579"/>
      <c r="X62" s="580"/>
      <c r="Y62" s="579"/>
      <c r="Z62" s="579"/>
      <c r="AA62" s="579"/>
      <c r="AB62" s="579"/>
      <c r="AC62" s="581"/>
      <c r="AD62" s="580"/>
      <c r="AE62" s="579"/>
      <c r="AF62" s="579"/>
      <c r="AG62" s="579"/>
      <c r="AH62" s="579"/>
      <c r="AI62" s="581"/>
      <c r="AJ62" s="580"/>
      <c r="AK62" s="579"/>
      <c r="AL62" s="579"/>
      <c r="AM62" s="579"/>
      <c r="AN62" s="579"/>
      <c r="AO62" s="581"/>
      <c r="AP62" s="580"/>
      <c r="AQ62" s="579"/>
      <c r="AR62" s="579"/>
      <c r="AS62" s="582"/>
      <c r="AT62" s="579"/>
      <c r="AU62" s="581"/>
      <c r="AV62" s="580"/>
      <c r="AW62" s="585">
        <f>AW61/Model!AW111</f>
        <v>1.9621696224142195</v>
      </c>
      <c r="AX62" s="585">
        <f>AX61/Model!AX111</f>
        <v>2.0353135913278448</v>
      </c>
      <c r="AY62" s="585">
        <f>AY61/Model!AY111</f>
        <v>2.0803368689539332</v>
      </c>
      <c r="AZ62" s="585">
        <f>AZ61/Model!AZ111</f>
        <v>2.4425727118994245</v>
      </c>
      <c r="BA62" s="581"/>
      <c r="BB62" s="580"/>
      <c r="BC62" s="585">
        <f>BC61/Model!BC111</f>
        <v>2.7332477637220132</v>
      </c>
      <c r="BD62" s="585">
        <f>BD61/Model!BD111</f>
        <v>2.6043144824707851</v>
      </c>
      <c r="BE62" s="585">
        <f>BE61/Model!BE111</f>
        <v>2.4364310002626892</v>
      </c>
      <c r="BF62" s="585">
        <f>BF61/Model!BF111</f>
        <v>1.6673068281514132</v>
      </c>
      <c r="BG62" s="581"/>
      <c r="BH62" s="585"/>
      <c r="BI62" s="585">
        <f>BI61/Model!BI111</f>
        <v>1.850101373863974</v>
      </c>
      <c r="BJ62" s="585">
        <f>BJ61/Model!BJ111</f>
        <v>1.3985647167075619</v>
      </c>
      <c r="BK62" s="585">
        <f>BK61/Model!BK111</f>
        <v>1.4183166749899769</v>
      </c>
      <c r="BL62" s="585">
        <f>BL61/Model!BL111</f>
        <v>1.6763821416232452</v>
      </c>
      <c r="BM62" s="581"/>
      <c r="BN62" s="580"/>
      <c r="BO62" s="585">
        <f>BO61/Model!BO111</f>
        <v>1.9766434327734832</v>
      </c>
      <c r="BP62" s="585">
        <f>BP61/Model!BP111</f>
        <v>2.2157749292036608</v>
      </c>
      <c r="BQ62" s="585">
        <f>BQ61/Model!BQ111</f>
        <v>1.501671376961327</v>
      </c>
      <c r="BR62" s="585">
        <f>BR61/Model!BR111</f>
        <v>2.0185355012205788</v>
      </c>
      <c r="BS62" s="581"/>
      <c r="BT62" s="580"/>
      <c r="BU62" s="585">
        <f>BU61/Model!BU111</f>
        <v>2.444529025481911</v>
      </c>
      <c r="BV62" s="585">
        <f>BV61/Model!BV111</f>
        <v>-1.504274352603673</v>
      </c>
      <c r="BW62" s="585">
        <f>BW61/Model!BW111</f>
        <v>-1.2333099503645713</v>
      </c>
      <c r="BX62" s="585">
        <f>BX61/Model!BX111</f>
        <v>-0.85040246630738126</v>
      </c>
      <c r="BY62" s="581"/>
      <c r="BZ62" s="580"/>
      <c r="CA62" s="585">
        <f>CA61/Model!CA111</f>
        <v>0.31179629629629607</v>
      </c>
      <c r="CB62" s="585">
        <f>CB61/Model!CB111</f>
        <v>0.12028435141017903</v>
      </c>
      <c r="CC62" s="585">
        <f>CC61/Model!CC111</f>
        <v>0.60402588764809306</v>
      </c>
      <c r="CD62" s="585">
        <f>CD61/Model!CD111</f>
        <v>0.80272398908674081</v>
      </c>
      <c r="CE62" s="581"/>
      <c r="CF62" s="580"/>
      <c r="CG62" s="585">
        <f>CG61/Model!CG111</f>
        <v>1.2731239933163736</v>
      </c>
      <c r="CH62" s="585">
        <f>CH61/Model!CH111</f>
        <v>1.4631645770984518</v>
      </c>
      <c r="CI62" s="585">
        <f>CI61/Model!CI111</f>
        <v>1.7889070868930104</v>
      </c>
      <c r="CJ62" s="585">
        <f>CJ61/Model!CJ111</f>
        <v>2.3871179343011728</v>
      </c>
      <c r="CK62" s="581"/>
      <c r="CL62" s="580"/>
      <c r="CM62" s="585">
        <f>CM61/Model!CM111</f>
        <v>3.8153054969503453</v>
      </c>
      <c r="CN62" s="585">
        <f>CN61/Model!CN111</f>
        <v>0.17407409536070631</v>
      </c>
      <c r="CO62" s="585">
        <f>CO61/Model!CO111</f>
        <v>0.20570338752156933</v>
      </c>
      <c r="CP62" s="585">
        <f>CP61/Model!CP111</f>
        <v>1.6342155474597264</v>
      </c>
      <c r="CQ62" s="581"/>
      <c r="CR62" s="580"/>
      <c r="CS62" s="585">
        <f>CS61/Model!CS111</f>
        <v>3.873289019420143</v>
      </c>
      <c r="CT62" s="585">
        <f>CT61/Model!CT111</f>
        <v>3.4692289130858005</v>
      </c>
      <c r="CU62" s="585">
        <f>CU61/Model!CU111</f>
        <v>3.6079275876364645</v>
      </c>
      <c r="CV62" s="585">
        <f>CV61/Model!CV111</f>
        <v>4.6426379385801058</v>
      </c>
      <c r="CW62" s="581"/>
      <c r="CX62" s="580"/>
      <c r="CY62" s="585">
        <f>CY61/Model!CY111</f>
        <v>6.5052762386049015</v>
      </c>
      <c r="CZ62" s="585">
        <f>CZ61/Model!CZ111</f>
        <v>6.375101678675442</v>
      </c>
      <c r="DA62" s="585">
        <f>DA61/Model!DA111</f>
        <v>6.776106945649488</v>
      </c>
      <c r="DB62" s="585">
        <f>DB61/Model!DB111</f>
        <v>8.3874236668931186</v>
      </c>
      <c r="DC62" s="581"/>
      <c r="DD62" s="580"/>
      <c r="DE62" s="585">
        <f>DE61/Model!DE111</f>
        <v>10.573247538255169</v>
      </c>
      <c r="DF62" s="585">
        <f>DF61/Model!DF111</f>
        <v>10.5252755971441</v>
      </c>
      <c r="DG62" s="585">
        <f>DG61/Model!DG111</f>
        <v>10.970686918948591</v>
      </c>
      <c r="DH62" s="585">
        <f>DH61/Model!DH111</f>
        <v>13.251988262015907</v>
      </c>
      <c r="DI62" s="581"/>
      <c r="DJ62" s="580"/>
      <c r="DK62" s="585">
        <f>DK61/Model!DK111</f>
        <v>15.652238234459199</v>
      </c>
      <c r="DL62" s="585">
        <f>DL61/Model!DL111</f>
        <v>15.897583091974827</v>
      </c>
      <c r="DM62" s="585">
        <f>DM61/Model!DM111</f>
        <v>16.496730402401088</v>
      </c>
      <c r="DN62" s="585">
        <f>DN61/Model!DN111</f>
        <v>19.108468285034107</v>
      </c>
      <c r="DO62" s="581"/>
      <c r="DP62" s="1687"/>
      <c r="DQ62" s="958"/>
    </row>
    <row r="63" spans="1:128" ht="5.25" customHeight="1">
      <c r="A63" s="1108"/>
      <c r="B63" s="1108"/>
      <c r="C63" s="948"/>
      <c r="D63" s="948"/>
      <c r="E63" s="948"/>
      <c r="F63" s="948"/>
      <c r="G63" s="948"/>
      <c r="H63" s="948"/>
      <c r="I63" s="948"/>
      <c r="J63" s="948"/>
      <c r="K63" s="948"/>
      <c r="L63" s="948"/>
      <c r="M63" s="948"/>
      <c r="N63" s="948"/>
      <c r="O63" s="948"/>
      <c r="P63" s="948"/>
      <c r="Q63" s="948"/>
      <c r="R63" s="948"/>
      <c r="S63" s="948"/>
      <c r="T63" s="948"/>
      <c r="U63" s="948"/>
      <c r="V63" s="948"/>
      <c r="W63" s="948"/>
      <c r="X63" s="948"/>
      <c r="Y63" s="948"/>
      <c r="Z63" s="948"/>
      <c r="AA63" s="948"/>
      <c r="AB63" s="948"/>
      <c r="AC63" s="976"/>
      <c r="AD63" s="948"/>
      <c r="AE63" s="948"/>
      <c r="AF63" s="948"/>
      <c r="AG63" s="948"/>
      <c r="AH63" s="948"/>
      <c r="AI63" s="976"/>
      <c r="AJ63" s="948"/>
      <c r="AK63" s="948"/>
      <c r="AL63" s="948"/>
      <c r="AM63" s="948"/>
      <c r="AN63" s="948"/>
      <c r="AO63" s="976"/>
      <c r="AP63" s="948"/>
      <c r="AQ63" s="948"/>
      <c r="AR63" s="948"/>
      <c r="AS63" s="948"/>
      <c r="AT63" s="948"/>
      <c r="AU63" s="976"/>
      <c r="AV63" s="948"/>
      <c r="AW63" s="948"/>
      <c r="AX63" s="948"/>
      <c r="AY63" s="948"/>
      <c r="AZ63" s="948"/>
      <c r="BA63" s="976"/>
      <c r="BB63" s="948"/>
      <c r="BC63" s="948"/>
      <c r="BD63" s="948"/>
      <c r="BE63" s="948"/>
      <c r="BF63" s="948"/>
      <c r="BG63" s="976"/>
      <c r="BH63" s="948"/>
      <c r="BI63" s="948"/>
      <c r="BJ63" s="948"/>
      <c r="BK63" s="948"/>
      <c r="BL63" s="948"/>
      <c r="BM63" s="976"/>
      <c r="BN63" s="948"/>
      <c r="BO63" s="948"/>
      <c r="BP63" s="948"/>
      <c r="BQ63" s="948"/>
      <c r="BR63" s="948"/>
      <c r="BS63" s="976"/>
      <c r="BT63" s="948"/>
      <c r="BU63" s="948"/>
      <c r="BV63" s="948"/>
      <c r="BW63" s="948"/>
      <c r="BX63" s="948"/>
      <c r="BY63" s="976"/>
      <c r="BZ63" s="948"/>
      <c r="CA63" s="948"/>
      <c r="CB63" s="948"/>
      <c r="CC63" s="948"/>
      <c r="CD63" s="948"/>
      <c r="CE63" s="976"/>
      <c r="CF63" s="948"/>
      <c r="CG63" s="948"/>
      <c r="CH63" s="948"/>
      <c r="CI63" s="948"/>
      <c r="CJ63" s="948"/>
      <c r="CK63" s="976"/>
      <c r="CL63" s="948"/>
      <c r="CM63" s="948"/>
      <c r="CN63" s="948"/>
      <c r="CO63" s="948"/>
      <c r="CP63" s="948"/>
      <c r="CQ63" s="976"/>
      <c r="CR63" s="948"/>
      <c r="CS63" s="948"/>
      <c r="CT63" s="948"/>
      <c r="CU63" s="948"/>
      <c r="CV63" s="948"/>
      <c r="CW63" s="976"/>
      <c r="CX63" s="948"/>
      <c r="CY63" s="948"/>
      <c r="CZ63" s="948"/>
      <c r="DA63" s="948"/>
      <c r="DB63" s="948"/>
      <c r="DC63" s="976"/>
      <c r="DD63" s="948"/>
      <c r="DE63" s="948"/>
      <c r="DF63" s="948"/>
      <c r="DG63" s="948"/>
      <c r="DH63" s="948"/>
      <c r="DI63" s="976"/>
      <c r="DJ63" s="948"/>
      <c r="DK63" s="948"/>
      <c r="DL63" s="948"/>
      <c r="DM63" s="948"/>
      <c r="DN63" s="948"/>
      <c r="DO63" s="976"/>
      <c r="DP63" s="948"/>
      <c r="DQ63" s="948"/>
    </row>
    <row r="64" spans="1:128" ht="20.100000000000001" customHeight="1">
      <c r="A64" s="1109" t="s">
        <v>445</v>
      </c>
      <c r="B64" s="1109"/>
      <c r="C64" s="1110"/>
      <c r="D64" s="1110"/>
      <c r="E64" s="1110"/>
      <c r="F64" s="975"/>
      <c r="G64" s="1111"/>
      <c r="H64" s="975"/>
      <c r="I64" s="975"/>
      <c r="J64" s="975"/>
      <c r="K64" s="1112"/>
      <c r="L64" s="975"/>
      <c r="M64" s="1111"/>
      <c r="N64" s="1111"/>
      <c r="O64" s="975"/>
      <c r="P64" s="975"/>
      <c r="Q64" s="1112"/>
      <c r="R64" s="975"/>
      <c r="S64" s="991"/>
      <c r="T64" s="991"/>
      <c r="U64" s="991"/>
      <c r="V64" s="991"/>
      <c r="W64" s="1113"/>
      <c r="X64" s="975"/>
      <c r="Y64" s="991"/>
      <c r="Z64" s="991"/>
      <c r="AA64" s="991"/>
      <c r="AB64" s="991"/>
      <c r="AC64" s="992"/>
      <c r="AD64" s="975"/>
      <c r="AE64" s="991"/>
      <c r="AF64" s="991"/>
      <c r="AG64" s="991"/>
      <c r="AH64" s="991"/>
      <c r="AI64" s="992"/>
      <c r="AJ64" s="975"/>
      <c r="AK64" s="991"/>
      <c r="AL64" s="991"/>
      <c r="AM64" s="991"/>
      <c r="AN64" s="991"/>
      <c r="AO64" s="992"/>
      <c r="AP64" s="975"/>
      <c r="AQ64" s="991"/>
      <c r="AR64" s="991"/>
      <c r="AS64" s="991"/>
      <c r="AT64" s="991"/>
      <c r="AU64" s="992"/>
      <c r="AV64" s="975"/>
      <c r="AW64" s="991"/>
      <c r="AX64" s="991"/>
      <c r="AY64" s="991"/>
      <c r="AZ64" s="991"/>
      <c r="BA64" s="992"/>
      <c r="BB64" s="975"/>
      <c r="BC64" s="991"/>
      <c r="BD64" s="991"/>
      <c r="BE64" s="991"/>
      <c r="BF64" s="991"/>
      <c r="BG64" s="992"/>
      <c r="BH64" s="975"/>
      <c r="BI64" s="991"/>
      <c r="BJ64" s="991"/>
      <c r="BK64" s="991"/>
      <c r="BL64" s="991"/>
      <c r="BM64" s="992"/>
      <c r="BN64" s="975"/>
      <c r="BO64" s="991"/>
      <c r="BP64" s="991"/>
      <c r="BQ64" s="991"/>
      <c r="BR64" s="991"/>
      <c r="BS64" s="992"/>
      <c r="BT64" s="975"/>
      <c r="BU64" s="991"/>
      <c r="BV64" s="991"/>
      <c r="BW64" s="991"/>
      <c r="BX64" s="991"/>
      <c r="BY64" s="992"/>
      <c r="BZ64" s="975"/>
      <c r="CA64" s="991"/>
      <c r="CB64" s="991"/>
      <c r="CC64" s="991"/>
      <c r="CD64" s="991"/>
      <c r="CE64" s="992"/>
      <c r="CF64" s="975"/>
      <c r="CG64" s="991"/>
      <c r="CH64" s="991"/>
      <c r="CI64" s="991"/>
      <c r="CJ64" s="991"/>
      <c r="CK64" s="992"/>
      <c r="CL64" s="975"/>
      <c r="CM64" s="991"/>
      <c r="CN64" s="1788"/>
      <c r="CO64" s="1788"/>
      <c r="CP64" s="1788"/>
      <c r="CQ64" s="1787"/>
      <c r="CR64" s="1789"/>
      <c r="CS64" s="1788"/>
      <c r="CT64" s="1788"/>
      <c r="CU64" s="1788"/>
      <c r="CV64" s="1788"/>
      <c r="CW64" s="1787"/>
      <c r="CX64" s="1789"/>
      <c r="CY64" s="1788"/>
      <c r="CZ64" s="1788"/>
      <c r="DA64" s="1788"/>
      <c r="DB64" s="1788"/>
      <c r="DC64" s="1787"/>
      <c r="DD64" s="1789"/>
      <c r="DE64" s="1788"/>
      <c r="DF64" s="1788"/>
      <c r="DG64" s="1788"/>
      <c r="DH64" s="1788"/>
      <c r="DI64" s="1787"/>
      <c r="DJ64" s="1789"/>
      <c r="DK64" s="1788"/>
      <c r="DL64" s="1788"/>
      <c r="DM64" s="1788"/>
      <c r="DN64" s="1788"/>
      <c r="DO64" s="1787"/>
      <c r="DP64" s="948"/>
      <c r="DQ64" s="948"/>
    </row>
    <row r="65" spans="1:121" ht="10.5" customHeight="1">
      <c r="A65" s="1114" t="s">
        <v>641</v>
      </c>
      <c r="B65" s="1114"/>
      <c r="C65" s="1011"/>
      <c r="D65" s="1011"/>
      <c r="E65" s="1011"/>
      <c r="F65" s="993"/>
      <c r="G65" s="993"/>
      <c r="H65" s="993"/>
      <c r="I65" s="993"/>
      <c r="J65" s="994"/>
      <c r="K65" s="1011"/>
      <c r="L65" s="993"/>
      <c r="M65" s="994"/>
      <c r="N65" s="994"/>
      <c r="O65" s="994"/>
      <c r="P65" s="994"/>
      <c r="Q65" s="1011"/>
      <c r="R65" s="993"/>
      <c r="S65" s="994"/>
      <c r="T65" s="994"/>
      <c r="U65" s="994"/>
      <c r="V65" s="994"/>
      <c r="W65" s="1011"/>
      <c r="X65" s="993"/>
      <c r="Y65" s="994"/>
      <c r="Z65" s="994"/>
      <c r="AA65" s="994"/>
      <c r="AB65" s="994"/>
      <c r="AC65" s="995"/>
      <c r="AD65" s="993"/>
      <c r="AE65" s="994"/>
      <c r="AF65" s="994"/>
      <c r="AG65" s="994"/>
      <c r="AH65" s="994"/>
      <c r="AI65" s="995"/>
      <c r="AJ65" s="993"/>
      <c r="AK65" s="994"/>
      <c r="AL65" s="994"/>
      <c r="AM65" s="994"/>
      <c r="AN65" s="994"/>
      <c r="AO65" s="995"/>
      <c r="AP65" s="993"/>
      <c r="AQ65" s="994"/>
      <c r="AR65" s="994"/>
      <c r="AS65" s="994"/>
      <c r="AT65" s="994"/>
      <c r="AU65" s="995"/>
      <c r="AV65" s="993"/>
      <c r="AW65" s="994"/>
      <c r="AX65" s="994"/>
      <c r="AY65" s="994"/>
      <c r="AZ65" s="994"/>
      <c r="BA65" s="995"/>
      <c r="BB65" s="993"/>
      <c r="BC65" s="994"/>
      <c r="BD65" s="994"/>
      <c r="BE65" s="994"/>
      <c r="BF65" s="994"/>
      <c r="BG65" s="995"/>
      <c r="BH65" s="993"/>
      <c r="BI65" s="994"/>
      <c r="BJ65" s="994"/>
      <c r="BK65" s="994"/>
      <c r="BL65" s="994"/>
      <c r="BM65" s="995"/>
      <c r="BN65" s="993"/>
      <c r="BO65" s="994"/>
      <c r="BP65" s="994"/>
      <c r="BQ65" s="994"/>
      <c r="BR65" s="994"/>
      <c r="BS65" s="995"/>
      <c r="BT65" s="993"/>
      <c r="BU65" s="994"/>
      <c r="BV65" s="994"/>
      <c r="BW65" s="994"/>
      <c r="BX65" s="994"/>
      <c r="BY65" s="995"/>
      <c r="BZ65" s="993"/>
      <c r="CA65" s="994"/>
      <c r="CB65" s="994"/>
      <c r="CC65" s="994"/>
      <c r="CD65" s="994"/>
      <c r="CE65" s="995"/>
      <c r="CF65" s="993"/>
      <c r="CG65" s="994"/>
      <c r="CH65" s="994"/>
      <c r="CI65" s="994"/>
      <c r="CJ65" s="994"/>
      <c r="CK65" s="995"/>
      <c r="CL65" s="993"/>
      <c r="CM65" s="994"/>
      <c r="CN65" s="994"/>
      <c r="CO65" s="994"/>
      <c r="CP65" s="994"/>
      <c r="CQ65" s="995"/>
      <c r="CR65" s="993"/>
      <c r="CS65" s="994"/>
      <c r="CT65" s="994"/>
      <c r="CU65" s="994"/>
      <c r="CV65" s="994"/>
      <c r="CW65" s="995"/>
      <c r="CX65" s="993"/>
      <c r="CY65" s="994"/>
      <c r="CZ65" s="994"/>
      <c r="DA65" s="994"/>
      <c r="DB65" s="994"/>
      <c r="DC65" s="995"/>
      <c r="DD65" s="993"/>
      <c r="DE65" s="994"/>
      <c r="DF65" s="994"/>
      <c r="DG65" s="994"/>
      <c r="DH65" s="994"/>
      <c r="DI65" s="995"/>
      <c r="DJ65" s="993"/>
      <c r="DK65" s="994"/>
      <c r="DL65" s="994"/>
      <c r="DM65" s="994"/>
      <c r="DN65" s="994"/>
      <c r="DO65" s="995"/>
      <c r="DP65" s="1068"/>
      <c r="DQ65" s="956"/>
    </row>
    <row r="66" spans="1:121" ht="10.5" customHeight="1">
      <c r="A66" s="1115" t="s">
        <v>76</v>
      </c>
      <c r="B66" s="1115"/>
      <c r="C66" s="977"/>
      <c r="D66" s="993">
        <f>(D12*360)/Model!D19</f>
        <v>113.79576816927322</v>
      </c>
      <c r="E66" s="993">
        <f>(E12*360)/Model!E19</f>
        <v>91.714935963229038</v>
      </c>
      <c r="F66" s="993"/>
      <c r="G66" s="993">
        <f>(G12*90)/Model!G19</f>
        <v>54.331087584215581</v>
      </c>
      <c r="H66" s="993">
        <f>(H12*90)/Model!H19</f>
        <v>54.23630396364554</v>
      </c>
      <c r="I66" s="993">
        <f>(I12*90)/Model!I19</f>
        <v>41.654569797759144</v>
      </c>
      <c r="J66" s="993">
        <f>(J12*90)/Model!J19</f>
        <v>55.395734292689191</v>
      </c>
      <c r="K66" s="993">
        <f>J66</f>
        <v>55.395734292689191</v>
      </c>
      <c r="L66" s="993"/>
      <c r="M66" s="993">
        <f>(M12*90)/Model!M19</f>
        <v>57.693649870459474</v>
      </c>
      <c r="N66" s="993">
        <f>(N12*90)/Model!N19</f>
        <v>63.798732830782043</v>
      </c>
      <c r="O66" s="993">
        <f>(O12*90)/Model!O19</f>
        <v>58.765038924274585</v>
      </c>
      <c r="P66" s="993">
        <f>(P12*90)/Model!P19</f>
        <v>79.467607227231895</v>
      </c>
      <c r="Q66" s="993">
        <f>P66</f>
        <v>79.467607227231895</v>
      </c>
      <c r="R66" s="993"/>
      <c r="S66" s="993">
        <f>(S12*90)/Model!S19</f>
        <v>63.265306122448976</v>
      </c>
      <c r="T66" s="993">
        <f>(T12*90)/Model!T19</f>
        <v>66.409403415391438</v>
      </c>
      <c r="U66" s="993">
        <f>(U12*90)/Model!U19</f>
        <v>72.866202195811127</v>
      </c>
      <c r="V66" s="993">
        <f>(V12*90)/Model!V19</f>
        <v>80.570392350807793</v>
      </c>
      <c r="W66" s="993">
        <f>V66</f>
        <v>80.570392350807793</v>
      </c>
      <c r="X66" s="993"/>
      <c r="Y66" s="993">
        <f>(Y12*90)/Model!Y19</f>
        <v>59.436714087601487</v>
      </c>
      <c r="Z66" s="993">
        <f>(Z12*90)/Model!Z19</f>
        <v>62.779700596305389</v>
      </c>
      <c r="AA66" s="993">
        <f>(AA12*90)/Model!AA19</f>
        <v>58.140263447558453</v>
      </c>
      <c r="AB66" s="993">
        <f>(AB12*90)/Model!AB19</f>
        <v>75.238513572871838</v>
      </c>
      <c r="AC66" s="996">
        <f>AB66</f>
        <v>75.238513572871838</v>
      </c>
      <c r="AD66" s="993"/>
      <c r="AE66" s="993">
        <f>(AE12*90)/Model!AE19</f>
        <v>62.189117933630101</v>
      </c>
      <c r="AF66" s="993">
        <f>(AF12*90)/Model!AF19</f>
        <v>57.673379212270497</v>
      </c>
      <c r="AG66" s="993">
        <f>(AG12*90)/Model!AG19</f>
        <v>57.305252473991374</v>
      </c>
      <c r="AH66" s="993">
        <f>(AH12*90)/Model!AH19</f>
        <v>80.309314806340225</v>
      </c>
      <c r="AI66" s="996">
        <f>AH66</f>
        <v>80.309314806340225</v>
      </c>
      <c r="AJ66" s="993"/>
      <c r="AK66" s="993">
        <f>(AK12*90)/Model!AK19</f>
        <v>58.192559663079081</v>
      </c>
      <c r="AL66" s="993">
        <f>(AL12*90)/Model!AL19</f>
        <v>58.127750185469409</v>
      </c>
      <c r="AM66" s="993">
        <f>(AM12*90)/Model!AM19</f>
        <v>56.931116217071313</v>
      </c>
      <c r="AN66" s="993">
        <f>(AN12*90)/Model!AN19</f>
        <v>91.30909241791376</v>
      </c>
      <c r="AO66" s="996">
        <f>AN66</f>
        <v>91.30909241791376</v>
      </c>
      <c r="AP66" s="993"/>
      <c r="AQ66" s="993">
        <f>(AQ12*90)/Model!AQ19</f>
        <v>52.304762904749978</v>
      </c>
      <c r="AR66" s="993">
        <f>(AR12*90)/Model!AR19</f>
        <v>50.283301086754065</v>
      </c>
      <c r="AS66" s="993">
        <f>(AS12*90)/Model!AS19</f>
        <v>51.326825492699484</v>
      </c>
      <c r="AT66" s="993">
        <f>(AT12*90)/Model!AT19</f>
        <v>82.84308816470579</v>
      </c>
      <c r="AU66" s="996">
        <f>AT66</f>
        <v>82.84308816470579</v>
      </c>
      <c r="AV66" s="993"/>
      <c r="AW66" s="993">
        <f>(AW12*90)/Model!AW19</f>
        <v>43.054039695137149</v>
      </c>
      <c r="AX66" s="993">
        <f>(AX12*90)/Model!AX19</f>
        <v>48.07863039096884</v>
      </c>
      <c r="AY66" s="993">
        <f>(AY12*90)/Model!AY19</f>
        <v>52.085258161422367</v>
      </c>
      <c r="AZ66" s="993">
        <f>(AZ12*90)/Model!AZ19</f>
        <v>81.587689839541994</v>
      </c>
      <c r="BA66" s="996">
        <f>AZ66</f>
        <v>81.587689839541994</v>
      </c>
      <c r="BB66" s="993"/>
      <c r="BC66" s="993">
        <f>(BC12*90)/Model!BC19</f>
        <v>43.854856387651168</v>
      </c>
      <c r="BD66" s="993">
        <f>(BD12*90)/Model!BD19</f>
        <v>52.15760753806051</v>
      </c>
      <c r="BE66" s="993">
        <f>(BE12*90)/Model!BE19</f>
        <v>54.275146998161219</v>
      </c>
      <c r="BF66" s="993">
        <f>(BF12*90)/Model!BF19</f>
        <v>84.105155329669245</v>
      </c>
      <c r="BG66" s="996">
        <f>BF66</f>
        <v>84.105155329669245</v>
      </c>
      <c r="BH66" s="993"/>
      <c r="BI66" s="993">
        <f>(BI12*90)/Model!BI19</f>
        <v>48.325098539943369</v>
      </c>
      <c r="BJ66" s="993">
        <f>(BJ12*90)/Model!BJ19</f>
        <v>56.438859198317957</v>
      </c>
      <c r="BK66" s="993">
        <f>(BK12*90)/Model!BK19</f>
        <v>48.111782425632427</v>
      </c>
      <c r="BL66" s="993">
        <f>(BL12*90)/Model!BL19</f>
        <v>97.382155454943955</v>
      </c>
      <c r="BM66" s="996">
        <f>BL66</f>
        <v>97.382155454943955</v>
      </c>
      <c r="BN66" s="993"/>
      <c r="BO66" s="993">
        <f>(BO12*90)/Model!BO19</f>
        <v>48.062021634383797</v>
      </c>
      <c r="BP66" s="993">
        <f>(BP12*90)/Model!BP19</f>
        <v>54.975172521249945</v>
      </c>
      <c r="BQ66" s="993">
        <f>(BQ12*90)/Model!BQ19</f>
        <v>47.784367793931487</v>
      </c>
      <c r="BR66" s="993">
        <f>(BR12*90)/Model!BR19</f>
        <v>94.092305922861541</v>
      </c>
      <c r="BS66" s="996">
        <f>BR66</f>
        <v>94.092305922861541</v>
      </c>
      <c r="BT66" s="993"/>
      <c r="BU66" s="993">
        <f>(BU12*90)/Model!BU19</f>
        <v>50.675708829944668</v>
      </c>
      <c r="BV66" s="993">
        <f>(BV12*90)/Model!BV19</f>
        <v>56.377816598996546</v>
      </c>
      <c r="BW66" s="993">
        <f>(BW12*90)/Model!BW19</f>
        <v>50.52261359771159</v>
      </c>
      <c r="BX66" s="993">
        <f>(BX12*90)/Model!BX19</f>
        <v>106.94275096442499</v>
      </c>
      <c r="BY66" s="996">
        <f>BX66</f>
        <v>106.94275096442499</v>
      </c>
      <c r="BZ66" s="993"/>
      <c r="CA66" s="993">
        <f>(CA12*90)/Model!CA19</f>
        <v>50.191844939401946</v>
      </c>
      <c r="CB66" s="993">
        <f>(CB12*90)/Model!CB19</f>
        <v>56.948172653162445</v>
      </c>
      <c r="CC66" s="993">
        <f>(CC12*90)/Model!CC19</f>
        <v>51.684198734511135</v>
      </c>
      <c r="CD66" s="993">
        <f>(CD12*90)/Model!CD19</f>
        <v>118.71423943381181</v>
      </c>
      <c r="CE66" s="996">
        <f>CD66</f>
        <v>118.71423943381181</v>
      </c>
      <c r="CF66" s="993"/>
      <c r="CG66" s="993">
        <f>(CG12*90)/Model!CG19</f>
        <v>55.17212194284285</v>
      </c>
      <c r="CH66" s="993">
        <f>(CH12*90)/Model!CH19</f>
        <v>58.789288939024303</v>
      </c>
      <c r="CI66" s="993">
        <f>(CI12*90)/Model!CI19</f>
        <v>55.763539834587938</v>
      </c>
      <c r="CJ66" s="993">
        <f>(CJ12*90)/Model!CJ19</f>
        <v>124.15999686083437</v>
      </c>
      <c r="CK66" s="996">
        <f>CJ66</f>
        <v>124.15999686083437</v>
      </c>
      <c r="CL66" s="993"/>
      <c r="CM66" s="993">
        <f>(CM12*90)/Model!CM19</f>
        <v>56.019347773117325</v>
      </c>
      <c r="CN66" s="993">
        <f>(CN12*90)/Model!CN19</f>
        <v>58.469609912119019</v>
      </c>
      <c r="CO66" s="993">
        <f>(CO12*90)/Model!CO19</f>
        <v>53.771724306745462</v>
      </c>
      <c r="CP66" s="993">
        <f>(CP12*90)/Model!CP19</f>
        <v>125.41385133662426</v>
      </c>
      <c r="CQ66" s="996">
        <f>CP66</f>
        <v>125.41385133662426</v>
      </c>
      <c r="CR66" s="993"/>
      <c r="CS66" s="993">
        <f>(CS12*90)/Model!CS19</f>
        <v>54.2762145252576</v>
      </c>
      <c r="CT66" s="993">
        <f>(CT12*90)/Model!CT19</f>
        <v>55.137252697446776</v>
      </c>
      <c r="CU66" s="993">
        <f>(CU12*90)/Model!CU19</f>
        <v>51.044983638954704</v>
      </c>
      <c r="CV66" s="993">
        <f>(CV12*90)/Model!CV19</f>
        <v>123.66387899276148</v>
      </c>
      <c r="CW66" s="996">
        <f>CV66</f>
        <v>123.66387899276148</v>
      </c>
      <c r="CX66" s="993"/>
      <c r="CY66" s="993">
        <f>(CY12*90)/Model!CY19</f>
        <v>56.200486550754917</v>
      </c>
      <c r="CZ66" s="993">
        <f>(CZ12*90)/Model!CZ19</f>
        <v>56.767088862476193</v>
      </c>
      <c r="DA66" s="993">
        <f>(DA12*90)/Model!DA19</f>
        <v>54.372281441568923</v>
      </c>
      <c r="DB66" s="993">
        <f>(DB12*90)/Model!DB19</f>
        <v>132.39570098592887</v>
      </c>
      <c r="DC66" s="996">
        <f>DB66</f>
        <v>132.39570098592887</v>
      </c>
      <c r="DD66" s="993"/>
      <c r="DE66" s="993">
        <f>(DE12*90)/Model!DE19</f>
        <v>60.23351068897869</v>
      </c>
      <c r="DF66" s="993">
        <f>(DF12*90)/Model!DF19</f>
        <v>62.762240995787863</v>
      </c>
      <c r="DG66" s="993">
        <f>(DG12*90)/Model!DG19</f>
        <v>60.922568409546287</v>
      </c>
      <c r="DH66" s="993">
        <f>(DH12*90)/Model!DH19</f>
        <v>137.54813244572082</v>
      </c>
      <c r="DI66" s="996">
        <f>DH66</f>
        <v>137.54813244572082</v>
      </c>
      <c r="DJ66" s="993"/>
      <c r="DK66" s="993">
        <f>(DK12*90)/Model!DK19</f>
        <v>63.508577396476205</v>
      </c>
      <c r="DL66" s="993">
        <f>(DL12*90)/Model!DL19</f>
        <v>64.51548720249329</v>
      </c>
      <c r="DM66" s="993">
        <f>(DM12*90)/Model!DM19</f>
        <v>62.728747228400408</v>
      </c>
      <c r="DN66" s="993">
        <f>(DN12*90)/Model!DN19</f>
        <v>143.39114379484951</v>
      </c>
      <c r="DO66" s="996">
        <f>DN66</f>
        <v>143.39114379484951</v>
      </c>
      <c r="DP66" s="1062"/>
      <c r="DQ66" s="956"/>
    </row>
    <row r="67" spans="1:121" ht="10.5" customHeight="1">
      <c r="A67" s="1115" t="s">
        <v>908</v>
      </c>
      <c r="B67" s="1115"/>
      <c r="C67" s="982"/>
      <c r="D67" s="1011">
        <f>(D31*360)/Model!D19</f>
        <v>39.742410303587853</v>
      </c>
      <c r="E67" s="1011">
        <f>(E31*360)/Model!E19</f>
        <v>12.932303985006023</v>
      </c>
      <c r="F67" s="993"/>
      <c r="G67" s="1011">
        <f>(G31*90)/Model!G19</f>
        <v>7.2690086621751675</v>
      </c>
      <c r="H67" s="1011">
        <f>(H31*90)/Model!H19</f>
        <v>5.3433476394849775</v>
      </c>
      <c r="I67" s="1011">
        <f>(I31*90)/Model!I19</f>
        <v>4.1587978296103154</v>
      </c>
      <c r="J67" s="1011">
        <f>(J31*90)/Model!J19</f>
        <v>3.5037903122189382</v>
      </c>
      <c r="K67" s="993">
        <f>J67</f>
        <v>3.5037903122189382</v>
      </c>
      <c r="L67" s="993"/>
      <c r="M67" s="1011">
        <f>(M31*90)/Model!M19</f>
        <v>5.2190292391476758</v>
      </c>
      <c r="N67" s="1011">
        <f>(N31*90)/Model!N19</f>
        <v>6.6075475188456743</v>
      </c>
      <c r="O67" s="1011">
        <f>(O31*90)/Model!O19</f>
        <v>7.5300778485491859</v>
      </c>
      <c r="P67" s="1011">
        <f>(P31*90)/Model!P19</f>
        <v>7.6934083119821652</v>
      </c>
      <c r="Q67" s="993">
        <f>P67</f>
        <v>7.6934083119821652</v>
      </c>
      <c r="R67" s="993"/>
      <c r="S67" s="1011">
        <f>(S31*90)/Model!S19</f>
        <v>6.0501162490312588</v>
      </c>
      <c r="T67" s="1011">
        <f>(T31*90)/Model!T19</f>
        <v>5.5156353958749165</v>
      </c>
      <c r="U67" s="1011">
        <f>(U31*90)/Model!U19</f>
        <v>8.2659994391837959</v>
      </c>
      <c r="V67" s="1011">
        <f>(V31*90)/Model!V19</f>
        <v>4.1625453346521599</v>
      </c>
      <c r="W67" s="993">
        <f>V67</f>
        <v>4.1625453346521599</v>
      </c>
      <c r="X67" s="993"/>
      <c r="Y67" s="1011">
        <f>(Y31*90)/Model!Y19</f>
        <v>5.0976206429094537</v>
      </c>
      <c r="Z67" s="1011">
        <f>(Z31*90)/Model!Z19</f>
        <v>4.9301530378216079</v>
      </c>
      <c r="AA67" s="1011">
        <f>(AA31*90)/Model!AA19</f>
        <v>6.3880589793523885</v>
      </c>
      <c r="AB67" s="1011">
        <f>(AB31*90)/Model!AB19</f>
        <v>10.09268206975314</v>
      </c>
      <c r="AC67" s="996">
        <f>AB67</f>
        <v>10.09268206975314</v>
      </c>
      <c r="AD67" s="993"/>
      <c r="AE67" s="1011">
        <f>(AE31*90)/Model!AE19</f>
        <v>6.6369906195670865</v>
      </c>
      <c r="AF67" s="1011">
        <f>(AF31*90)/Model!AF19</f>
        <v>4.5907717311257272</v>
      </c>
      <c r="AG67" s="1011">
        <f>(AG31*90)/Model!AG19</f>
        <v>3.9168646628682158</v>
      </c>
      <c r="AH67" s="1011">
        <f>(AH31*90)/Model!AH19</f>
        <v>5.5352165411657026</v>
      </c>
      <c r="AI67" s="996">
        <f>AH67</f>
        <v>5.5352165411657026</v>
      </c>
      <c r="AJ67" s="993"/>
      <c r="AK67" s="1011">
        <f>(AK31*90)/Model!AK19</f>
        <v>6.4314213235475206</v>
      </c>
      <c r="AL67" s="1011">
        <f>(AL31*90)/Model!AL19</f>
        <v>3.6773908562173312</v>
      </c>
      <c r="AM67" s="1011">
        <f>(AM31*90)/Model!AM19</f>
        <v>5.8900535780044923</v>
      </c>
      <c r="AN67" s="1011">
        <f>(AN31*90)/Model!AN19</f>
        <v>3.1028187325385188</v>
      </c>
      <c r="AO67" s="996">
        <f>AN67</f>
        <v>3.1028187325385188</v>
      </c>
      <c r="AP67" s="993"/>
      <c r="AQ67" s="1011">
        <f>(AQ31*90)/Model!AQ19</f>
        <v>7.0201759132871882</v>
      </c>
      <c r="AR67" s="1011">
        <f>(AR31*90)/Model!AR19</f>
        <v>4.9358932935984523</v>
      </c>
      <c r="AS67" s="1011">
        <f>(AS31*90)/Model!AS19</f>
        <v>6.7950753561650288</v>
      </c>
      <c r="AT67" s="1011">
        <f>(AT31*90)/Model!AT19</f>
        <v>5.0904576580807577</v>
      </c>
      <c r="AU67" s="996">
        <f>AT67</f>
        <v>5.0904576580807577</v>
      </c>
      <c r="AV67" s="993"/>
      <c r="AW67" s="1011">
        <f>(AW31*90)/Model!AW19</f>
        <v>4.6507654366333906</v>
      </c>
      <c r="AX67" s="1011">
        <f>(AX31*90)/Model!AX19</f>
        <v>3.8125868107738698</v>
      </c>
      <c r="AY67" s="1011">
        <f>(AY31*90)/Model!AY19</f>
        <v>4.2521078569289275</v>
      </c>
      <c r="AZ67" s="1011">
        <f>(AZ31*90)/Model!AZ19</f>
        <v>3.7599032902225402</v>
      </c>
      <c r="BA67" s="996">
        <f>AZ67</f>
        <v>3.7599032902225402</v>
      </c>
      <c r="BB67" s="993"/>
      <c r="BC67" s="1011">
        <f>(BC31*90)/Model!BC19</f>
        <v>3.1367548359531123</v>
      </c>
      <c r="BD67" s="1011">
        <f>(BD31*90)/Model!BD19</f>
        <v>4.7342356962461842</v>
      </c>
      <c r="BE67" s="1011">
        <f>(BE31*90)/Model!BE19</f>
        <v>4.8913157471561712</v>
      </c>
      <c r="BF67" s="1011">
        <f>(BF31*90)/Model!BF19</f>
        <v>3.5667710734196172</v>
      </c>
      <c r="BG67" s="996">
        <f>BF67</f>
        <v>3.5667710734196172</v>
      </c>
      <c r="BH67" s="993"/>
      <c r="BI67" s="1011">
        <f>(BI31*90)/Model!BI19</f>
        <v>3.0279916885424019</v>
      </c>
      <c r="BJ67" s="1011">
        <f>(BJ31*90)/Model!BJ19</f>
        <v>3.6792722370980333</v>
      </c>
      <c r="BK67" s="1011">
        <f>(BK31*90)/Model!BK19</f>
        <v>4.3539691233355011</v>
      </c>
      <c r="BL67" s="1011">
        <f>(BL31*90)/Model!BL19</f>
        <v>4.736759648875716</v>
      </c>
      <c r="BM67" s="996">
        <f>BL67</f>
        <v>4.736759648875716</v>
      </c>
      <c r="BN67" s="993"/>
      <c r="BO67" s="1011">
        <f>(BO31*90)/Model!BO19</f>
        <v>2.5560954006444589</v>
      </c>
      <c r="BP67" s="1011">
        <f>(BP31*90)/Model!BP19</f>
        <v>8.5293767913302698</v>
      </c>
      <c r="BQ67" s="1011">
        <f>(BQ31*90)/Model!BQ19</f>
        <v>6.6141720298630888</v>
      </c>
      <c r="BR67" s="1011">
        <f>(BR31*90)/Model!BR19</f>
        <v>1.5672454506571971</v>
      </c>
      <c r="BS67" s="996">
        <f>BR67</f>
        <v>1.5672454506571971</v>
      </c>
      <c r="BT67" s="993"/>
      <c r="BU67" s="1011">
        <f>(BU31*90)/Model!BU19</f>
        <v>3.1782154592088796</v>
      </c>
      <c r="BV67" s="1011">
        <f>(BV31*90)/Model!BV19</f>
        <v>6.2870627127533965</v>
      </c>
      <c r="BW67" s="1011">
        <f>(BW31*90)/Model!BW19</f>
        <v>3.7776222684413314</v>
      </c>
      <c r="BX67" s="1011">
        <f>(BX31*90)/Model!BX19</f>
        <v>5.1071476596212859</v>
      </c>
      <c r="BY67" s="996">
        <f>BX67</f>
        <v>5.1071476596212859</v>
      </c>
      <c r="BZ67" s="993"/>
      <c r="CA67" s="1011">
        <f>(CA31*90)/Model!CA19</f>
        <v>2.6941192006338586</v>
      </c>
      <c r="CB67" s="1011">
        <f>(CB31*90)/Model!CB19</f>
        <v>5.7065369485139366</v>
      </c>
      <c r="CC67" s="1011">
        <f>(CC31*90)/Model!CC19</f>
        <v>5.7756160314529277</v>
      </c>
      <c r="CD67" s="1011">
        <f>(CD31*90)/Model!CD19</f>
        <v>5.9520160486443379</v>
      </c>
      <c r="CE67" s="996">
        <f>CD67</f>
        <v>5.9520160486443379</v>
      </c>
      <c r="CF67" s="993"/>
      <c r="CG67" s="1011">
        <f>(CG31*90)/Model!CG19</f>
        <v>3.5869166015403988</v>
      </c>
      <c r="CH67" s="1011">
        <f>(CH31*90)/Model!CH19</f>
        <v>5.4663408952433619</v>
      </c>
      <c r="CI67" s="1011">
        <f>(CI31*90)/Model!CI19</f>
        <v>4.6659485842892998</v>
      </c>
      <c r="CJ67" s="1011">
        <f>(CJ31*90)/Model!CJ19</f>
        <v>3.5554864103972696</v>
      </c>
      <c r="CK67" s="996">
        <f>CJ67</f>
        <v>3.5554864103972696</v>
      </c>
      <c r="CL67" s="993"/>
      <c r="CM67" s="1011">
        <f>(CM31*90)/Model!CM19</f>
        <v>2.5631129660133061</v>
      </c>
      <c r="CN67" s="1011">
        <f>(CN31*90)/Model!CN19</f>
        <v>4.481134901095837</v>
      </c>
      <c r="CO67" s="1011">
        <f>(CO31*90)/Model!CO19</f>
        <v>5.8974437878099097</v>
      </c>
      <c r="CP67" s="1011">
        <f>(CP31*90)/Model!CP19</f>
        <v>4.5218763132152402</v>
      </c>
      <c r="CQ67" s="996">
        <f>CP67</f>
        <v>4.5218763132152402</v>
      </c>
      <c r="CR67" s="993"/>
      <c r="CS67" s="1011">
        <f>(CS31*90)/Model!CS19</f>
        <v>4.8274214172599113</v>
      </c>
      <c r="CT67" s="1011">
        <f>(CT31*90)/Model!CT19</f>
        <v>5.2096999167313731</v>
      </c>
      <c r="CU67" s="1011">
        <f>(CU31*90)/Model!CU19</f>
        <v>4.030727942441362</v>
      </c>
      <c r="CV67" s="1011">
        <f>(CV31*90)/Model!CV19</f>
        <v>2.4138347101002702</v>
      </c>
      <c r="CW67" s="996">
        <f>CV67</f>
        <v>2.4138347101002702</v>
      </c>
      <c r="CX67" s="993"/>
      <c r="CY67" s="997">
        <f>CS67</f>
        <v>4.8274214172599113</v>
      </c>
      <c r="CZ67" s="997">
        <f t="shared" ref="CZ67:DB67" si="107">CT67</f>
        <v>5.2096999167313731</v>
      </c>
      <c r="DA67" s="997">
        <f t="shared" si="107"/>
        <v>4.030727942441362</v>
      </c>
      <c r="DB67" s="997">
        <f t="shared" si="107"/>
        <v>2.4138347101002702</v>
      </c>
      <c r="DC67" s="996">
        <f>DB67</f>
        <v>2.4138347101002702</v>
      </c>
      <c r="DD67" s="993"/>
      <c r="DE67" s="997">
        <f>CY67</f>
        <v>4.8274214172599113</v>
      </c>
      <c r="DF67" s="997">
        <f t="shared" ref="DF67" si="108">CZ67</f>
        <v>5.2096999167313731</v>
      </c>
      <c r="DG67" s="997">
        <f t="shared" ref="DG67" si="109">DA67</f>
        <v>4.030727942441362</v>
      </c>
      <c r="DH67" s="997">
        <f t="shared" ref="DH67" si="110">DB67</f>
        <v>2.4138347101002702</v>
      </c>
      <c r="DI67" s="996">
        <f>DH67</f>
        <v>2.4138347101002702</v>
      </c>
      <c r="DJ67" s="993"/>
      <c r="DK67" s="997">
        <f>DE67</f>
        <v>4.8274214172599113</v>
      </c>
      <c r="DL67" s="997">
        <f t="shared" ref="DL67" si="111">DF67</f>
        <v>5.2096999167313731</v>
      </c>
      <c r="DM67" s="997">
        <f t="shared" ref="DM67" si="112">DG67</f>
        <v>4.030727942441362</v>
      </c>
      <c r="DN67" s="997">
        <f t="shared" ref="DN67" si="113">DH67</f>
        <v>2.4138347101002702</v>
      </c>
      <c r="DO67" s="996">
        <f>DN67</f>
        <v>2.4138347101002702</v>
      </c>
      <c r="DP67" s="1062"/>
      <c r="DQ67" s="956"/>
    </row>
    <row r="68" spans="1:121" ht="10.5" customHeight="1">
      <c r="A68" s="1115" t="s">
        <v>482</v>
      </c>
      <c r="B68" s="1115"/>
      <c r="C68" s="982"/>
      <c r="D68" s="1011"/>
      <c r="E68" s="1011"/>
      <c r="F68" s="993"/>
      <c r="G68" s="1011">
        <f>G12/((Model!G19+'MS Revenue Analysis'!O160)/90)</f>
        <v>39.972462627852082</v>
      </c>
      <c r="H68" s="1011">
        <f>H12/((Model!H19+'MS Revenue Analysis'!P160)/90)</f>
        <v>39.067103109656301</v>
      </c>
      <c r="I68" s="1011">
        <f>I12/((Model!I19+'MS Revenue Analysis'!Q160)/90)</f>
        <v>44.321811501836997</v>
      </c>
      <c r="J68" s="1011">
        <f>J12/((Model!J19+'MS Revenue Analysis'!R160)/90)</f>
        <v>42.083455344070273</v>
      </c>
      <c r="K68" s="993">
        <f>J68</f>
        <v>42.083455344070273</v>
      </c>
      <c r="L68" s="993"/>
      <c r="M68" s="1011">
        <f>M12/((Model!M19+'MS Revenue Analysis'!U160)/90)</f>
        <v>45.366705471478461</v>
      </c>
      <c r="N68" s="1011">
        <f>N12/((Model!N19+'MS Revenue Analysis'!V160)/90)</f>
        <v>51.547716912039462</v>
      </c>
      <c r="O68" s="1011">
        <f>O12/((Model!O19+'MS Revenue Analysis'!W160)/90)</f>
        <v>49.176784127924194</v>
      </c>
      <c r="P68" s="1011">
        <f>P12/((Model!P19+'MS Revenue Analysis'!X160)/90)</f>
        <v>52.694938440492479</v>
      </c>
      <c r="Q68" s="993">
        <f>P68</f>
        <v>52.694938440492479</v>
      </c>
      <c r="R68" s="993"/>
      <c r="S68" s="1011">
        <f>S12/((Model!S19+'MS Revenue Analysis'!AA160)/90)</f>
        <v>58.772865447176137</v>
      </c>
      <c r="T68" s="1011">
        <f>T12/((Model!T19+'MS Revenue Analysis'!AB160)/90)</f>
        <v>54.117836057673003</v>
      </c>
      <c r="U68" s="1011">
        <f>U12/((Model!U19+'MS Revenue Analysis'!AC160)/90)</f>
        <v>57.214111510060292</v>
      </c>
      <c r="V68" s="1011">
        <f>V12/((Model!V19+'MS Revenue Analysis'!AD160)/90)</f>
        <v>57.684318199700996</v>
      </c>
      <c r="W68" s="993">
        <f>V68</f>
        <v>57.684318199700996</v>
      </c>
      <c r="X68" s="993"/>
      <c r="Y68" s="1011">
        <f>Y12/((Model!Y19+'MS Revenue Analysis'!AG160)/90)</f>
        <v>52.308905405776052</v>
      </c>
      <c r="Z68" s="1011">
        <f>Z12/((Model!Z19+'MS Revenue Analysis'!AH160)/90)</f>
        <v>53.381555153707033</v>
      </c>
      <c r="AA68" s="1011">
        <f>AA12/((Model!AA19+'MS Revenue Analysis'!AI160)/90)</f>
        <v>51.979301842719963</v>
      </c>
      <c r="AB68" s="1011">
        <f>AB12/((Model!AB19+'MS Revenue Analysis'!AJ160)/90)</f>
        <v>51.465270527082751</v>
      </c>
      <c r="AC68" s="998">
        <f>AC12/((Model!AC19+'MS Revenue Analysis'!AK160)/360)</f>
        <v>71.531691427497563</v>
      </c>
      <c r="AD68" s="993"/>
      <c r="AE68" s="1011">
        <f>AE12/((Model!AE19+'MS Revenue Analysis'!AM160)/90)</f>
        <v>55.384909865840903</v>
      </c>
      <c r="AF68" s="1011">
        <f>AF12/((Model!AF19+'MS Revenue Analysis'!AN160)/90)</f>
        <v>49.039204819450532</v>
      </c>
      <c r="AG68" s="1011">
        <f>AG12/((Model!AG19+'MS Revenue Analysis'!AO160)/90)</f>
        <v>50.820468059571226</v>
      </c>
      <c r="AH68" s="1011">
        <f>AH12/((Model!AH19+'MS Revenue Analysis'!AP160)/90)</f>
        <v>55.456778419374309</v>
      </c>
      <c r="AI68" s="998">
        <f>AI12/((Model!AI19+'MS Revenue Analysis'!AQ160)/360)</f>
        <v>75.703496485213734</v>
      </c>
      <c r="AJ68" s="993"/>
      <c r="AK68" s="1011">
        <f>AK12/((Model!AK19+'MS Revenue Analysis'!AS160)/90)</f>
        <v>54.31051424828037</v>
      </c>
      <c r="AL68" s="1011">
        <f>AL12/((Model!AL19+'MS Revenue Analysis'!AT160)/90)</f>
        <v>50.622364481971225</v>
      </c>
      <c r="AM68" s="1011">
        <f>AM12/((Model!AM19+'MS Revenue Analysis'!AU160)/90)</f>
        <v>51.834821660472514</v>
      </c>
      <c r="AN68" s="1011">
        <f>AN12/((Model!AN19+'MS Revenue Analysis'!AV160)/90)</f>
        <v>55.478806247759046</v>
      </c>
      <c r="AO68" s="998">
        <f>AO12/((Model!AO19+'MS Revenue Analysis'!AW160)/360)</f>
        <v>83.785682330880761</v>
      </c>
      <c r="AP68" s="993"/>
      <c r="AQ68" s="1011">
        <f>AQ12/((Model!AQ19+'MS Revenue Analysis'!AY160)/90)</f>
        <v>54.643223288682613</v>
      </c>
      <c r="AR68" s="1011">
        <f>AR12/((Model!AR19+'MS Revenue Analysis'!AZ160)/90)</f>
        <v>48.575530797646941</v>
      </c>
      <c r="AS68" s="1011">
        <f>AS12/((Model!AS19+'MS Revenue Analysis'!BA160)/90)</f>
        <v>53.255277230509435</v>
      </c>
      <c r="AT68" s="1011">
        <f>AT12/((Model!AT19+'MS Revenue Analysis'!BB160)/90)</f>
        <v>57.93624343416046</v>
      </c>
      <c r="AU68" s="998">
        <f>AU12/((Model!AU19+'MS Revenue Analysis'!BC160)/360)</f>
        <v>80.645196533156962</v>
      </c>
      <c r="AV68" s="993"/>
      <c r="AW68" s="1011">
        <f>AW12/((Model!AW19+'MS Revenue Analysis'!BE160)/90)</f>
        <v>50.44054082091359</v>
      </c>
      <c r="AX68" s="1011">
        <f>AX12/((Model!AX19+'MS Revenue Analysis'!BF160)/90)</f>
        <v>48.133912790071534</v>
      </c>
      <c r="AY68" s="1011">
        <f>AY12/((Model!AY19+'MS Revenue Analysis'!BG160)/90)</f>
        <v>52.654737073895788</v>
      </c>
      <c r="AZ68" s="1011">
        <f>AZ12/((Model!AZ19+'MS Revenue Analysis'!BH160)/90)</f>
        <v>56.312241452583223</v>
      </c>
      <c r="BA68" s="998">
        <f>BA12/((Model!BA19+'MS Revenue Analysis'!BI160)/360)</f>
        <v>81.60445792620267</v>
      </c>
      <c r="BB68" s="993"/>
      <c r="BC68" s="1011">
        <f>BC12/((Model!BC19+'MS Revenue Analysis'!BK160)/90)</f>
        <v>49.036718754636588</v>
      </c>
      <c r="BD68" s="1011">
        <f>BD12/((Model!BD19+'MS Revenue Analysis'!BL160)/90)</f>
        <v>49.821732201074447</v>
      </c>
      <c r="BE68" s="1011">
        <f>BE12/((Model!BE19+'MS Revenue Analysis'!BM160)/90)</f>
        <v>52.853923404255333</v>
      </c>
      <c r="BF68" s="1011">
        <f>BF12/((Model!BF19+'MS Revenue Analysis'!BN160)/90)</f>
        <v>55.109092708364692</v>
      </c>
      <c r="BG68" s="998">
        <f>BG12/((Model!BG19+'MS Revenue Analysis'!BO160)/360)</f>
        <v>81.420180406964548</v>
      </c>
      <c r="BH68" s="993"/>
      <c r="BI68" s="1011">
        <f>BI12/((Model!BI19+'MS Revenue Analysis'!BQ160)/90)</f>
        <v>50.300563815121464</v>
      </c>
      <c r="BJ68" s="1011">
        <f>BJ12/((Model!BJ19+'MS Revenue Analysis'!BR160)/90)</f>
        <v>54.431769807554744</v>
      </c>
      <c r="BK68" s="1011">
        <f>BK12/((Model!BK19+'MS Revenue Analysis'!BS160)/90)</f>
        <v>49.592530190626576</v>
      </c>
      <c r="BL68" s="1011">
        <f>BL12/((Model!BL19+'MS Revenue Analysis'!BT160)/90)</f>
        <v>56.229697538439318</v>
      </c>
      <c r="BM68" s="998">
        <f>BM12/((Model!BM19+'MS Revenue Analysis'!BU160)/360)</f>
        <v>90.766191733965897</v>
      </c>
      <c r="BN68" s="993"/>
      <c r="BO68" s="1011">
        <f>BO12/((Model!BO19+'MS Revenue Analysis'!BW160)/90)</f>
        <v>51.432785341474236</v>
      </c>
      <c r="BP68" s="1011">
        <f>BP12/((Model!BP19+'MS Revenue Analysis'!BX160)/90)</f>
        <v>54.790353581241135</v>
      </c>
      <c r="BQ68" s="1011">
        <f>BQ12/((Model!BQ19+'MS Revenue Analysis'!BY160)/90)</f>
        <v>50.934648935422288</v>
      </c>
      <c r="BR68" s="1011">
        <f>BR12/((Model!BR19+'MS Revenue Analysis'!BZ160)/90)</f>
        <v>55.85957909575788</v>
      </c>
      <c r="BS68" s="998">
        <f>BS12/((Model!BS19+'MS Revenue Analysis'!CA160)/360)</f>
        <v>88.92091047144055</v>
      </c>
      <c r="BT68" s="993"/>
      <c r="BU68" s="1011">
        <f>BU12/((Model!BU19+'MS Revenue Analysis'!CC160)/90)</f>
        <v>59.301164921774834</v>
      </c>
      <c r="BV68" s="1011">
        <f>BV12/((Model!BV19+'MS Revenue Analysis'!CD160)/90)</f>
        <v>53.23582107811702</v>
      </c>
      <c r="BW68" s="1011">
        <f>BW12/((Model!BW19+'MS Revenue Analysis'!CE160)/90)</f>
        <v>53.245625633566917</v>
      </c>
      <c r="BX68" s="1011">
        <f>BX12/((Model!BX19+'MS Revenue Analysis'!CF160)/90)</f>
        <v>63.368821847555132</v>
      </c>
      <c r="BY68" s="998">
        <f>BY12/((Model!BY19+'MS Revenue Analysis'!CG160)/360)</f>
        <v>103.57052448741818</v>
      </c>
      <c r="BZ68" s="993"/>
      <c r="CA68" s="1011">
        <f>CA12/((Model!CA19+'MS Revenue Analysis'!CI160)/90)</f>
        <v>59.822816514973667</v>
      </c>
      <c r="CB68" s="1011">
        <f>CB12/((Model!CB19+'MS Revenue Analysis'!CJ160)/90)</f>
        <v>55.752034391612966</v>
      </c>
      <c r="CC68" s="1011">
        <f>CC12/((Model!CC19+'MS Revenue Analysis'!CK160)/90)</f>
        <v>56.994902480856396</v>
      </c>
      <c r="CD68" s="1011">
        <f>CD12/((Model!CD19+'MS Revenue Analysis'!CL160)/90)</f>
        <v>67.462684101208467</v>
      </c>
      <c r="CE68" s="998">
        <f>CE12/((Model!CE19+'MS Revenue Analysis'!CM160)/360)</f>
        <v>111.12766081530299</v>
      </c>
      <c r="CF68" s="993"/>
      <c r="CG68" s="1011">
        <f>CG12/((Model!CG19+'MS Revenue Analysis'!CO160)/90)</f>
        <v>66.884675798090385</v>
      </c>
      <c r="CH68" s="1011">
        <f>CH12/((Model!CH19+'MS Revenue Analysis'!CP160)/90)</f>
        <v>59.584965790477149</v>
      </c>
      <c r="CI68" s="1011">
        <f>CI12/((Model!CI19+'MS Revenue Analysis'!CQ160)/90)</f>
        <v>62.662433392889731</v>
      </c>
      <c r="CJ68" s="1011">
        <f>CJ12/((Model!CJ19+'MS Revenue Analysis'!CR160)/90)</f>
        <v>69.030242060003516</v>
      </c>
      <c r="CK68" s="998">
        <f>CK12/((Model!CK19+'MS Revenue Analysis'!CS160)/360)</f>
        <v>117.66161428354445</v>
      </c>
      <c r="CL68" s="993"/>
      <c r="CM68" s="1011">
        <f>CM12/((Model!CM19+'MS Revenue Analysis'!CU160)/90)</f>
        <v>65.789962278579708</v>
      </c>
      <c r="CN68" s="1011">
        <f>CN12/((Model!CN19+'MS Revenue Analysis'!CV160)/90)</f>
        <v>64.254307937612808</v>
      </c>
      <c r="CO68" s="1011">
        <f>CO12/((Model!CO19+'MS Revenue Analysis'!CW160)/90)</f>
        <v>63.494613088798538</v>
      </c>
      <c r="CP68" s="1011">
        <f>CP12/((Model!CP19+'MS Revenue Analysis'!CX160)/90)</f>
        <v>66.264532182067811</v>
      </c>
      <c r="CQ68" s="998">
        <f>CQ12/((Model!CQ19+'MS Revenue Analysis'!CY160)/360)</f>
        <v>119.33668718779272</v>
      </c>
      <c r="CR68" s="993"/>
      <c r="CS68" s="1011">
        <f>CS12/((Model!CS19+'MS Revenue Analysis'!DA160)/90)</f>
        <v>68.658874055659879</v>
      </c>
      <c r="CT68" s="1011">
        <f>CT12/((Model!CT19+'MS Revenue Analysis'!DB160)/90)</f>
        <v>60.421257792811424</v>
      </c>
      <c r="CU68" s="1011">
        <f>CU12/((Model!CU19+'MS Revenue Analysis'!DC160)/90)</f>
        <v>60.707898542974277</v>
      </c>
      <c r="CV68" s="1011">
        <f>CV12/((Model!CV19+'MS Revenue Analysis'!DD160)/90)</f>
        <v>63.483945443931582</v>
      </c>
      <c r="CW68" s="998">
        <f>CW12/((Model!CW19+'MS Revenue Analysis'!DE160)/360)</f>
        <v>117.21029944111143</v>
      </c>
      <c r="CX68" s="993"/>
      <c r="CY68" s="997">
        <f>CS68+10.65</f>
        <v>79.308874055659885</v>
      </c>
      <c r="CZ68" s="997">
        <f>CT68+2.25</f>
        <v>62.671257792811424</v>
      </c>
      <c r="DA68" s="997">
        <f>CU68+3.57</f>
        <v>64.27789854297427</v>
      </c>
      <c r="DB68" s="997">
        <f>CV68+2.095</f>
        <v>65.578945443931588</v>
      </c>
      <c r="DC68" s="998">
        <f>DC12/((Model!DC19+'MS Revenue Analysis'!DK160)/360)</f>
        <v>124.34083031746924</v>
      </c>
      <c r="DD68" s="993"/>
      <c r="DE68" s="997">
        <f>CY68+10.8</f>
        <v>90.108874055659882</v>
      </c>
      <c r="DF68" s="997">
        <f>CZ68+7.14</f>
        <v>69.811257792811418</v>
      </c>
      <c r="DG68" s="997">
        <f>DA68+8.18</f>
        <v>72.457898542974277</v>
      </c>
      <c r="DH68" s="997">
        <f>DB68+0.9</f>
        <v>66.478945443931593</v>
      </c>
      <c r="DI68" s="998">
        <f>DI12/((Model!DI19+'MS Revenue Analysis'!DQ160)/360)</f>
        <v>128.66139215474118</v>
      </c>
      <c r="DJ68" s="993"/>
      <c r="DK68" s="997">
        <f>DE68+10.33</f>
        <v>100.43887405565988</v>
      </c>
      <c r="DL68" s="997">
        <f>DF68+1.89</f>
        <v>71.701257792811418</v>
      </c>
      <c r="DM68" s="997">
        <f>DG68+1.87</f>
        <v>74.327898542974282</v>
      </c>
      <c r="DN68" s="997">
        <f>DH68+1.75</f>
        <v>68.228945443931593</v>
      </c>
      <c r="DO68" s="998">
        <f>DO12/((Model!DO19+'MS Revenue Analysis'!DW160)/360)</f>
        <v>133.84216827118459</v>
      </c>
      <c r="DP68" s="1688"/>
      <c r="DQ68" s="956"/>
    </row>
    <row r="69" spans="1:121" ht="9.75" customHeight="1">
      <c r="A69" s="1108"/>
      <c r="B69" s="1108"/>
      <c r="C69" s="948"/>
      <c r="D69" s="948"/>
      <c r="E69" s="948"/>
      <c r="F69" s="948"/>
      <c r="G69" s="948"/>
      <c r="H69" s="948"/>
      <c r="I69" s="948"/>
      <c r="J69" s="948"/>
      <c r="K69" s="948"/>
      <c r="L69" s="948"/>
      <c r="M69" s="948"/>
      <c r="N69" s="948"/>
      <c r="O69" s="948"/>
      <c r="P69" s="948"/>
      <c r="Q69" s="948"/>
      <c r="R69" s="948"/>
      <c r="S69" s="948"/>
      <c r="T69" s="948"/>
      <c r="U69" s="948"/>
      <c r="V69" s="948"/>
      <c r="W69" s="948"/>
      <c r="X69" s="948"/>
      <c r="Y69" s="948"/>
      <c r="Z69" s="948"/>
      <c r="AA69" s="948"/>
      <c r="AB69" s="948"/>
      <c r="AC69" s="976"/>
      <c r="AD69" s="948"/>
      <c r="AE69" s="948"/>
      <c r="AF69" s="948"/>
      <c r="AG69" s="948"/>
      <c r="AH69" s="948"/>
      <c r="AI69" s="976"/>
      <c r="AJ69" s="948"/>
      <c r="AK69" s="948"/>
      <c r="AL69" s="948"/>
      <c r="AM69" s="948"/>
      <c r="AN69" s="948"/>
      <c r="AO69" s="976"/>
      <c r="AP69" s="948"/>
      <c r="AQ69" s="948"/>
      <c r="AR69" s="948"/>
      <c r="AS69" s="948"/>
      <c r="AT69" s="948"/>
      <c r="AU69" s="976"/>
      <c r="AV69" s="948"/>
      <c r="AW69" s="1116">
        <f>'MS Revenue Analysis'!BE112</f>
        <v>-0.17246404342357569</v>
      </c>
      <c r="AX69" s="1116">
        <f>'MS Revenue Analysis'!BF112</f>
        <v>1.6742489003929828E-2</v>
      </c>
      <c r="AY69" s="1116">
        <f>'MS Revenue Analysis'!BG112</f>
        <v>0.30065050384440317</v>
      </c>
      <c r="AZ69" s="1116">
        <f>'MS Revenue Analysis'!BH112</f>
        <v>0.49041853178231154</v>
      </c>
      <c r="BA69" s="976"/>
      <c r="BB69" s="948"/>
      <c r="BC69" s="1116">
        <f>'MS Revenue Analysis'!BK112</f>
        <v>0.79905433021424255</v>
      </c>
      <c r="BD69" s="999">
        <f>'MS Revenue Analysis'!BL112</f>
        <v>0.59332386905400414</v>
      </c>
      <c r="BE69" s="999">
        <f>'MS Revenue Analysis'!BM112</f>
        <v>0.56593285337503119</v>
      </c>
      <c r="BF69" s="999">
        <f>'MS Revenue Analysis'!BN112</f>
        <v>0.6295317164059917</v>
      </c>
      <c r="BG69" s="976"/>
      <c r="BH69" s="948"/>
      <c r="BI69" s="1116">
        <f>'MS Revenue Analysis'!BQ112</f>
        <v>0.5749659210069693</v>
      </c>
      <c r="BJ69" s="999">
        <f>'MS Revenue Analysis'!BR112</f>
        <v>0.39915787041082784</v>
      </c>
      <c r="BK69" s="999">
        <f>'MS Revenue Analysis'!BS112</f>
        <v>0.13523369977098132</v>
      </c>
      <c r="BL69" s="999">
        <f>'MS Revenue Analysis'!BT112</f>
        <v>0.27032480476045317</v>
      </c>
      <c r="BM69" s="976"/>
      <c r="BN69" s="948"/>
      <c r="BO69" s="1116">
        <f>'MS Revenue Analysis'!BW112</f>
        <v>0.1922741431300814</v>
      </c>
      <c r="BP69" s="999">
        <f>'MS Revenue Analysis'!BX112</f>
        <v>0.21584923852457916</v>
      </c>
      <c r="BQ69" s="999">
        <f>'MS Revenue Analysis'!BY112</f>
        <v>0.31031278478645796</v>
      </c>
      <c r="BR69" s="999">
        <f>'MS Revenue Analysis'!BZ112</f>
        <v>0.35822934165481102</v>
      </c>
      <c r="BS69" s="976"/>
      <c r="BT69" s="948"/>
      <c r="BU69" s="1116">
        <f>'MS Revenue Analysis'!CC112</f>
        <v>0.12559665463379877</v>
      </c>
      <c r="BV69" s="999">
        <f>'MS Revenue Analysis'!CD112</f>
        <v>0.26604140000111576</v>
      </c>
      <c r="BW69" s="999">
        <f>'MS Revenue Analysis'!CE112</f>
        <v>0.11722162382186441</v>
      </c>
      <c r="BX69" s="999">
        <f>'MS Revenue Analysis'!CF112</f>
        <v>0.14302400629004053</v>
      </c>
      <c r="BY69" s="976"/>
      <c r="BZ69" s="948"/>
      <c r="CA69" s="1116">
        <f>'MS Revenue Analysis'!CI112</f>
        <v>0.12822893975368532</v>
      </c>
      <c r="CB69" s="999">
        <f>'MS Revenue Analysis'!CJ112</f>
        <v>0.43796802409765778</v>
      </c>
      <c r="CC69" s="999">
        <f>'MS Revenue Analysis'!CK112</f>
        <v>8.4345984045998801E-2</v>
      </c>
      <c r="CD69" s="999">
        <f>'MS Revenue Analysis'!CL112</f>
        <v>0.55147496087919801</v>
      </c>
      <c r="CE69" s="976"/>
      <c r="CF69" s="948"/>
      <c r="CG69" s="1116">
        <f>'MS Revenue Analysis'!CO112</f>
        <v>0.1071702240430521</v>
      </c>
      <c r="CH69" s="999">
        <f>'MS Revenue Analysis'!CP112</f>
        <v>-3.1593062309338782E-2</v>
      </c>
      <c r="CI69" s="999">
        <f>'MS Revenue Analysis'!CQ112</f>
        <v>0.34442182940364141</v>
      </c>
      <c r="CJ69" s="999">
        <f>'MS Revenue Analysis'!CR112</f>
        <v>0.16650641846200553</v>
      </c>
      <c r="CK69" s="976"/>
      <c r="CL69" s="948"/>
      <c r="CM69" s="1116">
        <f>'MS Revenue Analysis'!CU112</f>
        <v>0.59154630242898198</v>
      </c>
      <c r="CN69" s="999">
        <f>'MS Revenue Analysis'!CV112</f>
        <v>-7.0944897271597362E-2</v>
      </c>
      <c r="CO69" s="999">
        <f>'MS Revenue Analysis'!CW112</f>
        <v>0.19778412576348914</v>
      </c>
      <c r="CP69" s="999">
        <f>'MS Revenue Analysis'!CX112</f>
        <v>0.54113531745486321</v>
      </c>
      <c r="CQ69" s="976"/>
      <c r="CR69" s="948"/>
      <c r="CS69" s="1116">
        <f>'MS Revenue Analysis'!DA112</f>
        <v>-0.11377404581282935</v>
      </c>
      <c r="CT69" s="999">
        <f>'MS Revenue Analysis'!DB112</f>
        <v>0.47406186498872871</v>
      </c>
      <c r="CU69" s="999">
        <f>'MS Revenue Analysis'!DC112</f>
        <v>0.41533486501562566</v>
      </c>
      <c r="CV69" s="999">
        <f>'MS Revenue Analysis'!DD112</f>
        <v>0.26214907035730151</v>
      </c>
      <c r="CW69" s="976"/>
      <c r="CX69" s="948"/>
      <c r="CY69" s="999">
        <f>'MS Revenue Analysis'!DG112</f>
        <v>0.05</v>
      </c>
      <c r="CZ69" s="999">
        <f>'MS Revenue Analysis'!DH112</f>
        <v>0.18</v>
      </c>
      <c r="DA69" s="999">
        <f>'MS Revenue Analysis'!DI112</f>
        <v>0.13</v>
      </c>
      <c r="DB69" s="999">
        <f>'MS Revenue Analysis'!DJ112</f>
        <v>0.15</v>
      </c>
      <c r="DC69" s="976"/>
      <c r="DD69" s="948"/>
      <c r="DE69" s="999">
        <f>'MS Revenue Analysis'!DM112</f>
        <v>0.25090000000000001</v>
      </c>
      <c r="DF69" s="999">
        <f>'MS Revenue Analysis'!DN112</f>
        <v>0.25101000000000001</v>
      </c>
      <c r="DG69" s="999">
        <f>'MS Revenue Analysis'!DO112</f>
        <v>0.15140000000000001</v>
      </c>
      <c r="DH69" s="999">
        <f>'MS Revenue Analysis'!DP112</f>
        <v>5.0599999999999999E-2</v>
      </c>
      <c r="DI69" s="976"/>
      <c r="DJ69" s="948"/>
      <c r="DK69" s="999">
        <f>'MS Revenue Analysis'!DS112</f>
        <v>0.1459</v>
      </c>
      <c r="DL69" s="999">
        <f>'MS Revenue Analysis'!DT112</f>
        <v>0.19889999999999999</v>
      </c>
      <c r="DM69" s="999">
        <f>'MS Revenue Analysis'!DU112</f>
        <v>0.1993</v>
      </c>
      <c r="DN69" s="999">
        <f>'MS Revenue Analysis'!DV112</f>
        <v>0.16985</v>
      </c>
      <c r="DO69" s="976"/>
      <c r="DP69" s="948"/>
      <c r="DQ69" s="948"/>
    </row>
    <row r="70" spans="1:121" ht="12" customHeight="1">
      <c r="A70" s="1117" t="s">
        <v>216</v>
      </c>
      <c r="B70" s="1108"/>
      <c r="C70" s="948"/>
      <c r="D70" s="948"/>
      <c r="E70" s="948"/>
      <c r="F70" s="948"/>
      <c r="G70" s="948"/>
      <c r="H70" s="948"/>
      <c r="I70" s="948"/>
      <c r="J70" s="948"/>
      <c r="K70" s="948"/>
      <c r="L70" s="948"/>
      <c r="M70" s="948"/>
      <c r="N70" s="948"/>
      <c r="O70" s="948"/>
      <c r="P70" s="948"/>
      <c r="Q70" s="948"/>
      <c r="R70" s="948"/>
      <c r="S70" s="948"/>
      <c r="T70" s="948"/>
      <c r="U70" s="948"/>
      <c r="V70" s="948"/>
      <c r="W70" s="948"/>
      <c r="X70" s="948"/>
      <c r="Y70" s="948"/>
      <c r="Z70" s="948"/>
      <c r="AA70" s="948"/>
      <c r="AB70" s="948"/>
      <c r="AC70" s="976"/>
      <c r="AD70" s="948"/>
      <c r="AE70" s="948"/>
      <c r="AF70" s="948"/>
      <c r="AG70" s="948"/>
      <c r="AH70" s="948"/>
      <c r="AI70" s="976"/>
      <c r="AJ70" s="948"/>
      <c r="AK70" s="948"/>
      <c r="AL70" s="948"/>
      <c r="AM70" s="948"/>
      <c r="AN70" s="948"/>
      <c r="AO70" s="976"/>
      <c r="AP70" s="948"/>
      <c r="AQ70" s="948"/>
      <c r="AR70" s="948"/>
      <c r="AS70" s="1118"/>
      <c r="AT70" s="1118"/>
      <c r="AU70" s="976"/>
      <c r="AV70" s="948"/>
      <c r="AW70" s="1116">
        <f>AW71/AQ71-1</f>
        <v>-0.13492063492063489</v>
      </c>
      <c r="AX70" s="1116">
        <f>AX71/AR71-1</f>
        <v>-1.3986013986013957E-2</v>
      </c>
      <c r="AY70" s="1116">
        <f>AY71/AS71-1</f>
        <v>0.31386861313868564</v>
      </c>
      <c r="AZ70" s="1116">
        <f>AZ71/AT71-1</f>
        <v>0.70069264069264037</v>
      </c>
      <c r="BA70" s="976"/>
      <c r="BB70" s="948"/>
      <c r="BC70" s="1116">
        <f>BC71/AW71-1</f>
        <v>0.77137614678899236</v>
      </c>
      <c r="BD70" s="999">
        <f>BD71/AX71-1</f>
        <v>0.43602836879432583</v>
      </c>
      <c r="BE70" s="999">
        <f>BE71/AY71-1</f>
        <v>0.42705555555555552</v>
      </c>
      <c r="BF70" s="999">
        <f>BF71/AZ71-1</f>
        <v>0.42554599602912013</v>
      </c>
      <c r="BG70" s="1645"/>
      <c r="BH70" s="1636"/>
      <c r="BI70" s="1646">
        <f>BI71/BC71-1</f>
        <v>6.1943235964365906E-2</v>
      </c>
      <c r="BJ70" s="1647">
        <f>BJ71/BD71-1</f>
        <v>0.29084354010272673</v>
      </c>
      <c r="BK70" s="1647">
        <f>BK71/BE71-1</f>
        <v>0.30848289017791153</v>
      </c>
      <c r="BL70" s="1647">
        <f>BL71/BF71-1</f>
        <v>0.55251410613527563</v>
      </c>
      <c r="BM70" s="1645"/>
      <c r="BN70" s="1636"/>
      <c r="BO70" s="1646">
        <f>BO71/BI71-1</f>
        <v>0.56642606320718025</v>
      </c>
      <c r="BP70" s="1647">
        <f>BP71/BJ71-1</f>
        <v>0.34759153690170952</v>
      </c>
      <c r="BQ70" s="1647">
        <f>BQ71/BK71-1</f>
        <v>0.43557168784029043</v>
      </c>
      <c r="BR70" s="1647">
        <f>BR71/BL71-1</f>
        <v>0.34564734838464806</v>
      </c>
      <c r="BS70" s="1645"/>
      <c r="BT70" s="1636"/>
      <c r="BU70" s="1646">
        <f>BU71/BO71-1</f>
        <v>-0.45566349087738978</v>
      </c>
      <c r="BV70" s="1647">
        <f>BV71/BP71-1</f>
        <v>0.2874623814661299</v>
      </c>
      <c r="BW70" s="1647">
        <f>BW71/BQ71-1</f>
        <v>0.20138442726575545</v>
      </c>
      <c r="BX70" s="1647">
        <f>BX71/BR71-1</f>
        <v>0.23317948717948744</v>
      </c>
      <c r="BY70" s="1645"/>
      <c r="BZ70" s="1636"/>
      <c r="CA70" s="1646">
        <f>CA71/BU71-1</f>
        <v>1.3391866384487781</v>
      </c>
      <c r="CB70" s="1647">
        <f>CB71/BV71-1</f>
        <v>0.45204754449026385</v>
      </c>
      <c r="CC70" s="1647">
        <f>CC71/BW71-1</f>
        <v>0.10888766215843337</v>
      </c>
      <c r="CD70" s="1647">
        <f>CD71/BX71-1</f>
        <v>3.8812880331572375E-2</v>
      </c>
      <c r="CE70" s="1645"/>
      <c r="CF70" s="1636"/>
      <c r="CG70" s="1646">
        <f>CG71/CA71-1</f>
        <v>0.22486306729264527</v>
      </c>
      <c r="CH70" s="1647">
        <f>CH71/CB71-1</f>
        <v>7.4400874768398628E-2</v>
      </c>
      <c r="CI70" s="1647">
        <f>CI71/CC71-1</f>
        <v>0.24500622277535622</v>
      </c>
      <c r="CJ70" s="1647">
        <f>CJ71/CD71-1</f>
        <v>0.19531364673543261</v>
      </c>
      <c r="CK70" s="1645"/>
      <c r="CL70" s="1636"/>
      <c r="CM70" s="1646">
        <f>CM71/CG71-1</f>
        <v>0.26804679389922503</v>
      </c>
      <c r="CN70" s="1647">
        <f>CN71/CH71-1</f>
        <v>-1.4417980069257874E-3</v>
      </c>
      <c r="CO70" s="1647">
        <f>CO71/CI71-1</f>
        <v>0.15961713878718964</v>
      </c>
      <c r="CP70" s="1647">
        <f>CP71/CJ71-1</f>
        <v>0.31206881153854682</v>
      </c>
      <c r="CQ70" s="976"/>
      <c r="CR70" s="1636"/>
      <c r="CS70" s="1646">
        <f>CS71/CM71-1</f>
        <v>0.32950770635557913</v>
      </c>
      <c r="CT70" s="1647">
        <f>CT71/CN71-1</f>
        <v>0.65199665925852579</v>
      </c>
      <c r="CU70" s="1647">
        <f>CU71/CO71-1</f>
        <v>0.84869023630701612</v>
      </c>
      <c r="CV70" s="1647">
        <f>CV71/CP71-1</f>
        <v>0.81477463680258677</v>
      </c>
      <c r="CW70" s="976"/>
      <c r="CX70" s="1636"/>
      <c r="CY70" s="1647">
        <f>CY71/CS71-1</f>
        <v>3.1280097173608024E-2</v>
      </c>
      <c r="CZ70" s="1647">
        <f>CZ71/CT71-1</f>
        <v>-3.418637628088772E-2</v>
      </c>
      <c r="DA70" s="1647">
        <f>DA71/CU71-1</f>
        <v>0.21460837779796527</v>
      </c>
      <c r="DB70" s="1647">
        <f>DB71/CV71-1</f>
        <v>0.24077101306947712</v>
      </c>
      <c r="DC70" s="976"/>
      <c r="DD70" s="1636"/>
      <c r="DE70" s="1647">
        <f>DE71/CY71-1</f>
        <v>5.2430744809149221E-2</v>
      </c>
      <c r="DF70" s="1647">
        <f>DF71/CZ71-1</f>
        <v>0.10429236927664487</v>
      </c>
      <c r="DG70" s="1647">
        <f>DG71/DA71-1</f>
        <v>0.14869563373126793</v>
      </c>
      <c r="DH70" s="1647">
        <f>DH71/DB71-1</f>
        <v>0.17773673027949366</v>
      </c>
      <c r="DI70" s="976"/>
      <c r="DJ70" s="1636"/>
      <c r="DK70" s="1647">
        <f>DK71/DE71-1</f>
        <v>4.4534963628337643E-2</v>
      </c>
      <c r="DL70" s="1647">
        <f>DL71/DF71-1</f>
        <v>9.8084237509193262E-2</v>
      </c>
      <c r="DM70" s="1647">
        <f>DM71/DG71-1</f>
        <v>0.14830227080671099</v>
      </c>
      <c r="DN70" s="1647">
        <f>DN71/DH71-1</f>
        <v>0.1616881711154381</v>
      </c>
      <c r="DO70" s="976"/>
      <c r="DP70" s="948"/>
      <c r="DQ70" s="948"/>
    </row>
    <row r="71" spans="1:121" ht="12" customHeight="1">
      <c r="A71" s="1108" t="s">
        <v>217</v>
      </c>
      <c r="B71" s="1108"/>
      <c r="C71" s="972"/>
      <c r="D71" s="972"/>
      <c r="E71" s="972"/>
      <c r="F71" s="972"/>
      <c r="G71" s="972"/>
      <c r="H71" s="972"/>
      <c r="I71" s="972"/>
      <c r="J71" s="972"/>
      <c r="K71" s="972"/>
      <c r="L71" s="972"/>
      <c r="M71" s="972"/>
      <c r="N71" s="972"/>
      <c r="O71" s="972"/>
      <c r="P71" s="972"/>
      <c r="Q71" s="972"/>
      <c r="R71" s="972"/>
      <c r="S71" s="972"/>
      <c r="T71" s="972"/>
      <c r="U71" s="972"/>
      <c r="V71" s="972"/>
      <c r="W71" s="1119">
        <v>14</v>
      </c>
      <c r="X71" s="972"/>
      <c r="Y71" s="1119">
        <v>3.4</v>
      </c>
      <c r="Z71" s="1119">
        <f>7.6-Y71</f>
        <v>4.1999999999999993</v>
      </c>
      <c r="AA71" s="1119">
        <f>12.9-Z71-Y71</f>
        <v>5.3000000000000007</v>
      </c>
      <c r="AB71" s="1119">
        <f>AC71-AA71-Z71-Y71</f>
        <v>9.2000000000000011</v>
      </c>
      <c r="AC71" s="1120">
        <v>22.1</v>
      </c>
      <c r="AD71" s="972"/>
      <c r="AE71" s="1121">
        <v>4.5</v>
      </c>
      <c r="AF71" s="1121">
        <f>12.2-AE71</f>
        <v>7.6999999999999993</v>
      </c>
      <c r="AG71" s="1121">
        <f>20.3-AF71-AE71</f>
        <v>8.1000000000000014</v>
      </c>
      <c r="AH71" s="1121">
        <f>AI71-AG71-AF71-AE71</f>
        <v>17.599999999999998</v>
      </c>
      <c r="AI71" s="1120">
        <v>37.9</v>
      </c>
      <c r="AJ71" s="972"/>
      <c r="AK71" s="1119">
        <f>9.2</f>
        <v>9.1999999999999993</v>
      </c>
      <c r="AL71" s="1119">
        <f>20.9-AK71</f>
        <v>11.7</v>
      </c>
      <c r="AM71" s="1119">
        <f>33-AL71-AK71</f>
        <v>12.100000000000001</v>
      </c>
      <c r="AN71" s="1119">
        <f>62.7-AM71-AL71-AK71</f>
        <v>29.700000000000006</v>
      </c>
      <c r="AO71" s="1120">
        <f>SUM(AK71:AN71)</f>
        <v>62.7</v>
      </c>
      <c r="AP71" s="1119"/>
      <c r="AQ71" s="1119">
        <v>12.6</v>
      </c>
      <c r="AR71" s="1119">
        <f>26.9-AQ71</f>
        <v>14.299999999999999</v>
      </c>
      <c r="AS71" s="986">
        <f>40.6-AR71-AQ71</f>
        <v>13.700000000000005</v>
      </c>
      <c r="AT71" s="986">
        <f>63.7-AS71-AR71-AQ71</f>
        <v>23.1</v>
      </c>
      <c r="AU71" s="1000">
        <f>SUM(AQ71:AT71)</f>
        <v>63.7</v>
      </c>
      <c r="AV71" s="972"/>
      <c r="AW71" s="1119">
        <v>10.9</v>
      </c>
      <c r="AX71" s="986">
        <f>25-AW71</f>
        <v>14.1</v>
      </c>
      <c r="AY71" s="986">
        <f>43-AX71-AW71</f>
        <v>18</v>
      </c>
      <c r="AZ71" s="986">
        <f>AZ76-AY76+AZ73</f>
        <v>39.285999999999994</v>
      </c>
      <c r="BA71" s="1000">
        <f>SUM(AW71:AZ71)</f>
        <v>82.286000000000001</v>
      </c>
      <c r="BB71" s="972"/>
      <c r="BC71" s="986">
        <f>BC76-AZ76+BC73</f>
        <v>19.308000000000018</v>
      </c>
      <c r="BD71" s="986">
        <f>BD76-BC76+BD73</f>
        <v>20.247999999999994</v>
      </c>
      <c r="BE71" s="986">
        <f>BE76-BD76+BE73</f>
        <v>25.686999999999998</v>
      </c>
      <c r="BF71" s="986">
        <f>BF76-BE76+BF73</f>
        <v>56.004000000000005</v>
      </c>
      <c r="BG71" s="1000">
        <f>SUM(BC71:BF71)</f>
        <v>121.24700000000001</v>
      </c>
      <c r="BH71" s="972"/>
      <c r="BI71" s="986">
        <f>BI76-BF76+BI73</f>
        <v>20.503999999999994</v>
      </c>
      <c r="BJ71" s="986">
        <f>BJ76-BI76+BJ73</f>
        <v>26.137000000000004</v>
      </c>
      <c r="BK71" s="986">
        <f>BK76-BJ76+BK73</f>
        <v>33.611000000000011</v>
      </c>
      <c r="BL71" s="986">
        <f>BL76-BK76+BL73</f>
        <v>86.946999999999989</v>
      </c>
      <c r="BM71" s="1000">
        <f>SUM(BI71:BL71)</f>
        <v>167.19900000000001</v>
      </c>
      <c r="BN71" s="972"/>
      <c r="BO71" s="986">
        <f>BO76-BL76+BO73</f>
        <v>32.118000000000016</v>
      </c>
      <c r="BP71" s="986">
        <f>BP76-BO76+BP73</f>
        <v>35.221999999999987</v>
      </c>
      <c r="BQ71" s="986">
        <f>BQ76-BP76+BQ73</f>
        <v>48.251000000000019</v>
      </c>
      <c r="BR71" s="986">
        <f>BR76-BQ76+BR73</f>
        <v>116.99999999999999</v>
      </c>
      <c r="BS71" s="1000">
        <f>SUM(BO71:BR71)</f>
        <v>232.59100000000001</v>
      </c>
      <c r="BT71" s="972"/>
      <c r="BU71" s="986">
        <f>BU76-BR76+BU73</f>
        <v>17.483000000000004</v>
      </c>
      <c r="BV71" s="986">
        <f>BV76-BU76+BV73</f>
        <v>45.347000000000008</v>
      </c>
      <c r="BW71" s="986">
        <f>BW76-BV76+BW73</f>
        <v>57.967999999999989</v>
      </c>
      <c r="BX71" s="986">
        <f>BX76-BW76+BX73</f>
        <v>144.28200000000001</v>
      </c>
      <c r="BY71" s="1000">
        <f>SUM(BU71:BX71)</f>
        <v>265.08000000000004</v>
      </c>
      <c r="BZ71" s="972"/>
      <c r="CA71" s="986">
        <f>CA76-BX76+CA73</f>
        <v>40.895999999999994</v>
      </c>
      <c r="CB71" s="986">
        <f>CB76-CA76+CB73</f>
        <v>65.846000000000004</v>
      </c>
      <c r="CC71" s="986">
        <f>CC76-CB76+CC73</f>
        <v>64.280000000000058</v>
      </c>
      <c r="CD71" s="986">
        <f>CD76-CC76+CD73</f>
        <v>149.88199999999995</v>
      </c>
      <c r="CE71" s="1000">
        <f>SUM(CA71:CD71)</f>
        <v>320.904</v>
      </c>
      <c r="CF71" s="972"/>
      <c r="CG71" s="986">
        <f>CG76-CD76+CG73</f>
        <v>50.092000000000013</v>
      </c>
      <c r="CH71" s="986">
        <f>CH76-CG76+CH73</f>
        <v>70.744999999999976</v>
      </c>
      <c r="CI71" s="986">
        <f>CI76-CH76+CI73</f>
        <v>80.028999999999968</v>
      </c>
      <c r="CJ71" s="986">
        <f>CJ76-CI76+CJ73</f>
        <v>179.15600000000003</v>
      </c>
      <c r="CK71" s="1000">
        <f>SUM(CG71:CJ71)</f>
        <v>380.02199999999999</v>
      </c>
      <c r="CL71" s="972"/>
      <c r="CM71" s="986">
        <f>CM76-CJ76+CM73</f>
        <v>63.518999999999991</v>
      </c>
      <c r="CN71" s="986">
        <f>CN76-CM76+CN73</f>
        <v>70.643000000000015</v>
      </c>
      <c r="CO71" s="986">
        <f>CO76-CN76+CO73</f>
        <v>92.802999999999969</v>
      </c>
      <c r="CP71" s="986">
        <f>CP76-CO76+CP73</f>
        <v>235.06499999999994</v>
      </c>
      <c r="CQ71" s="1000">
        <f>SUM(CM71:CP71)</f>
        <v>462.02999999999992</v>
      </c>
      <c r="CR71" s="972"/>
      <c r="CS71" s="986">
        <f>CS76-CP76+CS73</f>
        <v>84.449000000000012</v>
      </c>
      <c r="CT71" s="986">
        <f>CT76-CS76+CT73</f>
        <v>116.70200000000006</v>
      </c>
      <c r="CU71" s="986">
        <f>CU76-CT76+CU73</f>
        <v>171.56399999999996</v>
      </c>
      <c r="CV71" s="986">
        <f>CV76-CU76+CV73</f>
        <v>426.59</v>
      </c>
      <c r="CW71" s="1000">
        <f>SUM(CS71:CV71)</f>
        <v>799.30500000000006</v>
      </c>
      <c r="CX71" s="972"/>
      <c r="CY71" s="986">
        <f>'MS Revenue Analysis'!DG139*CY72</f>
        <v>87.090572926214037</v>
      </c>
      <c r="CZ71" s="986">
        <f>'MS Revenue Analysis'!DH139*CZ72</f>
        <v>112.71238151526789</v>
      </c>
      <c r="DA71" s="986">
        <f>'MS Revenue Analysis'!DI139*DA72</f>
        <v>208.38307172853007</v>
      </c>
      <c r="DB71" s="986">
        <f>'MS Revenue Analysis'!DJ139*DB72</f>
        <v>529.30050646530822</v>
      </c>
      <c r="DC71" s="1000">
        <f>SUM(CY71:DB71)</f>
        <v>937.48653263532015</v>
      </c>
      <c r="DD71" s="972"/>
      <c r="DE71" s="986">
        <f>'MS Revenue Analysis'!DM139*DE72</f>
        <v>91.656796530590967</v>
      </c>
      <c r="DF71" s="986">
        <f>'MS Revenue Analysis'!DN139*DF72</f>
        <v>124.46742283030829</v>
      </c>
      <c r="DG71" s="986">
        <f>'MS Revenue Analysis'!DO139*DG72</f>
        <v>239.36872463807211</v>
      </c>
      <c r="DH71" s="986">
        <f>'MS Revenue Analysis'!DP139*DH72</f>
        <v>623.37664781973206</v>
      </c>
      <c r="DI71" s="1000">
        <f>SUM(DE71:DH71)</f>
        <v>1078.8695918187034</v>
      </c>
      <c r="DJ71" s="972"/>
      <c r="DK71" s="986">
        <f>'MS Revenue Analysis'!DS139*DK72</f>
        <v>95.738728630370773</v>
      </c>
      <c r="DL71" s="986">
        <f>'MS Revenue Analysis'!DT139*DL72</f>
        <v>136.67571509335343</v>
      </c>
      <c r="DM71" s="986">
        <f>'MS Revenue Analysis'!DU139*DM72</f>
        <v>274.86765006200449</v>
      </c>
      <c r="DN71" s="986">
        <f>'MS Revenue Analysis'!DV139*DN72</f>
        <v>724.16927792177705</v>
      </c>
      <c r="DO71" s="1000">
        <f>SUM(DK71:DN71)</f>
        <v>1231.4513717075058</v>
      </c>
      <c r="DP71" s="986"/>
      <c r="DQ71" s="955"/>
    </row>
    <row r="72" spans="1:121" ht="12" customHeight="1">
      <c r="A72" s="1122" t="s">
        <v>219</v>
      </c>
      <c r="B72" s="1108"/>
      <c r="C72" s="972"/>
      <c r="D72" s="972"/>
      <c r="E72" s="972"/>
      <c r="F72" s="972"/>
      <c r="G72" s="972"/>
      <c r="H72" s="972"/>
      <c r="I72" s="972"/>
      <c r="J72" s="972"/>
      <c r="K72" s="972"/>
      <c r="L72" s="972"/>
      <c r="M72" s="972"/>
      <c r="N72" s="972"/>
      <c r="O72" s="972"/>
      <c r="P72" s="972"/>
      <c r="Q72" s="972"/>
      <c r="R72" s="972"/>
      <c r="S72" s="972"/>
      <c r="T72" s="972"/>
      <c r="U72" s="972"/>
      <c r="V72" s="972"/>
      <c r="W72" s="1119"/>
      <c r="X72" s="972"/>
      <c r="Y72" s="1123">
        <f>Y71/'MS Revenue Analysis'!AG139</f>
        <v>4.6625161131071569E-2</v>
      </c>
      <c r="Z72" s="1123">
        <f>Z71/'MS Revenue Analysis'!AH139</f>
        <v>4.9640109208240239E-2</v>
      </c>
      <c r="AA72" s="1123">
        <f>AA71/'MS Revenue Analysis'!AI139</f>
        <v>5.7314646595726285E-2</v>
      </c>
      <c r="AB72" s="1123">
        <f>AB71/'MS Revenue Analysis'!AJ139</f>
        <v>6.9105904799104625E-2</v>
      </c>
      <c r="AC72" s="1002">
        <f>AC71/'MS Revenue Analysis'!AK139</f>
        <v>5.7682469749329217E-2</v>
      </c>
      <c r="AD72" s="972"/>
      <c r="AE72" s="1123">
        <f>AE71/'MS Revenue Analysis'!AM139</f>
        <v>3.8282559316698855E-2</v>
      </c>
      <c r="AF72" s="1123">
        <f>AF71/'MS Revenue Analysis'!AN139</f>
        <v>5.5420802234106094E-2</v>
      </c>
      <c r="AG72" s="1123">
        <f>AG71/'MS Revenue Analysis'!AO139</f>
        <v>5.5234302547596981E-2</v>
      </c>
      <c r="AH72" s="1123">
        <f>AH71/'MS Revenue Analysis'!AP139</f>
        <v>8.4269393930688413E-2</v>
      </c>
      <c r="AI72" s="1002">
        <f>AI71/'MS Revenue Analysis'!AQ139</f>
        <v>6.1929521263558329E-2</v>
      </c>
      <c r="AJ72" s="972"/>
      <c r="AK72" s="1123">
        <f>AK71/'MS Revenue Analysis'!AS139</f>
        <v>5.2867182696341226E-2</v>
      </c>
      <c r="AL72" s="1123">
        <f>AL71/'MS Revenue Analysis'!AT139</f>
        <v>5.7703973683042448E-2</v>
      </c>
      <c r="AM72" s="1123">
        <f>AM71/'MS Revenue Analysis'!AU139</f>
        <v>5.7140428505990305E-2</v>
      </c>
      <c r="AN72" s="1123">
        <f>AN71/'MS Revenue Analysis'!AV139</f>
        <v>8.3195141627823613E-2</v>
      </c>
      <c r="AO72" s="1002">
        <f>AO71/'MS Revenue Analysis'!AW139</f>
        <v>6.6311945351342272E-2</v>
      </c>
      <c r="AP72" s="1119"/>
      <c r="AQ72" s="1123">
        <f>AQ71/'MS Revenue Analysis'!AY139</f>
        <v>5.3158949477903165E-2</v>
      </c>
      <c r="AR72" s="1123">
        <f>AR71/'MS Revenue Analysis'!AZ139</f>
        <v>5.251059392052173E-2</v>
      </c>
      <c r="AS72" s="1123">
        <f>AS71/'MS Revenue Analysis'!BA139</f>
        <v>5.1411952340744936E-2</v>
      </c>
      <c r="AT72" s="1123">
        <f>AT71/'MS Revenue Analysis'!BB139</f>
        <v>5.5786995109581586E-2</v>
      </c>
      <c r="AU72" s="1002">
        <f>AU71/'MS Revenue Analysis'!BC139</f>
        <v>5.3533865422417497E-2</v>
      </c>
      <c r="AV72" s="972"/>
      <c r="AW72" s="1123">
        <f>AW71/'MS Revenue Analysis'!BE139</f>
        <v>4.1879425675545881E-2</v>
      </c>
      <c r="AX72" s="1123">
        <f>AX71/'MS Revenue Analysis'!BF139</f>
        <v>4.4662937364189838E-2</v>
      </c>
      <c r="AY72" s="1123">
        <f>AY71/'MS Revenue Analysis'!BG139</f>
        <v>5.5050248643623054E-2</v>
      </c>
      <c r="AZ72" s="1123">
        <f>AZ71/'MS Revenue Analysis'!BH139</f>
        <v>7.6586569765401694E-2</v>
      </c>
      <c r="BA72" s="1002">
        <f>BA71/'MS Revenue Analysis'!BI139</f>
        <v>5.8115480911501836E-2</v>
      </c>
      <c r="BB72" s="972"/>
      <c r="BC72" s="1123">
        <f>BC71/'MS Revenue Analysis'!BK139</f>
        <v>5.7294788631251661E-2</v>
      </c>
      <c r="BD72" s="1123">
        <f>BD71/'MS Revenue Analysis'!BL139</f>
        <v>4.9043021639191768E-2</v>
      </c>
      <c r="BE72" s="1123">
        <f>BE71/'MS Revenue Analysis'!BM139</f>
        <v>5.8296737588652489E-2</v>
      </c>
      <c r="BF72" s="1123">
        <f>BF71/'MS Revenue Analysis'!BN139</f>
        <v>8.0321146904056062E-2</v>
      </c>
      <c r="BG72" s="1002">
        <f>BG71/'MS Revenue Analysis'!BO139</f>
        <v>6.4228926563728347E-2</v>
      </c>
      <c r="BH72" s="972"/>
      <c r="BI72" s="1123">
        <f>BI71/'MS Revenue Analysis'!BQ139</f>
        <v>4.2315026539760096E-2</v>
      </c>
      <c r="BJ72" s="1123">
        <f>BJ71/'MS Revenue Analysis'!BR139</f>
        <v>4.6167433562666164E-2</v>
      </c>
      <c r="BK72" s="1123">
        <f>BK71/'MS Revenue Analysis'!BS139</f>
        <v>5.9298007286328017E-2</v>
      </c>
      <c r="BL72" s="1123">
        <f>BL71/'MS Revenue Analysis'!BT139</f>
        <v>7.9448129409431925E-2</v>
      </c>
      <c r="BM72" s="1002">
        <f>BM71/'MS Revenue Analysis'!BU139</f>
        <v>6.1653981185835878E-2</v>
      </c>
      <c r="BN72" s="972"/>
      <c r="BO72" s="1123">
        <f>BO71/'MS Revenue Analysis'!BW139</f>
        <v>4.9420899325575092E-2</v>
      </c>
      <c r="BP72" s="1123">
        <f>BP71/'MS Revenue Analysis'!BX139</f>
        <v>4.7978662830771054E-2</v>
      </c>
      <c r="BQ72" s="1123">
        <f>BQ71/'MS Revenue Analysis'!BY139</f>
        <v>6.5236143183944564E-2</v>
      </c>
      <c r="BR72" s="1123">
        <f>BR71/'MS Revenue Analysis'!BZ139</f>
        <v>8.3216391779927484E-2</v>
      </c>
      <c r="BS72" s="1002">
        <f>BS71/'MS Revenue Analysis'!CA139</f>
        <v>6.5897007434807323E-2</v>
      </c>
      <c r="BT72" s="972"/>
      <c r="BU72" s="1123">
        <f>BU71/'MS Revenue Analysis'!CC139</f>
        <v>2.291956717243622E-2</v>
      </c>
      <c r="BV72" s="1123">
        <f>BV71/'MS Revenue Analysis'!CD139</f>
        <v>4.6899611643456636E-2</v>
      </c>
      <c r="BW72" s="1123">
        <f>BW71/'MS Revenue Analysis'!CE139</f>
        <v>5.6780437156864171E-2</v>
      </c>
      <c r="BX72" s="1123">
        <f>BX71/'MS Revenue Analysis'!CF139</f>
        <v>7.4651608236605285E-2</v>
      </c>
      <c r="BY72" s="1002">
        <f>BY71/'MS Revenue Analysis'!CG139</f>
        <v>5.6600558660410756E-2</v>
      </c>
      <c r="BZ72" s="972"/>
      <c r="CA72" s="1123">
        <f>CA71/'MS Revenue Analysis'!CI139</f>
        <v>3.9732937454822433E-2</v>
      </c>
      <c r="CB72" s="1123">
        <f>CB71/'MS Revenue Analysis'!CJ139</f>
        <v>4.8889251878471096E-2</v>
      </c>
      <c r="CC72" s="1123">
        <f>CC71/'MS Revenue Analysis'!CK139</f>
        <v>5.1250813251859366E-2</v>
      </c>
      <c r="CD72" s="1123">
        <f>CD71/'MS Revenue Analysis'!CL139</f>
        <v>5.8960378902316195E-2</v>
      </c>
      <c r="CE72" s="1002">
        <f>CE71/'MS Revenue Analysis'!CM139</f>
        <v>5.1990014930944378E-2</v>
      </c>
      <c r="CF72" s="972"/>
      <c r="CG72" s="1123">
        <f>CG71/'MS Revenue Analysis'!CO139</f>
        <v>4.0184896088205906E-2</v>
      </c>
      <c r="CH72" s="1123">
        <f>CH71/'MS Revenue Analysis'!CP139</f>
        <v>4.3863238706045291E-2</v>
      </c>
      <c r="CI72" s="1123">
        <f>CI71/'MS Revenue Analysis'!CQ139</f>
        <v>5.2544566267188141E-2</v>
      </c>
      <c r="CJ72" s="1123">
        <f>CJ71/'MS Revenue Analysis'!CR139</f>
        <v>5.5049699779470579E-2</v>
      </c>
      <c r="CK72" s="1002">
        <f>CK71/'MS Revenue Analysis'!CS139</f>
        <v>4.9761277544218843E-2</v>
      </c>
      <c r="CL72" s="972"/>
      <c r="CM72" s="1123">
        <f>CM71/'MS Revenue Analysis'!CU139</f>
        <v>3.9125067909424528E-2</v>
      </c>
      <c r="CN72" s="1123">
        <f>CN71/'MS Revenue Analysis'!CV139</f>
        <v>3.8118132053430037E-2</v>
      </c>
      <c r="CO72" s="1123">
        <f>CO71/'MS Revenue Analysis'!CW139</f>
        <v>5.1093210713591589E-2</v>
      </c>
      <c r="CP72" s="1123">
        <f>CP71/'MS Revenue Analysis'!CX139</f>
        <v>5.422921680520898E-2</v>
      </c>
      <c r="CQ72" s="1002">
        <f>CQ71/'MS Revenue Analysis'!CY139</f>
        <v>4.7989385686422803E-2</v>
      </c>
      <c r="CR72" s="972"/>
      <c r="CS72" s="1123">
        <f>CS71/'MS Revenue Analysis'!DA139</f>
        <v>4.4742875096228797E-2</v>
      </c>
      <c r="CT72" s="1123">
        <f>CT71/'MS Revenue Analysis'!DB139</f>
        <v>4.9924472882321033E-2</v>
      </c>
      <c r="CU72" s="1123">
        <f>CU71/'MS Revenue Analysis'!DC139</f>
        <v>7.6139367830757587E-2</v>
      </c>
      <c r="CV72" s="1123">
        <f>CV71/'MS Revenue Analysis'!DD139</f>
        <v>7.6812864817892873E-2</v>
      </c>
      <c r="CW72" s="1002">
        <f>CW71/'MS Revenue Analysis'!DE139</f>
        <v>6.6432062856821808E-2</v>
      </c>
      <c r="CX72" s="972"/>
      <c r="CY72" s="1001">
        <f>CS72-0.3%</f>
        <v>4.1742875096228794E-2</v>
      </c>
      <c r="CZ72" s="1116">
        <f>CT72-1%</f>
        <v>3.9924472882321031E-2</v>
      </c>
      <c r="DA72" s="1001">
        <f>CU72</f>
        <v>7.6139367830757587E-2</v>
      </c>
      <c r="DB72" s="1001">
        <f>CV72</f>
        <v>7.6812864817892873E-2</v>
      </c>
      <c r="DC72" s="1002">
        <f>DC71/'MS Revenue Analysis'!DK139</f>
        <v>6.4489058146265404E-2</v>
      </c>
      <c r="DD72" s="972"/>
      <c r="DE72" s="1001">
        <f>CY72-0.3%</f>
        <v>3.8742875096228792E-2</v>
      </c>
      <c r="DF72" s="1001">
        <f>CZ72-0.3%</f>
        <v>3.6924472882321029E-2</v>
      </c>
      <c r="DG72" s="1001">
        <f>DA72-0.3%</f>
        <v>7.3139367830757585E-2</v>
      </c>
      <c r="DH72" s="1001">
        <f>DB72-0.3%</f>
        <v>7.381286481789287E-2</v>
      </c>
      <c r="DI72" s="1002">
        <f>DI71/'MS Revenue Analysis'!DQ139</f>
        <v>6.180941285773206E-2</v>
      </c>
      <c r="DJ72" s="972"/>
      <c r="DK72" s="1001">
        <f>DE72-0.3%</f>
        <v>3.5742875096228789E-2</v>
      </c>
      <c r="DL72" s="1001">
        <f>DF72-0.3%</f>
        <v>3.3924472882321026E-2</v>
      </c>
      <c r="DM72" s="1001">
        <f>DG72-0.3%</f>
        <v>7.0139367830757582E-2</v>
      </c>
      <c r="DN72" s="1001">
        <f>DH72-0.3%</f>
        <v>7.0812864817892868E-2</v>
      </c>
      <c r="DO72" s="1002">
        <f>DO71/'MS Revenue Analysis'!DW139</f>
        <v>5.9054588629405595E-2</v>
      </c>
      <c r="DP72" s="1123"/>
      <c r="DQ72" s="948"/>
    </row>
    <row r="73" spans="1:121" ht="12" customHeight="1">
      <c r="A73" s="1108" t="s">
        <v>218</v>
      </c>
      <c r="B73" s="1108"/>
      <c r="C73" s="972"/>
      <c r="D73" s="972"/>
      <c r="E73" s="972"/>
      <c r="F73" s="972"/>
      <c r="G73" s="972"/>
      <c r="H73" s="972"/>
      <c r="I73" s="972"/>
      <c r="J73" s="972"/>
      <c r="K73" s="972"/>
      <c r="L73" s="972"/>
      <c r="M73" s="972"/>
      <c r="N73" s="972"/>
      <c r="O73" s="972"/>
      <c r="P73" s="972"/>
      <c r="Q73" s="972"/>
      <c r="R73" s="972"/>
      <c r="S73" s="972"/>
      <c r="T73" s="972"/>
      <c r="U73" s="972"/>
      <c r="V73" s="972"/>
      <c r="W73" s="1119">
        <v>15.6</v>
      </c>
      <c r="X73" s="972"/>
      <c r="Y73" s="1119">
        <v>3.4</v>
      </c>
      <c r="Z73" s="1119">
        <f>6.7-Y73</f>
        <v>3.3000000000000003</v>
      </c>
      <c r="AA73" s="1119">
        <f>10.3-Z73-Y73</f>
        <v>3.6</v>
      </c>
      <c r="AB73" s="1119">
        <f>AC73-AA73-Z73-Y73</f>
        <v>4.2999999999999989</v>
      </c>
      <c r="AC73" s="1120">
        <v>14.6</v>
      </c>
      <c r="AD73" s="972"/>
      <c r="AE73" s="1121">
        <v>5.0999999999999996</v>
      </c>
      <c r="AF73" s="1121">
        <f>10.8-AE73</f>
        <v>5.7000000000000011</v>
      </c>
      <c r="AG73" s="1121">
        <f>16.6-AF73-AE73</f>
        <v>5.8000000000000007</v>
      </c>
      <c r="AH73" s="1121">
        <f>AI73-AG73-AF73-AE73</f>
        <v>6.7999999999999972</v>
      </c>
      <c r="AI73" s="1120">
        <v>23.4</v>
      </c>
      <c r="AJ73" s="972"/>
      <c r="AK73" s="1119">
        <v>9.1</v>
      </c>
      <c r="AL73" s="1119">
        <f>18.7-AK73</f>
        <v>9.6</v>
      </c>
      <c r="AM73" s="986">
        <f>29.7-AL73-AK73</f>
        <v>11.000000000000002</v>
      </c>
      <c r="AN73" s="986">
        <f>42.2-AM73-AL73-AK73</f>
        <v>12.500000000000002</v>
      </c>
      <c r="AO73" s="1120">
        <f>SUM(AK73:AN73)</f>
        <v>42.2</v>
      </c>
      <c r="AP73" s="1119"/>
      <c r="AQ73" s="1119">
        <v>14.7</v>
      </c>
      <c r="AR73" s="1119">
        <f>28.6-AQ73</f>
        <v>13.900000000000002</v>
      </c>
      <c r="AS73" s="986">
        <f>43.4-AR73-AQ73</f>
        <v>14.799999999999997</v>
      </c>
      <c r="AT73" s="986">
        <f>58.7-AS73-AR73-AQ73</f>
        <v>15.300000000000004</v>
      </c>
      <c r="AU73" s="1000">
        <f>SUM(AQ73:AT73)</f>
        <v>58.7</v>
      </c>
      <c r="AV73" s="972"/>
      <c r="AW73" s="1119">
        <v>15</v>
      </c>
      <c r="AX73" s="986">
        <f>30.3-AW73</f>
        <v>15.3</v>
      </c>
      <c r="AY73" s="986">
        <f>46-AX73-AW73</f>
        <v>15.7</v>
      </c>
      <c r="AZ73" s="986">
        <v>17.899999999999999</v>
      </c>
      <c r="BA73" s="1000">
        <f>SUM(AW73:AZ73)</f>
        <v>63.9</v>
      </c>
      <c r="BB73" s="972"/>
      <c r="BC73" s="986">
        <f>CF!BC87</f>
        <v>19.489000000000001</v>
      </c>
      <c r="BD73" s="986">
        <f>CF!BD87</f>
        <v>18.105999999999998</v>
      </c>
      <c r="BE73" s="986">
        <f>CF!BE87</f>
        <v>19.959000000000003</v>
      </c>
      <c r="BF73" s="986">
        <f>CF!BF87</f>
        <v>22.605000000000004</v>
      </c>
      <c r="BG73" s="1000">
        <f>SUM(BC73:BF73)</f>
        <v>80.159000000000006</v>
      </c>
      <c r="BH73" s="972"/>
      <c r="BI73" s="986">
        <f>CF!BI87</f>
        <v>24.675000000000001</v>
      </c>
      <c r="BJ73" s="986">
        <f>CF!BJ87</f>
        <v>24.916</v>
      </c>
      <c r="BK73" s="986">
        <f>CF!BK87</f>
        <v>26.862000000000002</v>
      </c>
      <c r="BL73" s="986">
        <f>CF!BL87</f>
        <v>30.74199999999999</v>
      </c>
      <c r="BM73" s="1000">
        <f>SUM(BI73:BL73)</f>
        <v>107.19499999999999</v>
      </c>
      <c r="BN73" s="972"/>
      <c r="BO73" s="986">
        <f>CF!BO87</f>
        <v>36.246000000000002</v>
      </c>
      <c r="BP73" s="986">
        <f>CF!BP87</f>
        <v>35.782999999999994</v>
      </c>
      <c r="BQ73" s="986">
        <f>CF!BQ87</f>
        <v>39.070000000000007</v>
      </c>
      <c r="BR73" s="986">
        <f>CF!BR87</f>
        <v>43.719000000000008</v>
      </c>
      <c r="BS73" s="1000">
        <f>SUM(BO73:BR73)</f>
        <v>154.81800000000001</v>
      </c>
      <c r="BT73" s="972"/>
      <c r="BU73" s="986">
        <f>CF!BU87</f>
        <v>45.667000000000002</v>
      </c>
      <c r="BV73" s="986">
        <f>CF!BV87</f>
        <v>46.188999999999993</v>
      </c>
      <c r="BW73" s="986">
        <f>CF!BW87</f>
        <v>48.00800000000001</v>
      </c>
      <c r="BX73" s="986">
        <f>CF!BX87</f>
        <v>54.688999999999993</v>
      </c>
      <c r="BY73" s="1000">
        <f>SUM(BU73:BX73)</f>
        <v>194.553</v>
      </c>
      <c r="BZ73" s="972"/>
      <c r="CA73" s="986">
        <f>CF!CA87</f>
        <v>59.854999999999997</v>
      </c>
      <c r="CB73" s="986">
        <f>CF!CB87</f>
        <v>61.300000000000004</v>
      </c>
      <c r="CC73" s="986">
        <f>CF!CC87</f>
        <v>65.371000000000009</v>
      </c>
      <c r="CD73" s="986">
        <f>CF!CD87</f>
        <v>71.115999999999985</v>
      </c>
      <c r="CE73" s="1000">
        <f>SUM(CA73:CD73)</f>
        <v>257.642</v>
      </c>
      <c r="CF73" s="972"/>
      <c r="CG73" s="986">
        <f>CF!CG87</f>
        <v>77.155000000000001</v>
      </c>
      <c r="CH73" s="986">
        <f>CF!CH87</f>
        <v>76.679000000000002</v>
      </c>
      <c r="CI73" s="986">
        <f>CF!CI87</f>
        <v>78.933999999999997</v>
      </c>
      <c r="CJ73" s="986">
        <f>CF!CJ87</f>
        <v>86.306000000000012</v>
      </c>
      <c r="CK73" s="1000">
        <f>SUM(CG73:CJ73)</f>
        <v>319.07400000000001</v>
      </c>
      <c r="CL73" s="972"/>
      <c r="CM73" s="986">
        <f>CF!CM87</f>
        <v>88.513999999999996</v>
      </c>
      <c r="CN73" s="986">
        <f>CF!CN87</f>
        <v>88.783000000000001</v>
      </c>
      <c r="CO73" s="986">
        <f>CF!CO87</f>
        <v>93.22999999999999</v>
      </c>
      <c r="CP73" s="986">
        <f>CF!CP87</f>
        <v>101.01400000000001</v>
      </c>
      <c r="CQ73" s="1000">
        <f>SUM(CM73:CP73)</f>
        <v>371.541</v>
      </c>
      <c r="CR73" s="972"/>
      <c r="CS73" s="986">
        <f>CF!CS87</f>
        <v>106.142</v>
      </c>
      <c r="CT73" s="986">
        <f>CF!CT87</f>
        <v>107.86799999999999</v>
      </c>
      <c r="CU73" s="986">
        <f>CF!CU87</f>
        <v>117.67700000000002</v>
      </c>
      <c r="CV73" s="986">
        <f>CF!CV87</f>
        <v>132.97499999999997</v>
      </c>
      <c r="CW73" s="1000">
        <f>SUM(CS73:CV73)</f>
        <v>464.66199999999998</v>
      </c>
      <c r="CX73" s="972"/>
      <c r="CY73" s="986">
        <f>CV75*CY74</f>
        <v>180.70835440066861</v>
      </c>
      <c r="CZ73" s="986">
        <f>CY75*CZ74</f>
        <v>170.39063394403041</v>
      </c>
      <c r="DA73" s="986">
        <f>CZ75*DA74</f>
        <v>168.73870468493726</v>
      </c>
      <c r="DB73" s="986">
        <f>DA75*DB74</f>
        <v>199.04103594963806</v>
      </c>
      <c r="DC73" s="1000">
        <f>SUM(CY73:DB73)</f>
        <v>718.87872897927434</v>
      </c>
      <c r="DD73" s="972"/>
      <c r="DE73" s="986">
        <f>DB75*DE74</f>
        <v>236.82292681023489</v>
      </c>
      <c r="DF73" s="986">
        <f>DE75*DF74</f>
        <v>216.33165055545714</v>
      </c>
      <c r="DG73" s="986">
        <f>DF75*DG74</f>
        <v>208.30951696080871</v>
      </c>
      <c r="DH73" s="986">
        <f>DG75*DH74</f>
        <v>231.48028751874276</v>
      </c>
      <c r="DI73" s="1000">
        <f>SUM(DE73:DH73)</f>
        <v>892.94438184524358</v>
      </c>
      <c r="DJ73" s="972"/>
      <c r="DK73" s="986">
        <f>DH75*DK74</f>
        <v>289.90056342832298</v>
      </c>
      <c r="DL73" s="986">
        <f>DK75*DL74</f>
        <v>258.43480716868652</v>
      </c>
      <c r="DM73" s="986">
        <f>DL75*DM74</f>
        <v>243.99028428448361</v>
      </c>
      <c r="DN73" s="986">
        <f>DM75*DN74</f>
        <v>259.36886811130648</v>
      </c>
      <c r="DO73" s="1000">
        <f>SUM(DK73:DN73)</f>
        <v>1051.6945229927996</v>
      </c>
      <c r="DP73" s="986"/>
      <c r="DQ73" s="955"/>
    </row>
    <row r="74" spans="1:121" ht="12" customHeight="1">
      <c r="A74" s="1108" t="s">
        <v>220</v>
      </c>
      <c r="B74" s="1108"/>
      <c r="C74" s="972"/>
      <c r="D74" s="972"/>
      <c r="E74" s="972"/>
      <c r="F74" s="972"/>
      <c r="G74" s="972"/>
      <c r="H74" s="972"/>
      <c r="I74" s="972"/>
      <c r="J74" s="972"/>
      <c r="K74" s="972"/>
      <c r="L74" s="972"/>
      <c r="M74" s="972"/>
      <c r="N74" s="972"/>
      <c r="O74" s="972"/>
      <c r="P74" s="972"/>
      <c r="Q74" s="972"/>
      <c r="R74" s="972"/>
      <c r="S74" s="972"/>
      <c r="T74" s="972"/>
      <c r="U74" s="972"/>
      <c r="V74" s="972"/>
      <c r="W74" s="972"/>
      <c r="X74" s="972"/>
      <c r="Y74" s="1123">
        <f>Y73/V75</f>
        <v>0.35368771455320919</v>
      </c>
      <c r="Z74" s="1123">
        <f>Z73/Y75</f>
        <v>0.34328513471340899</v>
      </c>
      <c r="AA74" s="1123">
        <f>AA73/Z75</f>
        <v>0.34145878782130329</v>
      </c>
      <c r="AB74" s="1123">
        <f>AB73/AA75</f>
        <v>0.35193976100834823</v>
      </c>
      <c r="AC74" s="1003"/>
      <c r="AD74" s="972"/>
      <c r="AE74" s="1123">
        <f>AE73/AB75</f>
        <v>0.29868228404099562</v>
      </c>
      <c r="AF74" s="1123">
        <f>AF73/AE75</f>
        <v>0.34472331418203817</v>
      </c>
      <c r="AG74" s="1123">
        <f>AG73/AF75</f>
        <v>0.31356436178839814</v>
      </c>
      <c r="AH74" s="1123">
        <f>AH73/AG75</f>
        <v>0.32695451485719768</v>
      </c>
      <c r="AI74" s="1003"/>
      <c r="AJ74" s="972"/>
      <c r="AK74" s="1123">
        <f>AK73/AH75</f>
        <v>0.28843106180665612</v>
      </c>
      <c r="AL74" s="1123">
        <f>AL73/AK75</f>
        <v>0.30290600448048466</v>
      </c>
      <c r="AM74" s="1123">
        <f>AM73/AL75</f>
        <v>0.32520325203252037</v>
      </c>
      <c r="AN74" s="1123">
        <f>AN73/AM75</f>
        <v>0.35829965316593576</v>
      </c>
      <c r="AO74" s="1120"/>
      <c r="AP74" s="1119"/>
      <c r="AQ74" s="1123">
        <f>AQ73/AN75</f>
        <v>0.28207391487891925</v>
      </c>
      <c r="AR74" s="1123">
        <f>AR73/AQ75</f>
        <v>0.27777222677404534</v>
      </c>
      <c r="AS74" s="1123">
        <f>AS73/AR75</f>
        <v>0.29341210523185507</v>
      </c>
      <c r="AT74" s="1123">
        <f>AT73/AS75</f>
        <v>0.31008694594758934</v>
      </c>
      <c r="AU74" s="1003"/>
      <c r="AV74" s="972"/>
      <c r="AW74" s="1123">
        <f>AW73/AT75</f>
        <v>0.26250853152727466</v>
      </c>
      <c r="AX74" s="1123">
        <f>AX73/AW75</f>
        <v>0.28845609999811472</v>
      </c>
      <c r="AY74" s="1123">
        <f>AY73/AX75</f>
        <v>0.30284909627514905</v>
      </c>
      <c r="AZ74" s="1123">
        <f>AZ73/AY75</f>
        <v>0.33061820062429587</v>
      </c>
      <c r="BA74" s="1003"/>
      <c r="BB74" s="972"/>
      <c r="BC74" s="1123">
        <f>BC73/AZ75</f>
        <v>0.25804017106465243</v>
      </c>
      <c r="BD74" s="1123">
        <f>BD73/BC75</f>
        <v>0.24030472752369067</v>
      </c>
      <c r="BE74" s="1123">
        <f>BE73/BD75</f>
        <v>0.2575753665083626</v>
      </c>
      <c r="BF74" s="1123">
        <f>BF73/BE75</f>
        <v>0.27164247260142288</v>
      </c>
      <c r="BG74" s="1003"/>
      <c r="BH74" s="972"/>
      <c r="BI74" s="1123">
        <f>BI73/BF75</f>
        <v>0.21159370578399006</v>
      </c>
      <c r="BJ74" s="1123">
        <f>BJ73/BI75</f>
        <v>0.22158585607057735</v>
      </c>
      <c r="BK74" s="1123">
        <f>BK73/BJ75</f>
        <v>0.2363260458364492</v>
      </c>
      <c r="BL74" s="1123">
        <f>BL73/BK75</f>
        <v>0.25530253957181043</v>
      </c>
      <c r="BM74" s="1003"/>
      <c r="BN74" s="972"/>
      <c r="BO74" s="1123">
        <f>BO73/BL75</f>
        <v>0.20522140879520318</v>
      </c>
      <c r="BP74" s="1123">
        <f>BP73/BO75</f>
        <v>0.20744850455965808</v>
      </c>
      <c r="BQ74" s="1123">
        <f>BQ73/BP75</f>
        <v>0.22724364566974928</v>
      </c>
      <c r="BR74" s="1123">
        <f>BR73/BQ75</f>
        <v>0.24139339962785245</v>
      </c>
      <c r="BS74" s="1003"/>
      <c r="BT74" s="972"/>
      <c r="BU74" s="1123">
        <f>BU73/BR75</f>
        <v>0.17951429290229245</v>
      </c>
      <c r="BV74" s="1123">
        <f>BV73/BU75</f>
        <v>0.20418818078936188</v>
      </c>
      <c r="BW74" s="1123">
        <f>BW73/BV75</f>
        <v>0.21302237249629483</v>
      </c>
      <c r="BX74" s="1123">
        <f>BX73/BW75</f>
        <v>0.23239676023898748</v>
      </c>
      <c r="BY74" s="1003"/>
      <c r="BZ74" s="972"/>
      <c r="CA74" s="1123">
        <f>CA73/BX75</f>
        <v>0.18421514285098742</v>
      </c>
      <c r="CB74" s="1123">
        <f>CB73/CA75</f>
        <v>0.20035298731860368</v>
      </c>
      <c r="CC74" s="1123">
        <f>CC73/CB75</f>
        <v>0.21053055335484658</v>
      </c>
      <c r="CD74" s="1123">
        <f>CD73/CC75</f>
        <v>0.22984018227946268</v>
      </c>
      <c r="CE74" s="1003"/>
      <c r="CF74" s="972"/>
      <c r="CG74" s="1123">
        <f>CG73/CD75</f>
        <v>0.19876037209446101</v>
      </c>
      <c r="CH74" s="1123">
        <f>CH73/CG75</f>
        <v>0.21233779540205686</v>
      </c>
      <c r="CI74" s="1123">
        <f>CI73/CH75</f>
        <v>0.22223410964457846</v>
      </c>
      <c r="CJ74" s="1123">
        <f>CJ73/CI75</f>
        <v>0.24224273673160629</v>
      </c>
      <c r="CK74" s="1003"/>
      <c r="CL74" s="972"/>
      <c r="CM74" s="1123">
        <f>CM73/CJ75</f>
        <v>0.19707923558710291</v>
      </c>
      <c r="CN74" s="1123">
        <f>CN73/CM75</f>
        <v>0.20932771246822926</v>
      </c>
      <c r="CO74" s="1123">
        <f>CO73/CN75</f>
        <v>0.2296339354768788</v>
      </c>
      <c r="CP74" s="1123">
        <f>CP73/CO75</f>
        <v>0.24906858792751863</v>
      </c>
      <c r="CQ74" s="1003"/>
      <c r="CR74" s="972"/>
      <c r="CS74" s="1123">
        <f>CS73/CP75</f>
        <v>0.19669840516810033</v>
      </c>
      <c r="CT74" s="1123">
        <f>CT73/CS75</f>
        <v>0.20826953709513918</v>
      </c>
      <c r="CU74" s="1123">
        <f>CU73/CT75</f>
        <v>0.22339817639565715</v>
      </c>
      <c r="CV74" s="1123">
        <f>CV73/CU75</f>
        <v>0.22901216920464434</v>
      </c>
      <c r="CW74" s="1003"/>
      <c r="CX74" s="972"/>
      <c r="CY74" s="1001">
        <f>CS74+1%</f>
        <v>0.20669840516810034</v>
      </c>
      <c r="CZ74" s="1001">
        <f>CT74+1%</f>
        <v>0.21826953709513919</v>
      </c>
      <c r="DA74" s="1001">
        <f>CU74+1%</f>
        <v>0.23339817639565716</v>
      </c>
      <c r="DB74" s="1001">
        <v>0.26100000000000001</v>
      </c>
      <c r="DC74" s="1003"/>
      <c r="DD74" s="972"/>
      <c r="DE74" s="1001">
        <f>CY74+1%</f>
        <v>0.21669840516810035</v>
      </c>
      <c r="DF74" s="1001">
        <f>CZ74+1%</f>
        <v>0.2282695370951392</v>
      </c>
      <c r="DG74" s="1001">
        <f>DA74+1%</f>
        <v>0.24339817639565717</v>
      </c>
      <c r="DH74" s="1001">
        <v>0.26100000000000001</v>
      </c>
      <c r="DI74" s="1003"/>
      <c r="DJ74" s="972"/>
      <c r="DK74" s="1001">
        <f>DE74+1%</f>
        <v>0.22669840516810036</v>
      </c>
      <c r="DL74" s="1001">
        <f>DF74+1%</f>
        <v>0.23826953709513921</v>
      </c>
      <c r="DM74" s="1001">
        <f>DG74+1%</f>
        <v>0.25339817639565715</v>
      </c>
      <c r="DN74" s="1001">
        <v>0.26100000000000001</v>
      </c>
      <c r="DO74" s="1003"/>
      <c r="DP74" s="972"/>
      <c r="DQ74" s="948"/>
    </row>
    <row r="75" spans="1:121" ht="12" customHeight="1">
      <c r="A75" s="1124" t="s">
        <v>221</v>
      </c>
      <c r="B75" s="1125"/>
      <c r="C75" s="1004"/>
      <c r="D75" s="1004"/>
      <c r="E75" s="1004"/>
      <c r="F75" s="1004"/>
      <c r="G75" s="1004"/>
      <c r="H75" s="1004"/>
      <c r="I75" s="1004"/>
      <c r="J75" s="1004"/>
      <c r="K75" s="1004"/>
      <c r="L75" s="1004"/>
      <c r="M75" s="1004"/>
      <c r="N75" s="1004"/>
      <c r="O75" s="1004"/>
      <c r="P75" s="1004"/>
      <c r="Q75" s="1004"/>
      <c r="R75" s="1004"/>
      <c r="S75" s="1004"/>
      <c r="T75" s="1004"/>
      <c r="U75" s="1004"/>
      <c r="V75" s="1005">
        <f>V14+V23</f>
        <v>9.6129999999999995</v>
      </c>
      <c r="W75" s="1005">
        <f>W14+W23</f>
        <v>9.6129999999999995</v>
      </c>
      <c r="X75" s="1004"/>
      <c r="Y75" s="1005">
        <f>Y14+Y23</f>
        <v>9.6129999999999995</v>
      </c>
      <c r="Z75" s="1005">
        <f>Z14+Z23</f>
        <v>10.542999999999999</v>
      </c>
      <c r="AA75" s="1005">
        <f>AA14+AA23</f>
        <v>12.218</v>
      </c>
      <c r="AB75" s="1005">
        <f>AB14+AB23</f>
        <v>17.074999999999999</v>
      </c>
      <c r="AC75" s="1006"/>
      <c r="AD75" s="1004"/>
      <c r="AE75" s="1005">
        <f>AE14+AE23</f>
        <v>16.535</v>
      </c>
      <c r="AF75" s="1005">
        <f>AF14+AF23</f>
        <v>18.497</v>
      </c>
      <c r="AG75" s="1005">
        <f>AG14+AG23</f>
        <v>20.797999999999998</v>
      </c>
      <c r="AH75" s="1005">
        <f>AH14+AH23</f>
        <v>31.549999999999997</v>
      </c>
      <c r="AI75" s="1006"/>
      <c r="AJ75" s="1004"/>
      <c r="AK75" s="1005">
        <f>AK14+AK23</f>
        <v>31.692999999999998</v>
      </c>
      <c r="AL75" s="1005">
        <f>AL14+AL23</f>
        <v>33.825000000000003</v>
      </c>
      <c r="AM75" s="1005">
        <f>AM14+AM23</f>
        <v>34.887</v>
      </c>
      <c r="AN75" s="1005">
        <f>AN14+AN23</f>
        <v>52.114000000000004</v>
      </c>
      <c r="AO75" s="1126"/>
      <c r="AP75" s="1127"/>
      <c r="AQ75" s="1005">
        <f>AQ14+AQ23</f>
        <v>50.040999999999997</v>
      </c>
      <c r="AR75" s="1005">
        <f>AQ75+AR71-AR73</f>
        <v>50.440999999999988</v>
      </c>
      <c r="AS75" s="1005">
        <f>AR75+AS71-AS73</f>
        <v>49.340999999999994</v>
      </c>
      <c r="AT75" s="1005">
        <f>AS75+AT71-AT73</f>
        <v>57.140999999999998</v>
      </c>
      <c r="AU75" s="1006"/>
      <c r="AV75" s="1004"/>
      <c r="AW75" s="1005">
        <f>AT75+AW71-AW73</f>
        <v>53.040999999999997</v>
      </c>
      <c r="AX75" s="1005">
        <f>AW75+AX71-AX73</f>
        <v>51.840999999999994</v>
      </c>
      <c r="AY75" s="1005">
        <f>AX75+AY71-AY73</f>
        <v>54.140999999999991</v>
      </c>
      <c r="AZ75" s="1005">
        <f>AY75+AZ71-AZ73</f>
        <v>75.526999999999987</v>
      </c>
      <c r="BA75" s="1006"/>
      <c r="BB75" s="1004"/>
      <c r="BC75" s="1005">
        <f>AZ75+BC71-BC73</f>
        <v>75.346000000000004</v>
      </c>
      <c r="BD75" s="1005">
        <f>BC75+BD71-BD73</f>
        <v>77.488</v>
      </c>
      <c r="BE75" s="1005">
        <f>BD75+BE71-BE73</f>
        <v>83.215999999999994</v>
      </c>
      <c r="BF75" s="1005">
        <f>BE75+BF71-BF73</f>
        <v>116.61499999999999</v>
      </c>
      <c r="BG75" s="1006"/>
      <c r="BH75" s="1004"/>
      <c r="BI75" s="1005">
        <f>BF75+BI71-BI73</f>
        <v>112.444</v>
      </c>
      <c r="BJ75" s="1005">
        <f>BI75+BJ71-BJ73</f>
        <v>113.66500000000002</v>
      </c>
      <c r="BK75" s="1005">
        <f>BJ75+BK71-BK73</f>
        <v>120.41400000000004</v>
      </c>
      <c r="BL75" s="1005">
        <f>BK75+BL71-BL73</f>
        <v>176.61900000000006</v>
      </c>
      <c r="BM75" s="1006"/>
      <c r="BN75" s="1004"/>
      <c r="BO75" s="1005">
        <f>BL75+BO71-BO73</f>
        <v>172.49100000000007</v>
      </c>
      <c r="BP75" s="1005">
        <f>BO75+BP71-BP73</f>
        <v>171.93000000000006</v>
      </c>
      <c r="BQ75" s="1005">
        <f>BP75+BQ71-BQ73</f>
        <v>181.1110000000001</v>
      </c>
      <c r="BR75" s="1005">
        <f>BQ75+BR71-BR73</f>
        <v>254.39200000000011</v>
      </c>
      <c r="BS75" s="1006"/>
      <c r="BT75" s="1004"/>
      <c r="BU75" s="1005">
        <f>BR75+BU71-BU73</f>
        <v>226.20800000000011</v>
      </c>
      <c r="BV75" s="1005">
        <f>BU75+BV71-BV73</f>
        <v>225.36600000000013</v>
      </c>
      <c r="BW75" s="1005">
        <f>BV75+BW71-BW73</f>
        <v>235.32600000000011</v>
      </c>
      <c r="BX75" s="1005">
        <f>BW75+BX71-BX73</f>
        <v>324.9190000000001</v>
      </c>
      <c r="BY75" s="1006"/>
      <c r="BZ75" s="1004"/>
      <c r="CA75" s="1005">
        <f>BX75+CA71-CA73</f>
        <v>305.96000000000009</v>
      </c>
      <c r="CB75" s="1005">
        <f>CA75+CB71-CB73</f>
        <v>310.50600000000009</v>
      </c>
      <c r="CC75" s="1005">
        <f>CB75+CC71-CC73</f>
        <v>309.41500000000019</v>
      </c>
      <c r="CD75" s="1005">
        <f>CC75+CD71-CD73</f>
        <v>388.18100000000015</v>
      </c>
      <c r="CE75" s="1006"/>
      <c r="CF75" s="1004"/>
      <c r="CG75" s="1005">
        <f>CD75+CG71-CG73</f>
        <v>361.11800000000017</v>
      </c>
      <c r="CH75" s="1005">
        <f>CG75+CH71-CH73</f>
        <v>355.1840000000002</v>
      </c>
      <c r="CI75" s="1005">
        <f>CH75+CI71-CI73</f>
        <v>356.27900000000022</v>
      </c>
      <c r="CJ75" s="1005">
        <f>CI75+CJ71-CJ73</f>
        <v>449.12900000000025</v>
      </c>
      <c r="CK75" s="1006"/>
      <c r="CL75" s="1004"/>
      <c r="CM75" s="1005">
        <f>CJ75+CM71-CM73</f>
        <v>424.13400000000024</v>
      </c>
      <c r="CN75" s="1005">
        <f>CM75+CN71-CN73</f>
        <v>405.99400000000026</v>
      </c>
      <c r="CO75" s="1005">
        <f>CN75+CO71-CO73</f>
        <v>405.56700000000023</v>
      </c>
      <c r="CP75" s="1005">
        <f>CO75+CP71-CP73</f>
        <v>539.61800000000017</v>
      </c>
      <c r="CQ75" s="1006"/>
      <c r="CR75" s="1004"/>
      <c r="CS75" s="1005">
        <f>CP75+CS71-CS73</f>
        <v>517.92500000000018</v>
      </c>
      <c r="CT75" s="1005">
        <f>CS75+CT71-CT73</f>
        <v>526.75900000000024</v>
      </c>
      <c r="CU75" s="1005">
        <f>CT75+CU71-CU73</f>
        <v>580.64600000000019</v>
      </c>
      <c r="CV75" s="1005">
        <f>CU75+CV71-CV73</f>
        <v>874.26100000000019</v>
      </c>
      <c r="CW75" s="1006"/>
      <c r="CX75" s="1004"/>
      <c r="CY75" s="1005">
        <f>CV75+CY71-CY73</f>
        <v>780.64321852554554</v>
      </c>
      <c r="CZ75" s="1005">
        <f>CY75+CZ71-CZ73</f>
        <v>722.96496609678297</v>
      </c>
      <c r="DA75" s="1005">
        <f>CZ75+DA71-DA73</f>
        <v>762.60933314037572</v>
      </c>
      <c r="DB75" s="1005">
        <f>DA75+DB71-DB73</f>
        <v>1092.8688036560457</v>
      </c>
      <c r="DC75" s="1006"/>
      <c r="DD75" s="1004"/>
      <c r="DE75" s="1005">
        <f>DB75+DE71-DE73</f>
        <v>947.70267337640178</v>
      </c>
      <c r="DF75" s="1005">
        <f>DE75+DF71-DF73</f>
        <v>855.83844565125287</v>
      </c>
      <c r="DG75" s="1005">
        <f>DF75+DG71-DG73</f>
        <v>886.8976533285163</v>
      </c>
      <c r="DH75" s="1005">
        <f>DG75+DH71-DH73</f>
        <v>1278.7940136295058</v>
      </c>
      <c r="DI75" s="1006"/>
      <c r="DJ75" s="1004"/>
      <c r="DK75" s="1005">
        <f>DH75+DK71-DK73</f>
        <v>1084.6321788315536</v>
      </c>
      <c r="DL75" s="1005">
        <f>DK75+DL71-DL73</f>
        <v>962.87308675622035</v>
      </c>
      <c r="DM75" s="1005">
        <f>DL75+DM71-DM73</f>
        <v>993.75045253374128</v>
      </c>
      <c r="DN75" s="1005">
        <f>DM75+DN71-DN73</f>
        <v>1458.5508623442117</v>
      </c>
      <c r="DO75" s="1006"/>
      <c r="DP75" s="972"/>
      <c r="DQ75" s="948"/>
    </row>
    <row r="76" spans="1:121" ht="12" customHeight="1">
      <c r="A76" s="1108"/>
      <c r="B76" s="1108"/>
      <c r="C76" s="972"/>
      <c r="D76" s="972"/>
      <c r="E76" s="972"/>
      <c r="F76" s="972"/>
      <c r="G76" s="972"/>
      <c r="H76" s="972"/>
      <c r="I76" s="972"/>
      <c r="J76" s="972"/>
      <c r="K76" s="972"/>
      <c r="L76" s="972"/>
      <c r="M76" s="972"/>
      <c r="N76" s="972"/>
      <c r="O76" s="972"/>
      <c r="P76" s="972"/>
      <c r="Q76" s="972"/>
      <c r="R76" s="972"/>
      <c r="S76" s="972"/>
      <c r="T76" s="972"/>
      <c r="U76" s="972"/>
      <c r="V76" s="972"/>
      <c r="W76" s="972"/>
      <c r="X76" s="972"/>
      <c r="Y76" s="972"/>
      <c r="Z76" s="972"/>
      <c r="AA76" s="972"/>
      <c r="AB76" s="972"/>
      <c r="AC76" s="1003"/>
      <c r="AD76" s="972"/>
      <c r="AE76" s="972"/>
      <c r="AF76" s="972"/>
      <c r="AG76" s="972"/>
      <c r="AH76" s="972"/>
      <c r="AI76" s="1003"/>
      <c r="AJ76" s="972"/>
      <c r="AK76" s="972"/>
      <c r="AL76" s="1128"/>
      <c r="AM76" s="972"/>
      <c r="AN76" s="972"/>
      <c r="AO76" s="1003"/>
      <c r="AP76" s="972"/>
      <c r="AQ76" s="986"/>
      <c r="AR76" s="1128"/>
      <c r="AS76" s="986"/>
      <c r="AT76" s="1128"/>
      <c r="AU76" s="1003"/>
      <c r="AV76" s="972"/>
      <c r="AW76" s="986">
        <f>SUM(AW23,AW14)</f>
        <v>53.006</v>
      </c>
      <c r="AX76" s="986">
        <f>SUM(AX23,AX14)</f>
        <v>51.826999999999998</v>
      </c>
      <c r="AY76" s="986">
        <f>SUM(AY23,AY14)</f>
        <v>54.141999999999996</v>
      </c>
      <c r="AZ76" s="986">
        <f>SUM(AZ23,AZ14)</f>
        <v>75.527999999999992</v>
      </c>
      <c r="BA76" s="1003"/>
      <c r="BB76" s="972"/>
      <c r="BC76" s="986">
        <f>SUM(BC23,BC14)</f>
        <v>75.347000000000008</v>
      </c>
      <c r="BD76" s="986">
        <f>SUM(BD23,BD14)</f>
        <v>77.489000000000004</v>
      </c>
      <c r="BE76" s="986">
        <f>SUM(BE23,BE14)</f>
        <v>83.216999999999999</v>
      </c>
      <c r="BF76" s="986">
        <f>SUM(BF23,BF14)</f>
        <v>116.616</v>
      </c>
      <c r="BG76" s="1003"/>
      <c r="BH76" s="972"/>
      <c r="BI76" s="986">
        <f>SUM(BI23,BI14)</f>
        <v>112.44499999999999</v>
      </c>
      <c r="BJ76" s="986">
        <f>SUM(BJ23,BJ14)</f>
        <v>113.666</v>
      </c>
      <c r="BK76" s="986">
        <f>SUM(BK23,BK14)</f>
        <v>120.41500000000001</v>
      </c>
      <c r="BL76" s="986">
        <f>SUM(BL23,BL14)</f>
        <v>176.62</v>
      </c>
      <c r="BM76" s="1003"/>
      <c r="BN76" s="972"/>
      <c r="BO76" s="986">
        <f>SUM(BO23,BO14)</f>
        <v>172.49200000000002</v>
      </c>
      <c r="BP76" s="986">
        <f>SUM(BP23,BP14)</f>
        <v>171.93100000000001</v>
      </c>
      <c r="BQ76" s="986">
        <f>SUM(BQ23,BQ14)</f>
        <v>181.11200000000002</v>
      </c>
      <c r="BR76" s="986">
        <f>SUM(BR23,BR14)</f>
        <v>254.393</v>
      </c>
      <c r="BS76" s="1003"/>
      <c r="BT76" s="972"/>
      <c r="BU76" s="986">
        <f>SUM(BU23,BU14)</f>
        <v>226.209</v>
      </c>
      <c r="BV76" s="986">
        <f>SUM(BV23,BV14)</f>
        <v>225.36700000000002</v>
      </c>
      <c r="BW76" s="986">
        <f>SUM(BW23,BW14)</f>
        <v>235.327</v>
      </c>
      <c r="BX76" s="986">
        <f>SUM(BX23,BX14)</f>
        <v>324.92</v>
      </c>
      <c r="BY76" s="1003"/>
      <c r="BZ76" s="972"/>
      <c r="CA76" s="986">
        <f>SUM(CA23,CA14)</f>
        <v>305.96100000000001</v>
      </c>
      <c r="CB76" s="986">
        <f>SUM(CB23,CB14)</f>
        <v>310.50700000000001</v>
      </c>
      <c r="CC76" s="986">
        <f>SUM(CC23,CC14)</f>
        <v>309.41600000000005</v>
      </c>
      <c r="CD76" s="986">
        <f>SUM(CD23,CD14)</f>
        <v>388.18200000000002</v>
      </c>
      <c r="CE76" s="1003"/>
      <c r="CF76" s="972"/>
      <c r="CG76" s="986">
        <f>SUM(CG23,CG14)</f>
        <v>361.11900000000003</v>
      </c>
      <c r="CH76" s="986">
        <f>SUM(CH23,CH14)</f>
        <v>355.185</v>
      </c>
      <c r="CI76" s="986">
        <f>SUM(CI23,CI14)</f>
        <v>356.28</v>
      </c>
      <c r="CJ76" s="986">
        <f>SUM(CJ23,CJ14)</f>
        <v>449.13</v>
      </c>
      <c r="CK76" s="1003"/>
      <c r="CL76" s="972"/>
      <c r="CM76" s="986">
        <f>SUM(CM23,CM14)</f>
        <v>424.13499999999999</v>
      </c>
      <c r="CN76" s="986">
        <f>SUM(CN23,CN14)</f>
        <v>405.995</v>
      </c>
      <c r="CO76" s="986">
        <f>SUM(CO23,CO14)</f>
        <v>405.56799999999998</v>
      </c>
      <c r="CP76" s="986">
        <f>SUM(CP23,CP14)</f>
        <v>539.61899999999991</v>
      </c>
      <c r="CQ76" s="1003"/>
      <c r="CR76" s="972"/>
      <c r="CS76" s="986">
        <f>SUM(CS23,CS14)</f>
        <v>517.92599999999993</v>
      </c>
      <c r="CT76" s="986">
        <f>SUM(CT23,CT14)</f>
        <v>526.76</v>
      </c>
      <c r="CU76" s="986">
        <f>SUM(CU23,CU14)</f>
        <v>580.64699999999993</v>
      </c>
      <c r="CV76" s="986">
        <f>SUM(CV23,CV14)</f>
        <v>874.26199999999994</v>
      </c>
      <c r="CW76" s="1003"/>
      <c r="CX76" s="972"/>
      <c r="CY76" s="986"/>
      <c r="CZ76" s="986"/>
      <c r="DA76" s="986"/>
      <c r="DB76" s="986"/>
      <c r="DC76" s="1003"/>
      <c r="DD76" s="972"/>
      <c r="DE76" s="986"/>
      <c r="DF76" s="986"/>
      <c r="DG76" s="986"/>
      <c r="DH76" s="986"/>
      <c r="DI76" s="1003"/>
      <c r="DJ76" s="972"/>
      <c r="DK76" s="986"/>
      <c r="DL76" s="986"/>
      <c r="DM76" s="986"/>
      <c r="DN76" s="986"/>
      <c r="DO76" s="1003"/>
      <c r="DP76" s="972"/>
      <c r="DQ76" s="948"/>
    </row>
    <row r="77" spans="1:121" ht="5.25" customHeight="1">
      <c r="A77" s="1108"/>
      <c r="B77" s="1108"/>
      <c r="C77" s="948"/>
      <c r="D77" s="948"/>
      <c r="E77" s="948"/>
      <c r="F77" s="948"/>
      <c r="G77" s="948"/>
      <c r="H77" s="948"/>
      <c r="I77" s="948"/>
      <c r="J77" s="948"/>
      <c r="K77" s="948"/>
      <c r="L77" s="948"/>
      <c r="M77" s="948"/>
      <c r="N77" s="948"/>
      <c r="O77" s="948"/>
      <c r="P77" s="948"/>
      <c r="Q77" s="948"/>
      <c r="R77" s="948"/>
      <c r="S77" s="948"/>
      <c r="T77" s="948"/>
      <c r="U77" s="948"/>
      <c r="V77" s="948"/>
      <c r="W77" s="948"/>
      <c r="X77" s="948"/>
      <c r="Y77" s="948"/>
      <c r="Z77" s="948"/>
      <c r="AA77" s="948"/>
      <c r="AB77" s="948"/>
      <c r="AC77" s="976"/>
      <c r="AD77" s="948"/>
      <c r="AE77" s="948"/>
      <c r="AF77" s="948"/>
      <c r="AG77" s="948"/>
      <c r="AH77" s="948"/>
      <c r="AI77" s="976"/>
      <c r="AJ77" s="948"/>
      <c r="AK77" s="948"/>
      <c r="AL77" s="948"/>
      <c r="AM77" s="948"/>
      <c r="AN77" s="948"/>
      <c r="AO77" s="976"/>
      <c r="AP77" s="948"/>
      <c r="AQ77" s="948"/>
      <c r="AR77" s="948"/>
      <c r="AS77" s="948"/>
      <c r="AT77" s="948"/>
      <c r="AU77" s="976"/>
      <c r="AV77" s="948"/>
      <c r="AW77" s="948"/>
      <c r="AX77" s="948"/>
      <c r="AY77" s="948"/>
      <c r="AZ77" s="948"/>
      <c r="BA77" s="976"/>
      <c r="BB77" s="948"/>
      <c r="BC77" s="948"/>
      <c r="BD77" s="948"/>
      <c r="BE77" s="948"/>
      <c r="BF77" s="948"/>
      <c r="BG77" s="976"/>
      <c r="BH77" s="948"/>
      <c r="BI77" s="948"/>
      <c r="BJ77" s="948"/>
      <c r="BK77" s="948"/>
      <c r="BL77" s="948"/>
      <c r="BM77" s="976"/>
      <c r="BN77" s="948"/>
      <c r="BO77" s="948"/>
      <c r="BP77" s="948"/>
      <c r="BQ77" s="948"/>
      <c r="BR77" s="948"/>
      <c r="BS77" s="976"/>
      <c r="BT77" s="948"/>
      <c r="BU77" s="948"/>
      <c r="BV77" s="948"/>
      <c r="BW77" s="948"/>
      <c r="BX77" s="948"/>
      <c r="BY77" s="976"/>
      <c r="BZ77" s="948"/>
      <c r="CA77" s="948"/>
      <c r="CB77" s="948"/>
      <c r="CC77" s="948"/>
      <c r="CD77" s="948"/>
      <c r="CE77" s="976"/>
      <c r="CF77" s="948"/>
      <c r="CG77" s="948"/>
      <c r="CH77" s="948"/>
      <c r="CI77" s="948"/>
      <c r="CJ77" s="948"/>
      <c r="CK77" s="976"/>
      <c r="CL77" s="948"/>
      <c r="CM77" s="948"/>
      <c r="CN77" s="948"/>
      <c r="CO77" s="948"/>
      <c r="CP77" s="948"/>
      <c r="CQ77" s="976"/>
      <c r="CR77" s="948"/>
      <c r="CS77" s="948"/>
      <c r="CT77" s="948"/>
      <c r="CU77" s="948"/>
      <c r="CV77" s="948"/>
      <c r="CW77" s="976"/>
      <c r="CX77" s="948"/>
      <c r="CY77" s="948"/>
      <c r="CZ77" s="948"/>
      <c r="DA77" s="948"/>
      <c r="DB77" s="948"/>
      <c r="DC77" s="976"/>
      <c r="DD77" s="948"/>
      <c r="DE77" s="948"/>
      <c r="DF77" s="948"/>
      <c r="DG77" s="948"/>
      <c r="DH77" s="948"/>
      <c r="DI77" s="976"/>
      <c r="DJ77" s="948"/>
      <c r="DK77" s="948"/>
      <c r="DL77" s="948"/>
      <c r="DM77" s="948"/>
      <c r="DN77" s="948"/>
      <c r="DO77" s="976"/>
      <c r="DP77" s="948"/>
      <c r="DQ77" s="948"/>
    </row>
    <row r="78" spans="1:121" ht="10.5" customHeight="1">
      <c r="A78" s="1129" t="s">
        <v>536</v>
      </c>
      <c r="B78" s="1129"/>
      <c r="C78" s="1130"/>
      <c r="D78" s="1130"/>
      <c r="E78" s="1130"/>
      <c r="F78" s="1007"/>
      <c r="G78" s="1130"/>
      <c r="H78" s="1130"/>
      <c r="I78" s="1130"/>
      <c r="J78" s="1008"/>
      <c r="K78" s="1130"/>
      <c r="L78" s="1007"/>
      <c r="M78" s="1008"/>
      <c r="N78" s="1008"/>
      <c r="O78" s="1008"/>
      <c r="P78" s="1130"/>
      <c r="Q78" s="1130"/>
      <c r="R78" s="1007"/>
      <c r="S78" s="1008"/>
      <c r="T78" s="1008"/>
      <c r="U78" s="1008"/>
      <c r="V78" s="1008"/>
      <c r="W78" s="1130"/>
      <c r="X78" s="1007"/>
      <c r="Y78" s="1008"/>
      <c r="Z78" s="1008"/>
      <c r="AA78" s="1008"/>
      <c r="AB78" s="1008"/>
      <c r="AC78" s="1009"/>
      <c r="AD78" s="1007"/>
      <c r="AE78" s="1008"/>
      <c r="AF78" s="1008"/>
      <c r="AG78" s="1008"/>
      <c r="AH78" s="1008"/>
      <c r="AI78" s="1009"/>
      <c r="AJ78" s="1007"/>
      <c r="AK78" s="1008"/>
      <c r="AL78" s="1008"/>
      <c r="AM78" s="1008"/>
      <c r="AN78" s="1008"/>
      <c r="AO78" s="1009"/>
      <c r="AP78" s="1007"/>
      <c r="AQ78" s="1008"/>
      <c r="AR78" s="1008"/>
      <c r="AS78" s="1008"/>
      <c r="AT78" s="1008"/>
      <c r="AU78" s="1009"/>
      <c r="AV78" s="1007"/>
      <c r="AW78" s="1008"/>
      <c r="AX78" s="1008"/>
      <c r="AY78" s="1008"/>
      <c r="AZ78" s="1008"/>
      <c r="BA78" s="1009"/>
      <c r="BB78" s="1007"/>
      <c r="BC78" s="1008"/>
      <c r="BD78" s="1008"/>
      <c r="BE78" s="1008"/>
      <c r="BF78" s="1008"/>
      <c r="BG78" s="1009"/>
      <c r="BH78" s="1007"/>
      <c r="BI78" s="1008"/>
      <c r="BJ78" s="1008"/>
      <c r="BK78" s="1008"/>
      <c r="BL78" s="1008"/>
      <c r="BM78" s="1009"/>
      <c r="BN78" s="1007"/>
      <c r="BO78" s="1008"/>
      <c r="BP78" s="1008"/>
      <c r="BQ78" s="1008"/>
      <c r="BR78" s="1008"/>
      <c r="BS78" s="1009"/>
      <c r="BT78" s="1007"/>
      <c r="BU78" s="1008"/>
      <c r="BV78" s="1008"/>
      <c r="BW78" s="1008"/>
      <c r="BX78" s="1008"/>
      <c r="BY78" s="1009"/>
      <c r="BZ78" s="1007"/>
      <c r="CA78" s="1008"/>
      <c r="CB78" s="1008"/>
      <c r="CC78" s="1008"/>
      <c r="CD78" s="1008"/>
      <c r="CE78" s="1009"/>
      <c r="CF78" s="1007"/>
      <c r="CG78" s="1008"/>
      <c r="CH78" s="1008"/>
      <c r="CI78" s="1008"/>
      <c r="CJ78" s="1008"/>
      <c r="CK78" s="1009"/>
      <c r="CL78" s="1007"/>
      <c r="CM78" s="1008"/>
      <c r="CN78" s="1008"/>
      <c r="CO78" s="1008"/>
      <c r="CP78" s="1008"/>
      <c r="CQ78" s="1009"/>
      <c r="CR78" s="1007"/>
      <c r="CS78" s="1008"/>
      <c r="CT78" s="1008"/>
      <c r="CU78" s="1008"/>
      <c r="CV78" s="1008"/>
      <c r="CW78" s="1009"/>
      <c r="CX78" s="1007"/>
      <c r="CY78" s="1008"/>
      <c r="CZ78" s="1008"/>
      <c r="DA78" s="1008"/>
      <c r="DB78" s="1008"/>
      <c r="DC78" s="1009"/>
      <c r="DD78" s="1007"/>
      <c r="DE78" s="1008"/>
      <c r="DF78" s="1008"/>
      <c r="DG78" s="1008"/>
      <c r="DH78" s="1008"/>
      <c r="DI78" s="1009"/>
      <c r="DJ78" s="1007"/>
      <c r="DK78" s="1008"/>
      <c r="DL78" s="1008"/>
      <c r="DM78" s="1008"/>
      <c r="DN78" s="1008"/>
      <c r="DO78" s="1009"/>
      <c r="DP78" s="1689"/>
      <c r="DQ78" s="963"/>
    </row>
    <row r="79" spans="1:121" ht="10.5" customHeight="1">
      <c r="A79" s="1131" t="s">
        <v>781</v>
      </c>
      <c r="B79" s="1131"/>
      <c r="C79" s="1010"/>
      <c r="D79" s="1010">
        <f>D33</f>
        <v>1.78</v>
      </c>
      <c r="E79" s="1010">
        <f>E33</f>
        <v>7.1280000000000001</v>
      </c>
      <c r="F79" s="1010"/>
      <c r="G79" s="1010">
        <f>G33</f>
        <v>10.487</v>
      </c>
      <c r="H79" s="1010">
        <f>H33</f>
        <v>15.101000000000001</v>
      </c>
      <c r="I79" s="1010">
        <f>I33</f>
        <v>14.247</v>
      </c>
      <c r="J79" s="1010">
        <f>J33</f>
        <v>19.170999999999999</v>
      </c>
      <c r="K79" s="1011">
        <f>J79</f>
        <v>19.170999999999999</v>
      </c>
      <c r="L79" s="1010"/>
      <c r="M79" s="1010">
        <f>M33</f>
        <v>24.31</v>
      </c>
      <c r="N79" s="1010">
        <f>N33</f>
        <v>29.449000000000002</v>
      </c>
      <c r="O79" s="1010">
        <f>O33</f>
        <v>34.408000000000001</v>
      </c>
      <c r="P79" s="1010">
        <f>P33</f>
        <v>49.677</v>
      </c>
      <c r="Q79" s="1011">
        <f>P79</f>
        <v>49.677</v>
      </c>
      <c r="R79" s="993"/>
      <c r="S79" s="1010">
        <f>S33</f>
        <v>52.34</v>
      </c>
      <c r="T79" s="1010">
        <f>T33</f>
        <v>61.557000000000002</v>
      </c>
      <c r="U79" s="1010">
        <f>U33</f>
        <v>74.239999999999995</v>
      </c>
      <c r="V79" s="1010">
        <f>V33</f>
        <v>95.9</v>
      </c>
      <c r="W79" s="1011">
        <f>V79</f>
        <v>95.9</v>
      </c>
      <c r="X79" s="993"/>
      <c r="Y79" s="1010">
        <f>Y33</f>
        <v>104.645</v>
      </c>
      <c r="Z79" s="1010">
        <f>Z33</f>
        <v>117.31100000000001</v>
      </c>
      <c r="AA79" s="1010">
        <f>AA33</f>
        <v>127.11</v>
      </c>
      <c r="AB79" s="1010">
        <f>AB33</f>
        <v>169.17500000000001</v>
      </c>
      <c r="AC79" s="995">
        <f>AB79</f>
        <v>169.17500000000001</v>
      </c>
      <c r="AD79" s="993"/>
      <c r="AE79" s="1010">
        <f>AE33</f>
        <v>182.036</v>
      </c>
      <c r="AF79" s="1010">
        <f>AF33</f>
        <v>202.83600000000001</v>
      </c>
      <c r="AG79" s="1010">
        <f>AG33</f>
        <v>219.43100000000001</v>
      </c>
      <c r="AH79" s="1010">
        <f>AH33</f>
        <v>284.06299999999999</v>
      </c>
      <c r="AI79" s="995">
        <f>AH79</f>
        <v>284.06299999999999</v>
      </c>
      <c r="AJ79" s="993"/>
      <c r="AK79" s="1010">
        <f>AK33</f>
        <v>295.67200000000003</v>
      </c>
      <c r="AL79" s="1010">
        <f>AL33</f>
        <v>321.85199999999998</v>
      </c>
      <c r="AM79" s="1010">
        <f>AM33+AM43</f>
        <v>340.80799999999999</v>
      </c>
      <c r="AN79" s="1010">
        <f>AN33+AN43</f>
        <v>480.89400000000001</v>
      </c>
      <c r="AO79" s="995">
        <f>AN79</f>
        <v>480.89400000000001</v>
      </c>
      <c r="AP79" s="993"/>
      <c r="AQ79" s="1010">
        <f>AQ33+AQ43</f>
        <v>470.29700000000003</v>
      </c>
      <c r="AR79" s="1010">
        <f>AR33+AR43</f>
        <v>479.54599999999999</v>
      </c>
      <c r="AS79" s="1010">
        <f>AS33+AS43</f>
        <v>469.53399999999999</v>
      </c>
      <c r="AT79" s="1010">
        <f>AT33+AT43</f>
        <v>594.02600000000007</v>
      </c>
      <c r="AU79" s="995">
        <f>AT79</f>
        <v>594.02600000000007</v>
      </c>
      <c r="AV79" s="993"/>
      <c r="AW79" s="1010">
        <f>AW33+AW43</f>
        <v>549.37300000000005</v>
      </c>
      <c r="AX79" s="1010">
        <f>AX33+AX43</f>
        <v>549.01</v>
      </c>
      <c r="AY79" s="1010">
        <f>AY33+AY43</f>
        <v>545.43499999999995</v>
      </c>
      <c r="AZ79" s="1010">
        <f>AZ33+AZ43</f>
        <v>704.34800000000007</v>
      </c>
      <c r="BA79" s="995">
        <f>AZ79</f>
        <v>704.34800000000007</v>
      </c>
      <c r="BB79" s="993"/>
      <c r="BC79" s="1010">
        <f>BC33+BC43</f>
        <v>664.529</v>
      </c>
      <c r="BD79" s="1010">
        <f>BD33+BD43</f>
        <v>683.01900000000001</v>
      </c>
      <c r="BE79" s="1010">
        <f>BE33+BE43</f>
        <v>694.5569999999999</v>
      </c>
      <c r="BF79" s="1010">
        <f>BF33+BF43</f>
        <v>934.94100000000003</v>
      </c>
      <c r="BG79" s="995">
        <f>BF79</f>
        <v>934.94100000000003</v>
      </c>
      <c r="BH79" s="993"/>
      <c r="BI79" s="1010">
        <f>BI33+BI43</f>
        <v>915.13300000000004</v>
      </c>
      <c r="BJ79" s="1010">
        <f>BJ33+BJ43</f>
        <v>935.26599999999996</v>
      </c>
      <c r="BK79" s="1010">
        <f>BK33+BK43</f>
        <v>917.82099999999991</v>
      </c>
      <c r="BL79" s="1010">
        <f>BL33+BL43</f>
        <v>1380.2950000000001</v>
      </c>
      <c r="BM79" s="995">
        <f>BL79</f>
        <v>1380.2950000000001</v>
      </c>
      <c r="BN79" s="993"/>
      <c r="BO79" s="1010">
        <f>BO33+BO43</f>
        <v>1334.7159999999999</v>
      </c>
      <c r="BP79" s="1010">
        <f>BP33+BP43</f>
        <v>1337.184</v>
      </c>
      <c r="BQ79" s="1010">
        <f>BQ33+BQ43</f>
        <v>1291.703</v>
      </c>
      <c r="BR79" s="1010">
        <f>BR33+BR43</f>
        <v>1862.9950000000001</v>
      </c>
      <c r="BS79" s="995">
        <f>BR79</f>
        <v>1862.9950000000001</v>
      </c>
      <c r="BT79" s="993"/>
      <c r="BU79" s="1010">
        <f>BU33+BU43</f>
        <v>1733.16</v>
      </c>
      <c r="BV79" s="1010">
        <f>BV33+BV43</f>
        <v>1789.6479999999999</v>
      </c>
      <c r="BW79" s="1010">
        <f>BW33+BW43</f>
        <v>1734.6189999999999</v>
      </c>
      <c r="BX79" s="1010">
        <f>BX33+BX43</f>
        <v>2522.1149999999998</v>
      </c>
      <c r="BY79" s="995">
        <f>BX79</f>
        <v>2522.1149999999998</v>
      </c>
      <c r="BZ79" s="993"/>
      <c r="CA79" s="1010">
        <f>CA33+CA43</f>
        <v>2324.6150000000002</v>
      </c>
      <c r="CB79" s="1010">
        <f>CB33+CB43</f>
        <v>2352.904</v>
      </c>
      <c r="CC79" s="1010">
        <f>CC33+CC43</f>
        <v>2223.9770000000003</v>
      </c>
      <c r="CD79" s="1010">
        <f>CD33+CD43</f>
        <v>3321.4490000000001</v>
      </c>
      <c r="CE79" s="995">
        <f>CD79</f>
        <v>3321.4490000000001</v>
      </c>
      <c r="CF79" s="993"/>
      <c r="CG79" s="1010">
        <f>CG33+CG43</f>
        <v>3056.82</v>
      </c>
      <c r="CH79" s="1010">
        <f>CH33+CH43</f>
        <v>3034.991</v>
      </c>
      <c r="CI79" s="1010">
        <f>CI33+CI43</f>
        <v>2846.5099999999998</v>
      </c>
      <c r="CJ79" s="1010">
        <f>CJ33+CJ43</f>
        <v>4291.5530000000008</v>
      </c>
      <c r="CK79" s="995">
        <f>CJ79</f>
        <v>4291.5530000000008</v>
      </c>
      <c r="CL79" s="993"/>
      <c r="CM79" s="1010">
        <f>CM33+CM43</f>
        <v>4006.9139999999998</v>
      </c>
      <c r="CN79" s="1010">
        <f>CN33+CN43</f>
        <v>3823.5609999999997</v>
      </c>
      <c r="CO79" s="1010">
        <f>CO33+CO43</f>
        <v>3495.1330000000003</v>
      </c>
      <c r="CP79" s="1010">
        <f>CP33+CP43</f>
        <v>5542.8020000000006</v>
      </c>
      <c r="CQ79" s="995">
        <f>CP79</f>
        <v>5542.8020000000006</v>
      </c>
      <c r="CR79" s="993"/>
      <c r="CS79" s="1010">
        <f>CS33+CS43</f>
        <v>5042.652</v>
      </c>
      <c r="CT79" s="1010">
        <f>CT33+CT43</f>
        <v>4818.634</v>
      </c>
      <c r="CU79" s="1010">
        <f>CU33+CU43</f>
        <v>4392.0820000000003</v>
      </c>
      <c r="CV79" s="1010">
        <f>CV33+CV43</f>
        <v>7094.7049999999999</v>
      </c>
      <c r="CW79" s="995">
        <f>CV79</f>
        <v>7094.7049999999999</v>
      </c>
      <c r="CX79" s="993"/>
      <c r="CY79" s="1010">
        <f>CY33+CY43</f>
        <v>6236.8411734401525</v>
      </c>
      <c r="CZ79" s="1010">
        <f>CZ33+CZ43</f>
        <v>5943.2151205906903</v>
      </c>
      <c r="DA79" s="1010">
        <f>DA33+DA43</f>
        <v>5444.6095237232348</v>
      </c>
      <c r="DB79" s="1010">
        <f>DB33+DB43</f>
        <v>8922.21128245215</v>
      </c>
      <c r="DC79" s="995">
        <f>DB79</f>
        <v>8922.21128245215</v>
      </c>
      <c r="DD79" s="993"/>
      <c r="DE79" s="1010">
        <f>DE33+DE43</f>
        <v>7748.8065175613392</v>
      </c>
      <c r="DF79" s="1010">
        <f>DF33+DF43</f>
        <v>7370.2144620320978</v>
      </c>
      <c r="DG79" s="1010">
        <f>DG33+DG43</f>
        <v>6750.5336802127586</v>
      </c>
      <c r="DH79" s="1010">
        <f>DH33+DH43</f>
        <v>11114.135527916565</v>
      </c>
      <c r="DI79" s="995">
        <f>DH79</f>
        <v>11114.135527916565</v>
      </c>
      <c r="DJ79" s="993"/>
      <c r="DK79" s="1010">
        <f>DK33+DK43</f>
        <v>9556.5619039500889</v>
      </c>
      <c r="DL79" s="1010">
        <f>DL33+DL43</f>
        <v>9107.8293127977176</v>
      </c>
      <c r="DM79" s="1010">
        <f>DM33+DM43</f>
        <v>8383.1908500294448</v>
      </c>
      <c r="DN79" s="1010">
        <f>DN33+DN43</f>
        <v>13743.688088975687</v>
      </c>
      <c r="DO79" s="995">
        <f>DN79</f>
        <v>13743.688088975687</v>
      </c>
      <c r="DP79" s="1068"/>
      <c r="DQ79" s="956"/>
    </row>
    <row r="80" spans="1:121" ht="10.5" customHeight="1">
      <c r="A80" s="1131" t="s">
        <v>511</v>
      </c>
      <c r="B80" s="1131"/>
      <c r="C80" s="1132"/>
      <c r="D80" s="1010">
        <v>0.35399999999999998</v>
      </c>
      <c r="E80" s="1010">
        <v>5.52</v>
      </c>
      <c r="F80" s="1010"/>
      <c r="G80" s="1010">
        <v>8.2149999999999999</v>
      </c>
      <c r="H80" s="1010">
        <v>13.093999999999999</v>
      </c>
      <c r="I80" s="1010">
        <v>18.117000000000001</v>
      </c>
      <c r="J80" s="1010">
        <v>23.416</v>
      </c>
      <c r="K80" s="1010">
        <f>J80</f>
        <v>23.416</v>
      </c>
      <c r="L80" s="1010"/>
      <c r="M80" s="1010">
        <v>25.088999999999999</v>
      </c>
      <c r="N80" s="1010">
        <v>35.113</v>
      </c>
      <c r="O80" s="1010">
        <v>49.96</v>
      </c>
      <c r="P80" s="1010">
        <v>73</v>
      </c>
      <c r="Q80" s="1011" t="s">
        <v>88</v>
      </c>
      <c r="R80" s="993"/>
      <c r="S80" s="1011" t="s">
        <v>88</v>
      </c>
      <c r="T80" s="1011" t="s">
        <v>88</v>
      </c>
      <c r="U80" s="1011" t="s">
        <v>88</v>
      </c>
      <c r="V80" s="1011" t="s">
        <v>88</v>
      </c>
      <c r="W80" s="1011" t="str">
        <f>V80</f>
        <v>-</v>
      </c>
      <c r="X80" s="993"/>
      <c r="Y80" s="1011" t="s">
        <v>88</v>
      </c>
      <c r="Z80" s="1011" t="s">
        <v>88</v>
      </c>
      <c r="AA80" s="1011" t="s">
        <v>88</v>
      </c>
      <c r="AB80" s="1011" t="s">
        <v>88</v>
      </c>
      <c r="AC80" s="995" t="str">
        <f>AB80</f>
        <v>-</v>
      </c>
      <c r="AD80" s="993"/>
      <c r="AE80" s="1011" t="s">
        <v>88</v>
      </c>
      <c r="AF80" s="1011" t="s">
        <v>88</v>
      </c>
      <c r="AG80" s="1011" t="s">
        <v>88</v>
      </c>
      <c r="AH80" s="1011" t="s">
        <v>88</v>
      </c>
      <c r="AI80" s="995" t="str">
        <f>AH80</f>
        <v>-</v>
      </c>
      <c r="AJ80" s="993"/>
      <c r="AK80" s="1011" t="s">
        <v>88</v>
      </c>
      <c r="AL80" s="1011" t="s">
        <v>88</v>
      </c>
      <c r="AM80" s="1011" t="s">
        <v>88</v>
      </c>
      <c r="AN80" s="1011" t="s">
        <v>88</v>
      </c>
      <c r="AO80" s="995" t="str">
        <f>AN80</f>
        <v>-</v>
      </c>
      <c r="AP80" s="993"/>
      <c r="AQ80" s="1011" t="s">
        <v>88</v>
      </c>
      <c r="AR80" s="1011" t="s">
        <v>88</v>
      </c>
      <c r="AS80" s="1011" t="s">
        <v>88</v>
      </c>
      <c r="AT80" s="1011" t="s">
        <v>88</v>
      </c>
      <c r="AU80" s="995" t="str">
        <f>AT80</f>
        <v>-</v>
      </c>
      <c r="AV80" s="993"/>
      <c r="AW80" s="1011" t="s">
        <v>88</v>
      </c>
      <c r="AX80" s="1011" t="s">
        <v>88</v>
      </c>
      <c r="AY80" s="1011" t="s">
        <v>88</v>
      </c>
      <c r="AZ80" s="1011" t="s">
        <v>88</v>
      </c>
      <c r="BA80" s="995" t="str">
        <f>AZ80</f>
        <v>-</v>
      </c>
      <c r="BB80" s="993"/>
      <c r="BC80" s="1011" t="s">
        <v>88</v>
      </c>
      <c r="BD80" s="1011" t="s">
        <v>88</v>
      </c>
      <c r="BE80" s="1011" t="s">
        <v>88</v>
      </c>
      <c r="BF80" s="1011" t="s">
        <v>88</v>
      </c>
      <c r="BG80" s="995" t="str">
        <f>BF80</f>
        <v>-</v>
      </c>
      <c r="BH80" s="993"/>
      <c r="BI80" s="1011" t="s">
        <v>88</v>
      </c>
      <c r="BJ80" s="1011" t="s">
        <v>88</v>
      </c>
      <c r="BK80" s="1011" t="s">
        <v>88</v>
      </c>
      <c r="BL80" s="1011" t="s">
        <v>88</v>
      </c>
      <c r="BM80" s="995" t="str">
        <f>BL80</f>
        <v>-</v>
      </c>
      <c r="BN80" s="993"/>
      <c r="BO80" s="1011" t="s">
        <v>88</v>
      </c>
      <c r="BP80" s="1011" t="s">
        <v>88</v>
      </c>
      <c r="BQ80" s="1011" t="s">
        <v>88</v>
      </c>
      <c r="BR80" s="1011" t="s">
        <v>88</v>
      </c>
      <c r="BS80" s="995" t="str">
        <f>BR80</f>
        <v>-</v>
      </c>
      <c r="BT80" s="993"/>
      <c r="BU80" s="1011" t="s">
        <v>88</v>
      </c>
      <c r="BV80" s="1011" t="s">
        <v>88</v>
      </c>
      <c r="BW80" s="1011" t="s">
        <v>88</v>
      </c>
      <c r="BX80" s="1011" t="s">
        <v>88</v>
      </c>
      <c r="BY80" s="995" t="str">
        <f>BX80</f>
        <v>-</v>
      </c>
      <c r="BZ80" s="993"/>
      <c r="CA80" s="1011" t="s">
        <v>88</v>
      </c>
      <c r="CB80" s="1011" t="s">
        <v>88</v>
      </c>
      <c r="CC80" s="1011" t="s">
        <v>88</v>
      </c>
      <c r="CD80" s="1011" t="s">
        <v>88</v>
      </c>
      <c r="CE80" s="995" t="str">
        <f>CD80</f>
        <v>-</v>
      </c>
      <c r="CF80" s="993"/>
      <c r="CG80" s="1011" t="s">
        <v>88</v>
      </c>
      <c r="CH80" s="1011" t="s">
        <v>88</v>
      </c>
      <c r="CI80" s="1011" t="s">
        <v>88</v>
      </c>
      <c r="CJ80" s="1011" t="s">
        <v>88</v>
      </c>
      <c r="CK80" s="995" t="str">
        <f>CJ80</f>
        <v>-</v>
      </c>
      <c r="CL80" s="993"/>
      <c r="CM80" s="1011" t="s">
        <v>88</v>
      </c>
      <c r="CN80" s="1011" t="s">
        <v>88</v>
      </c>
      <c r="CO80" s="1011" t="s">
        <v>88</v>
      </c>
      <c r="CP80" s="1011" t="s">
        <v>88</v>
      </c>
      <c r="CQ80" s="995" t="str">
        <f>CP80</f>
        <v>-</v>
      </c>
      <c r="CR80" s="993"/>
      <c r="CS80" s="1011" t="s">
        <v>88</v>
      </c>
      <c r="CT80" s="1011" t="s">
        <v>88</v>
      </c>
      <c r="CU80" s="1011" t="s">
        <v>88</v>
      </c>
      <c r="CV80" s="1011" t="s">
        <v>88</v>
      </c>
      <c r="CW80" s="995" t="str">
        <f>CV80</f>
        <v>-</v>
      </c>
      <c r="CX80" s="993"/>
      <c r="CY80" s="1011" t="s">
        <v>88</v>
      </c>
      <c r="CZ80" s="1011" t="s">
        <v>88</v>
      </c>
      <c r="DA80" s="1011" t="s">
        <v>88</v>
      </c>
      <c r="DB80" s="1011" t="s">
        <v>88</v>
      </c>
      <c r="DC80" s="995" t="str">
        <f>DB80</f>
        <v>-</v>
      </c>
      <c r="DD80" s="993"/>
      <c r="DE80" s="1011" t="s">
        <v>88</v>
      </c>
      <c r="DF80" s="1011" t="s">
        <v>88</v>
      </c>
      <c r="DG80" s="1011" t="s">
        <v>88</v>
      </c>
      <c r="DH80" s="1011" t="s">
        <v>88</v>
      </c>
      <c r="DI80" s="995" t="str">
        <f>DH80</f>
        <v>-</v>
      </c>
      <c r="DJ80" s="993"/>
      <c r="DK80" s="1011" t="s">
        <v>88</v>
      </c>
      <c r="DL80" s="1011" t="s">
        <v>88</v>
      </c>
      <c r="DM80" s="1011" t="s">
        <v>88</v>
      </c>
      <c r="DN80" s="1011" t="s">
        <v>88</v>
      </c>
      <c r="DO80" s="995" t="str">
        <f>DN80</f>
        <v>-</v>
      </c>
      <c r="DP80" s="1068"/>
      <c r="DQ80" s="956"/>
    </row>
    <row r="81" spans="1:121" ht="10.5" customHeight="1">
      <c r="A81" s="1115" t="s">
        <v>758</v>
      </c>
      <c r="B81" s="1115"/>
      <c r="C81" s="993"/>
      <c r="D81" s="993">
        <f>SUM(D79:D80)</f>
        <v>2.1339999999999999</v>
      </c>
      <c r="E81" s="993">
        <f>SUM(E79:E80)</f>
        <v>12.648</v>
      </c>
      <c r="F81" s="993"/>
      <c r="G81" s="993">
        <f>SUM(G79:G80)</f>
        <v>18.701999999999998</v>
      </c>
      <c r="H81" s="993">
        <f>SUM(H79:H80)</f>
        <v>28.195</v>
      </c>
      <c r="I81" s="993">
        <f>SUM(I79:I80)</f>
        <v>32.364000000000004</v>
      </c>
      <c r="J81" s="993">
        <f>SUM(J79:J80)</f>
        <v>42.587000000000003</v>
      </c>
      <c r="K81" s="993">
        <f>J81</f>
        <v>42.587000000000003</v>
      </c>
      <c r="L81" s="993"/>
      <c r="M81" s="993">
        <f>SUM(M79:M80)</f>
        <v>49.399000000000001</v>
      </c>
      <c r="N81" s="993">
        <f>SUM(N79:N80)</f>
        <v>64.561999999999998</v>
      </c>
      <c r="O81" s="993">
        <f>SUM(O79:O80)</f>
        <v>84.367999999999995</v>
      </c>
      <c r="P81" s="993">
        <f>SUM(P79:P80)</f>
        <v>122.67699999999999</v>
      </c>
      <c r="Q81" s="1011" t="s">
        <v>88</v>
      </c>
      <c r="R81" s="993"/>
      <c r="S81" s="1011" t="s">
        <v>88</v>
      </c>
      <c r="T81" s="1011" t="s">
        <v>88</v>
      </c>
      <c r="U81" s="1011" t="s">
        <v>88</v>
      </c>
      <c r="V81" s="1011" t="s">
        <v>88</v>
      </c>
      <c r="W81" s="1011" t="str">
        <f>V81</f>
        <v>-</v>
      </c>
      <c r="X81" s="993"/>
      <c r="Y81" s="1011" t="s">
        <v>88</v>
      </c>
      <c r="Z81" s="1011" t="s">
        <v>88</v>
      </c>
      <c r="AA81" s="1011" t="s">
        <v>88</v>
      </c>
      <c r="AB81" s="1011" t="s">
        <v>88</v>
      </c>
      <c r="AC81" s="995" t="str">
        <f>AB81</f>
        <v>-</v>
      </c>
      <c r="AD81" s="993"/>
      <c r="AE81" s="1011" t="s">
        <v>88</v>
      </c>
      <c r="AF81" s="1011" t="s">
        <v>88</v>
      </c>
      <c r="AG81" s="1011" t="s">
        <v>88</v>
      </c>
      <c r="AH81" s="1011" t="s">
        <v>88</v>
      </c>
      <c r="AI81" s="995" t="str">
        <f>AH81</f>
        <v>-</v>
      </c>
      <c r="AJ81" s="993"/>
      <c r="AK81" s="1011" t="s">
        <v>88</v>
      </c>
      <c r="AL81" s="1011" t="s">
        <v>88</v>
      </c>
      <c r="AM81" s="1011" t="s">
        <v>88</v>
      </c>
      <c r="AN81" s="1011" t="s">
        <v>88</v>
      </c>
      <c r="AO81" s="995" t="str">
        <f>AN81</f>
        <v>-</v>
      </c>
      <c r="AP81" s="993"/>
      <c r="AQ81" s="1011" t="s">
        <v>88</v>
      </c>
      <c r="AR81" s="1011" t="s">
        <v>88</v>
      </c>
      <c r="AS81" s="1011" t="s">
        <v>88</v>
      </c>
      <c r="AT81" s="1011" t="s">
        <v>88</v>
      </c>
      <c r="AU81" s="995" t="str">
        <f>AT81</f>
        <v>-</v>
      </c>
      <c r="AV81" s="993"/>
      <c r="AW81" s="1011" t="s">
        <v>88</v>
      </c>
      <c r="AX81" s="1011" t="s">
        <v>88</v>
      </c>
      <c r="AY81" s="1011" t="s">
        <v>88</v>
      </c>
      <c r="AZ81" s="1011" t="s">
        <v>88</v>
      </c>
      <c r="BA81" s="995" t="str">
        <f>AZ81</f>
        <v>-</v>
      </c>
      <c r="BB81" s="993"/>
      <c r="BC81" s="1011" t="s">
        <v>88</v>
      </c>
      <c r="BD81" s="1011" t="s">
        <v>88</v>
      </c>
      <c r="BE81" s="1011" t="s">
        <v>88</v>
      </c>
      <c r="BF81" s="1011" t="s">
        <v>88</v>
      </c>
      <c r="BG81" s="995" t="str">
        <f>BF81</f>
        <v>-</v>
      </c>
      <c r="BH81" s="993"/>
      <c r="BI81" s="1011" t="s">
        <v>88</v>
      </c>
      <c r="BJ81" s="1011" t="s">
        <v>88</v>
      </c>
      <c r="BK81" s="1011" t="s">
        <v>88</v>
      </c>
      <c r="BL81" s="1011" t="s">
        <v>88</v>
      </c>
      <c r="BM81" s="995" t="str">
        <f>BL81</f>
        <v>-</v>
      </c>
      <c r="BN81" s="993"/>
      <c r="BO81" s="1011" t="s">
        <v>88</v>
      </c>
      <c r="BP81" s="1011" t="s">
        <v>88</v>
      </c>
      <c r="BQ81" s="1011" t="s">
        <v>88</v>
      </c>
      <c r="BR81" s="1011" t="s">
        <v>88</v>
      </c>
      <c r="BS81" s="995" t="str">
        <f>BR81</f>
        <v>-</v>
      </c>
      <c r="BT81" s="993"/>
      <c r="BU81" s="1011" t="s">
        <v>88</v>
      </c>
      <c r="BV81" s="1011" t="s">
        <v>88</v>
      </c>
      <c r="BW81" s="1011" t="s">
        <v>88</v>
      </c>
      <c r="BX81" s="1011" t="s">
        <v>88</v>
      </c>
      <c r="BY81" s="995" t="str">
        <f>BX81</f>
        <v>-</v>
      </c>
      <c r="BZ81" s="993"/>
      <c r="CA81" s="1011" t="s">
        <v>88</v>
      </c>
      <c r="CB81" s="1011" t="s">
        <v>88</v>
      </c>
      <c r="CC81" s="1011" t="s">
        <v>88</v>
      </c>
      <c r="CD81" s="1011" t="s">
        <v>88</v>
      </c>
      <c r="CE81" s="995" t="str">
        <f>CD81</f>
        <v>-</v>
      </c>
      <c r="CF81" s="993"/>
      <c r="CG81" s="1011" t="s">
        <v>88</v>
      </c>
      <c r="CH81" s="1011" t="s">
        <v>88</v>
      </c>
      <c r="CI81" s="1011" t="s">
        <v>88</v>
      </c>
      <c r="CJ81" s="1011" t="s">
        <v>88</v>
      </c>
      <c r="CK81" s="995" t="str">
        <f>CJ81</f>
        <v>-</v>
      </c>
      <c r="CL81" s="993"/>
      <c r="CM81" s="1011" t="s">
        <v>88</v>
      </c>
      <c r="CN81" s="1011" t="s">
        <v>88</v>
      </c>
      <c r="CO81" s="1011" t="s">
        <v>88</v>
      </c>
      <c r="CP81" s="1011" t="s">
        <v>88</v>
      </c>
      <c r="CQ81" s="995" t="str">
        <f>CP81</f>
        <v>-</v>
      </c>
      <c r="CR81" s="993"/>
      <c r="CS81" s="1011" t="s">
        <v>88</v>
      </c>
      <c r="CT81" s="1011" t="s">
        <v>88</v>
      </c>
      <c r="CU81" s="1011" t="s">
        <v>88</v>
      </c>
      <c r="CV81" s="1011" t="s">
        <v>88</v>
      </c>
      <c r="CW81" s="995" t="str">
        <f>CV81</f>
        <v>-</v>
      </c>
      <c r="CX81" s="993"/>
      <c r="CY81" s="1011" t="s">
        <v>88</v>
      </c>
      <c r="CZ81" s="1011" t="s">
        <v>88</v>
      </c>
      <c r="DA81" s="1011" t="s">
        <v>88</v>
      </c>
      <c r="DB81" s="1011" t="s">
        <v>88</v>
      </c>
      <c r="DC81" s="995" t="str">
        <f>DB81</f>
        <v>-</v>
      </c>
      <c r="DD81" s="993"/>
      <c r="DE81" s="1011" t="s">
        <v>88</v>
      </c>
      <c r="DF81" s="1011" t="s">
        <v>88</v>
      </c>
      <c r="DG81" s="1011" t="s">
        <v>88</v>
      </c>
      <c r="DH81" s="1011" t="s">
        <v>88</v>
      </c>
      <c r="DI81" s="995" t="str">
        <f>DH81</f>
        <v>-</v>
      </c>
      <c r="DJ81" s="993"/>
      <c r="DK81" s="1011" t="s">
        <v>88</v>
      </c>
      <c r="DL81" s="1011" t="s">
        <v>88</v>
      </c>
      <c r="DM81" s="1011" t="s">
        <v>88</v>
      </c>
      <c r="DN81" s="1011" t="s">
        <v>88</v>
      </c>
      <c r="DO81" s="995" t="str">
        <f>DN81</f>
        <v>-</v>
      </c>
      <c r="DP81" s="1068"/>
      <c r="DQ81" s="956"/>
    </row>
    <row r="82" spans="1:121" ht="5.25" customHeight="1">
      <c r="A82" s="1108"/>
      <c r="B82" s="1108"/>
      <c r="C82" s="948"/>
      <c r="D82" s="948"/>
      <c r="E82" s="948"/>
      <c r="F82" s="948"/>
      <c r="G82" s="948"/>
      <c r="H82" s="948"/>
      <c r="I82" s="948"/>
      <c r="J82" s="948"/>
      <c r="K82" s="948"/>
      <c r="L82" s="948"/>
      <c r="M82" s="948"/>
      <c r="N82" s="948"/>
      <c r="O82" s="948"/>
      <c r="P82" s="948"/>
      <c r="Q82" s="948"/>
      <c r="R82" s="948"/>
      <c r="S82" s="948"/>
      <c r="T82" s="948"/>
      <c r="U82" s="948"/>
      <c r="V82" s="948"/>
      <c r="W82" s="948"/>
      <c r="X82" s="948"/>
      <c r="Y82" s="948"/>
      <c r="Z82" s="948"/>
      <c r="AA82" s="948"/>
      <c r="AB82" s="948"/>
      <c r="AC82" s="976"/>
      <c r="AD82" s="948"/>
      <c r="AE82" s="948"/>
      <c r="AF82" s="948"/>
      <c r="AG82" s="948"/>
      <c r="AH82" s="948"/>
      <c r="AI82" s="976"/>
      <c r="AJ82" s="948"/>
      <c r="AK82" s="948"/>
      <c r="AL82" s="948"/>
      <c r="AM82" s="948"/>
      <c r="AN82" s="948"/>
      <c r="AO82" s="976"/>
      <c r="AP82" s="948"/>
      <c r="AQ82" s="948"/>
      <c r="AR82" s="948"/>
      <c r="AS82" s="948"/>
      <c r="AT82" s="948"/>
      <c r="AU82" s="976"/>
      <c r="AV82" s="948"/>
      <c r="AW82" s="948"/>
      <c r="AX82" s="948"/>
      <c r="AY82" s="948"/>
      <c r="AZ82" s="948"/>
      <c r="BA82" s="976"/>
      <c r="BB82" s="948"/>
      <c r="BC82" s="948"/>
      <c r="BD82" s="948"/>
      <c r="BE82" s="948"/>
      <c r="BF82" s="948"/>
      <c r="BG82" s="976"/>
      <c r="BH82" s="948"/>
      <c r="BI82" s="948"/>
      <c r="BJ82" s="948"/>
      <c r="BK82" s="948"/>
      <c r="BL82" s="948"/>
      <c r="BM82" s="976"/>
      <c r="BN82" s="948"/>
      <c r="BO82" s="948"/>
      <c r="BP82" s="948"/>
      <c r="BQ82" s="948"/>
      <c r="BR82" s="948"/>
      <c r="BS82" s="976"/>
      <c r="BT82" s="948"/>
      <c r="BU82" s="948"/>
      <c r="BV82" s="948"/>
      <c r="BW82" s="948"/>
      <c r="BX82" s="948"/>
      <c r="BY82" s="976"/>
      <c r="BZ82" s="948"/>
      <c r="CA82" s="948"/>
      <c r="CB82" s="948"/>
      <c r="CC82" s="948"/>
      <c r="CD82" s="948"/>
      <c r="CE82" s="976"/>
      <c r="CF82" s="948"/>
      <c r="CG82" s="948"/>
      <c r="CH82" s="948"/>
      <c r="CI82" s="948"/>
      <c r="CJ82" s="948"/>
      <c r="CK82" s="976"/>
      <c r="CL82" s="948"/>
      <c r="CM82" s="948"/>
      <c r="CN82" s="948"/>
      <c r="CO82" s="948"/>
      <c r="CP82" s="948"/>
      <c r="CQ82" s="976"/>
      <c r="CR82" s="948"/>
      <c r="CS82" s="948"/>
      <c r="CT82" s="948"/>
      <c r="CU82" s="948"/>
      <c r="CV82" s="948"/>
      <c r="CW82" s="976"/>
      <c r="CX82" s="948"/>
      <c r="CY82" s="948"/>
      <c r="CZ82" s="948"/>
      <c r="DA82" s="948"/>
      <c r="DB82" s="948"/>
      <c r="DC82" s="976"/>
      <c r="DD82" s="948"/>
      <c r="DE82" s="948"/>
      <c r="DF82" s="948"/>
      <c r="DG82" s="948"/>
      <c r="DH82" s="948"/>
      <c r="DI82" s="976"/>
      <c r="DJ82" s="948"/>
      <c r="DK82" s="948"/>
      <c r="DL82" s="948"/>
      <c r="DM82" s="948"/>
      <c r="DN82" s="948"/>
      <c r="DO82" s="976"/>
      <c r="DP82" s="948"/>
      <c r="DQ82" s="948"/>
    </row>
    <row r="83" spans="1:121" ht="10.5" customHeight="1">
      <c r="A83" s="1133" t="s">
        <v>534</v>
      </c>
      <c r="B83" s="1133"/>
      <c r="C83" s="1011"/>
      <c r="D83" s="1011" t="s">
        <v>88</v>
      </c>
      <c r="E83" s="1134">
        <f>E33/D33-1</f>
        <v>3.0044943820224717</v>
      </c>
      <c r="F83" s="1012"/>
      <c r="G83" s="1011" t="s">
        <v>88</v>
      </c>
      <c r="H83" s="1011" t="s">
        <v>88</v>
      </c>
      <c r="I83" s="1011" t="s">
        <v>88</v>
      </c>
      <c r="J83" s="1011" t="s">
        <v>88</v>
      </c>
      <c r="K83" s="1013">
        <f>K33/E33-1</f>
        <v>1.6895342312008976</v>
      </c>
      <c r="L83" s="1012"/>
      <c r="M83" s="1013">
        <f>M33/G33-1</f>
        <v>1.3181081338800418</v>
      </c>
      <c r="N83" s="1013">
        <f>N33/H33-1</f>
        <v>0.95013575259916561</v>
      </c>
      <c r="O83" s="1013">
        <f>O33/I33-1</f>
        <v>1.4151049343721485</v>
      </c>
      <c r="P83" s="1013">
        <f>P33/J33-1</f>
        <v>1.5912576287100308</v>
      </c>
      <c r="Q83" s="1013">
        <f>Q33/K33-1</f>
        <v>1.5912576287100308</v>
      </c>
      <c r="R83" s="1012"/>
      <c r="S83" s="1013">
        <f>S33/M33-1</f>
        <v>1.1530234471410945</v>
      </c>
      <c r="T83" s="1013">
        <f>T33/N33-1</f>
        <v>1.0902916907195488</v>
      </c>
      <c r="U83" s="1013">
        <f>U33/O33-1</f>
        <v>1.1576377586607762</v>
      </c>
      <c r="V83" s="1013">
        <f>V33/P33-1</f>
        <v>0.93047084163697491</v>
      </c>
      <c r="W83" s="1013">
        <f>W33/Q33-1</f>
        <v>0.93047084163697491</v>
      </c>
      <c r="X83" s="1012"/>
      <c r="Y83" s="1013">
        <f>Y33/S33-1</f>
        <v>0.99933129537638488</v>
      </c>
      <c r="Z83" s="1013">
        <f>Z33/T33-1</f>
        <v>0.90572964894325581</v>
      </c>
      <c r="AA83" s="1013">
        <f>AA33/U33-1</f>
        <v>0.71214978448275867</v>
      </c>
      <c r="AB83" s="1013">
        <f>AB33/V33-1</f>
        <v>0.76407716371220014</v>
      </c>
      <c r="AC83" s="1014">
        <f>AC33/W33-1</f>
        <v>0.76407716371220014</v>
      </c>
      <c r="AD83" s="1012"/>
      <c r="AE83" s="1013">
        <f>AE33/Y33-1</f>
        <v>0.73955755172249038</v>
      </c>
      <c r="AF83" s="1013">
        <f>AF33/Z33-1</f>
        <v>0.72904501709132141</v>
      </c>
      <c r="AG83" s="1013">
        <f>AG33/AA33-1</f>
        <v>0.72630792227204788</v>
      </c>
      <c r="AH83" s="1013">
        <f>AH33/AB33-1</f>
        <v>0.67910743313137267</v>
      </c>
      <c r="AI83" s="1014">
        <f>AI33/AC33-1</f>
        <v>0.67910743313137267</v>
      </c>
      <c r="AJ83" s="1012"/>
      <c r="AK83" s="1013">
        <f>AK33/AE33-1</f>
        <v>0.62425014832230996</v>
      </c>
      <c r="AL83" s="1013">
        <f>AL33/AF33-1</f>
        <v>0.58675974679051035</v>
      </c>
      <c r="AM83" s="1013">
        <f>AM33/AG33-1</f>
        <v>0.55314426858556898</v>
      </c>
      <c r="AN83" s="1013">
        <f>AN33/AH33-1</f>
        <v>0.65041205648042877</v>
      </c>
      <c r="AO83" s="1014">
        <f>AO33/AI33-1</f>
        <v>0.65041205648042877</v>
      </c>
      <c r="AP83" s="1012"/>
      <c r="AQ83" s="1013">
        <f>AQ33/AK33-1</f>
        <v>0.54871952704348059</v>
      </c>
      <c r="AR83" s="1013">
        <f>AR33/AL33-1</f>
        <v>0.45081590296160967</v>
      </c>
      <c r="AS83" s="1013">
        <f>AS33/AM33-1</f>
        <v>0.34399427243491942</v>
      </c>
      <c r="AT83" s="1013">
        <f>AT33/AN33-1</f>
        <v>0.24517246454403696</v>
      </c>
      <c r="AU83" s="1014">
        <f>AU33/AO33-1</f>
        <v>0.24517246454403696</v>
      </c>
      <c r="AV83" s="1012"/>
      <c r="AW83" s="1013">
        <f>AW33/AQ33-1</f>
        <v>0.17814956116118119</v>
      </c>
      <c r="AX83" s="1013">
        <f>AX33/AR33-1</f>
        <v>0.15395290267867101</v>
      </c>
      <c r="AY83" s="1013">
        <f>AY33/AS33-1</f>
        <v>0.16473963200041908</v>
      </c>
      <c r="AZ83" s="1013">
        <f>AZ33/AT33-1</f>
        <v>0.18228973059272335</v>
      </c>
      <c r="BA83" s="1014">
        <f>BA33/AU33-1</f>
        <v>0.18228973059272335</v>
      </c>
      <c r="BB83" s="1012"/>
      <c r="BC83" s="1013">
        <f>BC33/AW33-1</f>
        <v>0.20012233776344313</v>
      </c>
      <c r="BD83" s="1013">
        <f>BD33/AX33-1</f>
        <v>0.23023888530090786</v>
      </c>
      <c r="BE83" s="1013">
        <f>BE33/AY33-1</f>
        <v>0.26045263185517586</v>
      </c>
      <c r="BF83" s="1013">
        <f>BF33/AZ33-1</f>
        <v>0.32319535423521795</v>
      </c>
      <c r="BG83" s="1014">
        <f>BG33/BA33-1</f>
        <v>0.32319535423521795</v>
      </c>
      <c r="BH83" s="1012"/>
      <c r="BI83" s="1013">
        <f>BI33/BC33-1</f>
        <v>0.38064480256512434</v>
      </c>
      <c r="BJ83" s="1013">
        <f>BJ33/BD33-1</f>
        <v>0.38446093435330053</v>
      </c>
      <c r="BK83" s="1013">
        <f>BK33/BE33-1</f>
        <v>0.34589875292585082</v>
      </c>
      <c r="BL83" s="1013">
        <f>BL33/BF33-1</f>
        <v>0.41433075021982191</v>
      </c>
      <c r="BM83" s="1014">
        <f>BM33/BG33-1</f>
        <v>0.41433075021982191</v>
      </c>
      <c r="BN83" s="1012"/>
      <c r="BO83" s="1013">
        <f>BO33/BI33-1</f>
        <v>0.40660406486602585</v>
      </c>
      <c r="BP83" s="1013">
        <f>BP33/BJ33-1</f>
        <v>0.38207582633709425</v>
      </c>
      <c r="BQ83" s="1013">
        <f>BQ33/BK33-1</f>
        <v>0.35474418681737574</v>
      </c>
      <c r="BR83" s="1013">
        <f>BR33/BL33-1</f>
        <v>0.39254363892841715</v>
      </c>
      <c r="BS83" s="1014">
        <f>BS33/BM33-1</f>
        <v>0.39254363892841715</v>
      </c>
      <c r="BT83" s="1012"/>
      <c r="BU83" s="1013">
        <f>BU33/BO33-1</f>
        <v>0.33198528037513264</v>
      </c>
      <c r="BV83" s="1013">
        <f>BV33/BP33-1</f>
        <v>0.36773212383722265</v>
      </c>
      <c r="BW83" s="1013">
        <f>BW33/BQ33-1</f>
        <v>0.37528524986991463</v>
      </c>
      <c r="BX83" s="1013">
        <f>BX33/BR33-1</f>
        <v>0.37531968598496634</v>
      </c>
      <c r="BY83" s="1014">
        <f>BY33/BS33-1</f>
        <v>0.37531968598496634</v>
      </c>
      <c r="BZ83" s="1012"/>
      <c r="CA83" s="1013">
        <f>CA33/BU33-1</f>
        <v>0.36632917302813417</v>
      </c>
      <c r="CB83" s="1013">
        <f>CB33/BV33-1</f>
        <v>0.33532352532595211</v>
      </c>
      <c r="CC83" s="1013">
        <f>CC33/BW33-1</f>
        <v>0.30030505342586156</v>
      </c>
      <c r="CD83" s="1013">
        <f>CD33/BX33-1</f>
        <v>0.32868228022338974</v>
      </c>
      <c r="CE83" s="1014">
        <f>CE33/BY33-1</f>
        <v>0.32868228022338974</v>
      </c>
      <c r="CF83" s="1012"/>
      <c r="CG83" s="1013">
        <f>CG33/CA33-1</f>
        <v>0.32532412368178631</v>
      </c>
      <c r="CH83" s="1013">
        <f>CH33/CB33-1</f>
        <v>0.30146500824061739</v>
      </c>
      <c r="CI83" s="1013">
        <f>CI33/CC33-1</f>
        <v>0.28943449835929491</v>
      </c>
      <c r="CJ83" s="1013">
        <f>CJ33/CD33-1</f>
        <v>0.29843877024481213</v>
      </c>
      <c r="CK83" s="1014">
        <f>CK33/CE33-1</f>
        <v>0.29843877024481213</v>
      </c>
      <c r="CL83" s="1012"/>
      <c r="CM83" s="1013">
        <f>CM33/CG33-1</f>
        <v>0.31625698082710496</v>
      </c>
      <c r="CN83" s="1013">
        <f>CN33/CH33-1</f>
        <v>0.26310971362614177</v>
      </c>
      <c r="CO83" s="1013">
        <f>CO33/CI33-1</f>
        <v>0.23040054327738457</v>
      </c>
      <c r="CP83" s="1013">
        <f>CP33/CJ33-1</f>
        <v>0.2900933929474816</v>
      </c>
      <c r="CQ83" s="1014">
        <f>CQ33/CK33-1</f>
        <v>0.2900933929474816</v>
      </c>
      <c r="CR83" s="1012"/>
      <c r="CS83" s="1013">
        <f>CS33/CM33-1</f>
        <v>0.26321912389720592</v>
      </c>
      <c r="CT83" s="1013">
        <f>CT33/CN33-1</f>
        <v>0.26533112756682953</v>
      </c>
      <c r="CU83" s="1013">
        <f>CU33/CO33-1</f>
        <v>0.26256671686751321</v>
      </c>
      <c r="CV83" s="1013">
        <f>CV33/CP33-1</f>
        <v>0.28861346872298799</v>
      </c>
      <c r="CW83" s="1014">
        <f>CW33/CQ33-1</f>
        <v>0.28861346872298799</v>
      </c>
      <c r="CX83" s="1012"/>
      <c r="CY83" s="1013">
        <f>CY33/CS33-1</f>
        <v>0.23681768510699386</v>
      </c>
      <c r="CZ83" s="1013">
        <f>CZ33/CT33-1</f>
        <v>0.23338172614701391</v>
      </c>
      <c r="DA83" s="1013">
        <f>DA33/CU33-1</f>
        <v>0.23964204760367269</v>
      </c>
      <c r="DB83" s="1013">
        <f>DB33/CV33-1</f>
        <v>0.25758735316720704</v>
      </c>
      <c r="DC83" s="1014">
        <f>DC33/CW33-1</f>
        <v>0.25758735316720704</v>
      </c>
      <c r="DD83" s="1012"/>
      <c r="DE83" s="1013">
        <f>DE33/CY33-1</f>
        <v>0.24242485932782021</v>
      </c>
      <c r="DF83" s="1013">
        <f>DF33/CZ33-1</f>
        <v>0.24010561833736532</v>
      </c>
      <c r="DG83" s="1013">
        <f>DG33/DA33-1</f>
        <v>0.23985634797120992</v>
      </c>
      <c r="DH83" s="1013">
        <f>DH33/DB33-1</f>
        <v>0.24567051553412611</v>
      </c>
      <c r="DI83" s="1014">
        <f>DI33/DC33-1</f>
        <v>0.24567051553412611</v>
      </c>
      <c r="DJ83" s="1012"/>
      <c r="DK83" s="1013">
        <f>DK33/DE33-1</f>
        <v>0.23329468638709483</v>
      </c>
      <c r="DL83" s="1013">
        <f>DL33/DF33-1</f>
        <v>0.23576177595875936</v>
      </c>
      <c r="DM83" s="1013">
        <f>DM33/DG33-1</f>
        <v>0.24185601422926739</v>
      </c>
      <c r="DN83" s="1013">
        <f>DN33/DH33-1</f>
        <v>0.23659532983507292</v>
      </c>
      <c r="DO83" s="1014">
        <f>DO33/DI33-1</f>
        <v>0.23659532983507292</v>
      </c>
      <c r="DP83" s="1225"/>
      <c r="DQ83" s="964"/>
    </row>
    <row r="84" spans="1:121" ht="10.5" customHeight="1">
      <c r="A84" s="1133" t="s">
        <v>535</v>
      </c>
      <c r="B84" s="1133"/>
      <c r="C84" s="1011"/>
      <c r="D84" s="1011" t="s">
        <v>88</v>
      </c>
      <c r="E84" s="1011" t="s">
        <v>88</v>
      </c>
      <c r="F84" s="1012"/>
      <c r="G84" s="1013">
        <f>G33/E33-1</f>
        <v>0.47124017957351283</v>
      </c>
      <c r="H84" s="1013">
        <f>H33/G33-1</f>
        <v>0.43997330027653292</v>
      </c>
      <c r="I84" s="1013">
        <f>I33/H33-1</f>
        <v>-5.6552546188994191E-2</v>
      </c>
      <c r="J84" s="1013">
        <f>J33/I33-1</f>
        <v>0.34561662104302648</v>
      </c>
      <c r="K84" s="1011" t="s">
        <v>88</v>
      </c>
      <c r="L84" s="1012"/>
      <c r="M84" s="1013">
        <f>M33/K33-1</f>
        <v>0.26806113400448583</v>
      </c>
      <c r="N84" s="1013">
        <f>N33/M33-1</f>
        <v>0.2113944878650762</v>
      </c>
      <c r="O84" s="1013">
        <f>O33/N33-1</f>
        <v>0.16839281469659406</v>
      </c>
      <c r="P84" s="1013">
        <f>P33/O33-1</f>
        <v>0.44376307835387108</v>
      </c>
      <c r="Q84" s="1011" t="s">
        <v>88</v>
      </c>
      <c r="R84" s="1012"/>
      <c r="S84" s="1013">
        <f>S33/Q33-1</f>
        <v>5.3606296676530496E-2</v>
      </c>
      <c r="T84" s="1013">
        <f>T33/S33-1</f>
        <v>0.17609858616736718</v>
      </c>
      <c r="U84" s="1013">
        <f>U33/T33-1</f>
        <v>0.20603668144971321</v>
      </c>
      <c r="V84" s="1013">
        <f>V33/U33-1</f>
        <v>0.29175646551724155</v>
      </c>
      <c r="W84" s="1011" t="s">
        <v>88</v>
      </c>
      <c r="X84" s="1012"/>
      <c r="Y84" s="1013">
        <f>Y33/W33-1</f>
        <v>9.1188738269030178E-2</v>
      </c>
      <c r="Z84" s="1013">
        <f>Z33/Y33-1</f>
        <v>0.12103779444789531</v>
      </c>
      <c r="AA84" s="1013">
        <f>AA33/Z33-1</f>
        <v>8.3530103741336958E-2</v>
      </c>
      <c r="AB84" s="1013">
        <f>AB33/AA33-1</f>
        <v>0.33093383683423805</v>
      </c>
      <c r="AC84" s="995" t="s">
        <v>88</v>
      </c>
      <c r="AD84" s="1012"/>
      <c r="AE84" s="1013">
        <f>AE33/AC33-1</f>
        <v>7.6021870843800743E-2</v>
      </c>
      <c r="AF84" s="1013">
        <f>AF33/AE33-1</f>
        <v>0.11426311279087664</v>
      </c>
      <c r="AG84" s="1013">
        <f>AG33/AF33-1</f>
        <v>8.1814865211303767E-2</v>
      </c>
      <c r="AH84" s="1013">
        <f>AH33/AG33-1</f>
        <v>0.29454361507717675</v>
      </c>
      <c r="AI84" s="995" t="s">
        <v>88</v>
      </c>
      <c r="AJ84" s="1012"/>
      <c r="AK84" s="1013">
        <f>AK33/AI33-1</f>
        <v>4.0867694842341429E-2</v>
      </c>
      <c r="AL84" s="1013">
        <f>AL33/AK33-1</f>
        <v>8.854406233934875E-2</v>
      </c>
      <c r="AM84" s="1013">
        <f>AM33/AL33-1</f>
        <v>5.8896635720766088E-2</v>
      </c>
      <c r="AN84" s="1013">
        <f>AN33/AM33-1</f>
        <v>0.37561618271871566</v>
      </c>
      <c r="AO84" s="995" t="s">
        <v>88</v>
      </c>
      <c r="AP84" s="1012"/>
      <c r="AQ84" s="1013">
        <f>AQ33/AO33-1</f>
        <v>-2.3266875843872215E-2</v>
      </c>
      <c r="AR84" s="1013">
        <f>AR33/AQ33-1</f>
        <v>1.973082223042355E-2</v>
      </c>
      <c r="AS84" s="1013">
        <f>AS33/AR33-1</f>
        <v>-1.9068504415909238E-2</v>
      </c>
      <c r="AT84" s="1013">
        <f>AT33/AS33-1</f>
        <v>0.27446926496144486</v>
      </c>
      <c r="AU84" s="995" t="s">
        <v>88</v>
      </c>
      <c r="AV84" s="1012"/>
      <c r="AW84" s="1013">
        <f>AW33/AU33-1</f>
        <v>-7.5840709328957145E-2</v>
      </c>
      <c r="AX84" s="1013">
        <f>AX33/AW33-1</f>
        <v>-1.2122560195740872E-3</v>
      </c>
      <c r="AY84" s="1013">
        <f>AY33/AX33-1</f>
        <v>-9.8991158719908823E-3</v>
      </c>
      <c r="AZ84" s="1013">
        <f>AZ33/AY33-1</f>
        <v>0.29367275099249879</v>
      </c>
      <c r="BA84" s="995" t="s">
        <v>88</v>
      </c>
      <c r="BB84" s="1012"/>
      <c r="BC84" s="1013">
        <f>BC33/BA33-1</f>
        <v>-6.1901512220778221E-2</v>
      </c>
      <c r="BD84" s="1013">
        <f>BD33/BC33-1</f>
        <v>2.385188754722356E-2</v>
      </c>
      <c r="BE84" s="1013">
        <f>BE33/BD33-1</f>
        <v>1.4417021045501688E-2</v>
      </c>
      <c r="BF84" s="1013">
        <f>BF33/BE33-1</f>
        <v>0.35806910212445775</v>
      </c>
      <c r="BG84" s="995" t="s">
        <v>88</v>
      </c>
      <c r="BH84" s="1012"/>
      <c r="BI84" s="1013">
        <f>BI33/BG33-1</f>
        <v>-2.1171894761393251E-2</v>
      </c>
      <c r="BJ84" s="1013">
        <f>BJ33/BI33-1</f>
        <v>2.6681836080831856E-2</v>
      </c>
      <c r="BK84" s="1013">
        <f>BK33/BJ33-1</f>
        <v>-1.383811583701533E-2</v>
      </c>
      <c r="BL84" s="1013">
        <f>BL33/BK33-1</f>
        <v>0.42711989879068146</v>
      </c>
      <c r="BM84" s="995" t="s">
        <v>88</v>
      </c>
      <c r="BN84" s="1012"/>
      <c r="BO84" s="1013">
        <f>BO33/BM33-1</f>
        <v>-2.6519368669781218E-2</v>
      </c>
      <c r="BP84" s="1013">
        <f>BP33/BO33-1</f>
        <v>8.7786481136404859E-3</v>
      </c>
      <c r="BQ84" s="1013">
        <f>BQ33/BP33-1</f>
        <v>-3.334024488984999E-2</v>
      </c>
      <c r="BR84" s="1013">
        <f>BR33/BQ33-1</f>
        <v>0.46693874488426079</v>
      </c>
      <c r="BS84" s="995" t="s">
        <v>88</v>
      </c>
      <c r="BT84" s="1012"/>
      <c r="BU84" s="1013">
        <f>BU33/BS33-1</f>
        <v>-6.8853689454254408E-2</v>
      </c>
      <c r="BV84" s="1013">
        <f>BV33/BU33-1</f>
        <v>3.5851509167976747E-2</v>
      </c>
      <c r="BW84" s="1013">
        <f>BW33/BV33-1</f>
        <v>-2.8001989807711514E-2</v>
      </c>
      <c r="BX84" s="1013">
        <f>BX33/BW33-1</f>
        <v>0.46697547593434474</v>
      </c>
      <c r="BY84" s="995" t="s">
        <v>88</v>
      </c>
      <c r="BZ84" s="1012"/>
      <c r="CA84" s="1013">
        <f>CA33/BY33-1</f>
        <v>-7.4940625498998381E-2</v>
      </c>
      <c r="CB84" s="1013">
        <f>CB33/CA33-1</f>
        <v>1.2345279776814877E-2</v>
      </c>
      <c r="CC84" s="1013">
        <f>CC33/CB33-1</f>
        <v>-5.3492355521558954E-2</v>
      </c>
      <c r="CD84" s="1013">
        <f>CD33/CC33-1</f>
        <v>0.49899003719235346</v>
      </c>
      <c r="CE84" s="995" t="s">
        <v>88</v>
      </c>
      <c r="CF84" s="1012"/>
      <c r="CG84" s="1013">
        <f>CG33/CE33-1</f>
        <v>-7.7278651854952862E-2</v>
      </c>
      <c r="CH84" s="1013">
        <f>CH33/CG33-1</f>
        <v>-5.8794416063725485E-3</v>
      </c>
      <c r="CI84" s="1013">
        <f>CI33/CH33-1</f>
        <v>-6.2241702985797454E-2</v>
      </c>
      <c r="CJ84" s="1013">
        <f>CJ33/CI33-1</f>
        <v>0.50945765991047964</v>
      </c>
      <c r="CK84" s="995" t="s">
        <v>88</v>
      </c>
      <c r="CL84" s="1012"/>
      <c r="CM84" s="1013">
        <f>CM33/CK33-1</f>
        <v>-6.4616334873362935E-2</v>
      </c>
      <c r="CN84" s="1013">
        <f>CN33/CM33-1</f>
        <v>-4.6019620702491548E-2</v>
      </c>
      <c r="CO84" s="1013">
        <f>CO33/CN33-1</f>
        <v>-8.6525655165169746E-2</v>
      </c>
      <c r="CP84" s="1013">
        <f>CP33/CO33-1</f>
        <v>0.5826889581805581</v>
      </c>
      <c r="CQ84" s="995" t="s">
        <v>88</v>
      </c>
      <c r="CR84" s="1012"/>
      <c r="CS84" s="1013">
        <f>CS33/CQ33-1</f>
        <v>-8.4101553865465362E-2</v>
      </c>
      <c r="CT84" s="1013">
        <f>CT33/CS33-1</f>
        <v>-4.4424640050513053E-2</v>
      </c>
      <c r="CU84" s="1013">
        <f>CU33/CT33-1</f>
        <v>-8.8521352731915193E-2</v>
      </c>
      <c r="CV84" s="1013">
        <f>CV33/CU33-1</f>
        <v>0.61533983199767195</v>
      </c>
      <c r="CW84" s="995" t="s">
        <v>88</v>
      </c>
      <c r="CX84" s="1012"/>
      <c r="CY84" s="1013">
        <f>CY33/CW33-1</f>
        <v>-0.12091606720220893</v>
      </c>
      <c r="CZ84" s="1013">
        <f>CZ33/CY33-1</f>
        <v>-4.707928976929554E-2</v>
      </c>
      <c r="DA84" s="1013">
        <f>DA33/CZ33-1</f>
        <v>-8.3894926693802607E-2</v>
      </c>
      <c r="DB84" s="1013">
        <f>DB33/DA33-1</f>
        <v>0.63872381363187203</v>
      </c>
      <c r="DC84" s="995" t="s">
        <v>88</v>
      </c>
      <c r="DD84" s="1012"/>
      <c r="DE84" s="1013">
        <f>DE33/DC33-1</f>
        <v>-0.13151501659668341</v>
      </c>
      <c r="DF84" s="1013">
        <f>DF33/DE33-1</f>
        <v>-4.8858111848737895E-2</v>
      </c>
      <c r="DG84" s="1013">
        <f>DG33/DF33-1</f>
        <v>-8.4079070563230607E-2</v>
      </c>
      <c r="DH84" s="1013">
        <f>DH33/DG33-1</f>
        <v>0.64640842552855426</v>
      </c>
      <c r="DI84" s="995" t="s">
        <v>88</v>
      </c>
      <c r="DJ84" s="1012"/>
      <c r="DK84" s="1013">
        <f>DK33/DI33-1</f>
        <v>-0.14014347945048466</v>
      </c>
      <c r="DL84" s="1013">
        <f>DL33/DK33-1</f>
        <v>-4.6955442308901141E-2</v>
      </c>
      <c r="DM84" s="1013">
        <f>DM33/DL33-1</f>
        <v>-7.9562147892918822E-2</v>
      </c>
      <c r="DN84" s="1013">
        <f>DN33/DM33-1</f>
        <v>0.63943399772741838</v>
      </c>
      <c r="DO84" s="995" t="s">
        <v>88</v>
      </c>
      <c r="DP84" s="1068"/>
      <c r="DQ84" s="964"/>
    </row>
    <row r="85" spans="1:121" ht="10.5" customHeight="1">
      <c r="A85" s="1133" t="s">
        <v>80</v>
      </c>
      <c r="B85" s="1133"/>
      <c r="C85" s="1011"/>
      <c r="D85" s="1011"/>
      <c r="E85" s="1011"/>
      <c r="F85" s="1012"/>
      <c r="G85" s="1013">
        <f>G79/(Model!H13+Model!I13+Model!J13+Model!M13)</f>
        <v>0.18804690862143164</v>
      </c>
      <c r="H85" s="1013">
        <f>H79/(Model!I13+Model!J13+Model!M13+Model!N13)</f>
        <v>0.23564016540532109</v>
      </c>
      <c r="I85" s="1013">
        <f>I79/(Model!J13+Model!M13+Model!N13+Model!O13)</f>
        <v>0.19349975552778834</v>
      </c>
      <c r="J85" s="1013">
        <f>J79/(Model!M13+Model!N13+Model!O13+Model!P13)</f>
        <v>0.22344864562450464</v>
      </c>
      <c r="K85" s="1011"/>
      <c r="L85" s="1012"/>
      <c r="M85" s="1013">
        <f>M79/(Model!N13+Model!O13+Model!P13+Model!S13)</f>
        <v>0.24312431243124313</v>
      </c>
      <c r="N85" s="1013">
        <f>N79/(Model!O13+Model!P13+Model!S13+Model!T13)</f>
        <v>0.25296568311643691</v>
      </c>
      <c r="O85" s="1013">
        <f>O79/(Model!P13+Model!S13+Model!T13+Model!U13)</f>
        <v>0.2541211225997046</v>
      </c>
      <c r="P85" s="1013">
        <f>P79/(Model!S13+Model!T13+Model!U13+Model!V13)</f>
        <v>0.31445716781556809</v>
      </c>
      <c r="Q85" s="1011"/>
      <c r="R85" s="1012"/>
      <c r="S85" s="1013">
        <f>S79/(Model!T13+Model!U13+Model!V13+Model!Y13)</f>
        <v>0.28284094654987008</v>
      </c>
      <c r="T85" s="1013">
        <f>T79/(Model!U13+Model!V13+Model!Y13+Model!Z13)</f>
        <v>0.28674908697920548</v>
      </c>
      <c r="U85" s="1013">
        <f>U79/(Model!V13+Model!Y13+Model!Z13+Model!AA13)</f>
        <v>0.29984692620550663</v>
      </c>
      <c r="V85" s="1013">
        <f>V79/(Model!Y13+Model!Z13+Model!AA13+Model!AB13)</f>
        <v>0.34172014581009769</v>
      </c>
      <c r="W85" s="1011"/>
      <c r="X85" s="1012"/>
      <c r="Y85" s="1013">
        <f>Y79/(Model!Z13+Model!AA13+Model!AB13+Model!AE13)</f>
        <v>0.33017081989764685</v>
      </c>
      <c r="Z85" s="1013">
        <f>Z79/(Model!AA13+Model!AB13+Model!AE13+Model!AF13)</f>
        <v>0.32771456586780351</v>
      </c>
      <c r="AA85" s="1013">
        <f>AA79/(Model!AB13+Model!AE13+Model!AF13+Model!AG13)</f>
        <v>0.31618301850184322</v>
      </c>
      <c r="AB85" s="1013">
        <f>AB79/(Model!AE13+Model!AF13+Model!AG13+Model!AH13)</f>
        <v>0.37456272417305059</v>
      </c>
      <c r="AC85" s="995"/>
      <c r="AD85" s="1012"/>
      <c r="AE85" s="1013">
        <f>AE79/(Model!AF13+Model!AG13+Model!AH13+Model!AK13)</f>
        <v>0.3605694285708626</v>
      </c>
      <c r="AF85" s="1013">
        <f>AF79/(Model!AG13+Model!AH13+Model!AK13+Model!AL13)</f>
        <v>0.36338034224782872</v>
      </c>
      <c r="AG85" s="1013">
        <f>AG79/(Model!AH13+Model!AK13+Model!AL13+Model!AM13)</f>
        <v>0.35614110543955468</v>
      </c>
      <c r="AH85" s="1013">
        <f>AH79/(Model!AK13+Model!AL13+Model!AM13+Model!AN13)</f>
        <v>0.41738308886084102</v>
      </c>
      <c r="AI85" s="995"/>
      <c r="AJ85" s="1012"/>
      <c r="AK85" s="1013">
        <f>AK79/(Model!AL13+Model!AM13+Model!AN13+Model!AQ13)</f>
        <v>0.38994925036136696</v>
      </c>
      <c r="AL85" s="1013">
        <f>AL79/(Model!AM13+Model!AN13+Model!AQ13+Model!AR13)</f>
        <v>0.38409268289190091</v>
      </c>
      <c r="AM85" s="1013">
        <f>AM79/(Model!AN13+Model!AQ13+Model!AR13+Model!AS13)</f>
        <v>0.37247549402665192</v>
      </c>
      <c r="AN85" s="1013">
        <f>AN79/(Model!AQ13+Model!AR13+Model!AS13+Model!AT13)</f>
        <v>0.48842849801030697</v>
      </c>
      <c r="AO85" s="995"/>
      <c r="AP85" s="1012"/>
      <c r="AQ85" s="1013">
        <f>AQ79/(Model!AR13+Model!AS13+Model!AT13+Model!AW13)</f>
        <v>0.45177382154291884</v>
      </c>
      <c r="AR85" s="1013">
        <f>AR79/(Model!AS13+Model!AT13+Model!AW13+Model!AX13)</f>
        <v>0.43805316605783573</v>
      </c>
      <c r="AS85" s="1013">
        <f>AS79/(Model!AT13+Model!AU13+Model!AX13+Model!AY13)</f>
        <v>0.25366586817677417</v>
      </c>
      <c r="AT85" s="1013">
        <f>AT79/(Model!AW13+Model!AX13+Model!AY13+Model!AZ13)</f>
        <v>0.49114489628532126</v>
      </c>
      <c r="AU85" s="995"/>
      <c r="AV85" s="1012"/>
      <c r="AW85" s="1013">
        <f>AW79/(Model!AX13+Model!AY13+Model!AZ13+Model!BC13)</f>
        <v>0.42972944643996952</v>
      </c>
      <c r="AX85" s="1013">
        <f>AX79/(Model!AY13+Model!AZ13+Model!BC13+Model!BD13)</f>
        <v>0.40549453552517967</v>
      </c>
      <c r="AY85" s="1013">
        <f>AY79/(Model!AZ13+Model!BC13+Model!BD13+Model!BE13)</f>
        <v>0.37616077185940733</v>
      </c>
      <c r="AZ85" s="1013">
        <f>AZ79/(Model!BA13+Model!BD13+Model!BE13+Model!BF13)</f>
        <v>0.29227210201232001</v>
      </c>
      <c r="BA85" s="995"/>
      <c r="BB85" s="1012"/>
      <c r="BC85" s="1013">
        <f>BC79/(Model!BD13+Model!BE13+Model!BF13+Model!BI13)</f>
        <v>0.39698566911419009</v>
      </c>
      <c r="BD85" s="1013">
        <f>BD79/(Model!BE13+Model!BF13+Model!BI13+Model!BJ13)</f>
        <v>0.37647146365056927</v>
      </c>
      <c r="BE85" s="1013">
        <f>BE79/(Model!BF13+Model!BG13+Model!BJ13+Model!BK13)</f>
        <v>0.22861257216586459</v>
      </c>
      <c r="BF85" s="1013">
        <f>BF79/(Model!BG13+Model!BH13+Model!BK13+Model!BL13)</f>
        <v>0.3469688962649688</v>
      </c>
      <c r="BG85" s="995"/>
      <c r="BH85" s="1012"/>
      <c r="BI85" s="1013">
        <f>BI79/(Model!BJ13+Model!BK13+Model!BL13+Model!BO13)</f>
        <v>0.39651335600857907</v>
      </c>
      <c r="BJ85" s="1013">
        <f>BJ79/(Model!BK13+Model!BL13+Model!BO13+Model!BP13)</f>
        <v>0.3761883769534109</v>
      </c>
      <c r="BK85" s="1013">
        <f>BK79/(Model!BL13+Model!BM13+Model!BP13+Model!BQ13)</f>
        <v>0.22123653399849005</v>
      </c>
      <c r="BL85" s="1013">
        <f>BL79/(Model!BM13+Model!BN13+Model!BQ13+Model!BR13)</f>
        <v>0.37792186848446568</v>
      </c>
      <c r="BM85" s="995"/>
      <c r="BN85" s="1012"/>
      <c r="BO85" s="1013">
        <f>BO79/(Model!BP13+Model!BQ13+Model!BR13+Model!BU13)</f>
        <v>0.43677991654583115</v>
      </c>
      <c r="BP85" s="1013">
        <f>BP79/(Model!BQ13+Model!BR13+Model!BU13+Model!BV13)</f>
        <v>0.40877976008510741</v>
      </c>
      <c r="BQ85" s="1013">
        <f>BQ79/(Model!BR13+Model!BS13+Model!BV13+Model!BW13)</f>
        <v>0.23225288733162966</v>
      </c>
      <c r="BR85" s="1013">
        <f>BR79/(Model!BS13+Model!BT13+Model!BW13+Model!BX13)</f>
        <v>0.3764930678002581</v>
      </c>
      <c r="BS85" s="995"/>
      <c r="BT85" s="1012"/>
      <c r="BU85" s="1013">
        <f>BU79/(Model!BV13+Model!BW13+Model!BX13+Model!CA13)</f>
        <v>0.41968923585592594</v>
      </c>
      <c r="BV85" s="1013">
        <f>BV79/(Model!BW13+Model!BX13+Model!CA13+Model!CB13)</f>
        <v>0.40132305684435243</v>
      </c>
      <c r="BW85" s="1013">
        <f>BW79/(Model!BX13+Model!BY13+Model!CB13+Model!CC13)</f>
        <v>0.23375588880909642</v>
      </c>
      <c r="BX85" s="1013">
        <f>BX79/(Model!BY13+Model!BZ13+Model!CC13+Model!CD13)</f>
        <v>0.39051621505159234</v>
      </c>
      <c r="BY85" s="995"/>
      <c r="BZ85" s="1012"/>
      <c r="CA85" s="1013">
        <f>CA79/(Model!CB13+Model!CC13+Model!CD13+Model!CG13)</f>
        <v>0.44095740594433158</v>
      </c>
      <c r="CB85" s="1013">
        <f>CB79/(Model!CC13+Model!CD13+Model!CG13+Model!CH13)</f>
        <v>0.42314787022768002</v>
      </c>
      <c r="CC85" s="1013">
        <f>CC79/(Model!CD13+Model!CE13+Model!CH13+Model!CI13)</f>
        <v>0.23467658931193253</v>
      </c>
      <c r="CD85" s="1013">
        <f>CD79/(Model!CE13+Model!CF13+Model!CI13+Model!CJ13)</f>
        <v>0.40052409590682569</v>
      </c>
      <c r="CE85" s="995"/>
      <c r="CF85" s="1012"/>
      <c r="CG85" s="1013">
        <f>CG79/(Model!CH13+Model!CI13+Model!CJ13+Model!CM13)</f>
        <v>0.46485867509757361</v>
      </c>
      <c r="CH85" s="1013">
        <f>CH79/(Model!CI13+Model!CJ13+Model!CM13+Model!CN13)</f>
        <v>0.43728292476434916</v>
      </c>
      <c r="CI85" s="1013">
        <f>CI79/(Model!CJ13+Model!CK13+Model!CN13+Model!CO13)</f>
        <v>0.24208475360425638</v>
      </c>
      <c r="CJ85" s="1013">
        <f>CJ79/(Model!CK13+Model!CL13+Model!CO13+Model!CP13)</f>
        <v>0.41664628686482863</v>
      </c>
      <c r="CK85" s="995"/>
      <c r="CL85" s="1012"/>
      <c r="CM85" s="1013">
        <f>CM79/(Model!CN13+Model!CO13+Model!CP13+Model!CS13)</f>
        <v>0.48974579606483803</v>
      </c>
      <c r="CN85" s="1013">
        <f>CN79/(Model!CO13+Model!CP13+Model!CS13+Model!CT13)</f>
        <v>0.44131391836994271</v>
      </c>
      <c r="CO85" s="1013">
        <f>CO79/(Model!CP13+Model!CQ13+Model!CT13+Model!CU13)</f>
        <v>0.23741713302583722</v>
      </c>
      <c r="CP85" s="1013">
        <f>CP79/(Model!CQ13+Model!CR13+Model!CU13+Model!CV13)</f>
        <v>0.42976332476722329</v>
      </c>
      <c r="CQ85" s="995"/>
      <c r="CR85" s="1012"/>
      <c r="CS85" s="1013">
        <f>CS79/(Model!CT13+Model!CU13+Model!CV13+Model!CY13)</f>
        <v>0.49321404232236149</v>
      </c>
      <c r="CT85" s="1013">
        <f>CT79/(Model!CU13+Model!CV13+Model!CY13+Model!CZ13)</f>
        <v>0.44878833872886603</v>
      </c>
      <c r="CU85" s="1013">
        <f>CU79/(Model!CV13+Model!CW13+Model!CZ13+Model!DA13)</f>
        <v>0.24068468132488846</v>
      </c>
      <c r="CV85" s="1013">
        <f>CV79/(Model!CW13+Model!CX13+Model!DA13+Model!DB13)</f>
        <v>0.44636968039952085</v>
      </c>
      <c r="CW85" s="995"/>
      <c r="CX85" s="1012"/>
      <c r="CY85" s="1013"/>
      <c r="CZ85" s="1013"/>
      <c r="DA85" s="1013"/>
      <c r="DB85" s="1013"/>
      <c r="DC85" s="995"/>
      <c r="DD85" s="1012"/>
      <c r="DE85" s="1013"/>
      <c r="DF85" s="1013"/>
      <c r="DG85" s="1013"/>
      <c r="DH85" s="1013"/>
      <c r="DI85" s="995"/>
      <c r="DJ85" s="1012"/>
      <c r="DK85" s="1013"/>
      <c r="DL85" s="1013"/>
      <c r="DM85" s="1013"/>
      <c r="DN85" s="1013"/>
      <c r="DO85" s="995"/>
      <c r="DP85" s="1068"/>
      <c r="DQ85" s="964"/>
    </row>
    <row r="86" spans="1:121" ht="5.25" customHeight="1">
      <c r="A86" s="1108"/>
      <c r="B86" s="1108"/>
      <c r="C86" s="948"/>
      <c r="D86" s="948"/>
      <c r="E86" s="948"/>
      <c r="F86" s="948"/>
      <c r="G86" s="948"/>
      <c r="H86" s="948"/>
      <c r="I86" s="948"/>
      <c r="J86" s="948"/>
      <c r="K86" s="948"/>
      <c r="L86" s="948"/>
      <c r="M86" s="948"/>
      <c r="N86" s="948"/>
      <c r="O86" s="948"/>
      <c r="P86" s="948"/>
      <c r="Q86" s="948"/>
      <c r="R86" s="948"/>
      <c r="S86" s="948"/>
      <c r="T86" s="948"/>
      <c r="U86" s="948"/>
      <c r="V86" s="948"/>
      <c r="W86" s="948"/>
      <c r="X86" s="948"/>
      <c r="Y86" s="948"/>
      <c r="Z86" s="948"/>
      <c r="AA86" s="948"/>
      <c r="AB86" s="948"/>
      <c r="AC86" s="976"/>
      <c r="AD86" s="948"/>
      <c r="AE86" s="948"/>
      <c r="AF86" s="948"/>
      <c r="AG86" s="948"/>
      <c r="AH86" s="948"/>
      <c r="AI86" s="976"/>
      <c r="AJ86" s="948"/>
      <c r="AK86" s="948"/>
      <c r="AL86" s="948"/>
      <c r="AM86" s="948"/>
      <c r="AN86" s="948"/>
      <c r="AO86" s="976"/>
      <c r="AP86" s="948"/>
      <c r="AQ86" s="948"/>
      <c r="AR86" s="948"/>
      <c r="AS86" s="948"/>
      <c r="AT86" s="948"/>
      <c r="AU86" s="976"/>
      <c r="AV86" s="948"/>
      <c r="AW86" s="948"/>
      <c r="AX86" s="948"/>
      <c r="AY86" s="948"/>
      <c r="AZ86" s="948"/>
      <c r="BA86" s="976"/>
      <c r="BB86" s="948"/>
      <c r="BC86" s="948"/>
      <c r="BD86" s="948"/>
      <c r="BE86" s="948"/>
      <c r="BF86" s="948"/>
      <c r="BG86" s="976"/>
      <c r="BH86" s="948"/>
      <c r="BI86" s="948"/>
      <c r="BJ86" s="948"/>
      <c r="BK86" s="948"/>
      <c r="BL86" s="948"/>
      <c r="BM86" s="976"/>
      <c r="BN86" s="948"/>
      <c r="BO86" s="948"/>
      <c r="BP86" s="948"/>
      <c r="BQ86" s="948"/>
      <c r="BR86" s="948"/>
      <c r="BS86" s="976"/>
      <c r="BT86" s="948"/>
      <c r="BU86" s="948"/>
      <c r="BV86" s="948"/>
      <c r="BW86" s="948"/>
      <c r="BX86" s="948"/>
      <c r="BY86" s="976"/>
      <c r="BZ86" s="948"/>
      <c r="CA86" s="948"/>
      <c r="CB86" s="948"/>
      <c r="CC86" s="948"/>
      <c r="CD86" s="948"/>
      <c r="CE86" s="976"/>
      <c r="CF86" s="948"/>
      <c r="CG86" s="948"/>
      <c r="CH86" s="948"/>
      <c r="CI86" s="948"/>
      <c r="CJ86" s="948"/>
      <c r="CK86" s="976"/>
      <c r="CL86" s="948"/>
      <c r="CM86" s="948"/>
      <c r="CN86" s="948"/>
      <c r="CO86" s="948"/>
      <c r="CP86" s="948"/>
      <c r="CQ86" s="976"/>
      <c r="CR86" s="948"/>
      <c r="CS86" s="948"/>
      <c r="CT86" s="948"/>
      <c r="CU86" s="948"/>
      <c r="CV86" s="948"/>
      <c r="CW86" s="976"/>
      <c r="CX86" s="948"/>
      <c r="CY86" s="948"/>
      <c r="CZ86" s="948"/>
      <c r="DA86" s="948"/>
      <c r="DB86" s="948"/>
      <c r="DC86" s="976"/>
      <c r="DD86" s="948"/>
      <c r="DE86" s="948"/>
      <c r="DF86" s="948"/>
      <c r="DG86" s="948"/>
      <c r="DH86" s="948"/>
      <c r="DI86" s="976"/>
      <c r="DJ86" s="948"/>
      <c r="DK86" s="948"/>
      <c r="DL86" s="948"/>
      <c r="DM86" s="948"/>
      <c r="DN86" s="948"/>
      <c r="DO86" s="976"/>
      <c r="DP86" s="948"/>
      <c r="DQ86" s="948"/>
    </row>
    <row r="87" spans="1:121" ht="10.5" customHeight="1">
      <c r="A87" s="1129" t="s">
        <v>63</v>
      </c>
      <c r="B87" s="1129"/>
      <c r="C87" s="1135"/>
      <c r="D87" s="1135"/>
      <c r="E87" s="1135"/>
      <c r="F87" s="1012"/>
      <c r="G87" s="1012"/>
      <c r="H87" s="1012"/>
      <c r="I87" s="1012"/>
      <c r="J87" s="1012"/>
      <c r="K87" s="1135"/>
      <c r="L87" s="1012"/>
      <c r="M87" s="1012"/>
      <c r="N87" s="1012"/>
      <c r="O87" s="1012"/>
      <c r="P87" s="1012"/>
      <c r="Q87" s="1135"/>
      <c r="R87" s="1012"/>
      <c r="S87" s="1012"/>
      <c r="T87" s="1012"/>
      <c r="U87" s="1012"/>
      <c r="V87" s="1012"/>
      <c r="W87" s="1135"/>
      <c r="X87" s="1012"/>
      <c r="Y87" s="1012"/>
      <c r="Z87" s="1012"/>
      <c r="AA87" s="1012"/>
      <c r="AB87" s="1012"/>
      <c r="AC87" s="1015"/>
      <c r="AD87" s="1012"/>
      <c r="AE87" s="1012"/>
      <c r="AF87" s="1012"/>
      <c r="AG87" s="1012"/>
      <c r="AH87" s="1012"/>
      <c r="AI87" s="1015"/>
      <c r="AJ87" s="1012"/>
      <c r="AK87" s="1012"/>
      <c r="AL87" s="1012"/>
      <c r="AM87" s="1012"/>
      <c r="AN87" s="1012"/>
      <c r="AO87" s="1015"/>
      <c r="AP87" s="1012"/>
      <c r="AQ87" s="1012"/>
      <c r="AR87" s="1012"/>
      <c r="AS87" s="1012"/>
      <c r="AT87" s="1012"/>
      <c r="AU87" s="1015"/>
      <c r="AV87" s="1012"/>
      <c r="AW87" s="1012"/>
      <c r="AX87" s="1012"/>
      <c r="AY87" s="1012"/>
      <c r="AZ87" s="1012"/>
      <c r="BA87" s="1015"/>
      <c r="BB87" s="1012"/>
      <c r="BC87" s="1012"/>
      <c r="BD87" s="1012"/>
      <c r="BE87" s="1012"/>
      <c r="BF87" s="1012"/>
      <c r="BG87" s="1015"/>
      <c r="BH87" s="1012"/>
      <c r="BI87" s="1012"/>
      <c r="BJ87" s="1012"/>
      <c r="BK87" s="1012"/>
      <c r="BL87" s="1012"/>
      <c r="BM87" s="1015"/>
      <c r="BN87" s="1012"/>
      <c r="BO87" s="1012"/>
      <c r="BP87" s="1012"/>
      <c r="BQ87" s="1012"/>
      <c r="BR87" s="1012"/>
      <c r="BS87" s="1015"/>
      <c r="BT87" s="1012"/>
      <c r="BU87" s="1012"/>
      <c r="BV87" s="1012"/>
      <c r="BW87" s="1012"/>
      <c r="BX87" s="1012"/>
      <c r="BY87" s="1015"/>
      <c r="BZ87" s="1012"/>
      <c r="CA87" s="1012"/>
      <c r="CB87" s="1012"/>
      <c r="CC87" s="1012"/>
      <c r="CD87" s="1012"/>
      <c r="CE87" s="1015"/>
      <c r="CF87" s="1012"/>
      <c r="CG87" s="1012"/>
      <c r="CH87" s="1012"/>
      <c r="CI87" s="1012"/>
      <c r="CJ87" s="1012"/>
      <c r="CK87" s="1015"/>
      <c r="CL87" s="1012"/>
      <c r="CM87" s="1012"/>
      <c r="CN87" s="1012"/>
      <c r="CO87" s="1012"/>
      <c r="CP87" s="1012"/>
      <c r="CQ87" s="1015"/>
      <c r="CR87" s="1012"/>
      <c r="CS87" s="1012"/>
      <c r="CT87" s="1012"/>
      <c r="CU87" s="1012"/>
      <c r="CV87" s="1012"/>
      <c r="CW87" s="1015"/>
      <c r="CX87" s="1012"/>
      <c r="CY87" s="1012"/>
      <c r="CZ87" s="1012"/>
      <c r="DA87" s="1012"/>
      <c r="DB87" s="1012"/>
      <c r="DC87" s="1015"/>
      <c r="DD87" s="1012"/>
      <c r="DE87" s="1012"/>
      <c r="DF87" s="1012"/>
      <c r="DG87" s="1012"/>
      <c r="DH87" s="1012"/>
      <c r="DI87" s="1015"/>
      <c r="DJ87" s="1012"/>
      <c r="DK87" s="1012"/>
      <c r="DL87" s="1012"/>
      <c r="DM87" s="1012"/>
      <c r="DN87" s="1012"/>
      <c r="DO87" s="1015"/>
      <c r="DP87" s="1690"/>
      <c r="DQ87" s="964"/>
    </row>
    <row r="88" spans="1:121" ht="10.5" customHeight="1">
      <c r="A88" s="1133" t="s">
        <v>385</v>
      </c>
      <c r="B88" s="1133"/>
      <c r="C88" s="1013"/>
      <c r="D88" s="1013">
        <f>D16/Model!D$237</f>
        <v>0.20202391904323827</v>
      </c>
      <c r="E88" s="1013">
        <f>E16/Model!E$237</f>
        <v>3.4227319380606004E-2</v>
      </c>
      <c r="F88" s="1012"/>
      <c r="G88" s="1011" t="s">
        <v>88</v>
      </c>
      <c r="H88" s="1011" t="s">
        <v>88</v>
      </c>
      <c r="I88" s="1011" t="s">
        <v>88</v>
      </c>
      <c r="J88" s="1013">
        <f>J16/Model!J$237</f>
        <v>2.6122256868859214E-2</v>
      </c>
      <c r="K88" s="1013">
        <f>K16/Model!K$237</f>
        <v>2.6122256868859214E-2</v>
      </c>
      <c r="L88" s="1012"/>
      <c r="M88" s="1013">
        <f>M16/Model!M$237</f>
        <v>2.6109358743580002E-2</v>
      </c>
      <c r="N88" s="1013">
        <f>N16/Model!N$237</f>
        <v>3.2407209821746115E-2</v>
      </c>
      <c r="O88" s="1013">
        <f>O16/Model!O$237</f>
        <v>6.335851648351648E-2</v>
      </c>
      <c r="P88" s="1013">
        <f>P16/Model!P$237</f>
        <v>3.6782854107869994E-2</v>
      </c>
      <c r="Q88" s="1013">
        <f>Q16/Model!Q$237</f>
        <v>3.6782854107869994E-2</v>
      </c>
      <c r="R88" s="1012"/>
      <c r="S88" s="1013">
        <f>S16/Model!S$237</f>
        <v>4.1867278850190717E-2</v>
      </c>
      <c r="T88" s="1136">
        <f>T16/Model!T$237</f>
        <v>2.6736538153039942E-2</v>
      </c>
      <c r="U88" s="1136">
        <f>U16/Model!U$237</f>
        <v>2.7299550825243355E-2</v>
      </c>
      <c r="V88" s="1136">
        <f>V16/Model!V$237</f>
        <v>1.965698086463501E-2</v>
      </c>
      <c r="W88" s="1013"/>
      <c r="X88" s="1012"/>
      <c r="Y88" s="1013">
        <f>Y16/Model!Y$237</f>
        <v>2.3693203638078291E-2</v>
      </c>
      <c r="Z88" s="1013">
        <f>Z16/Model!Z$237</f>
        <v>2.8320151850680167E-2</v>
      </c>
      <c r="AA88" s="1136">
        <f>AA16/Model!AA$237</f>
        <v>2.1946910423685104E-2</v>
      </c>
      <c r="AB88" s="1136">
        <f>AB16/Model!AB$237</f>
        <v>2.0454596797877735E-2</v>
      </c>
      <c r="AC88" s="1014"/>
      <c r="AD88" s="1012"/>
      <c r="AE88" s="1013">
        <f>AE16/Model!AE$237</f>
        <v>2.6820524822614069E-2</v>
      </c>
      <c r="AF88" s="1013">
        <f>AF16/Model!AF$237</f>
        <v>3.3793120839217275E-2</v>
      </c>
      <c r="AG88" s="1013">
        <f>AG16/Model!AG$237</f>
        <v>2.8717844753795563E-2</v>
      </c>
      <c r="AH88" s="1013">
        <f>AH16/Model!AH$237</f>
        <v>3.1541064337414354E-2</v>
      </c>
      <c r="AI88" s="1014"/>
      <c r="AJ88" s="1012"/>
      <c r="AK88" s="1013">
        <f>AK16/Model!AK$237</f>
        <v>3.8817715167332338E-2</v>
      </c>
      <c r="AL88" s="1013">
        <f>AL16/Model!AL$237</f>
        <v>4.5720780216088948E-2</v>
      </c>
      <c r="AM88" s="1013">
        <f>AM16/Model!AM$237</f>
        <v>3.8280159049489955E-2</v>
      </c>
      <c r="AN88" s="1013">
        <f>AN16/Model!AN$237</f>
        <v>3.6135969012955786E-2</v>
      </c>
      <c r="AO88" s="1014"/>
      <c r="AP88" s="1012"/>
      <c r="AQ88" s="1013">
        <f>AQ16/Model!AQ$237</f>
        <v>3.857730450528235E-2</v>
      </c>
      <c r="AR88" s="1013">
        <f>AR16/Model!AR$237</f>
        <v>3.601446315112429E-2</v>
      </c>
      <c r="AS88" s="1013">
        <f>AS16/Model!AS$237</f>
        <v>3.958501810591062E-2</v>
      </c>
      <c r="AT88" s="1013">
        <f>AT16/Model!AT$237</f>
        <v>3.0754042881992332E-2</v>
      </c>
      <c r="AU88" s="1014"/>
      <c r="AV88" s="1012"/>
      <c r="AW88" s="1021">
        <f>AW16/Model!AW$237</f>
        <v>3.1957434763784633E-2</v>
      </c>
      <c r="AX88" s="1013">
        <f>AX16/Model!AX$237</f>
        <v>4.1407516922130821E-2</v>
      </c>
      <c r="AY88" s="1013">
        <f>AY16/Model!AY$237</f>
        <v>5.0137899972363606E-2</v>
      </c>
      <c r="AZ88" s="1013">
        <f>AZ16/Model!AZ$237</f>
        <v>4.2688974963675234E-2</v>
      </c>
      <c r="BA88" s="1014"/>
      <c r="BB88" s="1012"/>
      <c r="BC88" s="1021">
        <f>BC16/Model!BC$237</f>
        <v>3.3291420805649771E-2</v>
      </c>
      <c r="BD88" s="1013">
        <f>BD16/Model!BD$237</f>
        <v>3.4440572530383996E-2</v>
      </c>
      <c r="BE88" s="1013">
        <f>BE16/Model!BE$237</f>
        <v>4.1396210949990388E-2</v>
      </c>
      <c r="BF88" s="1013">
        <f>BF16/Model!BF$237</f>
        <v>3.3624819643976754E-2</v>
      </c>
      <c r="BG88" s="1014"/>
      <c r="BH88" s="1012"/>
      <c r="BI88" s="1021">
        <f>BI16/Model!BI$237</f>
        <v>3.5796692983095103E-2</v>
      </c>
      <c r="BJ88" s="1013">
        <f>BJ16/Model!BJ$237</f>
        <v>4.9083829119153863E-2</v>
      </c>
      <c r="BK88" s="1013">
        <f>BK16/Model!BK$237</f>
        <v>3.7976698941856367E-2</v>
      </c>
      <c r="BL88" s="1013">
        <f>BL16/Model!BL$237</f>
        <v>3.5436848869576043E-2</v>
      </c>
      <c r="BM88" s="1014"/>
      <c r="BN88" s="1012"/>
      <c r="BO88" s="1021">
        <f>BO16/Model!BO$237</f>
        <v>4.0603554138479082E-2</v>
      </c>
      <c r="BP88" s="1013">
        <f>BP16/Model!BP$237</f>
        <v>5.5575080893538326E-2</v>
      </c>
      <c r="BQ88" s="1013">
        <f>BQ16/Model!BQ$237</f>
        <v>4.1300444225611396E-2</v>
      </c>
      <c r="BR88" s="1013">
        <f>BR16/Model!BR$237</f>
        <v>4.1306539417971633E-2</v>
      </c>
      <c r="BS88" s="1014"/>
      <c r="BT88" s="1012"/>
      <c r="BU88" s="1021">
        <f>BU16/Model!BU$237</f>
        <v>4.5366068016460134E-2</v>
      </c>
      <c r="BV88" s="1013">
        <f>BV16/Model!BV$237</f>
        <v>9.832711645856404E-2</v>
      </c>
      <c r="BW88" s="1013">
        <f>BW16/Model!BW$237</f>
        <v>9.1426486567270551E-2</v>
      </c>
      <c r="BX88" s="1013">
        <f>BX16/Model!BX$237</f>
        <v>6.3842006503065707E-2</v>
      </c>
      <c r="BY88" s="1014"/>
      <c r="BZ88" s="1012"/>
      <c r="CA88" s="1021">
        <f>CA16/Model!CA$237</f>
        <v>6.0168775490097713E-2</v>
      </c>
      <c r="CB88" s="1013">
        <f>CB16/Model!CB$237</f>
        <v>8.4997080727789359E-2</v>
      </c>
      <c r="CC88" s="1013">
        <f>CC16/Model!CC$237</f>
        <v>4.8629586771453154E-2</v>
      </c>
      <c r="CD88" s="1013">
        <f>CD16/Model!CD$237</f>
        <v>7.2246540764398293E-2</v>
      </c>
      <c r="CE88" s="1014"/>
      <c r="CF88" s="1012"/>
      <c r="CG88" s="1021">
        <f>CG16/Model!CG$237</f>
        <v>7.1931312600731601E-2</v>
      </c>
      <c r="CH88" s="1013">
        <f>CH16/Model!CH$237</f>
        <v>7.0667047866846869E-2</v>
      </c>
      <c r="CI88" s="1013">
        <f>CI16/Model!CI$237</f>
        <v>4.2730212143704663E-2</v>
      </c>
      <c r="CJ88" s="1013">
        <f>CJ16/Model!CJ$237</f>
        <v>3.7586002913359937E-2</v>
      </c>
      <c r="CK88" s="1014"/>
      <c r="CL88" s="1012"/>
      <c r="CM88" s="1021">
        <f>CM16/Model!CM$237</f>
        <v>4.3353610498579595E-2</v>
      </c>
      <c r="CN88" s="1021">
        <f>CN16/Model!CN$237</f>
        <v>7.2760150194271608E-2</v>
      </c>
      <c r="CO88" s="1013">
        <f>CO16/Model!CO$237</f>
        <v>3.561135312088913E-2</v>
      </c>
      <c r="CP88" s="1013">
        <f>CP16/Model!CP$237</f>
        <v>3.330880993100082E-2</v>
      </c>
      <c r="CQ88" s="1014"/>
      <c r="CR88" s="1012"/>
      <c r="CS88" s="1021">
        <f>CS16/Model!CS$237</f>
        <v>5.0507618222354611E-2</v>
      </c>
      <c r="CT88" s="1021">
        <f>CT16/Model!CT$237</f>
        <v>4.6681851411136281E-2</v>
      </c>
      <c r="CU88" s="1013">
        <f>CU16/Model!CU$237</f>
        <v>4.7359280668935008E-2</v>
      </c>
      <c r="CV88" s="1013">
        <f>CV16/Model!CV$237</f>
        <v>3.7249766507900947E-2</v>
      </c>
      <c r="CW88" s="1014"/>
      <c r="CX88" s="1012"/>
      <c r="CY88" s="1016">
        <f>CS88</f>
        <v>5.0507618222354611E-2</v>
      </c>
      <c r="CZ88" s="1016">
        <f>CT88</f>
        <v>4.6681851411136281E-2</v>
      </c>
      <c r="DA88" s="1018">
        <f>CU88</f>
        <v>4.7359280668935008E-2</v>
      </c>
      <c r="DB88" s="1018">
        <f>CV88</f>
        <v>3.7249766507900947E-2</v>
      </c>
      <c r="DC88" s="1014"/>
      <c r="DD88" s="1012"/>
      <c r="DE88" s="1018">
        <f>CY88</f>
        <v>5.0507618222354611E-2</v>
      </c>
      <c r="DF88" s="1018">
        <f t="shared" ref="DF88:DH88" si="114">CZ88</f>
        <v>4.6681851411136281E-2</v>
      </c>
      <c r="DG88" s="1018">
        <f t="shared" si="114"/>
        <v>4.7359280668935008E-2</v>
      </c>
      <c r="DH88" s="1018">
        <f t="shared" si="114"/>
        <v>3.7249766507900947E-2</v>
      </c>
      <c r="DI88" s="1014"/>
      <c r="DJ88" s="1012"/>
      <c r="DK88" s="1018">
        <f>DE88</f>
        <v>5.0507618222354611E-2</v>
      </c>
      <c r="DL88" s="1018">
        <f t="shared" ref="DL88:DN88" si="115">DF88</f>
        <v>4.6681851411136281E-2</v>
      </c>
      <c r="DM88" s="1018">
        <f t="shared" si="115"/>
        <v>4.7359280668935008E-2</v>
      </c>
      <c r="DN88" s="1018">
        <f t="shared" si="115"/>
        <v>3.7249766507900947E-2</v>
      </c>
      <c r="DO88" s="1014"/>
      <c r="DP88" s="1225"/>
      <c r="DQ88" s="964"/>
    </row>
    <row r="89" spans="1:121" ht="10.5" customHeight="1">
      <c r="A89" s="1133" t="s">
        <v>386</v>
      </c>
      <c r="B89" s="1133"/>
      <c r="C89" s="1013"/>
      <c r="D89" s="1013">
        <f>D26/Model!D$237</f>
        <v>7.0285188592456291E-2</v>
      </c>
      <c r="E89" s="1013">
        <f>E26/Model!E$237</f>
        <v>1.9322593600785396E-2</v>
      </c>
      <c r="F89" s="1012"/>
      <c r="G89" s="1011" t="s">
        <v>88</v>
      </c>
      <c r="H89" s="1011" t="s">
        <v>88</v>
      </c>
      <c r="I89" s="1011" t="s">
        <v>88</v>
      </c>
      <c r="J89" s="1013">
        <f>J26/Model!J$237</f>
        <v>1.1668725853582005E-2</v>
      </c>
      <c r="K89" s="1013">
        <f>K26/Model!K$237</f>
        <v>1.1668725853582005E-2</v>
      </c>
      <c r="L89" s="1012"/>
      <c r="M89" s="1013">
        <f>M26/Model!M$237</f>
        <v>1.1295889551302165E-2</v>
      </c>
      <c r="N89" s="1013">
        <f>N26/Model!N$237</f>
        <v>8.8344500874909301E-3</v>
      </c>
      <c r="O89" s="1013">
        <f>O26/Model!O$237</f>
        <v>9.2597135007849284E-3</v>
      </c>
      <c r="P89" s="1013">
        <f>P26/Model!P$237</f>
        <v>1.5558772377451235E-2</v>
      </c>
      <c r="Q89" s="1013">
        <f>Q26/Model!Q$237</f>
        <v>1.5558772377451235E-2</v>
      </c>
      <c r="R89" s="1012"/>
      <c r="S89" s="1021">
        <f>S26/Model!S$237</f>
        <v>1.5096159858507001E-2</v>
      </c>
      <c r="T89" s="1021">
        <f>T26/Model!T$237</f>
        <v>1.3727302588860792E-2</v>
      </c>
      <c r="U89" s="1021">
        <f>U26/Model!U$237</f>
        <v>1.1710157145303423E-2</v>
      </c>
      <c r="V89" s="1021">
        <f>V26/Model!V$237</f>
        <v>1.0086463501063075E-2</v>
      </c>
      <c r="W89" s="1013"/>
      <c r="X89" s="1012"/>
      <c r="Y89" s="1021">
        <f>Y26/Model!Y$237</f>
        <v>1.0626455304234539E-2</v>
      </c>
      <c r="Z89" s="1021">
        <f>Z26/Model!Z$237</f>
        <v>1.2388484656754191E-2</v>
      </c>
      <c r="AA89" s="1021">
        <f>AA26/Model!AA$237</f>
        <v>1.3354694992812386E-2</v>
      </c>
      <c r="AB89" s="1021">
        <f>AB26/Model!AB$237</f>
        <v>1.2212084929499737E-2</v>
      </c>
      <c r="AC89" s="1014"/>
      <c r="AD89" s="1012"/>
      <c r="AE89" s="1021">
        <f>AE26/Model!AE$237</f>
        <v>2.9657558096390632E-2</v>
      </c>
      <c r="AF89" s="1021">
        <f>AF26/Model!AF$237</f>
        <v>2.5340427678031071E-2</v>
      </c>
      <c r="AG89" s="1021">
        <f>AG26/Model!AG$237</f>
        <v>2.773347749695905E-2</v>
      </c>
      <c r="AH89" s="1021">
        <f>AH26/Model!AH$237</f>
        <v>1.5493926750862001E-2</v>
      </c>
      <c r="AI89" s="1014"/>
      <c r="AJ89" s="1012"/>
      <c r="AK89" s="1021">
        <f>AK26/Model!AK$237</f>
        <v>1.6468285438265107E-2</v>
      </c>
      <c r="AL89" s="1021">
        <f>AL26/Model!AL$237</f>
        <v>1.7286136847632187E-2</v>
      </c>
      <c r="AM89" s="1021">
        <f>AM26/Model!AM$237</f>
        <v>1.6018851624813615E-2</v>
      </c>
      <c r="AN89" s="1021">
        <f>AN26/Model!AN$237</f>
        <v>1.8540136236142646E-2</v>
      </c>
      <c r="AO89" s="1014"/>
      <c r="AP89" s="1012"/>
      <c r="AQ89" s="1021">
        <f>AQ26/Model!AQ$237</f>
        <v>1.785324555407658E-2</v>
      </c>
      <c r="AR89" s="1021">
        <f>AR26/Model!AR$237</f>
        <v>1.8815568747772727E-2</v>
      </c>
      <c r="AS89" s="1021">
        <f>AS26/Model!AS$237</f>
        <v>4.7181931536154062E-2</v>
      </c>
      <c r="AT89" s="1021">
        <f>AT26/Model!AT$237</f>
        <v>2.7979074434720908E-2</v>
      </c>
      <c r="AU89" s="1019"/>
      <c r="AV89" s="1017"/>
      <c r="AW89" s="1021">
        <f>AW26/Model!AW$237</f>
        <v>2.7852753487215529E-2</v>
      </c>
      <c r="AX89" s="1021">
        <f>AX26/Model!AX$237</f>
        <v>2.4669455080008933E-2</v>
      </c>
      <c r="AY89" s="1021">
        <f>AY26/Model!AY$237</f>
        <v>2.7375340117007502E-2</v>
      </c>
      <c r="AZ89" s="1021">
        <f>AZ26/Model!AZ$237</f>
        <v>3.0457657613495278E-2</v>
      </c>
      <c r="BA89" s="1019"/>
      <c r="BB89" s="1017"/>
      <c r="BC89" s="1021">
        <f>BC26/Model!BC$237</f>
        <v>3.029244877572829E-2</v>
      </c>
      <c r="BD89" s="1021">
        <f>BD26/Model!BD$237</f>
        <v>3.665175372977978E-2</v>
      </c>
      <c r="BE89" s="1021">
        <f>BE26/Model!BE$237</f>
        <v>4.4517187891046965E-2</v>
      </c>
      <c r="BF89" s="1021">
        <f>BF26/Model!BF$237</f>
        <v>6.2982646597539493E-2</v>
      </c>
      <c r="BG89" s="1019"/>
      <c r="BH89" s="1017"/>
      <c r="BI89" s="1021">
        <f>BI26/Model!BI$237</f>
        <v>6.1408423871932939E-2</v>
      </c>
      <c r="BJ89" s="1021">
        <f>BJ26/Model!BJ$237</f>
        <v>7.5142538423401087E-2</v>
      </c>
      <c r="BK89" s="1021">
        <f>BK26/Model!BK$237</f>
        <v>7.4787723410979626E-2</v>
      </c>
      <c r="BL89" s="1021">
        <f>BL26/Model!BL$237</f>
        <v>6.8451943690357855E-2</v>
      </c>
      <c r="BM89" s="1019"/>
      <c r="BN89" s="1017"/>
      <c r="BO89" s="1021">
        <f>BO26/Model!BO$237</f>
        <v>6.1642012953880186E-2</v>
      </c>
      <c r="BP89" s="1021">
        <f>BP26/Model!BP$237</f>
        <v>5.6005605138144184E-2</v>
      </c>
      <c r="BQ89" s="1021">
        <f>BQ26/Model!BQ$237</f>
        <v>5.4013676206624436E-2</v>
      </c>
      <c r="BR89" s="1021">
        <f>BR26/Model!BR$237</f>
        <v>4.909456608511914E-2</v>
      </c>
      <c r="BS89" s="1019"/>
      <c r="BT89" s="1017"/>
      <c r="BU89" s="1021">
        <f>BU26/Model!BU$237</f>
        <v>5.2739747752097776E-2</v>
      </c>
      <c r="BV89" s="1021">
        <f>BV26/Model!BV$237</f>
        <v>0.18003856247656794</v>
      </c>
      <c r="BW89" s="1021">
        <f>BW26/Model!BW$237</f>
        <v>0.15710919088766689</v>
      </c>
      <c r="BX89" s="1021">
        <f>BX26/Model!BX$237</f>
        <v>0.14831701180274248</v>
      </c>
      <c r="BY89" s="1019"/>
      <c r="BZ89" s="1017"/>
      <c r="CA89" s="1021">
        <f>CA26/Model!CA$237</f>
        <v>0.13424743175134876</v>
      </c>
      <c r="CB89" s="1021">
        <f>CB26/Model!CB$237</f>
        <v>0.12500422208790796</v>
      </c>
      <c r="CC89" s="1021">
        <f>CC26/Model!CC$237</f>
        <v>7.4135080206974804E-2</v>
      </c>
      <c r="CD89" s="1021">
        <f>CD26/Model!CD$237</f>
        <v>0.13660523903404542</v>
      </c>
      <c r="CE89" s="1019"/>
      <c r="CF89" s="1017"/>
      <c r="CG89" s="1021">
        <f>CG26/Model!CG$237</f>
        <v>0.13175159124783206</v>
      </c>
      <c r="CH89" s="1021">
        <f>CH26/Model!CH$237</f>
        <v>0.14809593522989351</v>
      </c>
      <c r="CI89" s="1021">
        <f>CI26/Model!CI$237</f>
        <v>0.14062838659271845</v>
      </c>
      <c r="CJ89" s="1021">
        <f>CJ26/Model!CJ$237</f>
        <v>0.13251363087681572</v>
      </c>
      <c r="CK89" s="1019"/>
      <c r="CL89" s="1017"/>
      <c r="CM89" s="1021">
        <f>CM26/Model!CM$237</f>
        <v>0.12899517748080916</v>
      </c>
      <c r="CN89" s="1021">
        <f>CN26/Model!CN$237</f>
        <v>0.26509963227394795</v>
      </c>
      <c r="CO89" s="1021">
        <f>CO26/Model!CO$237</f>
        <v>0.20668111390427743</v>
      </c>
      <c r="CP89" s="1021">
        <f>CP26/Model!CP$237</f>
        <v>0.18723867919671913</v>
      </c>
      <c r="CQ89" s="1019"/>
      <c r="CR89" s="1017"/>
      <c r="CS89" s="1021">
        <f>CS26/Model!CS$237</f>
        <v>0.16781143094406387</v>
      </c>
      <c r="CT89" s="1021">
        <f>CT26/Model!CT$237</f>
        <v>0.14848394177588226</v>
      </c>
      <c r="CU89" s="1021">
        <f>CU26/Model!CU$237</f>
        <v>0.12990631761755042</v>
      </c>
      <c r="CV89" s="1021">
        <f>CV26/Model!CV$237</f>
        <v>0.11312601550456243</v>
      </c>
      <c r="CW89" s="1019"/>
      <c r="CX89" s="1017"/>
      <c r="CY89" s="1018">
        <f>CS89-2%</f>
        <v>0.14781143094406388</v>
      </c>
      <c r="CZ89" s="1018">
        <f t="shared" ref="CZ89:DB89" si="116">CT89-2%</f>
        <v>0.12848394177588227</v>
      </c>
      <c r="DA89" s="1018">
        <f t="shared" si="116"/>
        <v>0.10990631761755042</v>
      </c>
      <c r="DB89" s="1018">
        <f t="shared" si="116"/>
        <v>9.3126015504562426E-2</v>
      </c>
      <c r="DC89" s="1019"/>
      <c r="DD89" s="1017"/>
      <c r="DE89" s="1018">
        <f>CY89-2%</f>
        <v>0.12781143094406389</v>
      </c>
      <c r="DF89" s="1018">
        <f t="shared" ref="DF89" si="117">CZ89-2%</f>
        <v>0.10848394177588226</v>
      </c>
      <c r="DG89" s="1018">
        <f t="shared" ref="DG89" si="118">DA89-2%</f>
        <v>8.9906317617550413E-2</v>
      </c>
      <c r="DH89" s="1018">
        <f t="shared" ref="DH89" si="119">DB89-2%</f>
        <v>7.3126015504562422E-2</v>
      </c>
      <c r="DI89" s="1019"/>
      <c r="DJ89" s="1017"/>
      <c r="DK89" s="1018">
        <f>DE89-2%</f>
        <v>0.10781143094406388</v>
      </c>
      <c r="DL89" s="1018">
        <f t="shared" ref="DL89" si="120">DF89-2%</f>
        <v>8.8483941775882258E-2</v>
      </c>
      <c r="DM89" s="1018">
        <f t="shared" ref="DM89" si="121">DG89-2%</f>
        <v>6.9906317617550409E-2</v>
      </c>
      <c r="DN89" s="1018">
        <f t="shared" ref="DN89" si="122">DH89-2%</f>
        <v>5.3126015504562418E-2</v>
      </c>
      <c r="DO89" s="1019"/>
      <c r="DP89" s="1691"/>
      <c r="DQ89" s="964"/>
    </row>
    <row r="90" spans="1:121" ht="10.5" customHeight="1">
      <c r="A90" s="1133" t="s">
        <v>756</v>
      </c>
      <c r="B90" s="1133"/>
      <c r="C90" s="1013"/>
      <c r="D90" s="1013">
        <f>D32/Model!D$237</f>
        <v>0.33431462741490331</v>
      </c>
      <c r="E90" s="1013">
        <f>E32/Model!E$237</f>
        <v>0.15306350127181043</v>
      </c>
      <c r="F90" s="1012"/>
      <c r="G90" s="1011" t="s">
        <v>88</v>
      </c>
      <c r="H90" s="1011" t="s">
        <v>88</v>
      </c>
      <c r="I90" s="1011" t="s">
        <v>88</v>
      </c>
      <c r="J90" s="1013">
        <f>J32/Model!J$237</f>
        <v>0.16644113667117727</v>
      </c>
      <c r="K90" s="1013">
        <f>K32/Model!K$237</f>
        <v>0.16644113667117727</v>
      </c>
      <c r="L90" s="1012"/>
      <c r="M90" s="1013">
        <f>M32/Model!M$237</f>
        <v>0.15221789176423958</v>
      </c>
      <c r="N90" s="1013">
        <f>N32/Model!N$237</f>
        <v>0.15039193091773007</v>
      </c>
      <c r="O90" s="1013">
        <f>O32/Model!O$237</f>
        <v>0.19165767268445838</v>
      </c>
      <c r="P90" s="1013">
        <f>P32/Model!P$237</f>
        <v>0.18414338231465377</v>
      </c>
      <c r="Q90" s="1013">
        <f>Q32/Model!Q$237</f>
        <v>0.18414338231465377</v>
      </c>
      <c r="R90" s="1012"/>
      <c r="S90" s="1013">
        <f>S32/Model!S$237</f>
        <v>0.1665758515038098</v>
      </c>
      <c r="T90" s="1013">
        <f>T32/Model!T$237</f>
        <v>0.19157111537198163</v>
      </c>
      <c r="U90" s="1013">
        <f>U32/Model!U$237</f>
        <v>0.1762121790903223</v>
      </c>
      <c r="V90" s="1013">
        <f>V32/Model!V$237</f>
        <v>0.18407937632884477</v>
      </c>
      <c r="W90" s="1013"/>
      <c r="X90" s="1012"/>
      <c r="Y90" s="1013">
        <f>Y32/Model!Y$237</f>
        <v>0.13557237510512216</v>
      </c>
      <c r="Z90" s="1013">
        <f>Z32/Model!Z$237</f>
        <v>0.13533691869661502</v>
      </c>
      <c r="AA90" s="1013">
        <f>AA32/Model!AA$237</f>
        <v>0.14133810312853209</v>
      </c>
      <c r="AB90" s="1013">
        <f>AB32/Model!AB$237</f>
        <v>0.15743391306312268</v>
      </c>
      <c r="AC90" s="1014"/>
      <c r="AD90" s="1012"/>
      <c r="AE90" s="1013">
        <f>AE32/Model!AE$237</f>
        <v>0.12428146566733073</v>
      </c>
      <c r="AF90" s="1013">
        <f>AF32/Model!AF$237</f>
        <v>0.12419306031874119</v>
      </c>
      <c r="AG90" s="1013">
        <f>AG32/Model!AG$237</f>
        <v>0.13295715637248279</v>
      </c>
      <c r="AH90" s="1013">
        <f>AH32/Model!AH$237</f>
        <v>0.15520279703398526</v>
      </c>
      <c r="AI90" s="1014"/>
      <c r="AJ90" s="1012"/>
      <c r="AK90" s="1013">
        <f>AK32/Model!AK$237</f>
        <v>0.12385549291306792</v>
      </c>
      <c r="AL90" s="1013">
        <f>AL32/Model!AL$237</f>
        <v>0.1326634771860824</v>
      </c>
      <c r="AM90" s="1013">
        <f>AM32/Model!AM$237</f>
        <v>0.13812247047407164</v>
      </c>
      <c r="AN90" s="1013">
        <f>AN32/Model!AN$237</f>
        <v>0.16828636302925068</v>
      </c>
      <c r="AO90" s="1014"/>
      <c r="AP90" s="1012"/>
      <c r="AQ90" s="1013">
        <f>AQ32/Model!AQ$237</f>
        <v>0.12303006319626819</v>
      </c>
      <c r="AR90" s="1013">
        <f>AR32/Model!AR$237</f>
        <v>0.12731310462316711</v>
      </c>
      <c r="AS90" s="1013">
        <f>AS32/Model!AS$237</f>
        <v>0.1340514614198699</v>
      </c>
      <c r="AT90" s="1013">
        <f>AT32/Model!AT$237</f>
        <v>0.15156918521985682</v>
      </c>
      <c r="AU90" s="1014"/>
      <c r="AV90" s="1012"/>
      <c r="AW90" s="1013">
        <f>AW32/Model!AW$237</f>
        <v>0.11613382230918524</v>
      </c>
      <c r="AX90" s="1013">
        <f>AX32/Model!AX$237</f>
        <v>0.13276891129728616</v>
      </c>
      <c r="AY90" s="1013">
        <f>AY32/Model!AY$237</f>
        <v>0.14044526019706441</v>
      </c>
      <c r="AZ90" s="1013">
        <f>AZ32/Model!AZ$237</f>
        <v>0.14915788578742217</v>
      </c>
      <c r="BA90" s="1014"/>
      <c r="BB90" s="1012"/>
      <c r="BC90" s="1013">
        <f>BC32/Model!BC$237</f>
        <v>0.1245847465502021</v>
      </c>
      <c r="BD90" s="1013">
        <f>BD32/Model!BD$237</f>
        <v>0.16213542815103626</v>
      </c>
      <c r="BE90" s="1013">
        <f>BE32/Model!BE$237</f>
        <v>0.18504993498768918</v>
      </c>
      <c r="BF90" s="1013">
        <f>BF32/Model!BF$237</f>
        <v>0.20356831865039685</v>
      </c>
      <c r="BG90" s="1014"/>
      <c r="BH90" s="1012"/>
      <c r="BI90" s="1013">
        <f>BI32/Model!BI$237</f>
        <v>0.16583832486314151</v>
      </c>
      <c r="BJ90" s="1013">
        <f>BJ32/Model!BJ$237</f>
        <v>0.20133707238472981</v>
      </c>
      <c r="BK90" s="1013">
        <f>BK32/Model!BK$237</f>
        <v>0.19562580415043224</v>
      </c>
      <c r="BL90" s="1013">
        <f>BL32/Model!BL$237</f>
        <v>0.22167807392681091</v>
      </c>
      <c r="BM90" s="1014"/>
      <c r="BN90" s="1012"/>
      <c r="BO90" s="1013">
        <f>BO32/Model!BO$237</f>
        <v>0.16264818065446474</v>
      </c>
      <c r="BP90" s="1013">
        <f>BP32/Model!BP$237</f>
        <v>0.18268452673922528</v>
      </c>
      <c r="BQ90" s="1013">
        <f>BQ32/Model!BQ$237</f>
        <v>0.18411955776214808</v>
      </c>
      <c r="BR90" s="1013">
        <f>BR32/Model!BR$237</f>
        <v>0.19119138284601478</v>
      </c>
      <c r="BS90" s="1014"/>
      <c r="BT90" s="1012"/>
      <c r="BU90" s="1013">
        <f>BU32/Model!BU$237</f>
        <v>0.15260329849376156</v>
      </c>
      <c r="BV90" s="1013">
        <f>BV32/Model!BV$237</f>
        <v>0.20076675748659725</v>
      </c>
      <c r="BW90" s="1013">
        <f>BW32/Model!BW$237</f>
        <v>0.21118182383879341</v>
      </c>
      <c r="BX90" s="1013">
        <f>BX32/Model!BX$237</f>
        <v>0.21354344371645023</v>
      </c>
      <c r="BY90" s="1014"/>
      <c r="BZ90" s="1012"/>
      <c r="CA90" s="1013">
        <f>CA32/Model!CA$237</f>
        <v>0.16568773492432254</v>
      </c>
      <c r="CB90" s="1013">
        <f>CB32/Model!CB$237</f>
        <v>0.16939918797448661</v>
      </c>
      <c r="CC90" s="1013">
        <f>CC32/Model!CC$237</f>
        <v>0.10698405534112668</v>
      </c>
      <c r="CD90" s="1013">
        <f>CD32/Model!CD$237</f>
        <v>0.18754664017659714</v>
      </c>
      <c r="CE90" s="1014"/>
      <c r="CF90" s="1012"/>
      <c r="CG90" s="1013">
        <f>CG32/Model!CG$237</f>
        <v>0.15339005203446249</v>
      </c>
      <c r="CH90" s="1013">
        <f>CH32/Model!CH$237</f>
        <v>0.16718261486138364</v>
      </c>
      <c r="CI90" s="1013">
        <f>CI32/Model!CI$237</f>
        <v>0.16833803363974448</v>
      </c>
      <c r="CJ90" s="1013">
        <f>CJ32/Model!CJ$237</f>
        <v>0.1916627569888241</v>
      </c>
      <c r="CK90" s="1014"/>
      <c r="CL90" s="1012"/>
      <c r="CM90" s="1013">
        <f>CM32/Model!CM$237</f>
        <v>0.14684930065836685</v>
      </c>
      <c r="CN90" s="1013">
        <f>CN32/Model!CN$237</f>
        <v>0.19619708703599098</v>
      </c>
      <c r="CO90" s="1013">
        <f>CO32/Model!CO$237</f>
        <v>0.17152300745353019</v>
      </c>
      <c r="CP90" s="1013">
        <f>CP32/Model!CP$237</f>
        <v>0.19511560079237519</v>
      </c>
      <c r="CQ90" s="1014"/>
      <c r="CR90" s="1012"/>
      <c r="CS90" s="1013">
        <f>CS32/Model!CS$237</f>
        <v>0.15024562899979241</v>
      </c>
      <c r="CT90" s="1013">
        <f>CT32/Model!CT$237</f>
        <v>0.15216803361677883</v>
      </c>
      <c r="CU90" s="1013">
        <f>CU32/Model!CU$237</f>
        <v>0.15785442643991529</v>
      </c>
      <c r="CV90" s="1013">
        <f>CV32/Model!CV$237</f>
        <v>0.18450656354210285</v>
      </c>
      <c r="CW90" s="1014"/>
      <c r="CX90" s="1012"/>
      <c r="CY90" s="1016">
        <f>CS90</f>
        <v>0.15024562899979241</v>
      </c>
      <c r="CZ90" s="1016">
        <f>CT90</f>
        <v>0.15216803361677883</v>
      </c>
      <c r="DA90" s="1016">
        <f>CU90</f>
        <v>0.15785442643991529</v>
      </c>
      <c r="DB90" s="1016">
        <f>CV90</f>
        <v>0.18450656354210285</v>
      </c>
      <c r="DC90" s="1014"/>
      <c r="DD90" s="1012"/>
      <c r="DE90" s="1016">
        <f>CY90</f>
        <v>0.15024562899979241</v>
      </c>
      <c r="DF90" s="1016">
        <f t="shared" ref="DF90:DH90" si="123">CZ90</f>
        <v>0.15216803361677883</v>
      </c>
      <c r="DG90" s="1016">
        <f t="shared" si="123"/>
        <v>0.15785442643991529</v>
      </c>
      <c r="DH90" s="1016">
        <f t="shared" si="123"/>
        <v>0.18450656354210285</v>
      </c>
      <c r="DI90" s="1014"/>
      <c r="DJ90" s="1012"/>
      <c r="DK90" s="1016">
        <f>DE90</f>
        <v>0.15024562899979241</v>
      </c>
      <c r="DL90" s="1016">
        <f t="shared" ref="DL90:DN90" si="124">DF90</f>
        <v>0.15216803361677883</v>
      </c>
      <c r="DM90" s="1016">
        <f t="shared" si="124"/>
        <v>0.15785442643991529</v>
      </c>
      <c r="DN90" s="1016">
        <f t="shared" si="124"/>
        <v>0.18450656354210285</v>
      </c>
      <c r="DO90" s="1014"/>
      <c r="DP90" s="1225"/>
      <c r="DQ90" s="964"/>
    </row>
    <row r="91" spans="1:121" ht="5.25" customHeight="1">
      <c r="A91" s="1122"/>
      <c r="B91" s="1122"/>
      <c r="C91" s="965"/>
      <c r="D91" s="965"/>
      <c r="E91" s="965"/>
      <c r="F91" s="965"/>
      <c r="G91" s="965"/>
      <c r="H91" s="965"/>
      <c r="I91" s="965"/>
      <c r="J91" s="965"/>
      <c r="K91" s="965"/>
      <c r="L91" s="965"/>
      <c r="M91" s="965"/>
      <c r="N91" s="965"/>
      <c r="O91" s="965"/>
      <c r="P91" s="965"/>
      <c r="Q91" s="965"/>
      <c r="R91" s="965"/>
      <c r="S91" s="965"/>
      <c r="T91" s="965"/>
      <c r="U91" s="965"/>
      <c r="V91" s="965"/>
      <c r="W91" s="965"/>
      <c r="X91" s="965"/>
      <c r="Y91" s="965"/>
      <c r="Z91" s="965"/>
      <c r="AA91" s="965"/>
      <c r="AB91" s="965"/>
      <c r="AC91" s="1020"/>
      <c r="AD91" s="965"/>
      <c r="AE91" s="965"/>
      <c r="AF91" s="965"/>
      <c r="AG91" s="965"/>
      <c r="AH91" s="965"/>
      <c r="AI91" s="1020"/>
      <c r="AJ91" s="965"/>
      <c r="AK91" s="965"/>
      <c r="AL91" s="965"/>
      <c r="AM91" s="965"/>
      <c r="AN91" s="965"/>
      <c r="AO91" s="1020"/>
      <c r="AP91" s="965"/>
      <c r="AQ91" s="965"/>
      <c r="AR91" s="965"/>
      <c r="AS91" s="965"/>
      <c r="AT91" s="965"/>
      <c r="AU91" s="1020"/>
      <c r="AV91" s="965"/>
      <c r="AW91" s="965"/>
      <c r="AX91" s="965"/>
      <c r="AY91" s="965"/>
      <c r="AZ91" s="965"/>
      <c r="BA91" s="1020"/>
      <c r="BB91" s="965"/>
      <c r="BC91" s="965"/>
      <c r="BD91" s="965"/>
      <c r="BE91" s="965"/>
      <c r="BF91" s="965"/>
      <c r="BG91" s="1020"/>
      <c r="BH91" s="965"/>
      <c r="BI91" s="965"/>
      <c r="BJ91" s="965"/>
      <c r="BK91" s="965"/>
      <c r="BL91" s="965"/>
      <c r="BM91" s="1020"/>
      <c r="BN91" s="965"/>
      <c r="BO91" s="965"/>
      <c r="BP91" s="965"/>
      <c r="BQ91" s="965"/>
      <c r="BR91" s="965"/>
      <c r="BS91" s="1020"/>
      <c r="BT91" s="965"/>
      <c r="BU91" s="965"/>
      <c r="BV91" s="965"/>
      <c r="BW91" s="965"/>
      <c r="BX91" s="965"/>
      <c r="BY91" s="1020"/>
      <c r="BZ91" s="965"/>
      <c r="CA91" s="965"/>
      <c r="CB91" s="965"/>
      <c r="CC91" s="965"/>
      <c r="CD91" s="965"/>
      <c r="CE91" s="1020"/>
      <c r="CF91" s="965"/>
      <c r="CG91" s="965"/>
      <c r="CH91" s="965"/>
      <c r="CI91" s="965"/>
      <c r="CJ91" s="965"/>
      <c r="CK91" s="1020"/>
      <c r="CL91" s="965"/>
      <c r="CM91" s="965"/>
      <c r="CN91" s="965"/>
      <c r="CO91" s="965"/>
      <c r="CP91" s="965"/>
      <c r="CQ91" s="1020"/>
      <c r="CR91" s="965"/>
      <c r="CS91" s="965"/>
      <c r="CT91" s="965"/>
      <c r="CU91" s="965"/>
      <c r="CV91" s="965"/>
      <c r="CW91" s="1020"/>
      <c r="CX91" s="965"/>
      <c r="CY91" s="965"/>
      <c r="CZ91" s="965"/>
      <c r="DA91" s="965"/>
      <c r="DB91" s="965"/>
      <c r="DC91" s="1020"/>
      <c r="DD91" s="965"/>
      <c r="DE91" s="965"/>
      <c r="DF91" s="965"/>
      <c r="DG91" s="965"/>
      <c r="DH91" s="965"/>
      <c r="DI91" s="1020"/>
      <c r="DJ91" s="965"/>
      <c r="DK91" s="965"/>
      <c r="DL91" s="965"/>
      <c r="DM91" s="965"/>
      <c r="DN91" s="965"/>
      <c r="DO91" s="1020"/>
      <c r="DP91" s="965"/>
      <c r="DQ91" s="965"/>
    </row>
    <row r="92" spans="1:121" ht="10.5" customHeight="1">
      <c r="A92" s="1133" t="s">
        <v>1002</v>
      </c>
      <c r="B92" s="1133"/>
      <c r="C92" s="1013"/>
      <c r="D92" s="1013">
        <f>D19/Model!D$237</f>
        <v>1.4993560257589693</v>
      </c>
      <c r="E92" s="1013">
        <f>E19/Model!E$237</f>
        <v>0.31085724485697708</v>
      </c>
      <c r="F92" s="1012"/>
      <c r="G92" s="1011" t="s">
        <v>88</v>
      </c>
      <c r="H92" s="1011" t="s">
        <v>88</v>
      </c>
      <c r="I92" s="1011" t="s">
        <v>88</v>
      </c>
      <c r="J92" s="1013">
        <f>J19/Model!J$237</f>
        <v>9.7821184130532854E-2</v>
      </c>
      <c r="K92" s="1013">
        <f>K19/Model!K$237</f>
        <v>9.7821184130532854E-2</v>
      </c>
      <c r="L92" s="1012"/>
      <c r="M92" s="1013">
        <f>M19/Model!M$237</f>
        <v>7.5834393011081191E-2</v>
      </c>
      <c r="N92" s="1013">
        <f>N19/Model!N$237</f>
        <v>6.3021922524291174E-2</v>
      </c>
      <c r="O92" s="1013">
        <f>O19/Model!O$237</f>
        <v>5.4319564364207221E-2</v>
      </c>
      <c r="P92" s="1013">
        <f>P19/Model!P$237</f>
        <v>5.2789435864324177E-2</v>
      </c>
      <c r="Q92" s="1013">
        <f>Q19/Model!Q$237</f>
        <v>5.2789435864324177E-2</v>
      </c>
      <c r="R92" s="1012"/>
      <c r="S92" s="1013">
        <f>S19/Model!S$237</f>
        <v>4.0625642033425939E-2</v>
      </c>
      <c r="T92" s="1013">
        <f>T19/Model!T$237</f>
        <v>4.5727119252599167E-2</v>
      </c>
      <c r="U92" s="1013">
        <f>U19/Model!U$237</f>
        <v>4.2974564326830618E-2</v>
      </c>
      <c r="V92" s="1013">
        <f>V19/Model!V$237</f>
        <v>4.3299787384833449E-2</v>
      </c>
      <c r="W92" s="1013"/>
      <c r="X92" s="1012"/>
      <c r="Y92" s="1013">
        <f>Y19/Model!Y$237</f>
        <v>7.432199229022958E-2</v>
      </c>
      <c r="Z92" s="1013">
        <f>Z19/Model!Z$237</f>
        <v>7.2888326478962359E-2</v>
      </c>
      <c r="AA92" s="1013">
        <f>AA19/Model!AA$237</f>
        <v>7.6276487177517588E-2</v>
      </c>
      <c r="AB92" s="1013">
        <f>AB19/Model!AB$237</f>
        <v>7.8152179876523703E-2</v>
      </c>
      <c r="AC92" s="1014"/>
      <c r="AD92" s="1012"/>
      <c r="AE92" s="1013">
        <f>AE19/Model!AE$237</f>
        <v>7.0743165718134757E-2</v>
      </c>
      <c r="AF92" s="1013">
        <f>AF19/Model!AF$237</f>
        <v>6.2643736130724229E-2</v>
      </c>
      <c r="AG92" s="1013">
        <f>AG19/Model!AG$237</f>
        <v>6.3411722304815968E-2</v>
      </c>
      <c r="AH92" s="1013">
        <f>AH19/Model!AH$237</f>
        <v>6.0662082728154217E-2</v>
      </c>
      <c r="AI92" s="1014"/>
      <c r="AJ92" s="1012"/>
      <c r="AK92" s="1013">
        <f>AK19/Model!AK$237</f>
        <v>6.1008536040257799E-2</v>
      </c>
      <c r="AL92" s="1013">
        <f>AL19/Model!AL$237</f>
        <v>5.9827220162213458E-2</v>
      </c>
      <c r="AM92" s="1013">
        <f>AM19/Model!AM$237</f>
        <v>5.7562247047407158E-2</v>
      </c>
      <c r="AN92" s="1013">
        <f>AN19/Model!AN$237</f>
        <v>5.5269133164151198E-2</v>
      </c>
      <c r="AO92" s="1014"/>
      <c r="AP92" s="1012"/>
      <c r="AQ92" s="1021">
        <f>AQ19/Model!AQ$237</f>
        <v>6.8132052619587255E-2</v>
      </c>
      <c r="AR92" s="1013">
        <f>AR19/Model!AR$237</f>
        <v>6.1541186082693759E-2</v>
      </c>
      <c r="AS92" s="1013">
        <f>AS19/Model!AS$237</f>
        <v>6.6560633886137935E-2</v>
      </c>
      <c r="AT92" s="1013">
        <f>AT19/Model!AT$237</f>
        <v>7.1535306087006589E-2</v>
      </c>
      <c r="AU92" s="1014"/>
      <c r="AV92" s="1012"/>
      <c r="AW92" s="1021">
        <f>AW19/Model!AW$237</f>
        <v>7.8018924741043549E-2</v>
      </c>
      <c r="AX92" s="1013">
        <f>AX19/Model!AX$237</f>
        <v>8.1268348981302474E-2</v>
      </c>
      <c r="AY92" s="1013">
        <f>AY19/Model!AY$237</f>
        <v>7.702577597438437E-2</v>
      </c>
      <c r="AZ92" s="1013">
        <f>AZ19/Model!AZ$237</f>
        <v>6.8713364068006405E-2</v>
      </c>
      <c r="BA92" s="1014"/>
      <c r="BB92" s="1012"/>
      <c r="BC92" s="1021">
        <f>BC19/Model!BC$237</f>
        <v>6.2948647957998413E-2</v>
      </c>
      <c r="BD92" s="1013">
        <f>BD19/Model!BD$237</f>
        <v>6.9341378488414832E-2</v>
      </c>
      <c r="BE92" s="1013">
        <f>BE19/Model!BE$237</f>
        <v>7.4680841344870214E-2</v>
      </c>
      <c r="BF92" s="1013">
        <f>BF19/Model!BF$237</f>
        <v>0.23364002657592389</v>
      </c>
      <c r="BG92" s="1014"/>
      <c r="BH92" s="1012"/>
      <c r="BI92" s="1021">
        <f>BI19/Model!BI$237</f>
        <v>0.25005351069373388</v>
      </c>
      <c r="BJ92" s="1013">
        <f>BJ19/Model!BJ$237</f>
        <v>0.24276462568170551</v>
      </c>
      <c r="BK92" s="1013">
        <f>BK19/Model!BK$237</f>
        <v>0.24137159435867106</v>
      </c>
      <c r="BL92" s="1013">
        <f>BL19/Model!BL$237</f>
        <v>0.23293047240749004</v>
      </c>
      <c r="BM92" s="1014"/>
      <c r="BN92" s="1012"/>
      <c r="BO92" s="1021">
        <f>BO19/Model!BO$237</f>
        <v>0.22368270073509486</v>
      </c>
      <c r="BP92" s="1013">
        <f>BP19/Model!BP$237</f>
        <v>0.21063758068073526</v>
      </c>
      <c r="BQ92" s="1013">
        <f>BQ19/Model!BQ$237</f>
        <v>0.20504090183874776</v>
      </c>
      <c r="BR92" s="1013">
        <f>BR19/Model!BR$237</f>
        <v>0.19823945682161304</v>
      </c>
      <c r="BS92" s="1014"/>
      <c r="BT92" s="1012"/>
      <c r="BU92" s="1021">
        <f>BU19/Model!BU$237</f>
        <v>0.1920587209121499</v>
      </c>
      <c r="BV92" s="1013">
        <f>BV19/Model!BV$237</f>
        <v>0.3411826056508771</v>
      </c>
      <c r="BW92" s="1013">
        <f>BW19/Model!BW$237</f>
        <v>0.32053386277464185</v>
      </c>
      <c r="BX92" s="1013">
        <f>BX19/Model!BX$237</f>
        <v>0.30477648874245489</v>
      </c>
      <c r="BY92" s="1014"/>
      <c r="BZ92" s="1012"/>
      <c r="CA92" s="1021">
        <f>CA19/Model!CA$237</f>
        <v>0.28398630509527278</v>
      </c>
      <c r="CB92" s="1013">
        <f>CB19/Model!CB$237</f>
        <v>0.24963920816498306</v>
      </c>
      <c r="CC92" s="1013">
        <f>CC19/Model!CC$237</f>
        <v>0.1401556945922883</v>
      </c>
      <c r="CD92" s="1013">
        <f>CD19/Model!CD$237</f>
        <v>0.20951855985928203</v>
      </c>
      <c r="CE92" s="1014"/>
      <c r="CF92" s="1012"/>
      <c r="CG92" s="1021">
        <f>CG19/Model!CG$237</f>
        <v>0.30701658418435834</v>
      </c>
      <c r="CH92" s="1013">
        <f>CH19/Model!CH$237</f>
        <v>0.28877654494038785</v>
      </c>
      <c r="CI92" s="1013">
        <f>CI19/Model!CI$237</f>
        <v>0.27642403100012602</v>
      </c>
      <c r="CJ92" s="1013">
        <f>CJ19/Model!CJ$237</f>
        <v>0.25735299411328505</v>
      </c>
      <c r="CK92" s="1014"/>
      <c r="CL92" s="1012"/>
      <c r="CM92" s="1021">
        <f>CM19/Model!CM$237</f>
        <v>0.24198447767541789</v>
      </c>
      <c r="CN92" s="1021">
        <f>CN19/Model!CN$237</f>
        <v>0.23121588272581245</v>
      </c>
      <c r="CO92" s="1013">
        <f>CO19/Model!CO$237</f>
        <v>0.22215574435774921</v>
      </c>
      <c r="CP92" s="1013">
        <f>CP19/Model!CP$237</f>
        <v>0.2130049342324771</v>
      </c>
      <c r="CQ92" s="1014"/>
      <c r="CR92" s="1012"/>
      <c r="CS92" s="1021">
        <f>CS19/Model!CS$237</f>
        <v>0.20832915865579898</v>
      </c>
      <c r="CT92" s="1021">
        <f>CT19/Model!CT$237</f>
        <v>0.19882719632259763</v>
      </c>
      <c r="CU92" s="1013">
        <f>CU19/Model!CU$237</f>
        <v>0.18793626562620147</v>
      </c>
      <c r="CV92" s="1013">
        <f>CV19/Model!CV$237</f>
        <v>0.18573709648424069</v>
      </c>
      <c r="CW92" s="1014"/>
      <c r="CX92" s="1012"/>
      <c r="CY92" s="1021">
        <f>CY19/Model!CY$237</f>
        <v>0.17746974181453132</v>
      </c>
      <c r="CZ92" s="1013">
        <f>CZ19/Model!CZ$237</f>
        <v>0.16615809618736205</v>
      </c>
      <c r="DA92" s="1013">
        <f>DA19/Model!DA$237</f>
        <v>0.15359015965028205</v>
      </c>
      <c r="DB92" s="1013">
        <f>DB19/Model!DB$237</f>
        <v>0.1439257694358399</v>
      </c>
      <c r="DC92" s="1014"/>
      <c r="DD92" s="1012"/>
      <c r="DE92" s="1021">
        <f>DE19/Model!DE$237</f>
        <v>0.1378662791583887</v>
      </c>
      <c r="DF92" s="1013">
        <f>DF19/Model!DF$237</f>
        <v>0.12943809987055754</v>
      </c>
      <c r="DG92" s="1013">
        <f>DG19/Model!DG$237</f>
        <v>0.11925213695946214</v>
      </c>
      <c r="DH92" s="1013">
        <f>DH19/Model!DH$237</f>
        <v>0.11168416042159894</v>
      </c>
      <c r="DI92" s="1014"/>
      <c r="DJ92" s="1012"/>
      <c r="DK92" s="1021">
        <f>DK19/Model!DK$237</f>
        <v>0.10506063366574514</v>
      </c>
      <c r="DL92" s="1013">
        <f>DL19/Model!DL$237</f>
        <v>9.8872738333032409E-2</v>
      </c>
      <c r="DM92" s="1013">
        <f>DM19/Model!DM$237</f>
        <v>9.0785903386559466E-2</v>
      </c>
      <c r="DN92" s="1013">
        <f>DN19/Model!DN$237</f>
        <v>8.6338270759433955E-2</v>
      </c>
      <c r="DO92" s="1014"/>
      <c r="DP92" s="1225"/>
      <c r="DQ92" s="964"/>
    </row>
    <row r="93" spans="1:121" ht="10.5" customHeight="1">
      <c r="A93" s="1133" t="s">
        <v>128</v>
      </c>
      <c r="B93" s="1133"/>
      <c r="C93" s="1013"/>
      <c r="D93" s="1013">
        <f>D36/Model!D$237</f>
        <v>0</v>
      </c>
      <c r="E93" s="1013">
        <f>E36/Model!E$237</f>
        <v>0</v>
      </c>
      <c r="F93" s="1012"/>
      <c r="G93" s="1011" t="s">
        <v>88</v>
      </c>
      <c r="H93" s="1011" t="s">
        <v>88</v>
      </c>
      <c r="I93" s="1011" t="s">
        <v>88</v>
      </c>
      <c r="J93" s="1013">
        <f>J36/Model!J$237</f>
        <v>0</v>
      </c>
      <c r="K93" s="1013">
        <f>K36/Model!K$237</f>
        <v>0</v>
      </c>
      <c r="L93" s="1012"/>
      <c r="M93" s="1013">
        <f>M36/Model!M$237</f>
        <v>0</v>
      </c>
      <c r="N93" s="1013">
        <f>N36/Model!N$237</f>
        <v>0</v>
      </c>
      <c r="O93" s="1013">
        <f>O36/Model!O$237</f>
        <v>0</v>
      </c>
      <c r="P93" s="1013">
        <f>P36/Model!P$237</f>
        <v>0</v>
      </c>
      <c r="Q93" s="1013">
        <f>Q36/Model!Q$237</f>
        <v>0</v>
      </c>
      <c r="R93" s="1012"/>
      <c r="S93" s="1013">
        <f>S36/Model!S$237</f>
        <v>0</v>
      </c>
      <c r="T93" s="1013">
        <f>T36/Model!T$237</f>
        <v>0</v>
      </c>
      <c r="U93" s="1013">
        <f>U36/Model!U$237</f>
        <v>0</v>
      </c>
      <c r="V93" s="1013">
        <f>V36/Model!V$237</f>
        <v>1.2246633593196315E-3</v>
      </c>
      <c r="W93" s="1013"/>
      <c r="X93" s="1012"/>
      <c r="Y93" s="1013">
        <f>Y36/Model!Y$237</f>
        <v>7.2042116929897466E-3</v>
      </c>
      <c r="Z93" s="1013">
        <f>Z36/Model!Z$237</f>
        <v>3.6444163239481176E-3</v>
      </c>
      <c r="AA93" s="1013">
        <f>AA36/Model!AA$237</f>
        <v>5.9695596352423485E-3</v>
      </c>
      <c r="AB93" s="1013">
        <f>AB36/Model!AB$237</f>
        <v>1.8850631097570816E-2</v>
      </c>
      <c r="AC93" s="1014"/>
      <c r="AD93" s="1012"/>
      <c r="AE93" s="1013">
        <f>AE36/Model!AE$237</f>
        <v>1.4382103286277778E-2</v>
      </c>
      <c r="AF93" s="1013">
        <f>AF36/Model!AF$237</f>
        <v>2.0498789590478114E-2</v>
      </c>
      <c r="AG93" s="1013">
        <f>AG36/Model!AG$237</f>
        <v>2.2174167680317162E-2</v>
      </c>
      <c r="AH93" s="1013">
        <f>AH36/Model!AH$237</f>
        <v>1.3556682988062717E-2</v>
      </c>
      <c r="AI93" s="1014"/>
      <c r="AJ93" s="1012"/>
      <c r="AK93" s="1021">
        <f>AK36/Model!AK$237</f>
        <v>2.3809352154917592E-3</v>
      </c>
      <c r="AL93" s="1021">
        <f>AL36/Model!AL$237</f>
        <v>2.7541067008443319E-3</v>
      </c>
      <c r="AM93" s="1021">
        <f>AM36/Model!AM$237</f>
        <v>4.647818986532863E-3</v>
      </c>
      <c r="AN93" s="1021">
        <f>AN36/Model!AN$237</f>
        <v>4.8377187124348867E-3</v>
      </c>
      <c r="AO93" s="1014"/>
      <c r="AP93" s="1012"/>
      <c r="AQ93" s="1021">
        <f>AQ36/Model!AQ$237</f>
        <v>1.3850415512465374E-3</v>
      </c>
      <c r="AR93" s="1021">
        <f>AR36/Model!AR$237</f>
        <v>1.3787363864720861E-3</v>
      </c>
      <c r="AS93" s="1021">
        <f>AS36/Model!AS$237</f>
        <v>1.9151631523804595E-3</v>
      </c>
      <c r="AT93" s="1021">
        <f>AT36/Model!AT$237</f>
        <v>3.3609808603330894E-3</v>
      </c>
      <c r="AU93" s="1014"/>
      <c r="AV93" s="1012"/>
      <c r="AW93" s="1021">
        <f>AW36/Model!AW$237</f>
        <v>2.7714314183150792E-3</v>
      </c>
      <c r="AX93" s="1021">
        <f>AX36/Model!AX$237</f>
        <v>2.3242393991853793E-3</v>
      </c>
      <c r="AY93" s="1021">
        <f>AY36/Model!AY$237</f>
        <v>2.4574637201810949E-3</v>
      </c>
      <c r="AZ93" s="1021">
        <f>AZ36/Model!AZ$237</f>
        <v>6.4522898965443031E-3</v>
      </c>
      <c r="BA93" s="1014"/>
      <c r="BB93" s="1012"/>
      <c r="BC93" s="1021">
        <f>BC36/Model!BC$237</f>
        <v>4.2839346280722944E-3</v>
      </c>
      <c r="BD93" s="1021">
        <f>BD36/Model!BD$237</f>
        <v>6.1066793608662842E-3</v>
      </c>
      <c r="BE93" s="1021">
        <f>BE36/Model!BE$237</f>
        <v>6.2046385527828552E-3</v>
      </c>
      <c r="BF93" s="1021">
        <f>BF36/Model!BF$237</f>
        <v>4.6948385138482649E-3</v>
      </c>
      <c r="BG93" s="1014"/>
      <c r="BH93" s="1012"/>
      <c r="BI93" s="1021">
        <f>BI36/Model!BI$237</f>
        <v>0</v>
      </c>
      <c r="BJ93" s="1021">
        <f>BJ36/Model!BJ$237</f>
        <v>0</v>
      </c>
      <c r="BK93" s="1021">
        <f>BK36/Model!BK$237</f>
        <v>0</v>
      </c>
      <c r="BL93" s="1021">
        <f>BL36/Model!BL$237</f>
        <v>0</v>
      </c>
      <c r="BM93" s="1014"/>
      <c r="BN93" s="1012"/>
      <c r="BO93" s="1021">
        <f>BO36/Model!BO$237</f>
        <v>0</v>
      </c>
      <c r="BP93" s="1021">
        <f>BP36/Model!BP$237</f>
        <v>0</v>
      </c>
      <c r="BQ93" s="1021">
        <f>BQ36/Model!BQ$237</f>
        <v>0</v>
      </c>
      <c r="BR93" s="1021">
        <f>BR36/Model!BR$237</f>
        <v>0</v>
      </c>
      <c r="BS93" s="1014"/>
      <c r="BT93" s="1012"/>
      <c r="BU93" s="1021">
        <f>BU36/Model!BU$237</f>
        <v>0</v>
      </c>
      <c r="BV93" s="1021">
        <f>BV36/Model!BV$237</f>
        <v>0</v>
      </c>
      <c r="BW93" s="1021">
        <f>BW36/Model!BW$237</f>
        <v>0</v>
      </c>
      <c r="BX93" s="1021">
        <f>BX36/Model!BX$237</f>
        <v>0</v>
      </c>
      <c r="BY93" s="1014"/>
      <c r="BZ93" s="1012"/>
      <c r="CA93" s="1021">
        <f>CA36/Model!CA$237</f>
        <v>0</v>
      </c>
      <c r="CB93" s="1021">
        <f>CB36/Model!CB$237</f>
        <v>0</v>
      </c>
      <c r="CC93" s="1021">
        <f>CC36/Model!CC$237</f>
        <v>0</v>
      </c>
      <c r="CD93" s="1021">
        <f>CD36/Model!CD$237</f>
        <v>0</v>
      </c>
      <c r="CE93" s="1014"/>
      <c r="CF93" s="1012"/>
      <c r="CG93" s="1021">
        <f>CG36/Model!CG$237</f>
        <v>0</v>
      </c>
      <c r="CH93" s="1021">
        <f>CH36/Model!CH$237</f>
        <v>0</v>
      </c>
      <c r="CI93" s="1021">
        <f>CI36/Model!CI$237</f>
        <v>0</v>
      </c>
      <c r="CJ93" s="1021">
        <f>CJ36/Model!CJ$237</f>
        <v>0</v>
      </c>
      <c r="CK93" s="1014"/>
      <c r="CL93" s="1012"/>
      <c r="CM93" s="1021">
        <f>CM36/Model!CM$237</f>
        <v>0</v>
      </c>
      <c r="CN93" s="1021">
        <f>CN36/Model!CN$237</f>
        <v>0</v>
      </c>
      <c r="CO93" s="1021">
        <f>CO36/Model!CO$237</f>
        <v>0</v>
      </c>
      <c r="CP93" s="1021">
        <f>CP36/Model!CP$237</f>
        <v>0</v>
      </c>
      <c r="CQ93" s="1014"/>
      <c r="CR93" s="1012"/>
      <c r="CS93" s="1021">
        <f>CS36/Model!CS$237</f>
        <v>0</v>
      </c>
      <c r="CT93" s="1021">
        <f>CT36/Model!CT$237</f>
        <v>0</v>
      </c>
      <c r="CU93" s="1021">
        <f>CU36/Model!CU$237</f>
        <v>0</v>
      </c>
      <c r="CV93" s="1021">
        <f>CV36/Model!CV$237</f>
        <v>0</v>
      </c>
      <c r="CW93" s="1014"/>
      <c r="CX93" s="1012"/>
      <c r="CY93" s="1018">
        <f>CV93</f>
        <v>0</v>
      </c>
      <c r="CZ93" s="1018">
        <f>CY93</f>
        <v>0</v>
      </c>
      <c r="DA93" s="1018">
        <f>CZ93</f>
        <v>0</v>
      </c>
      <c r="DB93" s="1018">
        <f>DA93</f>
        <v>0</v>
      </c>
      <c r="DC93" s="1014"/>
      <c r="DD93" s="1012"/>
      <c r="DE93" s="1018">
        <f>DB93</f>
        <v>0</v>
      </c>
      <c r="DF93" s="1018">
        <f>DE93</f>
        <v>0</v>
      </c>
      <c r="DG93" s="1018">
        <f>DF93</f>
        <v>0</v>
      </c>
      <c r="DH93" s="1018">
        <f>DG93</f>
        <v>0</v>
      </c>
      <c r="DI93" s="1014"/>
      <c r="DJ93" s="1012"/>
      <c r="DK93" s="1018">
        <f>DH93</f>
        <v>0</v>
      </c>
      <c r="DL93" s="1018">
        <f>DK93</f>
        <v>0</v>
      </c>
      <c r="DM93" s="1018">
        <f>DL93</f>
        <v>0</v>
      </c>
      <c r="DN93" s="1018">
        <f>DM93</f>
        <v>0</v>
      </c>
      <c r="DO93" s="1014"/>
      <c r="DP93" s="1225"/>
      <c r="DQ93" s="964"/>
    </row>
    <row r="94" spans="1:121" ht="10.5" customHeight="1">
      <c r="A94" s="1133" t="s">
        <v>802</v>
      </c>
      <c r="B94" s="1133"/>
      <c r="C94" s="1013"/>
      <c r="D94" s="1013">
        <f>D45/Model!D$237</f>
        <v>0</v>
      </c>
      <c r="E94" s="1013">
        <f>E45/Model!E$237</f>
        <v>0.28269891561426208</v>
      </c>
      <c r="F94" s="1012"/>
      <c r="G94" s="1011" t="s">
        <v>88</v>
      </c>
      <c r="H94" s="1011" t="s">
        <v>88</v>
      </c>
      <c r="I94" s="1011" t="s">
        <v>88</v>
      </c>
      <c r="J94" s="1013">
        <f>J45/Model!J$237</f>
        <v>0.10056676668431684</v>
      </c>
      <c r="K94" s="1013">
        <f>K45/Model!K$237</f>
        <v>0.10056676668431684</v>
      </c>
      <c r="L94" s="1012"/>
      <c r="M94" s="1013">
        <f>M45/Model!M$237</f>
        <v>7.9698776278631936E-2</v>
      </c>
      <c r="N94" s="1013">
        <f>N45/Model!N$237</f>
        <v>6.4373408447498323E-2</v>
      </c>
      <c r="O94" s="1013">
        <f>O45/Model!O$237</f>
        <v>9.8606750392464682E-3</v>
      </c>
      <c r="P94" s="1013">
        <f>P45/Model!P$237</f>
        <v>1.9057934036637057E-2</v>
      </c>
      <c r="Q94" s="1013">
        <f>Q45/Model!Q$237</f>
        <v>1.9057934036637057E-2</v>
      </c>
      <c r="R94" s="1012"/>
      <c r="S94" s="1013">
        <f>S45/Model!S$237</f>
        <v>1.566784875255697E-2</v>
      </c>
      <c r="T94" s="1136">
        <f>T45/Model!T$237</f>
        <v>1.290228941156699E-2</v>
      </c>
      <c r="U94" s="1136">
        <f>U45/Model!U$237</f>
        <v>1.0814442088069864E-2</v>
      </c>
      <c r="V94" s="1136">
        <f>V45/Model!V$237</f>
        <v>9.0489014883061662E-3</v>
      </c>
      <c r="W94" s="1013"/>
      <c r="X94" s="1012"/>
      <c r="Y94" s="1013">
        <f>Y45/Model!Y$237</f>
        <v>6.0132320271446141E-3</v>
      </c>
      <c r="Z94" s="1013">
        <f>Z45/Model!Z$237</f>
        <v>4.9393651797954236E-3</v>
      </c>
      <c r="AA94" s="1136">
        <f>AA45/Model!AA$237</f>
        <v>4.0748097019975352E-3</v>
      </c>
      <c r="AB94" s="1136">
        <f>AB45/Model!AB$237</f>
        <v>3.7275259232484666E-3</v>
      </c>
      <c r="AC94" s="1014"/>
      <c r="AD94" s="1012"/>
      <c r="AE94" s="1013">
        <f>AE45/Model!AE$237</f>
        <v>1.0543260476187758E-2</v>
      </c>
      <c r="AF94" s="1013">
        <f>AF45/Model!AF$237</f>
        <v>2.8696792414766997E-3</v>
      </c>
      <c r="AG94" s="1013">
        <f>AG45/Model!AG$237</f>
        <v>2.4530341938099748E-3</v>
      </c>
      <c r="AH94" s="1013">
        <f>AH45/Model!AH$237</f>
        <v>2.8203694241376951E-3</v>
      </c>
      <c r="AI94" s="1014"/>
      <c r="AJ94" s="1012"/>
      <c r="AK94" s="1013">
        <f>AK45/Model!AK$237</f>
        <v>2.4368087898144273E-3</v>
      </c>
      <c r="AL94" s="1013">
        <f>AL45/Model!AL$237</f>
        <v>2.2355715138292357E-3</v>
      </c>
      <c r="AM94" s="1013">
        <f>AM45/Model!AM$237</f>
        <v>0</v>
      </c>
      <c r="AN94" s="1013">
        <f>AN45/Model!AN$237</f>
        <v>0</v>
      </c>
      <c r="AO94" s="1014"/>
      <c r="AP94" s="1012"/>
      <c r="AQ94" s="1013">
        <f>AQ45/Model!AQ$237</f>
        <v>0</v>
      </c>
      <c r="AR94" s="1013">
        <f>AR45/Model!AR$237</f>
        <v>0</v>
      </c>
      <c r="AS94" s="1013">
        <f>AS45/Model!AS$237</f>
        <v>0</v>
      </c>
      <c r="AT94" s="1013">
        <f>AT45/Model!AT$237</f>
        <v>0</v>
      </c>
      <c r="AU94" s="1014"/>
      <c r="AV94" s="1012"/>
      <c r="AW94" s="1013">
        <f>AW45/Model!AW$237</f>
        <v>0</v>
      </c>
      <c r="AX94" s="1013">
        <f>AX45/Model!AX$237</f>
        <v>0</v>
      </c>
      <c r="AY94" s="1013">
        <f>AY45/Model!AY$237</f>
        <v>0</v>
      </c>
      <c r="AZ94" s="1013">
        <f>AZ45/Model!AZ$237</f>
        <v>0</v>
      </c>
      <c r="BA94" s="1014"/>
      <c r="BB94" s="1012"/>
      <c r="BC94" s="1013">
        <f>BC45/Model!BC$237</f>
        <v>0</v>
      </c>
      <c r="BD94" s="1013">
        <f>BD45/Model!BD$237</f>
        <v>0</v>
      </c>
      <c r="BE94" s="1013">
        <f>BE45/Model!BE$237</f>
        <v>0</v>
      </c>
      <c r="BF94" s="1013">
        <f>BF45/Model!BF$237</f>
        <v>0</v>
      </c>
      <c r="BG94" s="1014"/>
      <c r="BH94" s="1012"/>
      <c r="BI94" s="1013">
        <f>BI45/Model!BI$237</f>
        <v>0</v>
      </c>
      <c r="BJ94" s="1013">
        <f>BJ45/Model!BJ$237</f>
        <v>0</v>
      </c>
      <c r="BK94" s="1013">
        <f>BK45/Model!BK$237</f>
        <v>0</v>
      </c>
      <c r="BL94" s="1013">
        <f>BL45/Model!BL$237</f>
        <v>0</v>
      </c>
      <c r="BM94" s="1014"/>
      <c r="BN94" s="1012"/>
      <c r="BO94" s="1013">
        <f>BO45/Model!BO$237</f>
        <v>0</v>
      </c>
      <c r="BP94" s="1013">
        <f>BP45/Model!BP$237</f>
        <v>0</v>
      </c>
      <c r="BQ94" s="1013">
        <f>BQ45/Model!BQ$237</f>
        <v>0</v>
      </c>
      <c r="BR94" s="1013">
        <f>BR45/Model!BR$237</f>
        <v>0</v>
      </c>
      <c r="BS94" s="1014"/>
      <c r="BT94" s="1012"/>
      <c r="BU94" s="1013">
        <f>BU45/Model!BU$237</f>
        <v>0</v>
      </c>
      <c r="BV94" s="1013">
        <f>BV45/Model!BV$237</f>
        <v>8.8064233936476707E-3</v>
      </c>
      <c r="BW94" s="1013">
        <f>BW45/Model!BW$237</f>
        <v>6.3160128516807331E-3</v>
      </c>
      <c r="BX94" s="1013">
        <f>BX45/Model!BX$237</f>
        <v>1.3295003712844233E-2</v>
      </c>
      <c r="BY94" s="1014"/>
      <c r="BZ94" s="1012"/>
      <c r="CA94" s="1013">
        <f>CA45/Model!CA$237</f>
        <v>1.403541588443688E-2</v>
      </c>
      <c r="CB94" s="1013">
        <f>CB45/Model!CB$237</f>
        <v>1.6284566836857906E-2</v>
      </c>
      <c r="CC94" s="1013">
        <f>CC45/Model!CC$237</f>
        <v>1.3325964888839997E-2</v>
      </c>
      <c r="CD94" s="1013">
        <f>CD45/Model!CD$237</f>
        <v>2.3506649004966147E-2</v>
      </c>
      <c r="CE94" s="1014"/>
      <c r="CF94" s="1012"/>
      <c r="CG94" s="1013">
        <f>CG45/Model!CG$237</f>
        <v>6.0855453561968476E-2</v>
      </c>
      <c r="CH94" s="1013">
        <f>CH45/Model!CH$237</f>
        <v>5.9669433827342452E-2</v>
      </c>
      <c r="CI94" s="1013">
        <f>CI45/Model!CI$237</f>
        <v>6.2401684684596059E-2</v>
      </c>
      <c r="CJ94" s="1013">
        <f>CJ45/Model!CJ$237</f>
        <v>5.9344859983537349E-2</v>
      </c>
      <c r="CK94" s="1014"/>
      <c r="CL94" s="1012"/>
      <c r="CM94" s="1013">
        <f>CM45/Model!CM$237</f>
        <v>5.6599985408585053E-2</v>
      </c>
      <c r="CN94" s="1013">
        <f>CN45/Model!CN$237</f>
        <v>8.9974213956465279E-2</v>
      </c>
      <c r="CO94" s="1013">
        <f>CO45/Model!CO$237</f>
        <v>5.0520310484086166E-2</v>
      </c>
      <c r="CP94" s="1013">
        <f>CP45/Model!CP$237</f>
        <v>7.0963076192709612E-2</v>
      </c>
      <c r="CQ94" s="1014"/>
      <c r="CR94" s="1012"/>
      <c r="CS94" s="1013">
        <f>CS45/Model!CS$237</f>
        <v>0.11294984971160878</v>
      </c>
      <c r="CT94" s="1013">
        <f>CT45/Model!CT$237</f>
        <v>9.8667640399146536E-2</v>
      </c>
      <c r="CU94" s="1013">
        <f>CU45/Model!CU$237</f>
        <v>9.4259929736953463E-2</v>
      </c>
      <c r="CV94" s="1013">
        <f>CV45/Model!CV$237</f>
        <v>7.5681211052048419E-2</v>
      </c>
      <c r="CW94" s="1014"/>
      <c r="CX94" s="1012"/>
      <c r="CY94" s="1016">
        <v>0</v>
      </c>
      <c r="CZ94" s="1016">
        <v>0</v>
      </c>
      <c r="DA94" s="1016">
        <v>0</v>
      </c>
      <c r="DB94" s="1016">
        <v>0</v>
      </c>
      <c r="DC94" s="1014"/>
      <c r="DD94" s="1012"/>
      <c r="DE94" s="1016">
        <v>0</v>
      </c>
      <c r="DF94" s="1016">
        <v>0</v>
      </c>
      <c r="DG94" s="1016">
        <v>0</v>
      </c>
      <c r="DH94" s="1016">
        <v>0</v>
      </c>
      <c r="DI94" s="1014"/>
      <c r="DJ94" s="1012"/>
      <c r="DK94" s="1016">
        <v>0</v>
      </c>
      <c r="DL94" s="1016">
        <v>0</v>
      </c>
      <c r="DM94" s="1016">
        <v>0</v>
      </c>
      <c r="DN94" s="1016">
        <v>0</v>
      </c>
      <c r="DO94" s="1014"/>
      <c r="DP94" s="1225"/>
      <c r="DQ94" s="964"/>
    </row>
    <row r="95" spans="1:121" ht="5.25" hidden="1" customHeight="1" outlineLevel="1">
      <c r="A95" s="1108"/>
      <c r="B95" s="1108"/>
      <c r="C95" s="948"/>
      <c r="D95" s="948"/>
      <c r="E95" s="948"/>
      <c r="F95" s="948"/>
      <c r="G95" s="948"/>
      <c r="H95" s="948"/>
      <c r="I95" s="948"/>
      <c r="J95" s="948"/>
      <c r="K95" s="948"/>
      <c r="L95" s="948"/>
      <c r="M95" s="948"/>
      <c r="N95" s="948"/>
      <c r="O95" s="948"/>
      <c r="P95" s="948"/>
      <c r="Q95" s="948"/>
      <c r="R95" s="948"/>
      <c r="S95" s="948"/>
      <c r="T95" s="948"/>
      <c r="U95" s="948"/>
      <c r="V95" s="948"/>
      <c r="W95" s="948"/>
      <c r="X95" s="948"/>
      <c r="Y95" s="948"/>
      <c r="Z95" s="948"/>
      <c r="AA95" s="948"/>
      <c r="AB95" s="948"/>
      <c r="AC95" s="976"/>
      <c r="AD95" s="948"/>
      <c r="AE95" s="948"/>
      <c r="AF95" s="948"/>
      <c r="AG95" s="948"/>
      <c r="AH95" s="948"/>
      <c r="AI95" s="976"/>
      <c r="AJ95" s="948"/>
      <c r="AK95" s="948"/>
      <c r="AL95" s="948"/>
      <c r="AM95" s="948"/>
      <c r="AN95" s="948"/>
      <c r="AO95" s="976"/>
      <c r="AP95" s="948"/>
      <c r="AQ95" s="948"/>
      <c r="AR95" s="948"/>
      <c r="AS95" s="948"/>
      <c r="AT95" s="948"/>
      <c r="AU95" s="976"/>
      <c r="AV95" s="948"/>
      <c r="AW95" s="948"/>
      <c r="AX95" s="948"/>
      <c r="AY95" s="948"/>
      <c r="AZ95" s="948"/>
      <c r="BA95" s="976"/>
      <c r="BB95" s="948"/>
      <c r="BC95" s="948"/>
      <c r="BD95" s="948"/>
      <c r="BE95" s="948"/>
      <c r="BF95" s="948"/>
      <c r="BG95" s="976"/>
      <c r="BH95" s="948"/>
      <c r="BI95" s="948"/>
      <c r="BJ95" s="948"/>
      <c r="BK95" s="948"/>
      <c r="BL95" s="948"/>
      <c r="BM95" s="976"/>
      <c r="BN95" s="948"/>
      <c r="BO95" s="948"/>
      <c r="BP95" s="948"/>
      <c r="BQ95" s="948"/>
      <c r="BR95" s="948"/>
      <c r="BS95" s="976"/>
      <c r="BT95" s="948"/>
      <c r="BU95" s="948"/>
      <c r="BV95" s="948"/>
      <c r="BW95" s="948"/>
      <c r="BX95" s="948"/>
      <c r="BY95" s="976"/>
      <c r="BZ95" s="948"/>
      <c r="CA95" s="948"/>
      <c r="CB95" s="948"/>
      <c r="CC95" s="948"/>
      <c r="CD95" s="948"/>
      <c r="CE95" s="976"/>
      <c r="CF95" s="948"/>
      <c r="CG95" s="948"/>
      <c r="CH95" s="948"/>
      <c r="CI95" s="948"/>
      <c r="CJ95" s="948"/>
      <c r="CK95" s="976"/>
      <c r="CL95" s="948"/>
      <c r="CM95" s="948"/>
      <c r="CN95" s="948"/>
      <c r="CO95" s="948"/>
      <c r="CP95" s="948"/>
      <c r="CQ95" s="976"/>
      <c r="CR95" s="948"/>
      <c r="CS95" s="948"/>
      <c r="CT95" s="948"/>
      <c r="CU95" s="948"/>
      <c r="CV95" s="948"/>
      <c r="CW95" s="976"/>
      <c r="CX95" s="948"/>
      <c r="CY95" s="948"/>
      <c r="CZ95" s="948"/>
      <c r="DA95" s="948"/>
      <c r="DB95" s="948"/>
      <c r="DC95" s="976"/>
      <c r="DD95" s="948"/>
      <c r="DE95" s="948"/>
      <c r="DF95" s="948"/>
      <c r="DG95" s="948"/>
      <c r="DH95" s="948"/>
      <c r="DI95" s="976"/>
      <c r="DJ95" s="948"/>
      <c r="DK95" s="948"/>
      <c r="DL95" s="948"/>
      <c r="DM95" s="948"/>
      <c r="DN95" s="948"/>
      <c r="DO95" s="976"/>
      <c r="DP95" s="948"/>
      <c r="DQ95" s="948"/>
    </row>
    <row r="96" spans="1:121" ht="12.75" hidden="1" customHeight="1" outlineLevel="1">
      <c r="A96" s="1129" t="s">
        <v>446</v>
      </c>
      <c r="B96" s="1129"/>
      <c r="C96" s="966"/>
      <c r="D96" s="966"/>
      <c r="E96" s="966"/>
      <c r="F96" s="966"/>
      <c r="G96" s="966"/>
      <c r="H96" s="966"/>
      <c r="I96" s="966"/>
      <c r="J96" s="966"/>
      <c r="K96" s="966"/>
      <c r="L96" s="966"/>
      <c r="M96" s="966"/>
      <c r="N96" s="966"/>
      <c r="O96" s="966"/>
      <c r="P96" s="966"/>
      <c r="Q96" s="966"/>
      <c r="R96" s="966"/>
      <c r="S96" s="966"/>
      <c r="T96" s="966"/>
      <c r="U96" s="966"/>
      <c r="V96" s="966"/>
      <c r="W96" s="966"/>
      <c r="X96" s="966"/>
      <c r="Y96" s="966"/>
      <c r="Z96" s="966"/>
      <c r="AA96" s="966"/>
      <c r="AB96" s="966"/>
      <c r="AC96" s="1022"/>
      <c r="AD96" s="966"/>
      <c r="AE96" s="966"/>
      <c r="AF96" s="966"/>
      <c r="AG96" s="966"/>
      <c r="AH96" s="966"/>
      <c r="AI96" s="1022"/>
      <c r="AJ96" s="966"/>
      <c r="AK96" s="966"/>
      <c r="AL96" s="966"/>
      <c r="AM96" s="966"/>
      <c r="AN96" s="966"/>
      <c r="AO96" s="1022"/>
      <c r="AP96" s="966"/>
      <c r="AQ96" s="966"/>
      <c r="AR96" s="966"/>
      <c r="AS96" s="966"/>
      <c r="AT96" s="966"/>
      <c r="AU96" s="1022"/>
      <c r="AV96" s="966"/>
      <c r="AW96" s="966"/>
      <c r="AX96" s="966"/>
      <c r="AY96" s="966"/>
      <c r="AZ96" s="966"/>
      <c r="BA96" s="1022"/>
      <c r="BB96" s="966"/>
      <c r="BC96" s="966"/>
      <c r="BD96" s="966"/>
      <c r="BE96" s="966"/>
      <c r="BF96" s="966"/>
      <c r="BG96" s="1022"/>
      <c r="BH96" s="966"/>
      <c r="BI96" s="966"/>
      <c r="BJ96" s="966"/>
      <c r="BK96" s="966"/>
      <c r="BL96" s="966"/>
      <c r="BM96" s="1022"/>
      <c r="BN96" s="966"/>
      <c r="BO96" s="966"/>
      <c r="BP96" s="966"/>
      <c r="BQ96" s="966"/>
      <c r="BR96" s="966"/>
      <c r="BS96" s="1022"/>
      <c r="BT96" s="966"/>
      <c r="BU96" s="966"/>
      <c r="BV96" s="966"/>
      <c r="BW96" s="966"/>
      <c r="BX96" s="966"/>
      <c r="BY96" s="1022"/>
      <c r="BZ96" s="966"/>
      <c r="CA96" s="966"/>
      <c r="CB96" s="966"/>
      <c r="CC96" s="966"/>
      <c r="CD96" s="966"/>
      <c r="CE96" s="1022"/>
      <c r="CF96" s="966"/>
      <c r="CG96" s="966"/>
      <c r="CH96" s="966"/>
      <c r="CI96" s="966"/>
      <c r="CJ96" s="966"/>
      <c r="CK96" s="1022"/>
      <c r="CL96" s="966"/>
      <c r="CM96" s="966"/>
      <c r="CN96" s="966"/>
      <c r="CO96" s="966"/>
      <c r="CP96" s="966"/>
      <c r="CQ96" s="1022"/>
      <c r="CR96" s="966"/>
      <c r="CS96" s="966"/>
      <c r="CT96" s="966"/>
      <c r="CU96" s="966"/>
      <c r="CV96" s="966"/>
      <c r="CW96" s="1022"/>
      <c r="CX96" s="966"/>
      <c r="CY96" s="966"/>
      <c r="CZ96" s="966"/>
      <c r="DA96" s="966"/>
      <c r="DB96" s="966"/>
      <c r="DC96" s="1022"/>
      <c r="DD96" s="966"/>
      <c r="DE96" s="966"/>
      <c r="DF96" s="966"/>
      <c r="DG96" s="966"/>
      <c r="DH96" s="966"/>
      <c r="DI96" s="1022"/>
      <c r="DJ96" s="966"/>
      <c r="DK96" s="966"/>
      <c r="DL96" s="966"/>
      <c r="DM96" s="966"/>
      <c r="DN96" s="966"/>
      <c r="DO96" s="1022"/>
      <c r="DP96" s="1692"/>
      <c r="DQ96" s="966"/>
    </row>
    <row r="97" spans="1:121" ht="10.5" hidden="1" customHeight="1" outlineLevel="1">
      <c r="A97" s="1115" t="s">
        <v>798</v>
      </c>
      <c r="B97" s="1115"/>
      <c r="C97" s="1011"/>
      <c r="D97" s="1023">
        <f>D98*D12</f>
        <v>4.2950000000000002E-2</v>
      </c>
      <c r="E97" s="1023">
        <f>E98*E12</f>
        <v>0.14272499999999999</v>
      </c>
      <c r="F97" s="993"/>
      <c r="G97" s="1023">
        <f>G98*G12</f>
        <v>0.141125</v>
      </c>
      <c r="H97" s="1023">
        <f>H98*H12</f>
        <v>0.17902499999999999</v>
      </c>
      <c r="I97" s="1023">
        <f>I98*I12</f>
        <v>0.16420000000000001</v>
      </c>
      <c r="J97" s="1023">
        <f>J98*J12</f>
        <v>0.23952499999999999</v>
      </c>
      <c r="K97" s="1137" t="s">
        <v>88</v>
      </c>
      <c r="L97" s="993"/>
      <c r="M97" s="1023">
        <f>M98*M12</f>
        <v>0.30310000000000004</v>
      </c>
      <c r="N97" s="1023">
        <f>N98*N12</f>
        <v>0.38319999999999999</v>
      </c>
      <c r="O97" s="1023">
        <f>O98*O12</f>
        <v>0.41517500000000002</v>
      </c>
      <c r="P97" s="1023">
        <v>0.34899999999999998</v>
      </c>
      <c r="Q97" s="1011"/>
      <c r="R97" s="993"/>
      <c r="S97" s="1023">
        <f>S98*S12</f>
        <v>0.36734999999999995</v>
      </c>
      <c r="T97" s="1023">
        <f>T98*T12</f>
        <v>0.44915999999999995</v>
      </c>
      <c r="U97" s="1023">
        <f>U98*U12</f>
        <v>0.56302499999999989</v>
      </c>
      <c r="V97" s="1023">
        <v>0.61099999999999999</v>
      </c>
      <c r="W97" s="1011"/>
      <c r="X97" s="993"/>
      <c r="Y97" s="1023">
        <f>Y98*Y12</f>
        <v>0.635745</v>
      </c>
      <c r="Z97" s="1023">
        <f>Z98*Z12</f>
        <v>0.75275999999999998</v>
      </c>
      <c r="AA97" s="1023">
        <f>AA98*AA12</f>
        <v>0.80110499999999996</v>
      </c>
      <c r="AB97" s="1023">
        <v>1.296</v>
      </c>
      <c r="AC97" s="995"/>
      <c r="AD97" s="993"/>
      <c r="AE97" s="1023">
        <f>AE98*AE12</f>
        <v>1.2297290000000001</v>
      </c>
      <c r="AF97" s="1023">
        <f>AF98*AF12</f>
        <v>1.2869679999999999</v>
      </c>
      <c r="AG97" s="1023">
        <f>AG98*AG12</f>
        <v>1.4077360000000003</v>
      </c>
      <c r="AH97" s="1023">
        <f>AH98*AH12</f>
        <v>2.1877810000000002</v>
      </c>
      <c r="AI97" s="995"/>
      <c r="AJ97" s="993"/>
      <c r="AK97" s="1023">
        <f>AK98*AK12</f>
        <v>1.7852210000000002</v>
      </c>
      <c r="AL97" s="1023">
        <f>AL98*AL12</f>
        <v>1.9387820000000002</v>
      </c>
      <c r="AM97" s="1023">
        <f>AM98*AM12</f>
        <v>2.073337</v>
      </c>
      <c r="AN97" s="1023">
        <f>AN98*AN12</f>
        <v>3.7410370000000004</v>
      </c>
      <c r="AO97" s="995"/>
      <c r="AP97" s="993"/>
      <c r="AQ97" s="1023">
        <f>AQ98*AQ12</f>
        <v>2.446453</v>
      </c>
      <c r="AR97" s="1023">
        <f>AR98*AR12</f>
        <v>2.498694</v>
      </c>
      <c r="AS97" s="1023">
        <f>AS98*AS12</f>
        <v>2.6805600000000003</v>
      </c>
      <c r="AT97" s="1023">
        <f>AT98*AT12</f>
        <v>4.5314350000000001</v>
      </c>
      <c r="AU97" s="995"/>
      <c r="AV97" s="993"/>
      <c r="AW97" s="1023">
        <f>AW98*AW12</f>
        <v>2.4797730000000002</v>
      </c>
      <c r="AX97" s="1023">
        <f>AX98*AX12</f>
        <v>2.8703140000000005</v>
      </c>
      <c r="AY97" s="1023">
        <f>AY98*AY12</f>
        <v>3.252049</v>
      </c>
      <c r="AZ97" s="1023">
        <f>AZ98*AZ12</f>
        <v>5.456252000000001</v>
      </c>
      <c r="BA97" s="995"/>
      <c r="BB97" s="993"/>
      <c r="BC97" s="1023">
        <f>BC98*BC12</f>
        <v>3.1214040000000001</v>
      </c>
      <c r="BD97" s="1023">
        <f>BD98*BD12</f>
        <v>3.8853500000000003</v>
      </c>
      <c r="BE97" s="1023">
        <f>BE98*BE12</f>
        <v>4.3989880000000001</v>
      </c>
      <c r="BF97" s="1023">
        <f>BF98*BF12</f>
        <v>7.2580309999999999</v>
      </c>
      <c r="BG97" s="995"/>
      <c r="BH97" s="993"/>
      <c r="BI97" s="1023">
        <f>BI98*BI12</f>
        <v>4.603872</v>
      </c>
      <c r="BJ97" s="1023">
        <f>BJ98*BJ12</f>
        <v>5.8207490000000002</v>
      </c>
      <c r="BK97" s="1023">
        <f>BK98*BK12</f>
        <v>5.3096270000000008</v>
      </c>
      <c r="BL97" s="1023">
        <f>BL98*BL12</f>
        <v>11.623665000000001</v>
      </c>
      <c r="BM97" s="995"/>
      <c r="BN97" s="993"/>
      <c r="BO97" s="1023">
        <f>BO98*BO12</f>
        <v>6.3137150000000002</v>
      </c>
      <c r="BP97" s="1023">
        <f>BP98*BP12</f>
        <v>7.5975890000000001</v>
      </c>
      <c r="BQ97" s="1023">
        <f>BQ98*BQ12</f>
        <v>7.1160300000000003</v>
      </c>
      <c r="BR97" s="1023">
        <f>BR98*BR12</f>
        <v>14.834778000000002</v>
      </c>
      <c r="BS97" s="995"/>
      <c r="BT97" s="993"/>
      <c r="BU97" s="1023">
        <f>BU98*BU12</f>
        <v>8.544353000000001</v>
      </c>
      <c r="BV97" s="1023">
        <f>BV98*BV12</f>
        <v>10.192231000000001</v>
      </c>
      <c r="BW97" s="1023">
        <f>BW98*BW12</f>
        <v>10.268765</v>
      </c>
      <c r="BX97" s="1023">
        <f>BX98*BX12</f>
        <v>23.134229000000001</v>
      </c>
      <c r="BY97" s="995"/>
      <c r="BZ97" s="993"/>
      <c r="CA97" s="1023">
        <f>CA98*CA12</f>
        <v>11.630635</v>
      </c>
      <c r="CB97" s="1023">
        <f>CB98*CB12</f>
        <v>14.183491</v>
      </c>
      <c r="CC97" s="1023">
        <f>CC98*CC12</f>
        <v>13.508030000000002</v>
      </c>
      <c r="CD97" s="1023">
        <f>CD98*CD12</f>
        <v>32.393602000000001</v>
      </c>
      <c r="CE97" s="995"/>
      <c r="CF97" s="993"/>
      <c r="CG97" s="1023">
        <f>CG98*CG12</f>
        <v>15.748477000000001</v>
      </c>
      <c r="CH97" s="1023">
        <f>CH98*CH12</f>
        <v>18.152583</v>
      </c>
      <c r="CI97" s="1023">
        <f>CI98*CI12</f>
        <v>18.032342000000003</v>
      </c>
      <c r="CJ97" s="1023">
        <f>CJ98*CJ12</f>
        <v>42.434805000000004</v>
      </c>
      <c r="CK97" s="995"/>
      <c r="CL97" s="993"/>
      <c r="CM97" s="1023">
        <f>CM98*CM12</f>
        <v>20.280405000000002</v>
      </c>
      <c r="CN97" s="1023">
        <f>CN98*CN12</f>
        <v>22.492938000000002</v>
      </c>
      <c r="CO97" s="1023">
        <f>CO98*CO12</f>
        <v>21.784224999999999</v>
      </c>
      <c r="CP97" s="1023">
        <f>CP98*CP12</f>
        <v>54.342931000000007</v>
      </c>
      <c r="CQ97" s="995"/>
      <c r="CR97" s="993"/>
      <c r="CS97" s="1023">
        <f>CS98*CS12</f>
        <v>24.477875000000001</v>
      </c>
      <c r="CT97" s="1023">
        <f>CT98*CT12</f>
        <v>26.678474000000001</v>
      </c>
      <c r="CU97" s="1023">
        <f>CU98*CU12</f>
        <v>25.838571999999999</v>
      </c>
      <c r="CV97" s="1023">
        <f>CV98*CV12</f>
        <v>66.595816999999997</v>
      </c>
      <c r="CW97" s="995"/>
      <c r="CX97" s="993"/>
      <c r="CY97" s="1023">
        <f>CY98*CY12</f>
        <v>31.254818798604315</v>
      </c>
      <c r="CZ97" s="1023">
        <f>CZ98*CZ12</f>
        <v>33.420062528370508</v>
      </c>
      <c r="DA97" s="1023">
        <f>DA98*DA12</f>
        <v>33.229304441212925</v>
      </c>
      <c r="DB97" s="1023">
        <f>DB98*DB12</f>
        <v>85.35700874049121</v>
      </c>
      <c r="DC97" s="995"/>
      <c r="DD97" s="993"/>
      <c r="DE97" s="1023">
        <f>DE98*DE12</f>
        <v>40.266770813389122</v>
      </c>
      <c r="DF97" s="1023">
        <f>DF98*DF12</f>
        <v>44.450153781930332</v>
      </c>
      <c r="DG97" s="1023">
        <f>DG98*DG12</f>
        <v>44.792814311780425</v>
      </c>
      <c r="DH97" s="1023">
        <f>DH98*DH12</f>
        <v>106.04959183416162</v>
      </c>
      <c r="DI97" s="995"/>
      <c r="DJ97" s="993"/>
      <c r="DK97" s="1023">
        <f>DK98*DK12</f>
        <v>50.816695442884821</v>
      </c>
      <c r="DL97" s="1023">
        <f>DL98*DL12</f>
        <v>54.564657388792796</v>
      </c>
      <c r="DM97" s="1023">
        <f>DM98*DM12</f>
        <v>55.019931895448003</v>
      </c>
      <c r="DN97" s="1023">
        <f>DN98*DN12</f>
        <v>131.79623454698043</v>
      </c>
      <c r="DO97" s="995"/>
      <c r="DP97" s="1068"/>
      <c r="DQ97" s="956"/>
    </row>
    <row r="98" spans="1:121" ht="10.5" hidden="1" customHeight="1" outlineLevel="1">
      <c r="A98" s="1115" t="s">
        <v>579</v>
      </c>
      <c r="B98" s="1115"/>
      <c r="C98" s="1134"/>
      <c r="D98" s="1024">
        <v>2.5000000000000001E-2</v>
      </c>
      <c r="E98" s="1024">
        <v>2.5000000000000001E-2</v>
      </c>
      <c r="F98" s="993"/>
      <c r="G98" s="1024">
        <v>2.5000000000000001E-2</v>
      </c>
      <c r="H98" s="1024">
        <v>2.5000000000000001E-2</v>
      </c>
      <c r="I98" s="1024">
        <v>2.5000000000000001E-2</v>
      </c>
      <c r="J98" s="1024">
        <v>2.5000000000000001E-2</v>
      </c>
      <c r="K98" s="1137" t="s">
        <v>88</v>
      </c>
      <c r="L98" s="993"/>
      <c r="M98" s="1024">
        <v>2.5000000000000001E-2</v>
      </c>
      <c r="N98" s="1024">
        <v>2.5000000000000001E-2</v>
      </c>
      <c r="O98" s="1024">
        <v>2.5000000000000001E-2</v>
      </c>
      <c r="P98" s="1138">
        <f>P97/P12</f>
        <v>1.315194452818812E-2</v>
      </c>
      <c r="Q98" s="1139"/>
      <c r="R98" s="993"/>
      <c r="S98" s="1024">
        <v>1.4999999999999999E-2</v>
      </c>
      <c r="T98" s="1024">
        <v>1.4999999999999999E-2</v>
      </c>
      <c r="U98" s="1024">
        <v>1.4999999999999999E-2</v>
      </c>
      <c r="V98" s="1138">
        <f>V97/V12</f>
        <v>1.250153455825183E-2</v>
      </c>
      <c r="W98" s="1139"/>
      <c r="X98" s="993"/>
      <c r="Y98" s="1024">
        <v>1.4999999999999999E-2</v>
      </c>
      <c r="Z98" s="1024">
        <v>1.4999999999999999E-2</v>
      </c>
      <c r="AA98" s="1024">
        <v>1.4999999999999999E-2</v>
      </c>
      <c r="AB98" s="1138">
        <f>AB97/AB12</f>
        <v>1.7023959646910468E-2</v>
      </c>
      <c r="AC98" s="1025"/>
      <c r="AD98" s="993"/>
      <c r="AE98" s="1024">
        <v>1.7000000000000001E-2</v>
      </c>
      <c r="AF98" s="1024">
        <v>1.7000000000000001E-2</v>
      </c>
      <c r="AG98" s="1024">
        <v>1.7000000000000001E-2</v>
      </c>
      <c r="AH98" s="1024">
        <v>1.7000000000000001E-2</v>
      </c>
      <c r="AI98" s="1025"/>
      <c r="AJ98" s="993"/>
      <c r="AK98" s="1024">
        <v>1.7000000000000001E-2</v>
      </c>
      <c r="AL98" s="1024">
        <v>1.7000000000000001E-2</v>
      </c>
      <c r="AM98" s="1024">
        <v>1.7000000000000001E-2</v>
      </c>
      <c r="AN98" s="1024">
        <v>1.7000000000000001E-2</v>
      </c>
      <c r="AO98" s="1025"/>
      <c r="AP98" s="993"/>
      <c r="AQ98" s="1024">
        <v>1.7000000000000001E-2</v>
      </c>
      <c r="AR98" s="1024">
        <v>1.7000000000000001E-2</v>
      </c>
      <c r="AS98" s="1024">
        <v>1.7000000000000001E-2</v>
      </c>
      <c r="AT98" s="1024">
        <v>1.7000000000000001E-2</v>
      </c>
      <c r="AU98" s="1025"/>
      <c r="AV98" s="993"/>
      <c r="AW98" s="1024">
        <v>1.7000000000000001E-2</v>
      </c>
      <c r="AX98" s="1024">
        <v>1.7000000000000001E-2</v>
      </c>
      <c r="AY98" s="1024">
        <v>1.7000000000000001E-2</v>
      </c>
      <c r="AZ98" s="1024">
        <v>1.7000000000000001E-2</v>
      </c>
      <c r="BA98" s="1025"/>
      <c r="BB98" s="993"/>
      <c r="BC98" s="1024">
        <v>1.7000000000000001E-2</v>
      </c>
      <c r="BD98" s="1024">
        <v>1.7000000000000001E-2</v>
      </c>
      <c r="BE98" s="1024">
        <v>1.7000000000000001E-2</v>
      </c>
      <c r="BF98" s="1024">
        <v>1.7000000000000001E-2</v>
      </c>
      <c r="BG98" s="1025"/>
      <c r="BH98" s="993"/>
      <c r="BI98" s="1024">
        <v>1.7000000000000001E-2</v>
      </c>
      <c r="BJ98" s="1024">
        <v>1.7000000000000001E-2</v>
      </c>
      <c r="BK98" s="1024">
        <v>1.7000000000000001E-2</v>
      </c>
      <c r="BL98" s="1024">
        <v>1.7000000000000001E-2</v>
      </c>
      <c r="BM98" s="1025"/>
      <c r="BN98" s="993"/>
      <c r="BO98" s="1024">
        <v>1.7000000000000001E-2</v>
      </c>
      <c r="BP98" s="1024">
        <v>1.7000000000000001E-2</v>
      </c>
      <c r="BQ98" s="1024">
        <v>1.7000000000000001E-2</v>
      </c>
      <c r="BR98" s="1024">
        <v>1.7000000000000001E-2</v>
      </c>
      <c r="BS98" s="1025"/>
      <c r="BT98" s="993"/>
      <c r="BU98" s="1024">
        <v>1.7000000000000001E-2</v>
      </c>
      <c r="BV98" s="1024">
        <v>1.7000000000000001E-2</v>
      </c>
      <c r="BW98" s="1024">
        <v>1.7000000000000001E-2</v>
      </c>
      <c r="BX98" s="1024">
        <v>1.7000000000000001E-2</v>
      </c>
      <c r="BY98" s="1025"/>
      <c r="BZ98" s="993"/>
      <c r="CA98" s="1024">
        <v>1.7000000000000001E-2</v>
      </c>
      <c r="CB98" s="1024">
        <v>1.7000000000000001E-2</v>
      </c>
      <c r="CC98" s="1024">
        <v>1.7000000000000001E-2</v>
      </c>
      <c r="CD98" s="1024">
        <v>1.7000000000000001E-2</v>
      </c>
      <c r="CE98" s="1025"/>
      <c r="CF98" s="993"/>
      <c r="CG98" s="1024">
        <v>1.7000000000000001E-2</v>
      </c>
      <c r="CH98" s="1024">
        <v>1.7000000000000001E-2</v>
      </c>
      <c r="CI98" s="1024">
        <v>1.7000000000000001E-2</v>
      </c>
      <c r="CJ98" s="1024">
        <v>1.7000000000000001E-2</v>
      </c>
      <c r="CK98" s="1025"/>
      <c r="CL98" s="993"/>
      <c r="CM98" s="1024">
        <v>1.7000000000000001E-2</v>
      </c>
      <c r="CN98" s="1024">
        <v>1.7000000000000001E-2</v>
      </c>
      <c r="CO98" s="1024">
        <v>1.7000000000000001E-2</v>
      </c>
      <c r="CP98" s="1024">
        <v>1.7000000000000001E-2</v>
      </c>
      <c r="CQ98" s="1025"/>
      <c r="CR98" s="993"/>
      <c r="CS98" s="1024">
        <v>1.7000000000000001E-2</v>
      </c>
      <c r="CT98" s="1024">
        <v>1.7000000000000001E-2</v>
      </c>
      <c r="CU98" s="1024">
        <v>1.7000000000000001E-2</v>
      </c>
      <c r="CV98" s="1024">
        <v>1.7000000000000001E-2</v>
      </c>
      <c r="CW98" s="1025"/>
      <c r="CX98" s="993"/>
      <c r="CY98" s="1024">
        <v>1.7000000000000001E-2</v>
      </c>
      <c r="CZ98" s="1024">
        <v>1.7000000000000001E-2</v>
      </c>
      <c r="DA98" s="1024">
        <v>1.7000000000000001E-2</v>
      </c>
      <c r="DB98" s="1024">
        <v>1.7000000000000001E-2</v>
      </c>
      <c r="DC98" s="1025"/>
      <c r="DD98" s="993"/>
      <c r="DE98" s="1024">
        <v>1.7000000000000001E-2</v>
      </c>
      <c r="DF98" s="1024">
        <v>1.7000000000000001E-2</v>
      </c>
      <c r="DG98" s="1024">
        <v>1.7000000000000001E-2</v>
      </c>
      <c r="DH98" s="1024">
        <v>1.7000000000000001E-2</v>
      </c>
      <c r="DI98" s="1025"/>
      <c r="DJ98" s="993"/>
      <c r="DK98" s="1024">
        <v>1.7000000000000001E-2</v>
      </c>
      <c r="DL98" s="1024">
        <v>1.7000000000000001E-2</v>
      </c>
      <c r="DM98" s="1024">
        <v>1.7000000000000001E-2</v>
      </c>
      <c r="DN98" s="1024">
        <v>1.7000000000000001E-2</v>
      </c>
      <c r="DO98" s="1025"/>
      <c r="DP98" s="1173"/>
      <c r="DQ98" s="956"/>
    </row>
    <row r="99" spans="1:121" ht="5.25" hidden="1" customHeight="1" outlineLevel="1">
      <c r="A99" s="1122"/>
      <c r="B99" s="1122"/>
      <c r="C99" s="965"/>
      <c r="D99" s="965"/>
      <c r="E99" s="965"/>
      <c r="F99" s="965"/>
      <c r="G99" s="965"/>
      <c r="H99" s="965"/>
      <c r="I99" s="965"/>
      <c r="J99" s="965"/>
      <c r="K99" s="965"/>
      <c r="L99" s="965"/>
      <c r="M99" s="965"/>
      <c r="N99" s="965"/>
      <c r="O99" s="965"/>
      <c r="P99" s="965"/>
      <c r="Q99" s="965"/>
      <c r="R99" s="965"/>
      <c r="S99" s="965"/>
      <c r="T99" s="965"/>
      <c r="U99" s="965"/>
      <c r="V99" s="965"/>
      <c r="W99" s="965"/>
      <c r="X99" s="965"/>
      <c r="Y99" s="965"/>
      <c r="Z99" s="965"/>
      <c r="AA99" s="965"/>
      <c r="AB99" s="965"/>
      <c r="AC99" s="1020"/>
      <c r="AD99" s="965"/>
      <c r="AE99" s="965"/>
      <c r="AF99" s="965"/>
      <c r="AG99" s="965"/>
      <c r="AH99" s="965"/>
      <c r="AI99" s="1020"/>
      <c r="AJ99" s="965"/>
      <c r="AK99" s="965"/>
      <c r="AL99" s="965"/>
      <c r="AM99" s="965"/>
      <c r="AN99" s="965"/>
      <c r="AO99" s="1020"/>
      <c r="AP99" s="965"/>
      <c r="AQ99" s="965"/>
      <c r="AR99" s="965"/>
      <c r="AS99" s="965"/>
      <c r="AT99" s="965"/>
      <c r="AU99" s="1020"/>
      <c r="AV99" s="965"/>
      <c r="AW99" s="965"/>
      <c r="AX99" s="965"/>
      <c r="AY99" s="965"/>
      <c r="AZ99" s="965"/>
      <c r="BA99" s="1020"/>
      <c r="BB99" s="965"/>
      <c r="BC99" s="965"/>
      <c r="BD99" s="965"/>
      <c r="BE99" s="965"/>
      <c r="BF99" s="965"/>
      <c r="BG99" s="1020"/>
      <c r="BH99" s="965"/>
      <c r="BI99" s="965"/>
      <c r="BJ99" s="965"/>
      <c r="BK99" s="965"/>
      <c r="BL99" s="965"/>
      <c r="BM99" s="1020"/>
      <c r="BN99" s="965"/>
      <c r="BO99" s="965"/>
      <c r="BP99" s="965"/>
      <c r="BQ99" s="965"/>
      <c r="BR99" s="965"/>
      <c r="BS99" s="1020"/>
      <c r="BT99" s="965"/>
      <c r="BU99" s="965"/>
      <c r="BV99" s="965"/>
      <c r="BW99" s="965"/>
      <c r="BX99" s="965"/>
      <c r="BY99" s="1020"/>
      <c r="BZ99" s="965"/>
      <c r="CA99" s="965"/>
      <c r="CB99" s="965"/>
      <c r="CC99" s="965"/>
      <c r="CD99" s="965"/>
      <c r="CE99" s="1020"/>
      <c r="CF99" s="965"/>
      <c r="CG99" s="965"/>
      <c r="CH99" s="965"/>
      <c r="CI99" s="965"/>
      <c r="CJ99" s="965"/>
      <c r="CK99" s="1020"/>
      <c r="CL99" s="965"/>
      <c r="CM99" s="965"/>
      <c r="CN99" s="965"/>
      <c r="CO99" s="965"/>
      <c r="CP99" s="965"/>
      <c r="CQ99" s="1020"/>
      <c r="CR99" s="965"/>
      <c r="CS99" s="965"/>
      <c r="CT99" s="965"/>
      <c r="CU99" s="965"/>
      <c r="CV99" s="965"/>
      <c r="CW99" s="1020"/>
      <c r="CX99" s="965"/>
      <c r="CY99" s="965"/>
      <c r="CZ99" s="965"/>
      <c r="DA99" s="965"/>
      <c r="DB99" s="965"/>
      <c r="DC99" s="1020"/>
      <c r="DD99" s="965"/>
      <c r="DE99" s="965"/>
      <c r="DF99" s="965"/>
      <c r="DG99" s="965"/>
      <c r="DH99" s="965"/>
      <c r="DI99" s="1020"/>
      <c r="DJ99" s="965"/>
      <c r="DK99" s="965"/>
      <c r="DL99" s="965"/>
      <c r="DM99" s="965"/>
      <c r="DN99" s="965"/>
      <c r="DO99" s="1020"/>
      <c r="DP99" s="965"/>
      <c r="DQ99" s="965"/>
    </row>
    <row r="100" spans="1:121" ht="10.5" hidden="1" customHeight="1" outlineLevel="1">
      <c r="A100" s="1140" t="s">
        <v>447</v>
      </c>
      <c r="B100" s="1141"/>
      <c r="C100" s="1142"/>
      <c r="D100" s="1142"/>
      <c r="E100" s="1142"/>
      <c r="F100" s="1143"/>
      <c r="G100" s="1143"/>
      <c r="H100" s="1143"/>
      <c r="I100" s="1143"/>
      <c r="J100" s="1144"/>
      <c r="K100" s="1142"/>
      <c r="L100" s="1143"/>
      <c r="M100" s="1144"/>
      <c r="N100" s="1145"/>
      <c r="O100" s="1144"/>
      <c r="P100" s="1144"/>
      <c r="Q100" s="1142"/>
      <c r="R100" s="1143"/>
      <c r="S100" s="1146"/>
      <c r="T100" s="1146"/>
      <c r="U100" s="1146"/>
      <c r="V100" s="1146"/>
      <c r="W100" s="1142"/>
      <c r="X100" s="1143"/>
      <c r="Y100" s="1027">
        <f>Y19</f>
        <v>15.289</v>
      </c>
      <c r="Z100" s="1027">
        <f>Z19</f>
        <v>17.28</v>
      </c>
      <c r="AA100" s="1027">
        <f>AA19</f>
        <v>20.853000000000002</v>
      </c>
      <c r="AB100" s="1027">
        <f>AB19</f>
        <v>24.216000000000001</v>
      </c>
      <c r="AC100" s="1028"/>
      <c r="AD100" s="1026"/>
      <c r="AE100" s="1027">
        <f>AE19</f>
        <v>24.786000000000001</v>
      </c>
      <c r="AF100" s="1027">
        <f>AF19</f>
        <v>24.841999999999999</v>
      </c>
      <c r="AG100" s="1027">
        <f>AG19</f>
        <v>28.151</v>
      </c>
      <c r="AH100" s="1027">
        <f>AH19</f>
        <v>30.155000000000001</v>
      </c>
      <c r="AI100" s="1028"/>
      <c r="AJ100" s="1026"/>
      <c r="AK100" s="1027">
        <f>AK19</f>
        <v>33.848999999999997</v>
      </c>
      <c r="AL100" s="1027">
        <f>AL19</f>
        <v>36.69</v>
      </c>
      <c r="AM100" s="1027">
        <f>AM19</f>
        <v>38.912999999999997</v>
      </c>
      <c r="AN100" s="1027">
        <f>AN19</f>
        <v>41.38</v>
      </c>
      <c r="AO100" s="1028"/>
      <c r="AP100" s="1026"/>
      <c r="AQ100" s="1027">
        <f>AQ19</f>
        <v>56.816000000000003</v>
      </c>
      <c r="AR100" s="1027">
        <f>AR19</f>
        <v>56.643000000000001</v>
      </c>
      <c r="AS100" s="1027">
        <f>AS19</f>
        <v>66.832999999999998</v>
      </c>
      <c r="AT100" s="1027">
        <f>AT19</f>
        <v>77.027000000000001</v>
      </c>
      <c r="AU100" s="1028"/>
      <c r="AV100" s="1026"/>
      <c r="AW100" s="1027">
        <f>AW19</f>
        <v>88.478999999999999</v>
      </c>
      <c r="AX100" s="1027">
        <f>AX19</f>
        <v>96.47</v>
      </c>
      <c r="AY100" s="1027">
        <f>AY19</f>
        <v>95.597999999999999</v>
      </c>
      <c r="AZ100" s="1027">
        <f>AZ19</f>
        <v>89.710999999999999</v>
      </c>
      <c r="BA100" s="1028"/>
      <c r="BB100" s="1026"/>
      <c r="BC100" s="1027">
        <f>BC19</f>
        <v>86.71</v>
      </c>
      <c r="BD100" s="1027">
        <f>BD19</f>
        <v>100.946</v>
      </c>
      <c r="BE100" s="1027">
        <f>BE19</f>
        <v>116.078</v>
      </c>
      <c r="BF100" s="1027">
        <f>BF19</f>
        <v>387.17399999999998</v>
      </c>
      <c r="BG100" s="1028"/>
      <c r="BH100" s="1026"/>
      <c r="BI100" s="1027">
        <f>BI19</f>
        <v>446.26799999999997</v>
      </c>
      <c r="BJ100" s="1027">
        <f>BJ19</f>
        <v>470.07</v>
      </c>
      <c r="BK100" s="1027">
        <f>BK19</f>
        <v>504.827</v>
      </c>
      <c r="BL100" s="1027">
        <f>BL19</f>
        <v>527.94600000000003</v>
      </c>
      <c r="BM100" s="1028"/>
      <c r="BN100" s="1026"/>
      <c r="BO100" s="1027">
        <f>BO19</f>
        <v>549.73199999999997</v>
      </c>
      <c r="BP100" s="1027">
        <f>BP19</f>
        <v>556.77599999999995</v>
      </c>
      <c r="BQ100" s="1027">
        <f>BQ19</f>
        <v>583.83900000000006</v>
      </c>
      <c r="BR100" s="1027">
        <f>BR19</f>
        <v>604.66899999999998</v>
      </c>
      <c r="BS100" s="1028"/>
      <c r="BT100" s="1026"/>
      <c r="BU100" s="1027">
        <f>BU19</f>
        <v>623.68399999999997</v>
      </c>
      <c r="BV100" s="1027">
        <f>BV19</f>
        <v>1184.8610000000001</v>
      </c>
      <c r="BW100" s="1027">
        <f>BW19</f>
        <v>1205.3489999999999</v>
      </c>
      <c r="BX100" s="1027">
        <f>BX19</f>
        <v>1240.7460000000001</v>
      </c>
      <c r="BY100" s="1028"/>
      <c r="BZ100" s="1026"/>
      <c r="CA100" s="1027">
        <f>CA19</f>
        <v>1251</v>
      </c>
      <c r="CB100" s="1027">
        <f>CB19</f>
        <v>1189.93</v>
      </c>
      <c r="CC100" s="1027">
        <f>CC19</f>
        <v>1109.816</v>
      </c>
      <c r="CD100" s="1027">
        <f>CD19</f>
        <v>1125.866</v>
      </c>
      <c r="CE100" s="1028"/>
      <c r="CF100" s="1026"/>
      <c r="CG100" s="1027">
        <f>CG19</f>
        <v>1737.0940000000001</v>
      </c>
      <c r="CH100" s="1027">
        <f>CH19</f>
        <v>1725.184</v>
      </c>
      <c r="CI100" s="1027">
        <f>CI19</f>
        <v>1742.1420000000001</v>
      </c>
      <c r="CJ100" s="1027">
        <f>CJ19</f>
        <v>1715.828</v>
      </c>
      <c r="CK100" s="1028"/>
      <c r="CL100" s="1026"/>
      <c r="CM100" s="1027">
        <f>CM19</f>
        <v>1711.472</v>
      </c>
      <c r="CN100" s="1027">
        <f>CN19</f>
        <v>1728.2429999999999</v>
      </c>
      <c r="CO100" s="1027">
        <f>CO19</f>
        <v>1756.673</v>
      </c>
      <c r="CP100" s="1027">
        <f>CP19</f>
        <v>1787.5340000000001</v>
      </c>
      <c r="CQ100" s="1028"/>
      <c r="CR100" s="1026"/>
      <c r="CS100" s="1027">
        <f>CS19</f>
        <v>1846.413</v>
      </c>
      <c r="CT100" s="1027">
        <f>CT19</f>
        <v>1866.576</v>
      </c>
      <c r="CU100" s="1027">
        <f>CU19</f>
        <v>1864.8910000000001</v>
      </c>
      <c r="CV100" s="1027">
        <f>CV19</f>
        <v>1946.527</v>
      </c>
      <c r="CW100" s="1028"/>
      <c r="CX100" s="1026"/>
      <c r="CY100" s="1027">
        <f>CY19</f>
        <v>1958.6722465393195</v>
      </c>
      <c r="CZ100" s="1027">
        <f>CZ19</f>
        <v>1926.0767040776911</v>
      </c>
      <c r="DA100" s="1027">
        <f>DA19</f>
        <v>1865.7303359626312</v>
      </c>
      <c r="DB100" s="1027">
        <f>DB19</f>
        <v>1829.2439591091193</v>
      </c>
      <c r="DC100" s="1028"/>
      <c r="DD100" s="1026"/>
      <c r="DE100" s="1027">
        <f>DE19</f>
        <v>1834.2542578417047</v>
      </c>
      <c r="DF100" s="1027">
        <f>DF19</f>
        <v>1804.0151297013558</v>
      </c>
      <c r="DG100" s="1027">
        <f>DG19</f>
        <v>1740.3975972211838</v>
      </c>
      <c r="DH100" s="1027">
        <f>DH19</f>
        <v>1704.6190290343884</v>
      </c>
      <c r="DI100" s="1028"/>
      <c r="DJ100" s="1026"/>
      <c r="DK100" s="1027">
        <f>DK19</f>
        <v>1676.7457930836517</v>
      </c>
      <c r="DL100" s="1027">
        <f>DL19</f>
        <v>1649.9773989311871</v>
      </c>
      <c r="DM100" s="1027">
        <f>DM19</f>
        <v>1583.2109022864074</v>
      </c>
      <c r="DN100" s="1027">
        <f>DN19</f>
        <v>1573.3605222413585</v>
      </c>
      <c r="DO100" s="1028"/>
      <c r="DP100" s="1029"/>
      <c r="DQ100" s="956"/>
    </row>
    <row r="101" spans="1:121" ht="10.5" hidden="1" customHeight="1" outlineLevel="1">
      <c r="A101" s="1147" t="s">
        <v>582</v>
      </c>
      <c r="B101" s="1148"/>
      <c r="C101" s="1149">
        <f>-CF!C107</f>
        <v>1.262</v>
      </c>
      <c r="D101" s="1149">
        <f>C101-CF!D107</f>
        <v>7.1310000000000002</v>
      </c>
      <c r="E101" s="1068">
        <f>D101-CF!E107</f>
        <v>7.8440000000000003</v>
      </c>
      <c r="F101" s="1062"/>
      <c r="G101" s="1149">
        <f>E101-CF!G107</f>
        <v>8.1</v>
      </c>
      <c r="H101" s="1149">
        <f>G101-CF!H107</f>
        <v>8.7590000000000003</v>
      </c>
      <c r="I101" s="1149">
        <f>H101-CF!I107</f>
        <v>9.2469999999999999</v>
      </c>
      <c r="J101" s="1068">
        <f>I101-CF!J107</f>
        <v>9.8659999999999997</v>
      </c>
      <c r="K101" s="1068">
        <f>J101-D101</f>
        <v>2.7349999999999994</v>
      </c>
      <c r="L101" s="1062"/>
      <c r="M101" s="1149">
        <f>J101-CF!M107</f>
        <v>10.196999999999999</v>
      </c>
      <c r="N101" s="1149">
        <f>M101-CF!N107</f>
        <v>10.684999999999999</v>
      </c>
      <c r="O101" s="1068">
        <f>N101-CF!O107</f>
        <v>11.396999999999998</v>
      </c>
      <c r="P101" s="1068">
        <f>O101-CF!P107</f>
        <v>12.781999999999998</v>
      </c>
      <c r="Q101" s="1068">
        <f>P101-J101</f>
        <v>2.9159999999999986</v>
      </c>
      <c r="R101" s="1062"/>
      <c r="S101" s="1068">
        <f>P101-CF!S107</f>
        <v>13.059999999999999</v>
      </c>
      <c r="T101" s="1068">
        <f>S101-CF!T107</f>
        <v>13.543999999999999</v>
      </c>
      <c r="U101" s="1068">
        <f>T101-CF!U107</f>
        <v>14.824999999999999</v>
      </c>
      <c r="V101" s="1068">
        <f>U101-CF!V107</f>
        <v>17.09</v>
      </c>
      <c r="W101" s="1068">
        <f>V101-P101</f>
        <v>4.3080000000000016</v>
      </c>
      <c r="X101" s="1062"/>
      <c r="Y101" s="1029">
        <f>V101-CF!Y107</f>
        <v>26.247</v>
      </c>
      <c r="Z101" s="1029">
        <f>Y101-CF!Z107</f>
        <v>29.619</v>
      </c>
      <c r="AA101" s="1029">
        <f>Z101-CF!AA107</f>
        <v>34.909999999999997</v>
      </c>
      <c r="AB101" s="1029">
        <f>AA101-CF!AB107</f>
        <v>40.524000000000001</v>
      </c>
      <c r="AC101" s="983">
        <f>AB101-V101</f>
        <v>23.434000000000001</v>
      </c>
      <c r="AD101" s="984"/>
      <c r="AE101" s="1029">
        <f>AB101-CF!AE107</f>
        <v>43.119</v>
      </c>
      <c r="AF101" s="1029">
        <f>AE101-CF!AF107</f>
        <v>45.936999999999998</v>
      </c>
      <c r="AG101" s="1029">
        <f>AF101-CF!AG107</f>
        <v>55.021999999999998</v>
      </c>
      <c r="AH101" s="1029">
        <f>AG101-CF!AH107</f>
        <v>62.646999999999998</v>
      </c>
      <c r="AI101" s="983">
        <f>AH101-AB101</f>
        <v>22.122999999999998</v>
      </c>
      <c r="AJ101" s="984"/>
      <c r="AK101" s="1029">
        <f>AH101-CF!AK107</f>
        <v>78.603999999999999</v>
      </c>
      <c r="AL101" s="1029">
        <f>AK101-CF!AL107</f>
        <v>88.707999999999998</v>
      </c>
      <c r="AM101" s="1029">
        <f>AL101-CF!AM107</f>
        <v>97.83</v>
      </c>
      <c r="AN101" s="1029">
        <f>AM101-CF!AN107</f>
        <v>106.199</v>
      </c>
      <c r="AO101" s="983">
        <f>AN101-AH101</f>
        <v>43.552</v>
      </c>
      <c r="AP101" s="984"/>
      <c r="AQ101" s="1029">
        <f>AN101-CF!AQ107</f>
        <v>130.376</v>
      </c>
      <c r="AR101" s="1029">
        <f>AQ101-CF!AR107</f>
        <v>143.41200000000001</v>
      </c>
      <c r="AS101" s="1029">
        <f>AR101-CF!AS107</f>
        <v>155.02600000000001</v>
      </c>
      <c r="AT101" s="1029">
        <f>AS101-CF!AT107</f>
        <v>167.25800000000001</v>
      </c>
      <c r="AU101" s="983">
        <f>AT101-AN101</f>
        <v>61.059000000000012</v>
      </c>
      <c r="AV101" s="984"/>
      <c r="AW101" s="1029">
        <f>AT101-CF!AW107</f>
        <v>180.68600000000001</v>
      </c>
      <c r="AX101" s="1029">
        <f>AW101-CF!AX107</f>
        <v>200.01400000000001</v>
      </c>
      <c r="AY101" s="1029">
        <f>AX101-CF!AY107</f>
        <v>214.10300000000001</v>
      </c>
      <c r="AZ101" s="1029">
        <f>AY101-CF!AZ107</f>
        <v>221.15900000000002</v>
      </c>
      <c r="BA101" s="983">
        <f>AZ101-AT101</f>
        <v>53.90100000000001</v>
      </c>
      <c r="BB101" s="984"/>
      <c r="BC101" s="1029">
        <f>AZ101-CF!BC107</f>
        <v>233.34900000000002</v>
      </c>
      <c r="BD101" s="1029">
        <f>BC101-CF!BD107</f>
        <v>260.68</v>
      </c>
      <c r="BE101" s="1029">
        <f>BD101-CF!BE107</f>
        <v>281.47000000000003</v>
      </c>
      <c r="BF101" s="1029">
        <f>BE101-CF!BF107</f>
        <v>312.04600000000005</v>
      </c>
      <c r="BG101" s="983">
        <f>BF101-AZ101</f>
        <v>90.887000000000029</v>
      </c>
      <c r="BH101" s="984"/>
      <c r="BI101" s="1029">
        <f>BF101-CF!BI107</f>
        <v>339.36000000000007</v>
      </c>
      <c r="BJ101" s="1029">
        <f>BI101-CF!BJ107</f>
        <v>384.41100000000006</v>
      </c>
      <c r="BK101" s="1029">
        <f>BJ101-CF!BK107</f>
        <v>419.08900000000006</v>
      </c>
      <c r="BL101" s="1029">
        <f>BK101-CF!BL107</f>
        <v>463.69100000000003</v>
      </c>
      <c r="BM101" s="983">
        <f>BL101-BF101</f>
        <v>151.64499999999998</v>
      </c>
      <c r="BN101" s="984"/>
      <c r="BO101" s="1029">
        <f>BL101-CF!BO107</f>
        <v>508.41200000000003</v>
      </c>
      <c r="BP101" s="1029">
        <f>BO101-CF!BP107</f>
        <v>537.71600000000001</v>
      </c>
      <c r="BQ101" s="1029">
        <f>BP101-CF!BQ107</f>
        <v>588.77</v>
      </c>
      <c r="BR101" s="1029">
        <f>BQ101-CF!BR107</f>
        <v>639.29200000000003</v>
      </c>
      <c r="BS101" s="983">
        <f>BR101-BL101</f>
        <v>175.601</v>
      </c>
      <c r="BT101" s="984"/>
      <c r="BU101" s="1029">
        <f>BR101-CF!BU107</f>
        <v>693.30200000000002</v>
      </c>
      <c r="BV101" s="1029">
        <f>BU101-CF!BV107</f>
        <v>795.851</v>
      </c>
      <c r="BW101" s="1029">
        <f>BV101-CF!BW107</f>
        <v>868.553</v>
      </c>
      <c r="BX101" s="1029">
        <f>BW101-CF!BX107</f>
        <v>938.40200000000004</v>
      </c>
      <c r="BY101" s="983">
        <f>BX101-BR101</f>
        <v>299.11</v>
      </c>
      <c r="BZ101" s="984"/>
      <c r="CA101" s="1029">
        <f>BX101-CF!CA107</f>
        <v>998.5</v>
      </c>
      <c r="CB101" s="1029">
        <f>CA101-CF!CB107</f>
        <v>1070.076</v>
      </c>
      <c r="CC101" s="1029">
        <f>CB101-CF!CC107</f>
        <v>1143.502</v>
      </c>
      <c r="CD101" s="1029">
        <f>CC101-CF!CD107</f>
        <v>1228.856</v>
      </c>
      <c r="CE101" s="983">
        <f>CD101-BX101</f>
        <v>290.45399999999995</v>
      </c>
      <c r="CF101" s="984"/>
      <c r="CG101" s="1029">
        <f>CD101-CF!CG107</f>
        <v>1299.943</v>
      </c>
      <c r="CH101" s="1029">
        <f>CG101-CF!CH107</f>
        <v>1364.826</v>
      </c>
      <c r="CI101" s="1029">
        <f>CH101-CF!CI107</f>
        <v>1444.867</v>
      </c>
      <c r="CJ101" s="1029">
        <f>CI101-CF!CJ107</f>
        <v>1513.3319999999999</v>
      </c>
      <c r="CK101" s="983">
        <f>CJ101-CD101</f>
        <v>284.47599999999989</v>
      </c>
      <c r="CL101" s="984"/>
      <c r="CM101" s="1029">
        <f>CJ101-CF!CM107</f>
        <v>1596.6329999999998</v>
      </c>
      <c r="CN101" s="1029">
        <f>CM101-CF!CN107</f>
        <v>1692.6629999999998</v>
      </c>
      <c r="CO101" s="1029">
        <f>CN101-CF!CO107</f>
        <v>1833.3159999999998</v>
      </c>
      <c r="CP101" s="1029">
        <f>CO101-CF!CP107</f>
        <v>1977.29</v>
      </c>
      <c r="CQ101" s="983">
        <f>CP101-CJ101</f>
        <v>463.95800000000008</v>
      </c>
      <c r="CR101" s="984"/>
      <c r="CS101" s="1029">
        <f>CP101-CF!CS107</f>
        <v>2133.8919999999998</v>
      </c>
      <c r="CT101" s="1029">
        <f>CS101-CF!CT107</f>
        <v>2262.2799999999997</v>
      </c>
      <c r="CU101" s="1029">
        <f>CT101-CF!CU107</f>
        <v>2373.5579999999995</v>
      </c>
      <c r="CV101" s="1029">
        <f>CU101-CF!CV107</f>
        <v>2511.3169999999996</v>
      </c>
      <c r="CW101" s="983">
        <f>CV101-CP101</f>
        <v>534.02699999999959</v>
      </c>
      <c r="CX101" s="984"/>
      <c r="CY101" s="1029">
        <f>CV101-CF!CY107</f>
        <v>2668.5098475295176</v>
      </c>
      <c r="CZ101" s="1029">
        <f>CY101-CF!CZ107</f>
        <v>2786.6990317188979</v>
      </c>
      <c r="DA101" s="1029">
        <f>CZ101-CF!DA107</f>
        <v>2881.5762741426197</v>
      </c>
      <c r="DB101" s="1029">
        <f>DA101-CF!DB107</f>
        <v>3004.8584966812723</v>
      </c>
      <c r="DC101" s="983">
        <f>DB101-CV101</f>
        <v>493.54149668127275</v>
      </c>
      <c r="DD101" s="984"/>
      <c r="DE101" s="1029">
        <f>DB101-CF!DE107</f>
        <v>3175.7663548201372</v>
      </c>
      <c r="DF101" s="1029">
        <f>DE101-CF!DF107</f>
        <v>3317.9474730946804</v>
      </c>
      <c r="DG101" s="1029">
        <f>DF101-CF!DG107</f>
        <v>3432.0902685657675</v>
      </c>
      <c r="DH101" s="1029">
        <f>DG101-CF!DH107</f>
        <v>3579.5214869522647</v>
      </c>
      <c r="DI101" s="983">
        <f>DH101-DB101</f>
        <v>574.6629902709924</v>
      </c>
      <c r="DJ101" s="984"/>
      <c r="DK101" s="1029">
        <f>DH101-CF!DK107</f>
        <v>3741.2999050005456</v>
      </c>
      <c r="DL101" s="1029">
        <f>DK101-CF!DL107</f>
        <v>3911.0908601214564</v>
      </c>
      <c r="DM101" s="1029">
        <f>DL101-CF!DM107</f>
        <v>4047.2578363191897</v>
      </c>
      <c r="DN101" s="1029">
        <f>DM101-CF!DN107</f>
        <v>4247.3462497335731</v>
      </c>
      <c r="DO101" s="983">
        <f>DN101-DH101</f>
        <v>667.82476278130844</v>
      </c>
      <c r="DP101" s="1029"/>
      <c r="DQ101" s="956"/>
    </row>
    <row r="102" spans="1:121" ht="10.5" hidden="1" customHeight="1" outlineLevel="1">
      <c r="A102" s="1147" t="s">
        <v>581</v>
      </c>
      <c r="B102" s="1148"/>
      <c r="C102" s="1150">
        <f>CF!C85</f>
        <v>9.8000000000000004E-2</v>
      </c>
      <c r="D102" s="1150">
        <f>C102+CF!D85</f>
        <v>0.95899999999999996</v>
      </c>
      <c r="E102" s="1150">
        <f>D102+CF!E85</f>
        <v>3.3620000000000001</v>
      </c>
      <c r="F102" s="1062"/>
      <c r="G102" s="1150">
        <f>E102+CF!G85</f>
        <v>3.9950000000000001</v>
      </c>
      <c r="H102" s="1150">
        <f>G102+CF!H85</f>
        <v>4.66</v>
      </c>
      <c r="I102" s="1150">
        <f>H102+CF!I85</f>
        <v>5.3029999999999999</v>
      </c>
      <c r="J102" s="1151">
        <f>I102+CF!J85</f>
        <v>6.0259999999999998</v>
      </c>
      <c r="K102" s="1068"/>
      <c r="L102" s="1062"/>
      <c r="M102" s="1150">
        <f>J102+CF!M85</f>
        <v>6.6440000000000001</v>
      </c>
      <c r="N102" s="1150">
        <f>M102+CF!N85</f>
        <v>7.351</v>
      </c>
      <c r="O102" s="1151">
        <f>N102+CF!O85</f>
        <v>7.9820000000000002</v>
      </c>
      <c r="P102" s="1151">
        <f>O102+CF!P85</f>
        <v>8.6170000000000009</v>
      </c>
      <c r="Q102" s="1068"/>
      <c r="R102" s="1062"/>
      <c r="S102" s="1151">
        <f>P102+CF!S85</f>
        <v>9.3650000000000002</v>
      </c>
      <c r="T102" s="1151">
        <f>S102+CF!T85</f>
        <v>10.044</v>
      </c>
      <c r="U102" s="1151">
        <f>T102+CF!U85</f>
        <v>10.844000000000001</v>
      </c>
      <c r="V102" s="1151">
        <f>U102+CF!V85</f>
        <v>11.764000000000001</v>
      </c>
      <c r="W102" s="1068"/>
      <c r="X102" s="1062"/>
      <c r="Y102" s="1030">
        <f>V102+CF!Y85</f>
        <v>12.885000000000002</v>
      </c>
      <c r="Z102" s="1030">
        <f>Y102+CF!Z85</f>
        <v>14.353000000000002</v>
      </c>
      <c r="AA102" s="1030">
        <f>Z102+CF!AA85</f>
        <v>15.843000000000002</v>
      </c>
      <c r="AB102" s="1030">
        <f>AA102+CF!AB85</f>
        <v>17.791000000000004</v>
      </c>
      <c r="AC102" s="983"/>
      <c r="AD102" s="984"/>
      <c r="AE102" s="1030">
        <f>AB102+CF!AE85</f>
        <v>20.027000000000005</v>
      </c>
      <c r="AF102" s="1030">
        <f>AE102+CF!AF85</f>
        <v>22.589000000000006</v>
      </c>
      <c r="AG102" s="1030">
        <f>AF102+CF!AG85</f>
        <v>26.558000000000007</v>
      </c>
      <c r="AH102" s="1030">
        <f>AG102+CF!AH85</f>
        <v>29.687000000000005</v>
      </c>
      <c r="AI102" s="983"/>
      <c r="AJ102" s="984"/>
      <c r="AK102" s="1030">
        <f>AH102+CF!AK85</f>
        <v>34.535000000000004</v>
      </c>
      <c r="AL102" s="1030">
        <f>AK102+CF!AL85</f>
        <v>40.580000000000005</v>
      </c>
      <c r="AM102" s="1030">
        <f>AL102+CF!AM85</f>
        <v>47.338000000000008</v>
      </c>
      <c r="AN102" s="1030">
        <f>AM102+CF!AN85</f>
        <v>53.906000000000006</v>
      </c>
      <c r="AO102" s="983"/>
      <c r="AP102" s="984"/>
      <c r="AQ102" s="1030">
        <f>AN102+CF!AQ85</f>
        <v>62.064000000000007</v>
      </c>
      <c r="AR102" s="1030">
        <f>AQ102+CF!AR85</f>
        <v>70.934000000000012</v>
      </c>
      <c r="AS102" s="1030">
        <f>AR102+CF!AS85</f>
        <v>78.844000000000008</v>
      </c>
      <c r="AT102" s="1030">
        <f>AS102+CF!AT85</f>
        <v>89.87700000000001</v>
      </c>
      <c r="AU102" s="983"/>
      <c r="AV102" s="984"/>
      <c r="AW102" s="1030">
        <f>AT102+CF!AW85</f>
        <v>102.02200000000001</v>
      </c>
      <c r="AX102" s="1030">
        <f>AW102+CF!AX85</f>
        <v>114.16600000000001</v>
      </c>
      <c r="AY102" s="1030">
        <f>AX102+CF!AY85</f>
        <v>127.76700000000001</v>
      </c>
      <c r="AZ102" s="1030">
        <f>AY102+CF!AZ85</f>
        <v>143.054</v>
      </c>
      <c r="BA102" s="983"/>
      <c r="BB102" s="984"/>
      <c r="BC102" s="1030">
        <f>AZ102+CF!BC85</f>
        <v>157.559</v>
      </c>
      <c r="BD102" s="1030">
        <f>BC102+CF!BD85</f>
        <v>175.352</v>
      </c>
      <c r="BE102" s="1030">
        <f>BD102+CF!BE85</f>
        <v>195.06200000000001</v>
      </c>
      <c r="BF102" s="1030">
        <f>BE102+CF!BF85</f>
        <v>218.8</v>
      </c>
      <c r="BG102" s="983"/>
      <c r="BH102" s="984"/>
      <c r="BI102" s="1030">
        <f>BF102+CF!BI85</f>
        <v>248.393</v>
      </c>
      <c r="BJ102" s="1030">
        <f>BI102+CF!BJ85</f>
        <v>288.63200000000001</v>
      </c>
      <c r="BK102" s="1030">
        <f>BJ102+CF!BK85</f>
        <v>330.185</v>
      </c>
      <c r="BL102" s="1030">
        <f>BK102+CF!BL85</f>
        <v>376.08600000000001</v>
      </c>
      <c r="BM102" s="983"/>
      <c r="BN102" s="984"/>
      <c r="BO102" s="1030">
        <f>BL102+CF!BO85</f>
        <v>425.52700000000004</v>
      </c>
      <c r="BP102" s="1030">
        <f>BO102+CF!BP85</f>
        <v>475.52600000000007</v>
      </c>
      <c r="BQ102" s="1030">
        <f>BP102+CF!BQ85</f>
        <v>535.4860000000001</v>
      </c>
      <c r="BR102" s="1030">
        <f>BQ102+CF!BR85</f>
        <v>592.88100000000009</v>
      </c>
      <c r="BS102" s="983"/>
      <c r="BT102" s="984"/>
      <c r="BU102" s="1030">
        <f>BR102+CF!BU85</f>
        <v>655.17800000000011</v>
      </c>
      <c r="BV102" s="1030">
        <f>BU102+CF!BV85</f>
        <v>733.14400000000012</v>
      </c>
      <c r="BW102" s="1030">
        <f>BV102+CF!BW85</f>
        <v>847.4910000000001</v>
      </c>
      <c r="BX102" s="1030">
        <f>BW102+CF!BX85</f>
        <v>962.30400000000009</v>
      </c>
      <c r="BY102" s="983"/>
      <c r="BZ102" s="984"/>
      <c r="CA102" s="1030">
        <f>BX102+CF!CA85</f>
        <v>1073.1120000000001</v>
      </c>
      <c r="CB102" s="1030">
        <f>CA102+CF!CB85</f>
        <v>1180.7080000000001</v>
      </c>
      <c r="CC102" s="1030">
        <f>CB102+CF!CC85</f>
        <v>1292.662</v>
      </c>
      <c r="CD102" s="1030">
        <f>CC102+CF!CD85</f>
        <v>1410.6</v>
      </c>
      <c r="CE102" s="983"/>
      <c r="CF102" s="984"/>
      <c r="CG102" s="1030">
        <f>CD102+CF!CG85</f>
        <v>1538.5269999999998</v>
      </c>
      <c r="CH102" s="1030">
        <f>CG102+CF!CH85</f>
        <v>1670.2019999999998</v>
      </c>
      <c r="CI102" s="1030">
        <f>CH102+CF!CI85</f>
        <v>1804.4379999999999</v>
      </c>
      <c r="CJ102" s="1030">
        <f>CI102+CF!CJ85</f>
        <v>1936.35</v>
      </c>
      <c r="CK102" s="983"/>
      <c r="CL102" s="984"/>
      <c r="CM102" s="1030">
        <f>CJ102+CF!CM85</f>
        <v>2069.1219999999998</v>
      </c>
      <c r="CN102" s="1030">
        <f>CM102+CF!CN85</f>
        <v>2218.4829999999997</v>
      </c>
      <c r="CO102" s="1030">
        <f>CN102+CF!CO85</f>
        <v>2387.8289999999997</v>
      </c>
      <c r="CP102" s="1030">
        <f>CO102+CF!CP85</f>
        <v>2568.5949999999998</v>
      </c>
      <c r="CQ102" s="983"/>
      <c r="CR102" s="984"/>
      <c r="CS102" s="1030">
        <f>CP102+CF!CS85</f>
        <v>2753.703</v>
      </c>
      <c r="CT102" s="1030">
        <f>CS102+CF!CT85</f>
        <v>2945.96</v>
      </c>
      <c r="CU102" s="1030">
        <f>CT102+CF!CU85</f>
        <v>3133.5059999999999</v>
      </c>
      <c r="CV102" s="1030">
        <f>CU102+CF!CV85</f>
        <v>3321.1949999999997</v>
      </c>
      <c r="CW102" s="983"/>
      <c r="CX102" s="984"/>
      <c r="CY102" s="1030">
        <f>CV102+CF!CY85</f>
        <v>3535.1746009901981</v>
      </c>
      <c r="CZ102" s="1030">
        <f>CY102+CF!CZ85</f>
        <v>3754.8913276412068</v>
      </c>
      <c r="DA102" s="1030">
        <f>CZ102+CF!DA85</f>
        <v>3979.0469381799885</v>
      </c>
      <c r="DB102" s="1030">
        <f>DA102+CF!DB85</f>
        <v>4207.7475375721533</v>
      </c>
      <c r="DC102" s="983"/>
      <c r="DD102" s="984"/>
      <c r="DE102" s="1030">
        <f>DB102+CF!DE85</f>
        <v>4442.5770969784326</v>
      </c>
      <c r="DF102" s="1030">
        <f>DE102+CF!DF85</f>
        <v>4683.9293433933244</v>
      </c>
      <c r="DG102" s="1030">
        <f>DF102+CF!DG85</f>
        <v>4930.6216713445838</v>
      </c>
      <c r="DH102" s="1030">
        <f>DG102+CF!DH85</f>
        <v>5182.7634579178757</v>
      </c>
      <c r="DI102" s="983"/>
      <c r="DJ102" s="984"/>
      <c r="DK102" s="1030">
        <f>DH102+CF!DK85</f>
        <v>5441.3471119168926</v>
      </c>
      <c r="DL102" s="1030">
        <f>DK102+CF!DL85</f>
        <v>5706.8384611902675</v>
      </c>
      <c r="DM102" s="1030">
        <f>DL102+CF!DM85</f>
        <v>5978.703934032781</v>
      </c>
      <c r="DN102" s="1030">
        <f>DM102+CF!DN85</f>
        <v>6257.5747274922132</v>
      </c>
      <c r="DO102" s="983"/>
      <c r="DP102" s="1029"/>
      <c r="DQ102" s="956"/>
    </row>
    <row r="103" spans="1:121" ht="10.5" hidden="1" customHeight="1" outlineLevel="1">
      <c r="A103" s="1147" t="s">
        <v>242</v>
      </c>
      <c r="B103" s="1148"/>
      <c r="C103" s="1149">
        <f>C101-C102</f>
        <v>1.1639999999999999</v>
      </c>
      <c r="D103" s="1149">
        <f>D101-D102</f>
        <v>6.1720000000000006</v>
      </c>
      <c r="E103" s="1068">
        <f>E101-E102</f>
        <v>4.4820000000000002</v>
      </c>
      <c r="F103" s="1062"/>
      <c r="G103" s="1149">
        <f>G101-G102</f>
        <v>4.1049999999999995</v>
      </c>
      <c r="H103" s="1149">
        <f>H101-H102</f>
        <v>4.0990000000000002</v>
      </c>
      <c r="I103" s="1149">
        <f>I101-I102</f>
        <v>3.944</v>
      </c>
      <c r="J103" s="1068">
        <f>J101-J102</f>
        <v>3.84</v>
      </c>
      <c r="K103" s="1068"/>
      <c r="L103" s="1062"/>
      <c r="M103" s="1149">
        <f>M101-M102</f>
        <v>3.552999999999999</v>
      </c>
      <c r="N103" s="1149">
        <f>N101-N102</f>
        <v>3.3339999999999987</v>
      </c>
      <c r="O103" s="1068">
        <f>O101-O102</f>
        <v>3.4149999999999983</v>
      </c>
      <c r="P103" s="1068">
        <f>P101-P102</f>
        <v>4.1649999999999974</v>
      </c>
      <c r="Q103" s="1068"/>
      <c r="R103" s="1062"/>
      <c r="S103" s="1068">
        <f>S101-S102</f>
        <v>3.6949999999999985</v>
      </c>
      <c r="T103" s="1068">
        <f>T101-T102</f>
        <v>3.4999999999999982</v>
      </c>
      <c r="U103" s="1068">
        <f>U101-U102</f>
        <v>3.9809999999999981</v>
      </c>
      <c r="V103" s="1068">
        <f>V101-V102</f>
        <v>5.3259999999999987</v>
      </c>
      <c r="W103" s="1068"/>
      <c r="X103" s="1062"/>
      <c r="Y103" s="1029">
        <f>Y101-Y102</f>
        <v>13.361999999999998</v>
      </c>
      <c r="Z103" s="1029">
        <f>Z101-Z102</f>
        <v>15.265999999999998</v>
      </c>
      <c r="AA103" s="1029">
        <f>AA101-AA102</f>
        <v>19.066999999999993</v>
      </c>
      <c r="AB103" s="1029">
        <f>AB101-AB102</f>
        <v>22.732999999999997</v>
      </c>
      <c r="AC103" s="983"/>
      <c r="AD103" s="984"/>
      <c r="AE103" s="1029">
        <f>AE101-AE102</f>
        <v>23.091999999999995</v>
      </c>
      <c r="AF103" s="1029">
        <f>AF101-AF102</f>
        <v>23.347999999999992</v>
      </c>
      <c r="AG103" s="1029">
        <f>AG101-AG102</f>
        <v>28.463999999999992</v>
      </c>
      <c r="AH103" s="1029">
        <f>AH101-AH102</f>
        <v>32.959999999999994</v>
      </c>
      <c r="AI103" s="983"/>
      <c r="AJ103" s="984"/>
      <c r="AK103" s="1029">
        <f>AK101-AK102</f>
        <v>44.068999999999996</v>
      </c>
      <c r="AL103" s="1029">
        <f>AL101-AL102</f>
        <v>48.127999999999993</v>
      </c>
      <c r="AM103" s="1029">
        <f>AM101-AM102</f>
        <v>50.49199999999999</v>
      </c>
      <c r="AN103" s="1029">
        <f>AN101-AN102</f>
        <v>52.292999999999992</v>
      </c>
      <c r="AO103" s="983"/>
      <c r="AP103" s="984"/>
      <c r="AQ103" s="1029">
        <f>AQ101-AQ102</f>
        <v>68.311999999999998</v>
      </c>
      <c r="AR103" s="1029">
        <f>AR101-AR102</f>
        <v>72.477999999999994</v>
      </c>
      <c r="AS103" s="1029">
        <f>AS101-AS102</f>
        <v>76.182000000000002</v>
      </c>
      <c r="AT103" s="1029">
        <f>AT101-AT102</f>
        <v>77.381</v>
      </c>
      <c r="AU103" s="983"/>
      <c r="AV103" s="984"/>
      <c r="AW103" s="1029">
        <f>AW101-AW102</f>
        <v>78.664000000000001</v>
      </c>
      <c r="AX103" s="1029">
        <f>AX101-AX102</f>
        <v>85.847999999999999</v>
      </c>
      <c r="AY103" s="1029">
        <f>AY101-AY102</f>
        <v>86.335999999999999</v>
      </c>
      <c r="AZ103" s="1029">
        <f>AZ101-AZ102</f>
        <v>78.105000000000018</v>
      </c>
      <c r="BA103" s="983"/>
      <c r="BB103" s="984"/>
      <c r="BC103" s="1029">
        <f>BC101-BC102</f>
        <v>75.79000000000002</v>
      </c>
      <c r="BD103" s="1029">
        <f>BD101-BD102</f>
        <v>85.328000000000003</v>
      </c>
      <c r="BE103" s="1029">
        <f>BE101-BE102</f>
        <v>86.408000000000015</v>
      </c>
      <c r="BF103" s="1029">
        <f>BF101-BF102</f>
        <v>93.246000000000038</v>
      </c>
      <c r="BG103" s="983"/>
      <c r="BH103" s="984"/>
      <c r="BI103" s="1029">
        <f>BI101-BI102</f>
        <v>90.96700000000007</v>
      </c>
      <c r="BJ103" s="1029">
        <f>BJ101-BJ102</f>
        <v>95.779000000000053</v>
      </c>
      <c r="BK103" s="1029">
        <f>BK101-BK102</f>
        <v>88.904000000000053</v>
      </c>
      <c r="BL103" s="1029">
        <f>BL101-BL102</f>
        <v>87.605000000000018</v>
      </c>
      <c r="BM103" s="983"/>
      <c r="BN103" s="984"/>
      <c r="BO103" s="1029">
        <f>BO101-BO102</f>
        <v>82.884999999999991</v>
      </c>
      <c r="BP103" s="1029">
        <f>BP101-BP102</f>
        <v>62.189999999999941</v>
      </c>
      <c r="BQ103" s="1029">
        <f>BQ101-BQ102</f>
        <v>53.283999999999878</v>
      </c>
      <c r="BR103" s="1029">
        <f>BR101-BR102</f>
        <v>46.410999999999945</v>
      </c>
      <c r="BS103" s="983"/>
      <c r="BT103" s="984"/>
      <c r="BU103" s="1029">
        <f>BU101-BU102</f>
        <v>38.12399999999991</v>
      </c>
      <c r="BV103" s="1029">
        <f>BV101-BV102</f>
        <v>62.70699999999988</v>
      </c>
      <c r="BW103" s="1029">
        <f>BW101-BW102</f>
        <v>21.061999999999898</v>
      </c>
      <c r="BX103" s="1029">
        <f>BX101-BX102</f>
        <v>-23.902000000000044</v>
      </c>
      <c r="BY103" s="983"/>
      <c r="BZ103" s="984"/>
      <c r="CA103" s="1029">
        <f>CA101-CA102</f>
        <v>-74.61200000000008</v>
      </c>
      <c r="CB103" s="1029">
        <f>CB101-CB102</f>
        <v>-110.63200000000006</v>
      </c>
      <c r="CC103" s="1029">
        <f>CC101-CC102</f>
        <v>-149.16000000000008</v>
      </c>
      <c r="CD103" s="1029">
        <f>CD101-CD102</f>
        <v>-181.74399999999991</v>
      </c>
      <c r="CE103" s="983"/>
      <c r="CF103" s="984"/>
      <c r="CG103" s="1029">
        <f>CG101-CG102</f>
        <v>-238.58399999999983</v>
      </c>
      <c r="CH103" s="1029">
        <f>CH101-CH102</f>
        <v>-305.37599999999975</v>
      </c>
      <c r="CI103" s="1029">
        <f>CI101-CI102</f>
        <v>-359.57099999999991</v>
      </c>
      <c r="CJ103" s="1029">
        <f>CJ101-CJ102</f>
        <v>-423.01800000000003</v>
      </c>
      <c r="CK103" s="983"/>
      <c r="CL103" s="984"/>
      <c r="CM103" s="1029">
        <f>CM101-CM102</f>
        <v>-472.48900000000003</v>
      </c>
      <c r="CN103" s="1029">
        <f>CN101-CN102</f>
        <v>-525.81999999999994</v>
      </c>
      <c r="CO103" s="1029">
        <f>CO101-CO102</f>
        <v>-554.51299999999992</v>
      </c>
      <c r="CP103" s="1029">
        <f>CP101-CP102</f>
        <v>-591.30499999999984</v>
      </c>
      <c r="CQ103" s="983"/>
      <c r="CR103" s="984"/>
      <c r="CS103" s="1029">
        <f>CS101-CS102</f>
        <v>-619.81100000000015</v>
      </c>
      <c r="CT103" s="1029">
        <f>CT101-CT102</f>
        <v>-683.68000000000029</v>
      </c>
      <c r="CU103" s="1029">
        <f>CU101-CU102</f>
        <v>-759.94800000000032</v>
      </c>
      <c r="CV103" s="1029">
        <f>CV101-CV102</f>
        <v>-809.87800000000016</v>
      </c>
      <c r="CW103" s="983"/>
      <c r="CX103" s="984"/>
      <c r="CY103" s="1029">
        <f>CY101-CY102</f>
        <v>-866.66475346068046</v>
      </c>
      <c r="CZ103" s="1029">
        <f>CZ101-CZ102</f>
        <v>-968.19229592230886</v>
      </c>
      <c r="DA103" s="1029">
        <f>DA101-DA102</f>
        <v>-1097.4706640373688</v>
      </c>
      <c r="DB103" s="1029">
        <f>DB101-DB102</f>
        <v>-1202.889040890881</v>
      </c>
      <c r="DC103" s="983"/>
      <c r="DD103" s="984"/>
      <c r="DE103" s="1029">
        <f>DE101-DE102</f>
        <v>-1266.8107421582954</v>
      </c>
      <c r="DF103" s="1029">
        <f>DF101-DF102</f>
        <v>-1365.981870298644</v>
      </c>
      <c r="DG103" s="1029">
        <f>DG101-DG102</f>
        <v>-1498.5314027788163</v>
      </c>
      <c r="DH103" s="1029">
        <f>DH101-DH102</f>
        <v>-1603.241970965611</v>
      </c>
      <c r="DI103" s="983"/>
      <c r="DJ103" s="984"/>
      <c r="DK103" s="1029">
        <f>DK101-DK102</f>
        <v>-1700.047206916347</v>
      </c>
      <c r="DL103" s="1029">
        <f>DL101-DL102</f>
        <v>-1795.747601068811</v>
      </c>
      <c r="DM103" s="1029">
        <f>DM101-DM102</f>
        <v>-1931.4460977135914</v>
      </c>
      <c r="DN103" s="1029">
        <f>DN101-DN102</f>
        <v>-2010.2284777586401</v>
      </c>
      <c r="DO103" s="983"/>
      <c r="DP103" s="1029"/>
      <c r="DQ103" s="956"/>
    </row>
    <row r="104" spans="1:121" ht="12.75" hidden="1" customHeight="1" outlineLevel="1">
      <c r="A104" s="1152"/>
      <c r="B104" s="1153"/>
      <c r="C104" s="1154"/>
      <c r="D104" s="1154"/>
      <c r="E104" s="1155"/>
      <c r="F104" s="1031"/>
      <c r="G104" s="1156"/>
      <c r="H104" s="1156"/>
      <c r="I104" s="1156"/>
      <c r="J104" s="1155"/>
      <c r="K104" s="1155"/>
      <c r="L104" s="1031"/>
      <c r="M104" s="1156"/>
      <c r="N104" s="1156"/>
      <c r="O104" s="1155"/>
      <c r="P104" s="1155"/>
      <c r="Q104" s="1157"/>
      <c r="R104" s="1031"/>
      <c r="S104" s="1032"/>
      <c r="T104" s="1032"/>
      <c r="U104" s="1032"/>
      <c r="V104" s="1032"/>
      <c r="W104" s="1032"/>
      <c r="X104" s="1031"/>
      <c r="Y104" s="1032"/>
      <c r="Z104" s="1032"/>
      <c r="AA104" s="1032"/>
      <c r="AB104" s="1032"/>
      <c r="AC104" s="1033"/>
      <c r="AD104" s="1031"/>
      <c r="AE104" s="1032"/>
      <c r="AF104" s="1032"/>
      <c r="AG104" s="1032"/>
      <c r="AH104" s="1032"/>
      <c r="AI104" s="1033"/>
      <c r="AJ104" s="1031"/>
      <c r="AK104" s="1032"/>
      <c r="AL104" s="1032"/>
      <c r="AM104" s="1032"/>
      <c r="AN104" s="1032"/>
      <c r="AO104" s="1033"/>
      <c r="AP104" s="1031"/>
      <c r="AQ104" s="1032"/>
      <c r="AR104" s="1032"/>
      <c r="AS104" s="1032"/>
      <c r="AT104" s="1032"/>
      <c r="AU104" s="1033"/>
      <c r="AV104" s="1031"/>
      <c r="AW104" s="1032"/>
      <c r="AX104" s="1032"/>
      <c r="AY104" s="1032"/>
      <c r="AZ104" s="1032"/>
      <c r="BA104" s="1033"/>
      <c r="BB104" s="1031"/>
      <c r="BC104" s="1032"/>
      <c r="BD104" s="1032"/>
      <c r="BE104" s="1032"/>
      <c r="BF104" s="1032"/>
      <c r="BG104" s="1033"/>
      <c r="BH104" s="1031"/>
      <c r="BI104" s="1032"/>
      <c r="BJ104" s="1032"/>
      <c r="BK104" s="1032"/>
      <c r="BL104" s="1032"/>
      <c r="BM104" s="1033"/>
      <c r="BN104" s="1031"/>
      <c r="BO104" s="1032"/>
      <c r="BP104" s="1032"/>
      <c r="BQ104" s="1032"/>
      <c r="BR104" s="1032"/>
      <c r="BS104" s="1033"/>
      <c r="BT104" s="1031"/>
      <c r="BU104" s="1032"/>
      <c r="BV104" s="1032"/>
      <c r="BW104" s="1032"/>
      <c r="BX104" s="1032"/>
      <c r="BY104" s="1033"/>
      <c r="BZ104" s="1031"/>
      <c r="CA104" s="1032"/>
      <c r="CB104" s="1032"/>
      <c r="CC104" s="1032"/>
      <c r="CD104" s="1032"/>
      <c r="CE104" s="1033"/>
      <c r="CF104" s="1031"/>
      <c r="CG104" s="1032"/>
      <c r="CH104" s="1032"/>
      <c r="CI104" s="1032"/>
      <c r="CJ104" s="1032"/>
      <c r="CK104" s="1033"/>
      <c r="CL104" s="1031"/>
      <c r="CM104" s="1032"/>
      <c r="CN104" s="1032"/>
      <c r="CO104" s="1032"/>
      <c r="CP104" s="1032"/>
      <c r="CQ104" s="1033"/>
      <c r="CR104" s="1031"/>
      <c r="CS104" s="1032"/>
      <c r="CT104" s="1032"/>
      <c r="CU104" s="1032"/>
      <c r="CV104" s="1032"/>
      <c r="CW104" s="1033"/>
      <c r="CX104" s="1031"/>
      <c r="CY104" s="1032"/>
      <c r="CZ104" s="1032"/>
      <c r="DA104" s="1032"/>
      <c r="DB104" s="1032"/>
      <c r="DC104" s="1033"/>
      <c r="DD104" s="1031"/>
      <c r="DE104" s="1032"/>
      <c r="DF104" s="1032"/>
      <c r="DG104" s="1032"/>
      <c r="DH104" s="1032"/>
      <c r="DI104" s="1033"/>
      <c r="DJ104" s="1031"/>
      <c r="DK104" s="1032"/>
      <c r="DL104" s="1032"/>
      <c r="DM104" s="1032"/>
      <c r="DN104" s="1032"/>
      <c r="DO104" s="1033"/>
      <c r="DP104" s="1032"/>
      <c r="DQ104" s="967"/>
    </row>
    <row r="105" spans="1:121" ht="10.5" hidden="1" customHeight="1" outlineLevel="1">
      <c r="A105" s="1147" t="s">
        <v>355</v>
      </c>
      <c r="B105" s="1148"/>
      <c r="C105" s="1158">
        <f>C106+C107</f>
        <v>1.262</v>
      </c>
      <c r="D105" s="1158">
        <f>D106+D107</f>
        <v>9.1079999999999988</v>
      </c>
      <c r="E105" s="1159">
        <f>E106+E107</f>
        <v>10.23</v>
      </c>
      <c r="F105" s="1062" t="s">
        <v>946</v>
      </c>
      <c r="G105" s="1160"/>
      <c r="H105" s="1160"/>
      <c r="I105" s="1160"/>
      <c r="J105" s="1159">
        <f>J106+J107</f>
        <v>9.8390000000000004</v>
      </c>
      <c r="K105" s="1159"/>
      <c r="L105" s="1062"/>
      <c r="M105" s="1160"/>
      <c r="N105" s="1160"/>
      <c r="O105" s="1159">
        <f>O106+O107</f>
        <v>10.885999999999999</v>
      </c>
      <c r="P105" s="1159">
        <f>P106+P107</f>
        <v>12.087</v>
      </c>
      <c r="Q105" s="1068"/>
      <c r="R105" s="1062"/>
      <c r="S105" s="1034">
        <f>S107+S106</f>
        <v>11.978999999999999</v>
      </c>
      <c r="T105" s="1034">
        <f>T107+T106</f>
        <v>14.001000000000001</v>
      </c>
      <c r="U105" s="1034">
        <f>U107+U106</f>
        <v>15.34</v>
      </c>
      <c r="V105" s="1034">
        <v>17.166</v>
      </c>
      <c r="W105" s="1029"/>
      <c r="X105" s="1161"/>
      <c r="Y105" s="1034">
        <v>25.81</v>
      </c>
      <c r="Z105" s="1034">
        <v>29.097999999999999</v>
      </c>
      <c r="AA105" s="1034">
        <v>34.027000000000001</v>
      </c>
      <c r="AB105" s="1034">
        <v>39.215000000000003</v>
      </c>
      <c r="AC105" s="983"/>
      <c r="AD105" s="1161"/>
      <c r="AE105" s="1034">
        <v>41.898000000000003</v>
      </c>
      <c r="AF105" s="1034">
        <v>43.853000000000002</v>
      </c>
      <c r="AG105" s="1034">
        <v>49.475000000000001</v>
      </c>
      <c r="AH105" s="1034">
        <v>54.063000000000002</v>
      </c>
      <c r="AI105" s="983"/>
      <c r="AJ105" s="984"/>
      <c r="AK105" s="1034">
        <v>60.905000000000001</v>
      </c>
      <c r="AL105" s="1034">
        <v>67.173000000000002</v>
      </c>
      <c r="AM105" s="1034">
        <v>72.95</v>
      </c>
      <c r="AN105" s="1034">
        <v>78.83</v>
      </c>
      <c r="AO105" s="983"/>
      <c r="AP105" s="984"/>
      <c r="AQ105" s="1034">
        <f>98.199</f>
        <v>98.198999999999998</v>
      </c>
      <c r="AR105" s="1034">
        <v>102.92100000000001</v>
      </c>
      <c r="AS105" s="1034">
        <v>117.10299999999999</v>
      </c>
      <c r="AT105" s="1034">
        <v>132.99199999999999</v>
      </c>
      <c r="AU105" s="983"/>
      <c r="AV105" s="984"/>
      <c r="AW105" s="1034">
        <v>150.53100000000001</v>
      </c>
      <c r="AX105" s="1034">
        <v>166.06399999999999</v>
      </c>
      <c r="AY105" s="1034">
        <v>173.64500000000001</v>
      </c>
      <c r="AZ105" s="1034">
        <f>AZ106+AZ107</f>
        <v>167.75799999999998</v>
      </c>
      <c r="BA105" s="983"/>
      <c r="BB105" s="984"/>
      <c r="BC105" s="1034">
        <v>194.54899999999998</v>
      </c>
      <c r="BD105" s="1034">
        <f>BC105+BD115-BD112</f>
        <v>214.09804</v>
      </c>
      <c r="BE105" s="1034">
        <v>211.36199999999999</v>
      </c>
      <c r="BF105" s="1034">
        <v>494.95600000000002</v>
      </c>
      <c r="BG105" s="983"/>
      <c r="BH105" s="984"/>
      <c r="BI105" s="1034">
        <v>564.65200000000004</v>
      </c>
      <c r="BJ105" s="1034">
        <v>605.35799999999995</v>
      </c>
      <c r="BK105" s="1034">
        <v>656.98500000000001</v>
      </c>
      <c r="BL105" s="1034">
        <v>687.428</v>
      </c>
      <c r="BM105" s="983"/>
      <c r="BN105" s="984"/>
      <c r="BO105" s="1034">
        <v>728.44600000000003</v>
      </c>
      <c r="BP105" s="1034">
        <v>756.57500000000005</v>
      </c>
      <c r="BQ105" s="1034">
        <v>809.71299999999997</v>
      </c>
      <c r="BR105" s="1034">
        <v>857.60900000000004</v>
      </c>
      <c r="BS105" s="983"/>
      <c r="BT105" s="984"/>
      <c r="BU105" s="1034">
        <v>903.02599999999995</v>
      </c>
      <c r="BV105" s="1034">
        <v>1479.5250000000001</v>
      </c>
      <c r="BW105" s="1034">
        <v>1552.33</v>
      </c>
      <c r="BX105" s="1034">
        <v>1624.5229999999999</v>
      </c>
      <c r="BY105" s="983"/>
      <c r="BZ105" s="984"/>
      <c r="CA105" s="1034">
        <v>1690.9970000000001</v>
      </c>
      <c r="CB105" s="1034">
        <v>1686.924</v>
      </c>
      <c r="CC105" s="1034">
        <v>1668.3879999999999</v>
      </c>
      <c r="CD105" s="1034">
        <v>1745.693</v>
      </c>
      <c r="CE105" s="983"/>
      <c r="CF105" s="984"/>
      <c r="CG105" s="1034">
        <v>2429.8629999999998</v>
      </c>
      <c r="CH105" s="1034">
        <v>2492.31</v>
      </c>
      <c r="CI105" s="1034">
        <v>2585.6179999999999</v>
      </c>
      <c r="CJ105" s="1034">
        <v>2585.6179999999999</v>
      </c>
      <c r="CK105" s="983"/>
      <c r="CL105" s="984"/>
      <c r="CM105" s="1034">
        <v>2708.4929999999999</v>
      </c>
      <c r="CN105" s="1034">
        <v>2805.663</v>
      </c>
      <c r="CO105" s="1034">
        <v>2881.6559999999999</v>
      </c>
      <c r="CP105" s="1034">
        <v>2985.884</v>
      </c>
      <c r="CQ105" s="983"/>
      <c r="CR105" s="984"/>
      <c r="CS105" s="1034">
        <v>3128.3150000000001</v>
      </c>
      <c r="CT105" s="1034">
        <v>3230.1950000000002</v>
      </c>
      <c r="CU105" s="1034">
        <v>3319.6089999999999</v>
      </c>
      <c r="CV105" s="1034">
        <v>3402.5459999999998</v>
      </c>
      <c r="CW105" s="983"/>
      <c r="CX105" s="984"/>
      <c r="CY105" s="1034">
        <f>CV105+CY115+CY116</f>
        <v>3559.7388475295179</v>
      </c>
      <c r="CZ105" s="1034">
        <f>CY105+CZ115+CZ116</f>
        <v>3677.9280317188982</v>
      </c>
      <c r="DA105" s="1034">
        <f>CZ105+DA115+DA116</f>
        <v>3772.80527414262</v>
      </c>
      <c r="DB105" s="1034">
        <f>DA105+DB115+DB116</f>
        <v>3896.0874966812726</v>
      </c>
      <c r="DC105" s="983"/>
      <c r="DD105" s="984"/>
      <c r="DE105" s="1034">
        <f>DB105+DE115+DE116</f>
        <v>4066.9953548201374</v>
      </c>
      <c r="DF105" s="1034">
        <f>DE105+DF115+DF116</f>
        <v>4209.1764730946807</v>
      </c>
      <c r="DG105" s="1034">
        <f>DF105+DG115+DG116</f>
        <v>4323.3192685657677</v>
      </c>
      <c r="DH105" s="1034">
        <f>DG105+DH115+DH116</f>
        <v>4470.7504869522645</v>
      </c>
      <c r="DI105" s="983"/>
      <c r="DJ105" s="984"/>
      <c r="DK105" s="1034">
        <f>DH105+DK115+DK116</f>
        <v>4632.5289050005449</v>
      </c>
      <c r="DL105" s="1034">
        <f>DK105+DL115+DL116</f>
        <v>4802.3198601214553</v>
      </c>
      <c r="DM105" s="1034">
        <f>DL105+DM115+DM116</f>
        <v>4938.486836319189</v>
      </c>
      <c r="DN105" s="1034">
        <f>DM105+DN115+DN116</f>
        <v>5138.5752497335725</v>
      </c>
      <c r="DO105" s="983"/>
      <c r="DP105" s="1029"/>
      <c r="DQ105" s="956"/>
    </row>
    <row r="106" spans="1:121" ht="10.5" hidden="1" customHeight="1" outlineLevel="1">
      <c r="A106" s="1147" t="s">
        <v>241</v>
      </c>
      <c r="B106" s="1148"/>
      <c r="C106" s="1162">
        <f>CF!C85</f>
        <v>9.8000000000000004E-2</v>
      </c>
      <c r="D106" s="1162">
        <f>C106+CF!D85</f>
        <v>0.95899999999999996</v>
      </c>
      <c r="E106" s="1163">
        <v>3.2639999999999998</v>
      </c>
      <c r="F106" s="1062"/>
      <c r="G106" s="1162"/>
      <c r="H106" s="1162"/>
      <c r="I106" s="1162"/>
      <c r="J106" s="1163">
        <v>4.851</v>
      </c>
      <c r="K106" s="1159"/>
      <c r="L106" s="1062"/>
      <c r="M106" s="1162"/>
      <c r="N106" s="1162"/>
      <c r="O106" s="1163">
        <v>6.4569999999999999</v>
      </c>
      <c r="P106" s="1163">
        <v>7.0179999999999998</v>
      </c>
      <c r="Q106" s="1159"/>
      <c r="R106" s="1062"/>
      <c r="S106" s="1030">
        <v>7.431</v>
      </c>
      <c r="T106" s="1030">
        <v>8.0150000000000006</v>
      </c>
      <c r="U106" s="1030">
        <v>8.8149999999999995</v>
      </c>
      <c r="V106" s="1030">
        <f>V105-V107</f>
        <v>9.5289999999999999</v>
      </c>
      <c r="W106" s="1029"/>
      <c r="X106" s="1062"/>
      <c r="Y106" s="1030">
        <v>10.521000000000001</v>
      </c>
      <c r="Z106" s="1030">
        <v>11.818</v>
      </c>
      <c r="AA106" s="1030">
        <v>13.173999999999999</v>
      </c>
      <c r="AB106" s="1030">
        <v>14.999000000000001</v>
      </c>
      <c r="AC106" s="983"/>
      <c r="AD106" s="1062"/>
      <c r="AE106" s="1030">
        <v>17.111999999999998</v>
      </c>
      <c r="AF106" s="1030">
        <v>19.010999999999999</v>
      </c>
      <c r="AG106" s="1030">
        <v>21.324000000000002</v>
      </c>
      <c r="AH106" s="1030">
        <v>23.908000000000001</v>
      </c>
      <c r="AI106" s="983"/>
      <c r="AJ106" s="984"/>
      <c r="AK106" s="1030">
        <v>27.056000000000001</v>
      </c>
      <c r="AL106" s="1030">
        <v>30.483000000000001</v>
      </c>
      <c r="AM106" s="1030">
        <v>34.036999999999999</v>
      </c>
      <c r="AN106" s="1030">
        <v>37.450000000000003</v>
      </c>
      <c r="AO106" s="983"/>
      <c r="AP106" s="984"/>
      <c r="AQ106" s="1030">
        <v>41.383000000000003</v>
      </c>
      <c r="AR106" s="1030">
        <v>46.277999999999999</v>
      </c>
      <c r="AS106" s="1030">
        <v>50.27</v>
      </c>
      <c r="AT106" s="1030">
        <v>55.965000000000003</v>
      </c>
      <c r="AU106" s="983"/>
      <c r="AV106" s="984"/>
      <c r="AW106" s="1030">
        <v>62.052</v>
      </c>
      <c r="AX106" s="1030">
        <f>AX105-AX107</f>
        <v>69.593999999999994</v>
      </c>
      <c r="AY106" s="1030">
        <v>78.046999999999997</v>
      </c>
      <c r="AZ106" s="1030">
        <f>AY106+AZ118</f>
        <v>78.046999999999997</v>
      </c>
      <c r="BA106" s="983"/>
      <c r="BB106" s="984"/>
      <c r="BC106" s="1030">
        <v>107.839</v>
      </c>
      <c r="BD106" s="1030">
        <f>BC106+BD118</f>
        <v>107.839</v>
      </c>
      <c r="BE106" s="1030">
        <v>95.284000000000006</v>
      </c>
      <c r="BF106" s="1030">
        <v>107.782</v>
      </c>
      <c r="BG106" s="983"/>
      <c r="BH106" s="984"/>
      <c r="BI106" s="1030">
        <v>118.384</v>
      </c>
      <c r="BJ106" s="1030">
        <v>135.28800000000001</v>
      </c>
      <c r="BK106" s="1030">
        <v>152.15799999999999</v>
      </c>
      <c r="BL106" s="1030">
        <v>159.482</v>
      </c>
      <c r="BM106" s="983"/>
      <c r="BN106" s="984"/>
      <c r="BO106" s="1030">
        <v>178.714</v>
      </c>
      <c r="BP106" s="1030">
        <v>199.79900000000001</v>
      </c>
      <c r="BQ106" s="1030">
        <v>225.874</v>
      </c>
      <c r="BR106" s="1030">
        <v>252.94</v>
      </c>
      <c r="BS106" s="983"/>
      <c r="BT106" s="984"/>
      <c r="BU106" s="1030">
        <v>279.34199999999998</v>
      </c>
      <c r="BV106" s="1030">
        <v>294.66399999999999</v>
      </c>
      <c r="BW106" s="1030">
        <v>346.98099999999999</v>
      </c>
      <c r="BX106" s="1030">
        <v>383.77699999999999</v>
      </c>
      <c r="BY106" s="983"/>
      <c r="BZ106" s="984"/>
      <c r="CA106" s="1030">
        <f>439.997</f>
        <v>439.99700000000001</v>
      </c>
      <c r="CB106" s="1030">
        <f>496.994</f>
        <v>496.99400000000003</v>
      </c>
      <c r="CC106" s="1030">
        <v>558.572</v>
      </c>
      <c r="CD106" s="1030">
        <v>619.827</v>
      </c>
      <c r="CE106" s="983"/>
      <c r="CF106" s="984"/>
      <c r="CG106" s="1030">
        <v>692.76900000000001</v>
      </c>
      <c r="CH106" s="1030">
        <v>767.12599999999998</v>
      </c>
      <c r="CI106" s="1030">
        <v>843.476</v>
      </c>
      <c r="CJ106" s="1030">
        <v>843.476</v>
      </c>
      <c r="CK106" s="983"/>
      <c r="CL106" s="984"/>
      <c r="CM106" s="1030">
        <v>997.02099999999996</v>
      </c>
      <c r="CN106" s="1030">
        <v>1077.42</v>
      </c>
      <c r="CO106" s="1030">
        <v>1124.9829999999999</v>
      </c>
      <c r="CP106" s="1030">
        <v>1198.3499999999999</v>
      </c>
      <c r="CQ106" s="983"/>
      <c r="CR106" s="984"/>
      <c r="CS106" s="1030">
        <v>1281.902</v>
      </c>
      <c r="CT106" s="1030">
        <v>1363.6189999999999</v>
      </c>
      <c r="CU106" s="1030">
        <v>1454.7180000000001</v>
      </c>
      <c r="CV106" s="1030">
        <v>1456.019</v>
      </c>
      <c r="CW106" s="983"/>
      <c r="CX106" s="984"/>
      <c r="CY106" s="1030">
        <f>CV106+CY109</f>
        <v>1601.0666009901984</v>
      </c>
      <c r="CZ106" s="1030">
        <f>CY106+CZ109</f>
        <v>1751.851327641207</v>
      </c>
      <c r="DA106" s="1030">
        <f>CZ106+DA109</f>
        <v>1907.0749381799887</v>
      </c>
      <c r="DB106" s="1030">
        <f>DA106+DB109</f>
        <v>2066.8435375721533</v>
      </c>
      <c r="DC106" s="983"/>
      <c r="DD106" s="984"/>
      <c r="DE106" s="1030">
        <f>DB106+DE109</f>
        <v>2232.7410969784328</v>
      </c>
      <c r="DF106" s="1030">
        <f>DE106+DF109</f>
        <v>2405.1613433933248</v>
      </c>
      <c r="DG106" s="1030">
        <f>DF106+DG109</f>
        <v>2582.921671344584</v>
      </c>
      <c r="DH106" s="1030">
        <f>DG106+DH109</f>
        <v>2766.1314579178761</v>
      </c>
      <c r="DI106" s="983"/>
      <c r="DJ106" s="984"/>
      <c r="DK106" s="1030">
        <f>DH106+DK109</f>
        <v>2955.7831119168932</v>
      </c>
      <c r="DL106" s="1030">
        <f>DK106+DL109</f>
        <v>3152.3424611902683</v>
      </c>
      <c r="DM106" s="1030">
        <f>DL106+DM109</f>
        <v>3355.2759340327816</v>
      </c>
      <c r="DN106" s="1030">
        <f>DM106+DN109</f>
        <v>3565.214727492214</v>
      </c>
      <c r="DO106" s="983"/>
      <c r="DP106" s="1029"/>
      <c r="DQ106" s="956"/>
    </row>
    <row r="107" spans="1:121" ht="10.5" hidden="1" customHeight="1" outlineLevel="1">
      <c r="A107" s="1147" t="s">
        <v>448</v>
      </c>
      <c r="B107" s="1148"/>
      <c r="C107" s="1158">
        <f>C19</f>
        <v>1.1639999999999999</v>
      </c>
      <c r="D107" s="1158">
        <f>D19</f>
        <v>8.1489999999999991</v>
      </c>
      <c r="E107" s="1159">
        <f>E19</f>
        <v>6.9660000000000002</v>
      </c>
      <c r="F107" s="1062"/>
      <c r="G107" s="1160"/>
      <c r="H107" s="1160"/>
      <c r="I107" s="1160"/>
      <c r="J107" s="1159">
        <f>J19</f>
        <v>4.9880000000000004</v>
      </c>
      <c r="K107" s="1159"/>
      <c r="L107" s="1062"/>
      <c r="M107" s="1160"/>
      <c r="N107" s="1160"/>
      <c r="O107" s="1159">
        <f>O19</f>
        <v>4.4290000000000003</v>
      </c>
      <c r="P107" s="1159">
        <f>P19</f>
        <v>5.069</v>
      </c>
      <c r="Q107" s="1068"/>
      <c r="R107" s="1062"/>
      <c r="S107" s="1029">
        <f>S19</f>
        <v>4.548</v>
      </c>
      <c r="T107" s="1029">
        <f>T19</f>
        <v>5.9859999999999998</v>
      </c>
      <c r="U107" s="1029">
        <f>U19</f>
        <v>6.5250000000000004</v>
      </c>
      <c r="V107" s="1029">
        <f>V19</f>
        <v>7.6369999999999996</v>
      </c>
      <c r="W107" s="1029"/>
      <c r="X107" s="1161"/>
      <c r="Y107" s="1164">
        <f>Y105-Y106</f>
        <v>15.288999999999998</v>
      </c>
      <c r="Z107" s="1164">
        <f>Z105-Z106</f>
        <v>17.28</v>
      </c>
      <c r="AA107" s="1164">
        <f>AA105-AA106</f>
        <v>20.853000000000002</v>
      </c>
      <c r="AB107" s="1029">
        <f>AB105-AB106</f>
        <v>24.216000000000001</v>
      </c>
      <c r="AC107" s="983"/>
      <c r="AD107" s="1161"/>
      <c r="AE107" s="1029">
        <f>AE105-AE106</f>
        <v>24.786000000000005</v>
      </c>
      <c r="AF107" s="1029">
        <f>AF105-AF106</f>
        <v>24.842000000000002</v>
      </c>
      <c r="AG107" s="1029">
        <f>AG105-AG106</f>
        <v>28.151</v>
      </c>
      <c r="AH107" s="1029">
        <f>AH105-AH106</f>
        <v>30.155000000000001</v>
      </c>
      <c r="AI107" s="983"/>
      <c r="AJ107" s="984"/>
      <c r="AK107" s="1029">
        <f>AK105-AK106</f>
        <v>33.849000000000004</v>
      </c>
      <c r="AL107" s="1029">
        <f>AL105-AL106</f>
        <v>36.69</v>
      </c>
      <c r="AM107" s="1029">
        <f>AM105-AM106</f>
        <v>38.913000000000004</v>
      </c>
      <c r="AN107" s="1029">
        <f>AN105-AN106</f>
        <v>41.379999999999995</v>
      </c>
      <c r="AO107" s="983"/>
      <c r="AP107" s="984"/>
      <c r="AQ107" s="1029">
        <f>AQ105-AQ106</f>
        <v>56.815999999999995</v>
      </c>
      <c r="AR107" s="1029">
        <f>AR105-AR106</f>
        <v>56.643000000000008</v>
      </c>
      <c r="AS107" s="1029">
        <f>AS105-AS106</f>
        <v>66.832999999999998</v>
      </c>
      <c r="AT107" s="1029">
        <f>AT105-AT106</f>
        <v>77.026999999999987</v>
      </c>
      <c r="AU107" s="983"/>
      <c r="AV107" s="984"/>
      <c r="AW107" s="1029">
        <f>AW105-AW106</f>
        <v>88.479000000000013</v>
      </c>
      <c r="AX107" s="1029">
        <f>AX19</f>
        <v>96.47</v>
      </c>
      <c r="AY107" s="1029">
        <f>AY105-AY106</f>
        <v>95.598000000000013</v>
      </c>
      <c r="AZ107" s="1029">
        <f>AZ19</f>
        <v>89.710999999999999</v>
      </c>
      <c r="BA107" s="983"/>
      <c r="BB107" s="984"/>
      <c r="BC107" s="1029">
        <v>86.71</v>
      </c>
      <c r="BD107" s="1029">
        <f>BD105-BD106</f>
        <v>106.25904</v>
      </c>
      <c r="BE107" s="1029">
        <f>BE105-BE106</f>
        <v>116.07799999999999</v>
      </c>
      <c r="BF107" s="1029">
        <f>BF105-BF106</f>
        <v>387.17400000000004</v>
      </c>
      <c r="BG107" s="983"/>
      <c r="BH107" s="984"/>
      <c r="BI107" s="1029">
        <f>BI105-BI106</f>
        <v>446.26800000000003</v>
      </c>
      <c r="BJ107" s="1029">
        <f>BJ105-BJ106</f>
        <v>470.06999999999994</v>
      </c>
      <c r="BK107" s="1029">
        <f>BK105-BK106</f>
        <v>504.827</v>
      </c>
      <c r="BL107" s="1029">
        <f>BL105-BL106</f>
        <v>527.94600000000003</v>
      </c>
      <c r="BM107" s="983"/>
      <c r="BN107" s="984"/>
      <c r="BO107" s="1029">
        <f>BO105-BO106</f>
        <v>549.73199999999997</v>
      </c>
      <c r="BP107" s="1029">
        <f>BP105-BP106</f>
        <v>556.77600000000007</v>
      </c>
      <c r="BQ107" s="1029">
        <f>BQ105-BQ106</f>
        <v>583.83899999999994</v>
      </c>
      <c r="BR107" s="1029">
        <f>BR105-BR106</f>
        <v>604.6690000000001</v>
      </c>
      <c r="BS107" s="983"/>
      <c r="BT107" s="984"/>
      <c r="BU107" s="1029">
        <f>BU105-BU106</f>
        <v>623.68399999999997</v>
      </c>
      <c r="BV107" s="1029">
        <f>BV105-BV106</f>
        <v>1184.8610000000001</v>
      </c>
      <c r="BW107" s="1029">
        <f>BW105-BW106</f>
        <v>1205.3489999999999</v>
      </c>
      <c r="BX107" s="1029">
        <f>BX105-BX106</f>
        <v>1240.7459999999999</v>
      </c>
      <c r="BY107" s="983"/>
      <c r="BZ107" s="984"/>
      <c r="CA107" s="1029">
        <f>CA105-CA106</f>
        <v>1251</v>
      </c>
      <c r="CB107" s="1029">
        <f>CB105-CB106</f>
        <v>1189.9299999999998</v>
      </c>
      <c r="CC107" s="1029">
        <f>CC105-CC106</f>
        <v>1109.8159999999998</v>
      </c>
      <c r="CD107" s="1029">
        <f>CD105-CD106</f>
        <v>1125.866</v>
      </c>
      <c r="CE107" s="983"/>
      <c r="CF107" s="984"/>
      <c r="CG107" s="1029">
        <f>CG105-CG106</f>
        <v>1737.0939999999998</v>
      </c>
      <c r="CH107" s="1029">
        <f>CH105-CH106</f>
        <v>1725.184</v>
      </c>
      <c r="CI107" s="1029">
        <f>CI105-CI106</f>
        <v>1742.1419999999998</v>
      </c>
      <c r="CJ107" s="1029">
        <f>CJ105-CJ106</f>
        <v>1742.1419999999998</v>
      </c>
      <c r="CK107" s="983"/>
      <c r="CL107" s="984"/>
      <c r="CM107" s="1029">
        <f>CM105-CM106</f>
        <v>1711.472</v>
      </c>
      <c r="CN107" s="1029">
        <f>CN105-CN106</f>
        <v>1728.2429999999999</v>
      </c>
      <c r="CO107" s="1029">
        <f>CO105-CO106</f>
        <v>1756.673</v>
      </c>
      <c r="CP107" s="1029">
        <f>CP105-CP106</f>
        <v>1787.5340000000001</v>
      </c>
      <c r="CQ107" s="983"/>
      <c r="CR107" s="984"/>
      <c r="CS107" s="1029">
        <f>CS105-CS106</f>
        <v>1846.413</v>
      </c>
      <c r="CT107" s="1029">
        <f>CT105-CT106</f>
        <v>1866.5760000000002</v>
      </c>
      <c r="CU107" s="1029">
        <f>CU105-CU106</f>
        <v>1864.8909999999998</v>
      </c>
      <c r="CV107" s="1029">
        <f>CV105-CV106</f>
        <v>1946.5269999999998</v>
      </c>
      <c r="CW107" s="983"/>
      <c r="CX107" s="984"/>
      <c r="CY107" s="1029">
        <f>CY105-CY106</f>
        <v>1958.6722465393195</v>
      </c>
      <c r="CZ107" s="1029">
        <f>CZ105-CZ106</f>
        <v>1926.0767040776911</v>
      </c>
      <c r="DA107" s="1029">
        <f>DA105-DA106</f>
        <v>1865.7303359626312</v>
      </c>
      <c r="DB107" s="1029">
        <f>DB105-DB106</f>
        <v>1829.2439591091193</v>
      </c>
      <c r="DC107" s="983"/>
      <c r="DD107" s="984"/>
      <c r="DE107" s="1029">
        <f>DE105-DE106</f>
        <v>1834.2542578417047</v>
      </c>
      <c r="DF107" s="1029">
        <f>DF105-DF106</f>
        <v>1804.0151297013558</v>
      </c>
      <c r="DG107" s="1029">
        <f>DG105-DG106</f>
        <v>1740.3975972211838</v>
      </c>
      <c r="DH107" s="1029">
        <f>DH105-DH106</f>
        <v>1704.6190290343884</v>
      </c>
      <c r="DI107" s="983"/>
      <c r="DJ107" s="984"/>
      <c r="DK107" s="1029">
        <f>DK105-DK106</f>
        <v>1676.7457930836517</v>
      </c>
      <c r="DL107" s="1029">
        <f>DL105-DL106</f>
        <v>1649.9773989311871</v>
      </c>
      <c r="DM107" s="1029">
        <f>DM105-DM106</f>
        <v>1583.2109022864074</v>
      </c>
      <c r="DN107" s="1029">
        <f>DN105-DN106</f>
        <v>1573.3605222413585</v>
      </c>
      <c r="DO107" s="983"/>
      <c r="DP107" s="1029"/>
      <c r="DQ107" s="956"/>
    </row>
    <row r="108" spans="1:121" ht="10.5" hidden="1" customHeight="1" outlineLevel="1">
      <c r="A108" s="1165"/>
      <c r="B108" s="1166"/>
      <c r="C108" s="1167"/>
      <c r="D108" s="1167"/>
      <c r="E108" s="1167">
        <f>E103-E107</f>
        <v>-2.484</v>
      </c>
      <c r="F108" s="1168"/>
      <c r="G108" s="1036"/>
      <c r="H108" s="1036"/>
      <c r="I108" s="1036"/>
      <c r="J108" s="1167">
        <f>J103-J107</f>
        <v>-1.1480000000000006</v>
      </c>
      <c r="K108" s="1167"/>
      <c r="L108" s="1168"/>
      <c r="M108" s="1036"/>
      <c r="N108" s="1036"/>
      <c r="O108" s="1167"/>
      <c r="P108" s="1167"/>
      <c r="Q108" s="1169"/>
      <c r="R108" s="1168"/>
      <c r="S108" s="1036"/>
      <c r="T108" s="1036"/>
      <c r="U108" s="1036"/>
      <c r="V108" s="1036"/>
      <c r="W108" s="1036"/>
      <c r="X108" s="1168"/>
      <c r="Y108" s="1036"/>
      <c r="Z108" s="1036"/>
      <c r="AA108" s="1036"/>
      <c r="AB108" s="1036"/>
      <c r="AC108" s="1037"/>
      <c r="AD108" s="1168"/>
      <c r="AE108" s="1036"/>
      <c r="AF108" s="1036"/>
      <c r="AG108" s="1036"/>
      <c r="AH108" s="1036"/>
      <c r="AI108" s="1037"/>
      <c r="AJ108" s="1035"/>
      <c r="AK108" s="1036"/>
      <c r="AL108" s="1036"/>
      <c r="AM108" s="1036"/>
      <c r="AN108" s="1036"/>
      <c r="AO108" s="1037"/>
      <c r="AP108" s="1035"/>
      <c r="AQ108" s="1036"/>
      <c r="AR108" s="1036"/>
      <c r="AS108" s="1036"/>
      <c r="AT108" s="1036"/>
      <c r="AU108" s="1037"/>
      <c r="AV108" s="1035"/>
      <c r="AW108" s="1036"/>
      <c r="AX108" s="1036"/>
      <c r="AY108" s="1036"/>
      <c r="AZ108" s="1036"/>
      <c r="BA108" s="1037"/>
      <c r="BB108" s="1035"/>
      <c r="BC108" s="1036"/>
      <c r="BD108" s="1036"/>
      <c r="BE108" s="1036"/>
      <c r="BF108" s="1036"/>
      <c r="BG108" s="1037"/>
      <c r="BH108" s="1035"/>
      <c r="BI108" s="1036"/>
      <c r="BJ108" s="1036"/>
      <c r="BK108" s="1036"/>
      <c r="BL108" s="1036"/>
      <c r="BM108" s="1037"/>
      <c r="BN108" s="1035"/>
      <c r="BO108" s="1036"/>
      <c r="BP108" s="1036"/>
      <c r="BQ108" s="1036"/>
      <c r="BR108" s="1036"/>
      <c r="BS108" s="1037"/>
      <c r="BT108" s="1035"/>
      <c r="BU108" s="1036"/>
      <c r="BV108" s="1036"/>
      <c r="BW108" s="1036"/>
      <c r="BX108" s="1036"/>
      <c r="BY108" s="1037"/>
      <c r="BZ108" s="1035"/>
      <c r="CA108" s="1036"/>
      <c r="CB108" s="1036"/>
      <c r="CC108" s="1036"/>
      <c r="CD108" s="1036"/>
      <c r="CE108" s="1037"/>
      <c r="CF108" s="1035"/>
      <c r="CG108" s="1036"/>
      <c r="CH108" s="1036"/>
      <c r="CI108" s="1036"/>
      <c r="CJ108" s="1036"/>
      <c r="CK108" s="1037"/>
      <c r="CL108" s="1035"/>
      <c r="CM108" s="1036"/>
      <c r="CN108" s="1036"/>
      <c r="CO108" s="1036"/>
      <c r="CP108" s="1036"/>
      <c r="CQ108" s="1037"/>
      <c r="CR108" s="1035"/>
      <c r="CS108" s="1036"/>
      <c r="CT108" s="1036"/>
      <c r="CU108" s="1036"/>
      <c r="CV108" s="1036"/>
      <c r="CW108" s="1037"/>
      <c r="CX108" s="1035"/>
      <c r="CY108" s="1036"/>
      <c r="CZ108" s="1036"/>
      <c r="DA108" s="1036"/>
      <c r="DB108" s="1036"/>
      <c r="DC108" s="1037"/>
      <c r="DD108" s="1035"/>
      <c r="DE108" s="1036"/>
      <c r="DF108" s="1036"/>
      <c r="DG108" s="1036"/>
      <c r="DH108" s="1036"/>
      <c r="DI108" s="1037"/>
      <c r="DJ108" s="1035"/>
      <c r="DK108" s="1036"/>
      <c r="DL108" s="1036"/>
      <c r="DM108" s="1036"/>
      <c r="DN108" s="1036"/>
      <c r="DO108" s="1037"/>
      <c r="DP108" s="1036"/>
      <c r="DQ108" s="968"/>
    </row>
    <row r="109" spans="1:121" ht="10.5" hidden="1" customHeight="1" outlineLevel="1">
      <c r="A109" s="1147" t="s">
        <v>720</v>
      </c>
      <c r="B109" s="1148"/>
      <c r="C109" s="1162"/>
      <c r="D109" s="1162"/>
      <c r="E109" s="1163"/>
      <c r="F109" s="1062"/>
      <c r="G109" s="1162"/>
      <c r="H109" s="1162"/>
      <c r="I109" s="1162"/>
      <c r="J109" s="1163"/>
      <c r="K109" s="1159"/>
      <c r="L109" s="1062"/>
      <c r="M109" s="1162"/>
      <c r="N109" s="1162"/>
      <c r="O109" s="1163"/>
      <c r="P109" s="1163"/>
      <c r="Q109" s="1159"/>
      <c r="R109" s="1062"/>
      <c r="S109" s="1030">
        <f>CF!S85</f>
        <v>0.748</v>
      </c>
      <c r="T109" s="1030">
        <f>CF!T85</f>
        <v>0.67900000000000005</v>
      </c>
      <c r="U109" s="1030">
        <f>CF!U85</f>
        <v>0.79999999999999982</v>
      </c>
      <c r="V109" s="1030">
        <f>CF!V85</f>
        <v>0.91999999999999993</v>
      </c>
      <c r="W109" s="1029">
        <f>SUM(S109:V109)</f>
        <v>3.1469999999999998</v>
      </c>
      <c r="X109" s="1062"/>
      <c r="Y109" s="1030">
        <f>CF!Y85</f>
        <v>1.121</v>
      </c>
      <c r="Z109" s="1030">
        <f>CF!Z85</f>
        <v>1.468</v>
      </c>
      <c r="AA109" s="1030">
        <f>CF!AA85</f>
        <v>1.4899999999999998</v>
      </c>
      <c r="AB109" s="1030">
        <f>CF!AB85</f>
        <v>1.9480000000000004</v>
      </c>
      <c r="AC109" s="983">
        <f>SUM(Y109:AB109)</f>
        <v>6.0270000000000001</v>
      </c>
      <c r="AD109" s="1062"/>
      <c r="AE109" s="1030">
        <f>CF!AE85</f>
        <v>2.2360000000000002</v>
      </c>
      <c r="AF109" s="1030">
        <f>CF!AF85</f>
        <v>2.5619999999999998</v>
      </c>
      <c r="AG109" s="1030">
        <f>CF!AG85</f>
        <v>3.9689999999999994</v>
      </c>
      <c r="AH109" s="1030">
        <f>CF!AH85</f>
        <v>3.1289999999999996</v>
      </c>
      <c r="AI109" s="983">
        <f>SUM(AE109:AH109)</f>
        <v>11.895999999999999</v>
      </c>
      <c r="AJ109" s="984"/>
      <c r="AK109" s="1030">
        <f>CF!AK85</f>
        <v>4.8479999999999999</v>
      </c>
      <c r="AL109" s="1030">
        <f>CF!AL85</f>
        <v>6.0450000000000008</v>
      </c>
      <c r="AM109" s="1030">
        <f>CF!AM85</f>
        <v>6.7579999999999991</v>
      </c>
      <c r="AN109" s="1030">
        <f>CF!AN85</f>
        <v>6.5680000000000014</v>
      </c>
      <c r="AO109" s="983">
        <f>SUM(AK109:AN109)</f>
        <v>24.219000000000001</v>
      </c>
      <c r="AP109" s="984"/>
      <c r="AQ109" s="1030">
        <f>CF!AQ85</f>
        <v>8.1579999999999995</v>
      </c>
      <c r="AR109" s="1030">
        <f>CF!AR85</f>
        <v>8.8699999999999992</v>
      </c>
      <c r="AS109" s="1030">
        <f>CF!AS85</f>
        <v>7.91</v>
      </c>
      <c r="AT109" s="1030">
        <f>CF!AT85</f>
        <v>11.032999999999998</v>
      </c>
      <c r="AU109" s="983">
        <f>SUM(AQ109:AT109)</f>
        <v>35.970999999999997</v>
      </c>
      <c r="AV109" s="984"/>
      <c r="AW109" s="1030">
        <f>CF!AW85</f>
        <v>12.145</v>
      </c>
      <c r="AX109" s="1030">
        <f>CF!AX85</f>
        <v>12.144000000000002</v>
      </c>
      <c r="AY109" s="1030">
        <f>CF!AY85</f>
        <v>13.600999999999999</v>
      </c>
      <c r="AZ109" s="1030">
        <f>CF!AZ85</f>
        <v>15.286999999999999</v>
      </c>
      <c r="BA109" s="983">
        <f>SUM(AW109:AZ109)</f>
        <v>53.177</v>
      </c>
      <c r="BB109" s="984"/>
      <c r="BC109" s="1030">
        <f>14.505-Model!BC55</f>
        <v>12.005000000000001</v>
      </c>
      <c r="BD109" s="1030">
        <f>CF!BD85-Model!BD55</f>
        <v>12.677</v>
      </c>
      <c r="BE109" s="1030">
        <f>CF!BE85-Model!BE55</f>
        <v>14.529</v>
      </c>
      <c r="BF109" s="1030">
        <f>CF!BF85-Model!BF55</f>
        <v>16.870999999999992</v>
      </c>
      <c r="BG109" s="983">
        <f>SUM(BC109:BF109)</f>
        <v>56.081999999999994</v>
      </c>
      <c r="BH109" s="984"/>
      <c r="BI109" s="1030">
        <f>CF!BI85-Model!BI55</f>
        <v>19.257999999999999</v>
      </c>
      <c r="BJ109" s="1030">
        <f>CF!BJ85-Model!BJ55</f>
        <v>21.559999999999992</v>
      </c>
      <c r="BK109" s="1030">
        <f>CF!BK85-Model!BK55</f>
        <v>23.131000000000011</v>
      </c>
      <c r="BL109" s="1030">
        <f>CF!BL85-Model!BL55</f>
        <v>26.017999999999997</v>
      </c>
      <c r="BM109" s="983">
        <f>SUM(BI109:BL109)</f>
        <v>89.966999999999999</v>
      </c>
      <c r="BN109" s="984"/>
      <c r="BO109" s="1030">
        <f>CF!BO85-Model!BO55</f>
        <v>28.566000000000003</v>
      </c>
      <c r="BP109" s="1030">
        <f>CF!BP85-Model!BP55</f>
        <v>29.923999999999996</v>
      </c>
      <c r="BQ109" s="1030">
        <f>CF!BQ85-Model!BQ55</f>
        <v>33.718000000000004</v>
      </c>
      <c r="BR109" s="1030">
        <f>CF!BR85-Model!BR55</f>
        <v>36.415999999999983</v>
      </c>
      <c r="BS109" s="983">
        <f>SUM(BO109:BR109)</f>
        <v>128.62399999999997</v>
      </c>
      <c r="BT109" s="984"/>
      <c r="BU109" s="1030">
        <f>CF!BU85-Model!BU55</f>
        <v>38.531999999999996</v>
      </c>
      <c r="BV109" s="1030">
        <f>CF!BV85-Model!BV55</f>
        <v>50.940000000000012</v>
      </c>
      <c r="BW109" s="1030">
        <f>CF!BW85-Model!BW55</f>
        <v>65.292000000000002</v>
      </c>
      <c r="BX109" s="1030">
        <f>CF!BX85-Model!BX55</f>
        <v>68.123999999999995</v>
      </c>
      <c r="BY109" s="983">
        <f>SUM(BU109:BX109)</f>
        <v>222.88800000000001</v>
      </c>
      <c r="BZ109" s="984"/>
      <c r="CA109" s="1030">
        <f>CF!CA85-Model!CA55</f>
        <v>67.171000000000006</v>
      </c>
      <c r="CB109" s="1030">
        <f>CF!CB85-Model!CB55</f>
        <v>71.676999999999992</v>
      </c>
      <c r="CC109" s="1030">
        <f>CF!CC85-Model!CC55</f>
        <v>76.50800000000001</v>
      </c>
      <c r="CD109" s="1030">
        <f>CF!CD85-Model!CD55</f>
        <v>77.966999999999985</v>
      </c>
      <c r="CE109" s="983">
        <f>SUM(CA109:CD109)</f>
        <v>293.32299999999998</v>
      </c>
      <c r="CF109" s="984"/>
      <c r="CG109" s="1030">
        <f>CF!CG85-Model!CG55</f>
        <v>88.210000000000008</v>
      </c>
      <c r="CH109" s="1030">
        <f>CF!CH85-Model!CH55</f>
        <v>91.833999999999946</v>
      </c>
      <c r="CI109" s="1030">
        <f>CF!CI85-Model!CI55</f>
        <v>94.974000000000046</v>
      </c>
      <c r="CJ109" s="1030">
        <f>CF!CJ85-Model!CJ55</f>
        <v>92.661999999999978</v>
      </c>
      <c r="CK109" s="983">
        <f>SUM(CG109:CJ109)</f>
        <v>367.68</v>
      </c>
      <c r="CL109" s="984"/>
      <c r="CM109" s="1030">
        <f>CF!CM85-Model!CM55</f>
        <v>95.170999999999992</v>
      </c>
      <c r="CN109" s="1030">
        <f>CF!CN85-Model!CN55</f>
        <v>100.666</v>
      </c>
      <c r="CO109" s="1030">
        <f>CF!CO85-Model!CO55</f>
        <v>104.57900000000001</v>
      </c>
      <c r="CP109" s="1030">
        <f>CF!CP85-Model!CP55</f>
        <v>106.55200000000002</v>
      </c>
      <c r="CQ109" s="983">
        <f>SUM(CM109:CP109)</f>
        <v>406.96800000000002</v>
      </c>
      <c r="CR109" s="984"/>
      <c r="CS109" s="1030">
        <f>CF!CS85-Model!CS55</f>
        <v>110.878</v>
      </c>
      <c r="CT109" s="1030">
        <f>CF!CT85-Model!CT55</f>
        <v>118.211</v>
      </c>
      <c r="CU109" s="1030">
        <f>CF!CU85-Model!CU55</f>
        <v>117.86899999999993</v>
      </c>
      <c r="CV109" s="1030">
        <f>CF!CV85-Model!CV55</f>
        <v>118.75700000000008</v>
      </c>
      <c r="CW109" s="983">
        <f>SUM(CS109:CV109)</f>
        <v>465.71499999999997</v>
      </c>
      <c r="CX109" s="984"/>
      <c r="CY109" s="1030">
        <f>(AVERAGE(CY105,CV105))/CY110/4</f>
        <v>145.04760099019828</v>
      </c>
      <c r="CZ109" s="1030">
        <f>(AVERAGE(CZ105,CY105))/CZ110/4</f>
        <v>150.78472665100867</v>
      </c>
      <c r="DA109" s="1030">
        <f>(AVERAGE(DA105,CZ105))/DA110/4</f>
        <v>155.22361053878163</v>
      </c>
      <c r="DB109" s="1030">
        <f>(AVERAGE(DB105,DA105))/DB110/4</f>
        <v>159.76859939216442</v>
      </c>
      <c r="DC109" s="983">
        <f>SUM(CY109:DB109)</f>
        <v>610.82453757215296</v>
      </c>
      <c r="DD109" s="984"/>
      <c r="DE109" s="1030">
        <f>(AVERAGE(DE105,DB105))/DE110/4</f>
        <v>165.89755940627938</v>
      </c>
      <c r="DF109" s="1030">
        <f>(AVERAGE(DF105,DE105))/DF110/4</f>
        <v>172.42024641489206</v>
      </c>
      <c r="DG109" s="1030">
        <f>(AVERAGE(DG105,DF105))/DG110/4</f>
        <v>177.76032795125934</v>
      </c>
      <c r="DH109" s="1030">
        <f>(AVERAGE(DH105,DG105))/DH110/4</f>
        <v>183.20978657329235</v>
      </c>
      <c r="DI109" s="983">
        <f>SUM(DE109:DH109)</f>
        <v>699.28792034572314</v>
      </c>
      <c r="DJ109" s="984"/>
      <c r="DK109" s="1030">
        <f>(AVERAGE(DK105,DH105))/DK110/4</f>
        <v>189.65165399901684</v>
      </c>
      <c r="DL109" s="1030">
        <f>(AVERAGE(DL105,DK105))/DL110/4</f>
        <v>196.55934927337501</v>
      </c>
      <c r="DM109" s="1030">
        <f>(AVERAGE(DM105,DL105))/DM110/4</f>
        <v>202.93347284251342</v>
      </c>
      <c r="DN109" s="1030">
        <f>(AVERAGE(DN105,DM105))/DN110/4</f>
        <v>209.93879345943253</v>
      </c>
      <c r="DO109" s="983">
        <f>SUM(DK109:DN109)</f>
        <v>799.08326957433781</v>
      </c>
      <c r="DP109" s="1029"/>
      <c r="DQ109" s="956"/>
    </row>
    <row r="110" spans="1:121" ht="10.5" hidden="1" customHeight="1" outlineLevel="1">
      <c r="A110" s="1147" t="s">
        <v>722</v>
      </c>
      <c r="B110" s="1148"/>
      <c r="C110" s="1158"/>
      <c r="D110" s="1158"/>
      <c r="E110" s="1164">
        <f>E105/E106</f>
        <v>3.1341911764705888</v>
      </c>
      <c r="F110" s="1038"/>
      <c r="G110" s="1170"/>
      <c r="H110" s="1170"/>
      <c r="I110" s="1170"/>
      <c r="J110" s="1164">
        <f>J105/J106</f>
        <v>2.0282415996701713</v>
      </c>
      <c r="K110" s="1164"/>
      <c r="L110" s="1038"/>
      <c r="M110" s="1170"/>
      <c r="N110" s="1170"/>
      <c r="O110" s="1029"/>
      <c r="P110" s="1029"/>
      <c r="Q110" s="1164"/>
      <c r="R110" s="1038"/>
      <c r="S110" s="1029">
        <f>(AVERAGE(S105,P105)/S109/4)</f>
        <v>4.0217245989304811</v>
      </c>
      <c r="T110" s="1029">
        <f>(AVERAGE(T105,S105)/T109/4)</f>
        <v>4.7827687776141383</v>
      </c>
      <c r="U110" s="1029">
        <f>(AVERAGE(U105,T105)/U109/4)</f>
        <v>4.5845312500000013</v>
      </c>
      <c r="V110" s="1029">
        <f>(AVERAGE(V105,U105)/V109/4)</f>
        <v>4.416576086956522</v>
      </c>
      <c r="W110" s="1164"/>
      <c r="X110" s="1038"/>
      <c r="Y110" s="1029">
        <f>(AVERAGE(Y105,V105)/Y109/4)</f>
        <v>4.7921498661909006</v>
      </c>
      <c r="Z110" s="1029">
        <f>(AVERAGE(Z105,Y105)/Z109/4)</f>
        <v>4.6754087193460494</v>
      </c>
      <c r="AA110" s="1029">
        <f>(AVERAGE(AA105,Z105)/AA109/4)</f>
        <v>5.2957214765100682</v>
      </c>
      <c r="AB110" s="1029">
        <f>(AVERAGE(AB105,AA105)/AB109/4)</f>
        <v>4.6998203285420939</v>
      </c>
      <c r="AC110" s="983"/>
      <c r="AD110" s="1038"/>
      <c r="AE110" s="1029">
        <f>(AVERAGE(AE105,AB105)/AE109/4)</f>
        <v>4.5344923971377451</v>
      </c>
      <c r="AF110" s="1029">
        <f>(AVERAGE(AF105,AE105)/AF109/4)</f>
        <v>4.1837919594067143</v>
      </c>
      <c r="AG110" s="1029">
        <f>(AVERAGE(AG105,AF105)/AG109/4)</f>
        <v>2.9392794154698922</v>
      </c>
      <c r="AH110" s="1029">
        <f>(AVERAGE(AH105,AG105)/AH109/4)</f>
        <v>4.1362256311920751</v>
      </c>
      <c r="AI110" s="983"/>
      <c r="AJ110" s="1038"/>
      <c r="AK110" s="1029">
        <f>(AVERAGE(AK105,AH105)/AK109/4)</f>
        <v>2.9643151815181521</v>
      </c>
      <c r="AL110" s="1029">
        <f>(AVERAGE(AL105,AK105)/AL109/4)</f>
        <v>2.6484284532671625</v>
      </c>
      <c r="AM110" s="1029">
        <f>(AVERAGE(AM105,AL105)/AM109/4)</f>
        <v>2.591798609055934</v>
      </c>
      <c r="AN110" s="1029">
        <f>(AVERAGE(AN105,AM105)/AN109/4)</f>
        <v>2.8886266747868445</v>
      </c>
      <c r="AO110" s="983"/>
      <c r="AP110" s="1038"/>
      <c r="AQ110" s="1029">
        <f>(AVERAGE(AQ105,AN105)/AQ109/4)</f>
        <v>2.7125061289531751</v>
      </c>
      <c r="AR110" s="1029">
        <f>(AVERAGE(AR105,AQ105)/AR109/4)</f>
        <v>2.8342728297632473</v>
      </c>
      <c r="AS110" s="1029">
        <f>(AVERAGE(AS105,AR105)/AS109/4)</f>
        <v>3.476991150442478</v>
      </c>
      <c r="AT110" s="1029">
        <f>(AVERAGE(AT105,AS105)/AT109/4)</f>
        <v>2.8334881718480922</v>
      </c>
      <c r="AU110" s="983"/>
      <c r="AV110" s="1038"/>
      <c r="AW110" s="1029">
        <f>(AVERAGE(AW105,AT105)/AW109/4)</f>
        <v>2.9181041580897493</v>
      </c>
      <c r="AX110" s="1029">
        <f>(AVERAGE(AX105,AW105)/AX109/4)</f>
        <v>3.2587594696969693</v>
      </c>
      <c r="AY110" s="1029">
        <f>(AVERAGE(AY105,AX105)/AY109/4)</f>
        <v>3.122095801779281</v>
      </c>
      <c r="AZ110" s="1029">
        <f>(AVERAGE(AZ105,AY105)/AZ109/4)</f>
        <v>2.7916121541178782</v>
      </c>
      <c r="BA110" s="983">
        <f>AVERAGE(AT105,AW105:AZ105)/BA109</f>
        <v>2.9749327716870075</v>
      </c>
      <c r="BB110" s="1038"/>
      <c r="BC110" s="1029">
        <v>3.2539986211651151</v>
      </c>
      <c r="BD110" s="1029">
        <f>(AVERAGE(BD105,BC105)/BD109/4)</f>
        <v>4.0294138991875048</v>
      </c>
      <c r="BE110" s="1029">
        <f>(AVERAGE(BE105,BD105)/BE109/4)</f>
        <v>3.6604380893385642</v>
      </c>
      <c r="BF110" s="1029">
        <f>(AVERAGE(BF105,BE105)/BF109/4)</f>
        <v>5.2332256534882369</v>
      </c>
      <c r="BG110" s="983">
        <f>AVERAGE(AZ105,BC105:BF105)/BG109</f>
        <v>4.5744554045861419</v>
      </c>
      <c r="BH110" s="1038"/>
      <c r="BI110" s="1029">
        <f>(AVERAGE(BI105,BF105)/BI109/4)</f>
        <v>6.8777131581680351</v>
      </c>
      <c r="BJ110" s="1029">
        <f>(AVERAGE(BJ105,BI105)/BJ109/4)</f>
        <v>6.7834531539888712</v>
      </c>
      <c r="BK110" s="1029">
        <f>(AVERAGE(BK105,BJ105)/BK109/4)</f>
        <v>6.8217057195970732</v>
      </c>
      <c r="BL110" s="1029">
        <f>(AVERAGE(BL105,BK105)/BL109/4)</f>
        <v>6.459052386809133</v>
      </c>
      <c r="BM110" s="983">
        <f>AVERAGE(BF105,BI105:BL105)/BM109</f>
        <v>6.6899618749096899</v>
      </c>
      <c r="BN110" s="1038"/>
      <c r="BO110" s="1029">
        <f>(AVERAGE(BO105,BL105)/BO109/4)</f>
        <v>6.1956259189245948</v>
      </c>
      <c r="BP110" s="1029">
        <f>(AVERAGE(BP105,BO105)/BP109/4)</f>
        <v>6.2033025330838143</v>
      </c>
      <c r="BQ110" s="1029">
        <f>(AVERAGE(BQ105,BP105)/BQ109/4)</f>
        <v>5.8065721573047036</v>
      </c>
      <c r="BR110" s="1029">
        <f>(AVERAGE(BR105,BQ105)/BR109/4)</f>
        <v>5.7231779986819014</v>
      </c>
      <c r="BS110" s="983">
        <f>AVERAGE(BL105,BO105:BR105)/BS109</f>
        <v>5.9705358253514138</v>
      </c>
      <c r="BT110" s="1038"/>
      <c r="BU110" s="1029">
        <f>(AVERAGE(BU105,BR105)/BU109/4)</f>
        <v>5.7116000986193303</v>
      </c>
      <c r="BV110" s="1029">
        <f>(AVERAGE(BV105,BU105)/BV109/4)</f>
        <v>5.84646397722811</v>
      </c>
      <c r="BW110" s="1029">
        <f>(AVERAGE(BW105,BV105)/BW109/4)</f>
        <v>5.8044151657170859</v>
      </c>
      <c r="BX110" s="1029">
        <f>(AVERAGE(BX105,BW105)/BX109/4)</f>
        <v>5.8291736392460809</v>
      </c>
      <c r="BY110" s="983">
        <f>AVERAGE(BR105,BU105:BX105)/BY109</f>
        <v>5.7580605505904305</v>
      </c>
      <c r="BZ110" s="1038"/>
      <c r="CA110" s="1029">
        <f>(AVERAGE(CA105,BX105)/CA109/4)</f>
        <v>6.1699245209986442</v>
      </c>
      <c r="CB110" s="1029">
        <f>(AVERAGE(CB105,CA105)/CB109/4)</f>
        <v>5.8908732926880321</v>
      </c>
      <c r="CC110" s="1029">
        <f>(AVERAGE(CC105,CB105)/CC109/4)</f>
        <v>5.4819626705703968</v>
      </c>
      <c r="CD110" s="1029">
        <f>(AVERAGE(CD105,CC105)/CD109/4)</f>
        <v>5.4735994074416112</v>
      </c>
      <c r="CE110" s="983">
        <f>AVERAGE(BX105,CA105:CD105)/CE109</f>
        <v>5.738741932954456</v>
      </c>
      <c r="CF110" s="1038"/>
      <c r="CG110" s="1029">
        <f>(AVERAGE(CG105,CD105)/CG109/4)</f>
        <v>5.9170672259381014</v>
      </c>
      <c r="CH110" s="1029">
        <f>(AVERAGE(CH105,CG105)/CH109/4)</f>
        <v>6.6998238669773755</v>
      </c>
      <c r="CI110" s="1029">
        <f>(AVERAGE(CI105,CH105)/CI109/4)</f>
        <v>6.6833133278581469</v>
      </c>
      <c r="CJ110" s="1029">
        <f>(AVERAGE(CJ105,CI105)/CJ109/4)</f>
        <v>6.9759394357989271</v>
      </c>
      <c r="CK110" s="983">
        <f>AVERAGE(CD105,CG105:CJ105)/CK109</f>
        <v>6.4398944734551788</v>
      </c>
      <c r="CL110" s="1038"/>
      <c r="CM110" s="1029">
        <f>(AVERAGE(CM105,CJ105)/CM109/4)</f>
        <v>6.9534193714471852</v>
      </c>
      <c r="CN110" s="1029">
        <f>(AVERAGE(CN105,CM105)/CN109/4)</f>
        <v>6.8470933582341607</v>
      </c>
      <c r="CO110" s="1029">
        <f>(AVERAGE(CO105,CN105)/CO109/4)</f>
        <v>6.7978740951816317</v>
      </c>
      <c r="CP110" s="1029">
        <f>(AVERAGE(CP105,CO105)/CP109/4)</f>
        <v>6.8834231173511515</v>
      </c>
      <c r="CQ110" s="983">
        <f>AVERAGE(CJ105,CM105:CP105)/CQ109</f>
        <v>6.8640846454758115</v>
      </c>
      <c r="CR110" s="1038"/>
      <c r="CS110" s="1029">
        <f>(AVERAGE(CS105,CP105)/CS109/4)</f>
        <v>6.8929352531611325</v>
      </c>
      <c r="CT110" s="1029">
        <f>(AVERAGE(CT105,CS105)/CT109/4)</f>
        <v>6.7236868819314619</v>
      </c>
      <c r="CU110" s="1029">
        <f>(AVERAGE(CU105,CT105)/CU109/4)</f>
        <v>6.9460630021464551</v>
      </c>
      <c r="CV110" s="1029">
        <f>(AVERAGE(CV105,CU105)/CV109/4)</f>
        <v>7.0755355473782551</v>
      </c>
      <c r="CW110" s="983">
        <f>AVERAGE(CP105,CS105:CV105)/CW109</f>
        <v>6.8997343869104499</v>
      </c>
      <c r="CX110" s="1038"/>
      <c r="CY110" s="1039">
        <v>6</v>
      </c>
      <c r="CZ110" s="1039">
        <f>CY110</f>
        <v>6</v>
      </c>
      <c r="DA110" s="1039">
        <f>CZ110</f>
        <v>6</v>
      </c>
      <c r="DB110" s="1039">
        <f>DA110</f>
        <v>6</v>
      </c>
      <c r="DC110" s="983">
        <f>AVERAGE(CV105,CY105:DB105)/DC109</f>
        <v>5.9948821711863758</v>
      </c>
      <c r="DD110" s="1038"/>
      <c r="DE110" s="1039">
        <v>6</v>
      </c>
      <c r="DF110" s="1039">
        <f>DE110</f>
        <v>6</v>
      </c>
      <c r="DG110" s="1039">
        <f>DF110</f>
        <v>6</v>
      </c>
      <c r="DH110" s="1039">
        <f>DG110</f>
        <v>6</v>
      </c>
      <c r="DI110" s="983">
        <f>AVERAGE(DB105,DE105:DH105)/DI109</f>
        <v>5.9964796960166318</v>
      </c>
      <c r="DJ110" s="1038"/>
      <c r="DK110" s="1039">
        <v>6</v>
      </c>
      <c r="DL110" s="1039">
        <f>DK110</f>
        <v>6</v>
      </c>
      <c r="DM110" s="1039">
        <f>DL110</f>
        <v>6</v>
      </c>
      <c r="DN110" s="1039">
        <f>DM110</f>
        <v>6</v>
      </c>
      <c r="DO110" s="983">
        <f>AVERAGE(DH105,DK105:DN105)/DO109</f>
        <v>6.0025437276148459</v>
      </c>
      <c r="DP110" s="1029"/>
      <c r="DQ110" s="956"/>
    </row>
    <row r="111" spans="1:121" ht="10.5" hidden="1" customHeight="1" outlineLevel="1">
      <c r="A111" s="1147"/>
      <c r="B111" s="1148"/>
      <c r="C111" s="1158"/>
      <c r="D111" s="1158"/>
      <c r="E111" s="1164"/>
      <c r="F111" s="1038"/>
      <c r="G111" s="1170"/>
      <c r="H111" s="1170"/>
      <c r="I111" s="1170"/>
      <c r="J111" s="1164"/>
      <c r="K111" s="1164"/>
      <c r="L111" s="1038"/>
      <c r="M111" s="1170"/>
      <c r="N111" s="1170"/>
      <c r="O111" s="1164"/>
      <c r="P111" s="1164"/>
      <c r="Q111" s="1164"/>
      <c r="R111" s="1038"/>
      <c r="S111" s="1029"/>
      <c r="T111" s="1029"/>
      <c r="U111" s="1029"/>
      <c r="V111" s="1029"/>
      <c r="W111" s="1164"/>
      <c r="X111" s="1038"/>
      <c r="Y111" s="1029"/>
      <c r="Z111" s="1029"/>
      <c r="AA111" s="1029"/>
      <c r="AB111" s="1029"/>
      <c r="AC111" s="983"/>
      <c r="AD111" s="1038"/>
      <c r="AE111" s="1029"/>
      <c r="AF111" s="1029"/>
      <c r="AG111" s="1029"/>
      <c r="AH111" s="1029"/>
      <c r="AI111" s="983"/>
      <c r="AJ111" s="1038"/>
      <c r="AK111" s="1029"/>
      <c r="AL111" s="1029"/>
      <c r="AM111" s="1029"/>
      <c r="AN111" s="1029"/>
      <c r="AO111" s="983"/>
      <c r="AP111" s="1038"/>
      <c r="AQ111" s="1029"/>
      <c r="AR111" s="1029"/>
      <c r="AS111" s="1029"/>
      <c r="AT111" s="1029"/>
      <c r="AU111" s="983"/>
      <c r="AV111" s="1038"/>
      <c r="AW111" s="1039"/>
      <c r="AX111" s="1039"/>
      <c r="AY111" s="1039"/>
      <c r="AZ111" s="1039"/>
      <c r="BA111" s="983"/>
      <c r="BB111" s="1038"/>
      <c r="BC111" s="1039"/>
      <c r="BD111" s="1039"/>
      <c r="BE111" s="1039"/>
      <c r="BF111" s="1039"/>
      <c r="BG111" s="983"/>
      <c r="BH111" s="1038"/>
      <c r="BI111" s="1039"/>
      <c r="BJ111" s="1039"/>
      <c r="BK111" s="1039"/>
      <c r="BL111" s="1039"/>
      <c r="BM111" s="983"/>
      <c r="BN111" s="1038"/>
      <c r="BO111" s="1039"/>
      <c r="BP111" s="1039"/>
      <c r="BQ111" s="1039"/>
      <c r="BR111" s="1039"/>
      <c r="BS111" s="983"/>
      <c r="BT111" s="1038"/>
      <c r="BU111" s="1039"/>
      <c r="BV111" s="1039"/>
      <c r="BW111" s="1039"/>
      <c r="BX111" s="1039"/>
      <c r="BY111" s="983"/>
      <c r="BZ111" s="1038"/>
      <c r="CA111" s="1039"/>
      <c r="CB111" s="1039"/>
      <c r="CC111" s="1039"/>
      <c r="CD111" s="1039"/>
      <c r="CE111" s="983"/>
      <c r="CF111" s="1038"/>
      <c r="CG111" s="1039"/>
      <c r="CH111" s="1039"/>
      <c r="CI111" s="1039"/>
      <c r="CJ111" s="1039"/>
      <c r="CK111" s="983"/>
      <c r="CL111" s="1038"/>
      <c r="CM111" s="1039"/>
      <c r="CN111" s="1039"/>
      <c r="CO111" s="1039"/>
      <c r="CP111" s="1039"/>
      <c r="CQ111" s="983"/>
      <c r="CR111" s="1038"/>
      <c r="CS111" s="1039"/>
      <c r="CT111" s="1039"/>
      <c r="CU111" s="1039"/>
      <c r="CV111" s="1039"/>
      <c r="CW111" s="983"/>
      <c r="CX111" s="1038"/>
      <c r="CY111" s="1039"/>
      <c r="CZ111" s="1039"/>
      <c r="DA111" s="1039"/>
      <c r="DB111" s="1039"/>
      <c r="DC111" s="983"/>
      <c r="DD111" s="1038"/>
      <c r="DE111" s="1039"/>
      <c r="DF111" s="1039"/>
      <c r="DG111" s="1039"/>
      <c r="DH111" s="1039"/>
      <c r="DI111" s="983"/>
      <c r="DJ111" s="1038"/>
      <c r="DK111" s="1039"/>
      <c r="DL111" s="1039"/>
      <c r="DM111" s="1039"/>
      <c r="DN111" s="1039"/>
      <c r="DO111" s="983"/>
      <c r="DP111" s="1029"/>
      <c r="DQ111" s="956"/>
    </row>
    <row r="112" spans="1:121" ht="10.5" hidden="1" customHeight="1" outlineLevel="1">
      <c r="A112" s="1147" t="s">
        <v>953</v>
      </c>
      <c r="B112" s="1148"/>
      <c r="C112" s="1158"/>
      <c r="D112" s="1158"/>
      <c r="E112" s="1164"/>
      <c r="F112" s="1038"/>
      <c r="G112" s="1170"/>
      <c r="H112" s="1170"/>
      <c r="I112" s="1170"/>
      <c r="J112" s="1164"/>
      <c r="K112" s="1164"/>
      <c r="L112" s="1038"/>
      <c r="M112" s="1170"/>
      <c r="N112" s="1170"/>
      <c r="O112" s="1164"/>
      <c r="P112" s="1164"/>
      <c r="Q112" s="1164"/>
      <c r="R112" s="1038"/>
      <c r="S112" s="1029">
        <f>P105+S115-S105</f>
        <v>0.38600000000000101</v>
      </c>
      <c r="T112" s="1029">
        <f>S105+T115-T105</f>
        <v>-1.538000000000002</v>
      </c>
      <c r="U112" s="1029">
        <f>T105+U115-U105</f>
        <v>-5.7999999999998053E-2</v>
      </c>
      <c r="V112" s="1029">
        <f>U105+V115-V105</f>
        <v>0.43900000000000006</v>
      </c>
      <c r="W112" s="1164"/>
      <c r="X112" s="1038"/>
      <c r="Y112" s="1029">
        <f>V105+Y115-Y105</f>
        <v>0.51300000000000168</v>
      </c>
      <c r="Z112" s="1029">
        <f>Y105+Z115-Z105</f>
        <v>8.3999999999999631E-2</v>
      </c>
      <c r="AA112" s="1029">
        <f>Z105+AA115-AA105</f>
        <v>0.36199999999999477</v>
      </c>
      <c r="AB112" s="1029">
        <f>AA105+AB115-AB105</f>
        <v>0.42600000000000193</v>
      </c>
      <c r="AC112" s="983"/>
      <c r="AD112" s="1038"/>
      <c r="AE112" s="1029">
        <f>AB105+AE115-AE105</f>
        <v>-8.8000000000000966E-2</v>
      </c>
      <c r="AF112" s="1029">
        <f>AE105+AF115-AF105</f>
        <v>0.86299999999999955</v>
      </c>
      <c r="AG112" s="1029">
        <f>AF105+AG115-AG105</f>
        <v>3.463000000000001</v>
      </c>
      <c r="AH112" s="1029">
        <f>AG105+AH115-AH105</f>
        <v>3.036999999999999</v>
      </c>
      <c r="AI112" s="983"/>
      <c r="AJ112" s="1038"/>
      <c r="AK112" s="1029">
        <f>AH105+AK115-AK105</f>
        <v>9.1150000000000091</v>
      </c>
      <c r="AL112" s="1029">
        <f>AK105+AL115-AL105</f>
        <v>3.8359999999999985</v>
      </c>
      <c r="AM112" s="1029">
        <f>AL105+AM115-AM105</f>
        <v>3.3449999999999989</v>
      </c>
      <c r="AN112" s="1029">
        <f>AM105+AN115-AN105</f>
        <v>2.4890000000000043</v>
      </c>
      <c r="AO112" s="983"/>
      <c r="AP112" s="1038"/>
      <c r="AQ112" s="1029">
        <f>AN105+AQ115-AQ105</f>
        <v>4.8080000000000069</v>
      </c>
      <c r="AR112" s="1029">
        <f>AQ105+AR115-AR105</f>
        <v>8.313999999999993</v>
      </c>
      <c r="AS112" s="1029">
        <f>AR105+AS115-AS105</f>
        <v>-2.5679999999999978</v>
      </c>
      <c r="AT112" s="1029">
        <f>AS105+AT115-AT105</f>
        <v>-3.6570000000000107</v>
      </c>
      <c r="AU112" s="983"/>
      <c r="AV112" s="1038"/>
      <c r="AW112" s="1029">
        <f>AT105+AW115-AW105</f>
        <v>-4.1110000000000184</v>
      </c>
      <c r="AX112" s="1029">
        <f>AW105+AX115-AX105</f>
        <v>3.7950000000000159</v>
      </c>
      <c r="AY112" s="1029">
        <f>AX105+AY115-AY105</f>
        <v>6.5079999999999814</v>
      </c>
      <c r="AZ112" s="1039">
        <f>AW105*AZ113</f>
        <v>6.0212400000000006</v>
      </c>
      <c r="BA112" s="983"/>
      <c r="BB112" s="1038"/>
      <c r="BC112" s="1039">
        <f>AZ105*BC113</f>
        <v>6.7103199999999994</v>
      </c>
      <c r="BD112" s="1039">
        <f>BC105*BD113</f>
        <v>7.7819599999999989</v>
      </c>
      <c r="BE112" s="1039">
        <f>BD105*BE113</f>
        <v>8.5639216000000005</v>
      </c>
      <c r="BF112" s="1039">
        <f>BE105*BF113</f>
        <v>8.4544800000000002</v>
      </c>
      <c r="BG112" s="983"/>
      <c r="BH112" s="1038"/>
      <c r="BI112" s="1039">
        <f>BF105*BI113</f>
        <v>19.79824</v>
      </c>
      <c r="BJ112" s="1039">
        <f>BI105*BJ113</f>
        <v>22.586080000000003</v>
      </c>
      <c r="BK112" s="1039">
        <f>BJ105*BK113</f>
        <v>24.214319999999997</v>
      </c>
      <c r="BL112" s="1039">
        <f>BK105*BL113</f>
        <v>26.279400000000003</v>
      </c>
      <c r="BM112" s="983"/>
      <c r="BN112" s="1038"/>
      <c r="BO112" s="1039">
        <f>BL105*BO113</f>
        <v>27.497119999999999</v>
      </c>
      <c r="BP112" s="1039">
        <f>BO105*BP113</f>
        <v>29.137840000000001</v>
      </c>
      <c r="BQ112" s="1039">
        <f>BP105*BQ113</f>
        <v>30.263000000000002</v>
      </c>
      <c r="BR112" s="1039">
        <f>BQ105*BR113</f>
        <v>32.38852</v>
      </c>
      <c r="BS112" s="983"/>
      <c r="BT112" s="1038"/>
      <c r="BU112" s="1039">
        <f>BR105*BU113</f>
        <v>34.304360000000003</v>
      </c>
      <c r="BV112" s="1039">
        <f>BU105*BV113</f>
        <v>36.121040000000001</v>
      </c>
      <c r="BW112" s="1039">
        <f>BV105*BW113</f>
        <v>59.181000000000004</v>
      </c>
      <c r="BX112" s="1039">
        <f>BW105*BX113</f>
        <v>62.093199999999996</v>
      </c>
      <c r="BY112" s="983"/>
      <c r="BZ112" s="1038"/>
      <c r="CA112" s="1039">
        <f>BX105*CA113</f>
        <v>64.980919999999998</v>
      </c>
      <c r="CB112" s="1039">
        <f>CA105*CB113</f>
        <v>67.639880000000005</v>
      </c>
      <c r="CC112" s="1039">
        <f>CB105*CC113</f>
        <v>67.476960000000005</v>
      </c>
      <c r="CD112" s="1039">
        <f>CC105*CD113</f>
        <v>66.735519999999994</v>
      </c>
      <c r="CE112" s="983"/>
      <c r="CF112" s="1038"/>
      <c r="CG112" s="1039">
        <f>CD105*CG113</f>
        <v>69.827719999999999</v>
      </c>
      <c r="CH112" s="1039">
        <f>CG105*CH113</f>
        <v>97.194519999999997</v>
      </c>
      <c r="CI112" s="1039">
        <f>CH105*CI113</f>
        <v>99.692400000000006</v>
      </c>
      <c r="CJ112" s="1039">
        <f>CI105*CJ113</f>
        <v>103.42471999999999</v>
      </c>
      <c r="CK112" s="983"/>
      <c r="CL112" s="1038"/>
      <c r="CM112" s="1039">
        <f>CJ105*CM113</f>
        <v>103.42471999999999</v>
      </c>
      <c r="CN112" s="1039">
        <f>CM105*CN113</f>
        <v>108.33972</v>
      </c>
      <c r="CO112" s="1039">
        <f>CN105*CO113</f>
        <v>112.22652000000001</v>
      </c>
      <c r="CP112" s="1039">
        <f>CO105*CP113</f>
        <v>115.26624</v>
      </c>
      <c r="CQ112" s="983"/>
      <c r="CR112" s="1038"/>
      <c r="CS112" s="1039">
        <f>CP105*CS113</f>
        <v>119.43536</v>
      </c>
      <c r="CT112" s="1039">
        <f>CS105*CT113</f>
        <v>125.13260000000001</v>
      </c>
      <c r="CU112" s="1039">
        <f>CT105*CU113</f>
        <v>129.20780000000002</v>
      </c>
      <c r="CV112" s="1039">
        <f>CU105*CV113</f>
        <v>132.78435999999999</v>
      </c>
      <c r="CW112" s="983"/>
      <c r="CX112" s="1038"/>
      <c r="CY112" s="1039">
        <f>CV105*CY113</f>
        <v>136.10183999999998</v>
      </c>
      <c r="CZ112" s="1039">
        <f>CY105*CZ113</f>
        <v>142.38955390118073</v>
      </c>
      <c r="DA112" s="1039">
        <f>CZ105*DA113</f>
        <v>147.11712126875594</v>
      </c>
      <c r="DB112" s="1039">
        <f>DA105*DB113</f>
        <v>150.91221096570482</v>
      </c>
      <c r="DC112" s="983"/>
      <c r="DD112" s="1038"/>
      <c r="DE112" s="1039">
        <f>DB105*DE113</f>
        <v>155.8434998672509</v>
      </c>
      <c r="DF112" s="1039">
        <f>DE105*DF113</f>
        <v>162.67981419280551</v>
      </c>
      <c r="DG112" s="1039">
        <f>DF105*DG113</f>
        <v>168.36705892378723</v>
      </c>
      <c r="DH112" s="1039">
        <f>DG105*DH113</f>
        <v>172.93277074263071</v>
      </c>
      <c r="DI112" s="983"/>
      <c r="DJ112" s="1038"/>
      <c r="DK112" s="1039">
        <f>DH105*DK113</f>
        <v>178.83001947809058</v>
      </c>
      <c r="DL112" s="1039">
        <f>DK105*DL113</f>
        <v>185.30115620002181</v>
      </c>
      <c r="DM112" s="1039">
        <f>DL105*DM113</f>
        <v>192.09279440485821</v>
      </c>
      <c r="DN112" s="1039">
        <f>DM105*DN113</f>
        <v>197.53947345276757</v>
      </c>
      <c r="DO112" s="983"/>
      <c r="DP112" s="1029"/>
      <c r="DQ112" s="956"/>
    </row>
    <row r="113" spans="1:121" ht="10.5" hidden="1" customHeight="1" outlineLevel="1">
      <c r="A113" s="1147" t="s">
        <v>954</v>
      </c>
      <c r="B113" s="1148"/>
      <c r="C113" s="1158"/>
      <c r="D113" s="1158"/>
      <c r="E113" s="1164"/>
      <c r="F113" s="1038"/>
      <c r="G113" s="1170"/>
      <c r="H113" s="1170"/>
      <c r="I113" s="1170"/>
      <c r="J113" s="1164"/>
      <c r="K113" s="1164"/>
      <c r="L113" s="1038"/>
      <c r="M113" s="1170"/>
      <c r="N113" s="1170"/>
      <c r="O113" s="1164"/>
      <c r="P113" s="1164"/>
      <c r="Q113" s="1164"/>
      <c r="R113" s="1038"/>
      <c r="S113" s="1171">
        <f>S112/P105</f>
        <v>3.1935136923967981E-2</v>
      </c>
      <c r="T113" s="1171">
        <f>T112/S105</f>
        <v>-0.12839135153184758</v>
      </c>
      <c r="U113" s="1171">
        <f>U112/T105</f>
        <v>-4.1425612456251733E-3</v>
      </c>
      <c r="V113" s="1171">
        <f>V112/U105</f>
        <v>2.8617992177314214E-2</v>
      </c>
      <c r="W113" s="1164"/>
      <c r="X113" s="1038"/>
      <c r="Y113" s="1171">
        <f>Y112/V105</f>
        <v>2.9884655714785137E-2</v>
      </c>
      <c r="Z113" s="1171">
        <f>Z112/Y105</f>
        <v>3.2545524990313691E-3</v>
      </c>
      <c r="AA113" s="1171">
        <f>AA112/Z105</f>
        <v>1.2440717575090892E-2</v>
      </c>
      <c r="AB113" s="1171">
        <f>AB112/AA105</f>
        <v>1.2519469832779908E-2</v>
      </c>
      <c r="AC113" s="983"/>
      <c r="AD113" s="1038"/>
      <c r="AE113" s="1171">
        <f>AE112/AB105</f>
        <v>-2.2440392706872614E-3</v>
      </c>
      <c r="AF113" s="1171">
        <f>AF112/AE105</f>
        <v>2.0597641892214413E-2</v>
      </c>
      <c r="AG113" s="1171">
        <f>AG112/AF105</f>
        <v>7.8968371605135354E-2</v>
      </c>
      <c r="AH113" s="1171">
        <f>AH112/AG105</f>
        <v>6.1384537645275371E-2</v>
      </c>
      <c r="AI113" s="983"/>
      <c r="AJ113" s="1038"/>
      <c r="AK113" s="1171">
        <f>AK112/AH105</f>
        <v>0.16859959676673528</v>
      </c>
      <c r="AL113" s="1171">
        <f>AL112/AK105</f>
        <v>6.2983334701584404E-2</v>
      </c>
      <c r="AM113" s="1171">
        <f>AM112/AL105</f>
        <v>4.9796793354472763E-2</v>
      </c>
      <c r="AN113" s="1171">
        <f>AN112/AM105</f>
        <v>3.4119259766963735E-2</v>
      </c>
      <c r="AO113" s="983"/>
      <c r="AP113" s="1038"/>
      <c r="AQ113" s="1171">
        <f>AQ112/AN105</f>
        <v>6.0992008118736611E-2</v>
      </c>
      <c r="AR113" s="1171">
        <f>AR112/AQ105</f>
        <v>8.4664813287304283E-2</v>
      </c>
      <c r="AS113" s="1171">
        <f>AS112/AR105</f>
        <v>-2.4951176144810076E-2</v>
      </c>
      <c r="AT113" s="1171">
        <f>AT112/AS105</f>
        <v>-3.1228918131901068E-2</v>
      </c>
      <c r="AU113" s="983"/>
      <c r="AV113" s="1038"/>
      <c r="AW113" s="1171">
        <f>AW112/AT105</f>
        <v>-3.0911633782483298E-2</v>
      </c>
      <c r="AX113" s="1171">
        <f>AX112/AW105</f>
        <v>2.5210753931084066E-2</v>
      </c>
      <c r="AY113" s="1171">
        <f>AY112/AX105</f>
        <v>3.9189709991328536E-2</v>
      </c>
      <c r="AZ113" s="1040">
        <v>0.04</v>
      </c>
      <c r="BA113" s="983"/>
      <c r="BB113" s="1038"/>
      <c r="BC113" s="1040">
        <f>AZ113</f>
        <v>0.04</v>
      </c>
      <c r="BD113" s="1040">
        <f>BC113</f>
        <v>0.04</v>
      </c>
      <c r="BE113" s="1040">
        <f>BD113</f>
        <v>0.04</v>
      </c>
      <c r="BF113" s="1040">
        <f>BE113</f>
        <v>0.04</v>
      </c>
      <c r="BG113" s="983"/>
      <c r="BH113" s="1038"/>
      <c r="BI113" s="1040">
        <f>BF113</f>
        <v>0.04</v>
      </c>
      <c r="BJ113" s="1040">
        <f>BI113</f>
        <v>0.04</v>
      </c>
      <c r="BK113" s="1040">
        <f>BJ113</f>
        <v>0.04</v>
      </c>
      <c r="BL113" s="1040">
        <f>BK113</f>
        <v>0.04</v>
      </c>
      <c r="BM113" s="983"/>
      <c r="BN113" s="1038"/>
      <c r="BO113" s="1040">
        <f>BL113</f>
        <v>0.04</v>
      </c>
      <c r="BP113" s="1040">
        <f>BO113</f>
        <v>0.04</v>
      </c>
      <c r="BQ113" s="1040">
        <f>BP113</f>
        <v>0.04</v>
      </c>
      <c r="BR113" s="1040">
        <f>BQ113</f>
        <v>0.04</v>
      </c>
      <c r="BS113" s="983"/>
      <c r="BT113" s="1038"/>
      <c r="BU113" s="1040">
        <f>BR113</f>
        <v>0.04</v>
      </c>
      <c r="BV113" s="1040">
        <f>BU113</f>
        <v>0.04</v>
      </c>
      <c r="BW113" s="1040">
        <f>BV113</f>
        <v>0.04</v>
      </c>
      <c r="BX113" s="1040">
        <f>BW113</f>
        <v>0.04</v>
      </c>
      <c r="BY113" s="983"/>
      <c r="BZ113" s="1038"/>
      <c r="CA113" s="1040">
        <f>BX113</f>
        <v>0.04</v>
      </c>
      <c r="CB113" s="1040">
        <f>CA113</f>
        <v>0.04</v>
      </c>
      <c r="CC113" s="1040">
        <f>CB113</f>
        <v>0.04</v>
      </c>
      <c r="CD113" s="1040">
        <f>CC113</f>
        <v>0.04</v>
      </c>
      <c r="CE113" s="983"/>
      <c r="CF113" s="1038"/>
      <c r="CG113" s="1040">
        <f>CD113</f>
        <v>0.04</v>
      </c>
      <c r="CH113" s="1040">
        <f>CG113</f>
        <v>0.04</v>
      </c>
      <c r="CI113" s="1040">
        <f>CH113</f>
        <v>0.04</v>
      </c>
      <c r="CJ113" s="1040">
        <f>CI113</f>
        <v>0.04</v>
      </c>
      <c r="CK113" s="983"/>
      <c r="CL113" s="1038"/>
      <c r="CM113" s="1040">
        <f>CJ113</f>
        <v>0.04</v>
      </c>
      <c r="CN113" s="1040">
        <f>CM113</f>
        <v>0.04</v>
      </c>
      <c r="CO113" s="1040">
        <f>CN113</f>
        <v>0.04</v>
      </c>
      <c r="CP113" s="1040">
        <f>CO113</f>
        <v>0.04</v>
      </c>
      <c r="CQ113" s="983"/>
      <c r="CR113" s="1038"/>
      <c r="CS113" s="1040">
        <f>CP113</f>
        <v>0.04</v>
      </c>
      <c r="CT113" s="1040">
        <f>CS113</f>
        <v>0.04</v>
      </c>
      <c r="CU113" s="1040">
        <f>CT113</f>
        <v>0.04</v>
      </c>
      <c r="CV113" s="1040">
        <f>CU113</f>
        <v>0.04</v>
      </c>
      <c r="CW113" s="983"/>
      <c r="CX113" s="1038"/>
      <c r="CY113" s="1040">
        <f>CV113</f>
        <v>0.04</v>
      </c>
      <c r="CZ113" s="1040">
        <f>CY113</f>
        <v>0.04</v>
      </c>
      <c r="DA113" s="1040">
        <f>CZ113</f>
        <v>0.04</v>
      </c>
      <c r="DB113" s="1040">
        <f>DA113</f>
        <v>0.04</v>
      </c>
      <c r="DC113" s="983"/>
      <c r="DD113" s="1038"/>
      <c r="DE113" s="1040">
        <f>DB113</f>
        <v>0.04</v>
      </c>
      <c r="DF113" s="1040">
        <f>DE113</f>
        <v>0.04</v>
      </c>
      <c r="DG113" s="1040">
        <f>DF113</f>
        <v>0.04</v>
      </c>
      <c r="DH113" s="1040">
        <f>DG113</f>
        <v>0.04</v>
      </c>
      <c r="DI113" s="983"/>
      <c r="DJ113" s="1038"/>
      <c r="DK113" s="1040">
        <f>DH113</f>
        <v>0.04</v>
      </c>
      <c r="DL113" s="1040">
        <f>DK113</f>
        <v>0.04</v>
      </c>
      <c r="DM113" s="1040">
        <f>DL113</f>
        <v>0.04</v>
      </c>
      <c r="DN113" s="1040">
        <f>DM113</f>
        <v>0.04</v>
      </c>
      <c r="DO113" s="983"/>
      <c r="DP113" s="1029"/>
      <c r="DQ113" s="956"/>
    </row>
    <row r="114" spans="1:121" ht="10.5" hidden="1" customHeight="1" outlineLevel="1">
      <c r="A114" s="1147"/>
      <c r="B114" s="1148"/>
      <c r="C114" s="1158"/>
      <c r="D114" s="1158"/>
      <c r="E114" s="1164"/>
      <c r="F114" s="1038"/>
      <c r="G114" s="1170"/>
      <c r="H114" s="1170"/>
      <c r="I114" s="1170"/>
      <c r="J114" s="1164"/>
      <c r="K114" s="1164"/>
      <c r="L114" s="1038"/>
      <c r="M114" s="1170"/>
      <c r="N114" s="1170"/>
      <c r="O114" s="1164"/>
      <c r="P114" s="1164"/>
      <c r="Q114" s="1164"/>
      <c r="R114" s="1038"/>
      <c r="S114" s="1029"/>
      <c r="T114" s="1029"/>
      <c r="U114" s="1029"/>
      <c r="V114" s="1029"/>
      <c r="W114" s="1164"/>
      <c r="X114" s="1038"/>
      <c r="Y114" s="1029"/>
      <c r="Z114" s="1029"/>
      <c r="AA114" s="1029"/>
      <c r="AB114" s="1029"/>
      <c r="AC114" s="983"/>
      <c r="AD114" s="1038"/>
      <c r="AE114" s="1029"/>
      <c r="AF114" s="1029"/>
      <c r="AG114" s="1029"/>
      <c r="AH114" s="1029"/>
      <c r="AI114" s="983"/>
      <c r="AJ114" s="1038"/>
      <c r="AK114" s="1029"/>
      <c r="AL114" s="1029"/>
      <c r="AM114" s="1029"/>
      <c r="AN114" s="1029"/>
      <c r="AO114" s="983"/>
      <c r="AP114" s="1038"/>
      <c r="AQ114" s="1029"/>
      <c r="AR114" s="1029"/>
      <c r="AS114" s="1029"/>
      <c r="AT114" s="1029"/>
      <c r="AU114" s="983"/>
      <c r="AV114" s="1038"/>
      <c r="AW114" s="1039"/>
      <c r="AX114" s="1029"/>
      <c r="AY114" s="1039"/>
      <c r="AZ114" s="1039"/>
      <c r="BA114" s="983"/>
      <c r="BB114" s="1038"/>
      <c r="BC114" s="1039"/>
      <c r="BD114" s="1039"/>
      <c r="BE114" s="1039"/>
      <c r="BF114" s="1039"/>
      <c r="BG114" s="983"/>
      <c r="BH114" s="1038"/>
      <c r="BI114" s="1039"/>
      <c r="BJ114" s="1039"/>
      <c r="BK114" s="1039"/>
      <c r="BL114" s="1039"/>
      <c r="BM114" s="983"/>
      <c r="BN114" s="1038"/>
      <c r="BO114" s="1040"/>
      <c r="BP114" s="1040"/>
      <c r="BQ114" s="1040"/>
      <c r="BR114" s="1039"/>
      <c r="BS114" s="1172"/>
      <c r="BT114" s="1173"/>
      <c r="BU114" s="1040"/>
      <c r="BV114" s="1040"/>
      <c r="BW114" s="1040"/>
      <c r="BX114" s="1039"/>
      <c r="BY114" s="1172"/>
      <c r="BZ114" s="1038"/>
      <c r="CA114" s="1039"/>
      <c r="CB114" s="1040"/>
      <c r="CC114" s="1040"/>
      <c r="CD114" s="1040"/>
      <c r="CE114" s="983"/>
      <c r="CF114" s="1038"/>
      <c r="CG114" s="1039"/>
      <c r="CH114" s="1039"/>
      <c r="CI114" s="1039"/>
      <c r="CJ114" s="1039"/>
      <c r="CK114" s="983"/>
      <c r="CL114" s="1038"/>
      <c r="CM114" s="1039"/>
      <c r="CN114" s="1039"/>
      <c r="CO114" s="1039"/>
      <c r="CP114" s="1039"/>
      <c r="CQ114" s="983"/>
      <c r="CR114" s="1038"/>
      <c r="CS114" s="1039"/>
      <c r="CT114" s="1039"/>
      <c r="CU114" s="1039"/>
      <c r="CV114" s="1039"/>
      <c r="CW114" s="983"/>
      <c r="CX114" s="1038"/>
      <c r="CY114" s="1039"/>
      <c r="CZ114" s="1039"/>
      <c r="DA114" s="1039"/>
      <c r="DB114" s="1039"/>
      <c r="DC114" s="983"/>
      <c r="DD114" s="1038"/>
      <c r="DE114" s="1039"/>
      <c r="DF114" s="1039"/>
      <c r="DG114" s="1039"/>
      <c r="DH114" s="1039"/>
      <c r="DI114" s="983"/>
      <c r="DJ114" s="1038"/>
      <c r="DK114" s="1039"/>
      <c r="DL114" s="1039"/>
      <c r="DM114" s="1039"/>
      <c r="DN114" s="1039"/>
      <c r="DO114" s="983"/>
      <c r="DP114" s="1029"/>
      <c r="DQ114" s="956"/>
    </row>
    <row r="115" spans="1:121" ht="10.5" hidden="1" customHeight="1" outlineLevel="1">
      <c r="A115" s="1174" t="s">
        <v>663</v>
      </c>
      <c r="B115" s="1175"/>
      <c r="C115" s="1042"/>
      <c r="D115" s="1176"/>
      <c r="E115" s="1176"/>
      <c r="F115" s="1177"/>
      <c r="G115" s="1042"/>
      <c r="H115" s="1042"/>
      <c r="I115" s="1042"/>
      <c r="J115" s="1042">
        <f>J105-E105</f>
        <v>-0.39100000000000001</v>
      </c>
      <c r="K115" s="1042">
        <f>J105-D105</f>
        <v>0.73100000000000165</v>
      </c>
      <c r="L115" s="1041"/>
      <c r="M115" s="1042"/>
      <c r="N115" s="1042"/>
      <c r="O115" s="1042"/>
      <c r="P115" s="1042">
        <f>P105-O105</f>
        <v>1.2010000000000005</v>
      </c>
      <c r="Q115" s="1043">
        <f>SUM(M115:P115)</f>
        <v>1.2010000000000005</v>
      </c>
      <c r="R115" s="1041"/>
      <c r="S115" s="1042">
        <f>-CF!S107</f>
        <v>0.27800000000000002</v>
      </c>
      <c r="T115" s="1042">
        <f>-CF!T107</f>
        <v>0.48399999999999999</v>
      </c>
      <c r="U115" s="1042">
        <f>-CF!U107</f>
        <v>1.2810000000000001</v>
      </c>
      <c r="V115" s="1042">
        <f>-CF!V107</f>
        <v>2.2649999999999997</v>
      </c>
      <c r="W115" s="1043">
        <f>SUM(S115:V115)</f>
        <v>4.3079999999999998</v>
      </c>
      <c r="X115" s="1041"/>
      <c r="Y115" s="1042">
        <f>-CF!Y107</f>
        <v>9.157</v>
      </c>
      <c r="Z115" s="1042">
        <f>-CF!Z107</f>
        <v>3.3719999999999999</v>
      </c>
      <c r="AA115" s="1042">
        <f>-CF!AA107</f>
        <v>5.2910000000000004</v>
      </c>
      <c r="AB115" s="1042">
        <f>-CF!AB107</f>
        <v>5.6140000000000008</v>
      </c>
      <c r="AC115" s="1043">
        <f>SUM(Y115:AB115)</f>
        <v>23.434000000000001</v>
      </c>
      <c r="AD115" s="1041"/>
      <c r="AE115" s="1042">
        <f>-CF!AE107</f>
        <v>2.5950000000000002</v>
      </c>
      <c r="AF115" s="1042">
        <f>-CF!AF107</f>
        <v>2.8180000000000001</v>
      </c>
      <c r="AG115" s="1042">
        <f>-CF!AG107</f>
        <v>9.0850000000000009</v>
      </c>
      <c r="AH115" s="1042">
        <f>-CF!AH107</f>
        <v>7.6249999999999982</v>
      </c>
      <c r="AI115" s="1043">
        <f>SUM(AE115:AH115)</f>
        <v>22.122999999999998</v>
      </c>
      <c r="AJ115" s="1041"/>
      <c r="AK115" s="1042">
        <f>-CF!AK107</f>
        <v>15.957000000000001</v>
      </c>
      <c r="AL115" s="1042">
        <f>-CF!AL107</f>
        <v>10.103999999999999</v>
      </c>
      <c r="AM115" s="1042">
        <f>-CF!AM107</f>
        <v>9.1219999999999999</v>
      </c>
      <c r="AN115" s="1042">
        <f>-CF!AN107</f>
        <v>8.3689999999999998</v>
      </c>
      <c r="AO115" s="1043">
        <f>SUM(AK115:AN115)</f>
        <v>43.552</v>
      </c>
      <c r="AP115" s="1041"/>
      <c r="AQ115" s="1042">
        <f>-CF!AQ107</f>
        <v>24.177</v>
      </c>
      <c r="AR115" s="1042">
        <f>-CF!AR107</f>
        <v>13.036000000000001</v>
      </c>
      <c r="AS115" s="1042">
        <f>-CF!AS107</f>
        <v>11.613999999999997</v>
      </c>
      <c r="AT115" s="1042">
        <f>-CF!AT107</f>
        <v>12.231999999999999</v>
      </c>
      <c r="AU115" s="1043">
        <f>SUM(AQ115:AT115)</f>
        <v>61.058999999999997</v>
      </c>
      <c r="AV115" s="1041"/>
      <c r="AW115" s="1042">
        <f>-CF!AW107</f>
        <v>13.428000000000001</v>
      </c>
      <c r="AX115" s="1042">
        <f>-CF!AX107</f>
        <v>19.327999999999999</v>
      </c>
      <c r="AY115" s="1042">
        <f>-CF!AY107</f>
        <v>14.088999999999999</v>
      </c>
      <c r="AZ115" s="1042">
        <f>-CF!AZ107</f>
        <v>7.0560000000000045</v>
      </c>
      <c r="BA115" s="1043">
        <f>SUM(AW115:AZ115)</f>
        <v>53.901000000000003</v>
      </c>
      <c r="BB115" s="1041"/>
      <c r="BC115" s="1042">
        <f>-CF!BC107</f>
        <v>12.19</v>
      </c>
      <c r="BD115" s="1042">
        <f>-CF!BD107</f>
        <v>27.331000000000003</v>
      </c>
      <c r="BE115" s="1042">
        <f>-CF!BE107</f>
        <v>20.79</v>
      </c>
      <c r="BF115" s="1042">
        <f>-CF!BF107</f>
        <v>30.576000000000001</v>
      </c>
      <c r="BG115" s="1043">
        <f>SUM(BC115:BF115)</f>
        <v>90.887</v>
      </c>
      <c r="BH115" s="1041"/>
      <c r="BI115" s="1042">
        <f>-CF!BI107</f>
        <v>27.314</v>
      </c>
      <c r="BJ115" s="1042">
        <f>-CF!BJ107</f>
        <v>45.050999999999995</v>
      </c>
      <c r="BK115" s="1042">
        <f>-CF!BK107</f>
        <v>34.678000000000011</v>
      </c>
      <c r="BL115" s="1042">
        <f>-CF!BL107</f>
        <v>44.602000000000004</v>
      </c>
      <c r="BM115" s="1043">
        <f>SUM(BI115:BL115)</f>
        <v>151.64500000000001</v>
      </c>
      <c r="BN115" s="1041"/>
      <c r="BO115" s="1042">
        <f>-CF!BO107</f>
        <v>44.720999999999997</v>
      </c>
      <c r="BP115" s="1042">
        <f>-CF!BP107</f>
        <v>29.304000000000009</v>
      </c>
      <c r="BQ115" s="1042">
        <f>-CF!BQ107</f>
        <v>51.053999999999988</v>
      </c>
      <c r="BR115" s="1042">
        <f>-CF!BR107</f>
        <v>50.522000000000006</v>
      </c>
      <c r="BS115" s="1043">
        <f>SUM(BO115:BR115)</f>
        <v>175.601</v>
      </c>
      <c r="BT115" s="1041"/>
      <c r="BU115" s="1042">
        <f>-CF!BU107</f>
        <v>54.01</v>
      </c>
      <c r="BV115" s="1042">
        <f>-CF!BV107</f>
        <v>102.54900000000001</v>
      </c>
      <c r="BW115" s="1042">
        <f>-CF!BW107</f>
        <v>72.701999999999998</v>
      </c>
      <c r="BX115" s="1042">
        <f>-CF!BX107</f>
        <v>69.849000000000018</v>
      </c>
      <c r="BY115" s="1043">
        <f>SUM(BU115:BX115)</f>
        <v>299.11</v>
      </c>
      <c r="BZ115" s="1041"/>
      <c r="CA115" s="1042">
        <f>-CF!CA107</f>
        <v>60.097999999999999</v>
      </c>
      <c r="CB115" s="1042">
        <f>-CF!CB107</f>
        <v>71.576000000000008</v>
      </c>
      <c r="CC115" s="1042">
        <f>-CF!CC107</f>
        <v>73.425999999999988</v>
      </c>
      <c r="CD115" s="1042">
        <f>-CF!CD107</f>
        <v>85.354000000000013</v>
      </c>
      <c r="CE115" s="1043">
        <f>SUM(CA115:CD115)</f>
        <v>290.45400000000001</v>
      </c>
      <c r="CF115" s="1041"/>
      <c r="CG115" s="1042">
        <f>-CF!CG107</f>
        <v>71.087000000000003</v>
      </c>
      <c r="CH115" s="1042">
        <f>-CF!CH107</f>
        <v>64.882999999999996</v>
      </c>
      <c r="CI115" s="1042">
        <f>-CF!CI107</f>
        <v>80.040999999999997</v>
      </c>
      <c r="CJ115" s="1042">
        <f>-CF!CJ107</f>
        <v>68.465000000000003</v>
      </c>
      <c r="CK115" s="1043">
        <f>SUM(CG115:CJ115)</f>
        <v>284.476</v>
      </c>
      <c r="CL115" s="1041"/>
      <c r="CM115" s="1042">
        <f>-CF!CM107</f>
        <v>83.301000000000002</v>
      </c>
      <c r="CN115" s="1042">
        <f>-CF!CN107</f>
        <v>96.029999999999987</v>
      </c>
      <c r="CO115" s="1042">
        <f>-CF!CO107</f>
        <v>140.65299999999999</v>
      </c>
      <c r="CP115" s="1042">
        <f>-CF!CP107</f>
        <v>143.97400000000005</v>
      </c>
      <c r="CQ115" s="1043">
        <f>SUM(CM115:CP115)</f>
        <v>463.95800000000003</v>
      </c>
      <c r="CR115" s="1041"/>
      <c r="CS115" s="1042">
        <f>-CF!CS107</f>
        <v>156.602</v>
      </c>
      <c r="CT115" s="1042">
        <f>-CF!CT107</f>
        <v>128.38800000000001</v>
      </c>
      <c r="CU115" s="1042">
        <f>-CF!CU107</f>
        <v>111.27799999999996</v>
      </c>
      <c r="CV115" s="1042">
        <f>-CF!CV107</f>
        <v>137.75900000000007</v>
      </c>
      <c r="CW115" s="1043">
        <f>SUM(CS115:CV115)</f>
        <v>534.02700000000004</v>
      </c>
      <c r="CX115" s="1041"/>
      <c r="CY115" s="1042">
        <f>Model!CY19*BS!CY117</f>
        <v>157.19284752951791</v>
      </c>
      <c r="CZ115" s="1042">
        <f>Model!CZ19*BS!CZ117</f>
        <v>118.18918418938046</v>
      </c>
      <c r="DA115" s="1042">
        <f>Model!DA19*BS!DA117</f>
        <v>94.877242423721555</v>
      </c>
      <c r="DB115" s="1042">
        <f>Model!DB19*BS!DB117</f>
        <v>123.28222253865258</v>
      </c>
      <c r="DC115" s="1043">
        <f>SUM(CY115:DB115)</f>
        <v>493.54149668127252</v>
      </c>
      <c r="DD115" s="1041"/>
      <c r="DE115" s="1042">
        <f>Model!DE19*BS!DE117</f>
        <v>170.90785813886464</v>
      </c>
      <c r="DF115" s="1042">
        <f>Model!DF19*BS!DF117</f>
        <v>142.18111827454319</v>
      </c>
      <c r="DG115" s="1042">
        <f>Model!DG19*BS!DG117</f>
        <v>114.14279547108703</v>
      </c>
      <c r="DH115" s="1042">
        <f>Model!DH19*BS!DH117</f>
        <v>147.43121838649708</v>
      </c>
      <c r="DI115" s="1043">
        <f>SUM(DE115:DH115)</f>
        <v>574.66299027099194</v>
      </c>
      <c r="DJ115" s="1041"/>
      <c r="DK115" s="1042">
        <f>Model!DK19*BS!DK117</f>
        <v>161.77841804828086</v>
      </c>
      <c r="DL115" s="1042">
        <f>Model!DL19*BS!DL117</f>
        <v>169.79095512091078</v>
      </c>
      <c r="DM115" s="1042">
        <f>Model!DM19*BS!DM117</f>
        <v>136.16697619773348</v>
      </c>
      <c r="DN115" s="1042">
        <f>Model!DN19*BS!DN117</f>
        <v>200.08841341438361</v>
      </c>
      <c r="DO115" s="1043">
        <f>SUM(DK115:DN115)</f>
        <v>667.82476278130866</v>
      </c>
      <c r="DP115" s="1042"/>
      <c r="DQ115" s="965"/>
    </row>
    <row r="116" spans="1:121" ht="10.5" hidden="1" customHeight="1" outlineLevel="1">
      <c r="A116" s="1174" t="s">
        <v>769</v>
      </c>
      <c r="B116" s="1175"/>
      <c r="C116" s="1042"/>
      <c r="D116" s="1176"/>
      <c r="E116" s="1176"/>
      <c r="F116" s="1177"/>
      <c r="G116" s="1042"/>
      <c r="H116" s="1042"/>
      <c r="I116" s="1042"/>
      <c r="J116" s="1042"/>
      <c r="K116" s="1042"/>
      <c r="L116" s="1041"/>
      <c r="M116" s="1042"/>
      <c r="N116" s="1042"/>
      <c r="O116" s="1042"/>
      <c r="P116" s="1042"/>
      <c r="Q116" s="1042"/>
      <c r="R116" s="1041"/>
      <c r="S116" s="1042"/>
      <c r="T116" s="1042"/>
      <c r="U116" s="1042"/>
      <c r="V116" s="1042"/>
      <c r="W116" s="1042"/>
      <c r="X116" s="1041"/>
      <c r="Y116" s="1042"/>
      <c r="Z116" s="1042"/>
      <c r="AA116" s="1042"/>
      <c r="AB116" s="1042"/>
      <c r="AC116" s="1043"/>
      <c r="AD116" s="1041"/>
      <c r="AE116" s="1042"/>
      <c r="AF116" s="1042"/>
      <c r="AG116" s="1042"/>
      <c r="AH116" s="1042"/>
      <c r="AI116" s="1043"/>
      <c r="AJ116" s="1041"/>
      <c r="AK116" s="1042"/>
      <c r="AL116" s="1042"/>
      <c r="AM116" s="1042"/>
      <c r="AN116" s="1042"/>
      <c r="AO116" s="1043"/>
      <c r="AP116" s="1041"/>
      <c r="AQ116" s="1042"/>
      <c r="AR116" s="1042"/>
      <c r="AS116" s="1042"/>
      <c r="AT116" s="1042"/>
      <c r="AU116" s="1043"/>
      <c r="AV116" s="1041"/>
      <c r="AW116" s="1042"/>
      <c r="AX116" s="1042"/>
      <c r="AY116" s="1042"/>
      <c r="AZ116" s="1042"/>
      <c r="BA116" s="1043"/>
      <c r="BB116" s="1041"/>
      <c r="BC116" s="1042"/>
      <c r="BD116" s="1042"/>
      <c r="BE116" s="1042">
        <v>8</v>
      </c>
      <c r="BF116" s="1042">
        <v>270</v>
      </c>
      <c r="BG116" s="1043"/>
      <c r="BH116" s="1041"/>
      <c r="BI116" s="1042"/>
      <c r="BJ116" s="1042"/>
      <c r="BK116" s="1042"/>
      <c r="BL116" s="1042">
        <v>0</v>
      </c>
      <c r="BM116" s="1043">
        <f>BM115/BG115-1</f>
        <v>0.66850044560828281</v>
      </c>
      <c r="BN116" s="1041"/>
      <c r="BO116" s="1042"/>
      <c r="BP116" s="1042"/>
      <c r="BQ116" s="1042"/>
      <c r="BR116" s="1042">
        <v>0</v>
      </c>
      <c r="BS116" s="1043"/>
      <c r="BT116" s="1041"/>
      <c r="BU116" s="1042"/>
      <c r="BV116" s="1042"/>
      <c r="BW116" s="1042"/>
      <c r="BX116" s="1042">
        <v>0</v>
      </c>
      <c r="BY116" s="1043"/>
      <c r="BZ116" s="1041"/>
      <c r="CA116" s="1042"/>
      <c r="CB116" s="1042"/>
      <c r="CC116" s="1042"/>
      <c r="CD116" s="1042"/>
      <c r="CE116" s="1043"/>
      <c r="CF116" s="1041"/>
      <c r="CG116" s="1042"/>
      <c r="CH116" s="1042"/>
      <c r="CI116" s="1042"/>
      <c r="CJ116" s="1042"/>
      <c r="CK116" s="1043"/>
      <c r="CL116" s="1041"/>
      <c r="CM116" s="1042"/>
      <c r="CN116" s="1042"/>
      <c r="CO116" s="1042"/>
      <c r="CP116" s="1042"/>
      <c r="CQ116" s="1043"/>
      <c r="CR116" s="1041"/>
      <c r="CS116" s="1042"/>
      <c r="CT116" s="1042"/>
      <c r="CU116" s="1042"/>
      <c r="CV116" s="1042"/>
      <c r="CW116" s="1043"/>
      <c r="CX116" s="1041"/>
      <c r="CY116" s="1042"/>
      <c r="CZ116" s="1042"/>
      <c r="DA116" s="1042"/>
      <c r="DB116" s="1042"/>
      <c r="DC116" s="1043"/>
      <c r="DD116" s="1041"/>
      <c r="DE116" s="1042"/>
      <c r="DF116" s="1042"/>
      <c r="DG116" s="1042"/>
      <c r="DH116" s="1042"/>
      <c r="DI116" s="1043"/>
      <c r="DJ116" s="1041"/>
      <c r="DK116" s="1042"/>
      <c r="DL116" s="1042"/>
      <c r="DM116" s="1042"/>
      <c r="DN116" s="1042"/>
      <c r="DO116" s="1043"/>
      <c r="DP116" s="1042"/>
      <c r="DQ116" s="965"/>
    </row>
    <row r="117" spans="1:121" ht="10.5" hidden="1" customHeight="1" outlineLevel="1">
      <c r="A117" s="1174" t="s">
        <v>664</v>
      </c>
      <c r="B117" s="1175"/>
      <c r="C117" s="1042"/>
      <c r="D117" s="1176"/>
      <c r="E117" s="1176"/>
      <c r="F117" s="1177"/>
      <c r="G117" s="1178"/>
      <c r="H117" s="1178"/>
      <c r="I117" s="1178"/>
      <c r="J117" s="1179">
        <f>J115/Model!J19</f>
        <v>-2.5118848772966721E-2</v>
      </c>
      <c r="K117" s="1179">
        <f>K115/Model!K19</f>
        <v>1.4335863191543638E-2</v>
      </c>
      <c r="L117" s="1180"/>
      <c r="M117" s="1179"/>
      <c r="N117" s="1179"/>
      <c r="O117" s="1179"/>
      <c r="P117" s="1179">
        <f>P115/Model!P19</f>
        <v>3.9962732505906248E-2</v>
      </c>
      <c r="Q117" s="1179">
        <f>Q115/Model!Q19</f>
        <v>1.2507420097268369E-2</v>
      </c>
      <c r="R117" s="1180"/>
      <c r="S117" s="1179">
        <f>S115/Model!S19</f>
        <v>7.9795631332701868E-3</v>
      </c>
      <c r="T117" s="1179">
        <f>T115/Model!T19</f>
        <v>1.1926763756437741E-2</v>
      </c>
      <c r="U117" s="1179">
        <f>U115/Model!U19</f>
        <v>2.7630982938245507E-2</v>
      </c>
      <c r="V117" s="1179">
        <f>V115/Model!V19</f>
        <v>4.1488075612704692E-2</v>
      </c>
      <c r="W117" s="1179">
        <f>W115/Model!W19</f>
        <v>2.4425230333097094E-2</v>
      </c>
      <c r="X117" s="1180"/>
      <c r="Y117" s="1179">
        <f>Y115/Model!Y19</f>
        <v>0.14268351590133538</v>
      </c>
      <c r="Z117" s="1179">
        <f>Z115/Model!Z19</f>
        <v>4.6870439097618941E-2</v>
      </c>
      <c r="AA117" s="1179">
        <f>AA115/Model!AA19</f>
        <v>6.3999129098980326E-2</v>
      </c>
      <c r="AB117" s="1179">
        <f>AB115/Model!AB19</f>
        <v>6.1648950188878164E-2</v>
      </c>
      <c r="AC117" s="1181">
        <f>AC115/Model!AC19</f>
        <v>7.5628435052298312E-2</v>
      </c>
      <c r="AD117" s="1180"/>
      <c r="AE117" s="1179">
        <f>AE115/Model!AE19</f>
        <v>2.4788414878780356E-2</v>
      </c>
      <c r="AF117" s="1179">
        <f>AF115/Model!AF19</f>
        <v>2.3853661426987312E-2</v>
      </c>
      <c r="AG117" s="1179">
        <f>AG115/Model!AG19</f>
        <v>6.985613557549615E-2</v>
      </c>
      <c r="AH117" s="1179">
        <v>0.06</v>
      </c>
      <c r="AI117" s="1181">
        <f>AI115/Model!AI19</f>
        <v>4.450430297446379E-2</v>
      </c>
      <c r="AJ117" s="1180"/>
      <c r="AK117" s="1179">
        <f>AK115/Model!AK19</f>
        <v>9.8250129300790578E-2</v>
      </c>
      <c r="AL117" s="1179">
        <f>AL115/Model!AL19</f>
        <v>5.7220847326125986E-2</v>
      </c>
      <c r="AM117" s="1179">
        <f>AM115/Model!AM19</f>
        <v>4.7312541817295377E-2</v>
      </c>
      <c r="AN117" s="1179">
        <f>AN115/Model!AN19</f>
        <v>3.8583533881036025E-2</v>
      </c>
      <c r="AO117" s="1181">
        <f>AO115/Model!AO19</f>
        <v>5.8170161613463341E-2</v>
      </c>
      <c r="AP117" s="1044"/>
      <c r="AQ117" s="1179">
        <f>AQ115/Model!AQ19</f>
        <v>9.7636720485255749E-2</v>
      </c>
      <c r="AR117" s="1179">
        <f>AR115/Model!AR19</f>
        <v>4.9552032294727405E-2</v>
      </c>
      <c r="AS117" s="1179">
        <f>AS115/Model!AS19</f>
        <v>4.2005591582967731E-2</v>
      </c>
      <c r="AT117" s="1179">
        <f>AT115/Model!AT19</f>
        <v>4.2240048621638694E-2</v>
      </c>
      <c r="AU117" s="1181">
        <f>AU115/Model!AU19</f>
        <v>5.6705755830637763E-2</v>
      </c>
      <c r="AV117" s="1044"/>
      <c r="AW117" s="1179">
        <f>AW115/Model!AW19</f>
        <v>4.403720271280713E-2</v>
      </c>
      <c r="AX117" s="1179">
        <f>AX115/Model!AX19</f>
        <v>6.1152752158602296E-2</v>
      </c>
      <c r="AY117" s="1179">
        <f>AY115/Model!AY19</f>
        <v>4.2623030171018518E-2</v>
      </c>
      <c r="AZ117" s="1179">
        <f>AZ115/Model!AZ19</f>
        <v>1.9929444794364634E-2</v>
      </c>
      <c r="BA117" s="1046">
        <f>BA115/Model!BA19</f>
        <v>4.1285004476927165E-2</v>
      </c>
      <c r="BB117" s="1044"/>
      <c r="BC117" s="1179">
        <f>BC115/Model!BC19</f>
        <v>3.2350263924015361E-2</v>
      </c>
      <c r="BD117" s="1179">
        <f>BD115/Model!BD19</f>
        <v>6.9302587404785329E-2</v>
      </c>
      <c r="BE117" s="1179">
        <f>BE115/Model!BE19</f>
        <v>4.8451712589754524E-2</v>
      </c>
      <c r="BF117" s="1179">
        <f>BF115/Model!BF19</f>
        <v>6.6925385287184239E-2</v>
      </c>
      <c r="BG117" s="1046">
        <f>BG115/Model!BG19</f>
        <v>5.4845731106443099E-2</v>
      </c>
      <c r="BH117" s="1044"/>
      <c r="BI117" s="1179">
        <f>BI115/Model!BI19</f>
        <v>5.4155332260034418E-2</v>
      </c>
      <c r="BJ117" s="1179">
        <f>BJ115/Model!BJ19</f>
        <v>8.2510686774041123E-2</v>
      </c>
      <c r="BK117" s="1179">
        <f>BK115/Model!BK19</f>
        <v>5.9353712388320289E-2</v>
      </c>
      <c r="BL117" s="1179">
        <f>BL115/Model!BL19</f>
        <v>7.0582501072141271E-2</v>
      </c>
      <c r="BM117" s="1046">
        <f>BM115/Model!BM19</f>
        <v>6.6905974262962159E-2</v>
      </c>
      <c r="BN117" s="1044"/>
      <c r="BO117" s="1179">
        <f>BO115/Model!BO19</f>
        <v>6.4303554302360857E-2</v>
      </c>
      <c r="BP117" s="1179">
        <f>BP115/Model!BP19</f>
        <v>4.0051992143773869E-2</v>
      </c>
      <c r="BQ117" s="1179">
        <f>BQ115/Model!BQ19</f>
        <v>6.4756633071113817E-2</v>
      </c>
      <c r="BR117" s="1179">
        <f>BR115/Model!BR19</f>
        <v>6.0528513288310146E-2</v>
      </c>
      <c r="BS117" s="1046">
        <f>BS115/Model!BS19</f>
        <v>5.7570417629036828E-2</v>
      </c>
      <c r="BT117" s="1044"/>
      <c r="BU117" s="1179">
        <f>BU115/Model!BU19</f>
        <v>6.0506389524026108E-2</v>
      </c>
      <c r="BV117" s="1179">
        <f>BV115/Model!BV19</f>
        <v>0.10714621552324015</v>
      </c>
      <c r="BW117" s="1179">
        <f>BW115/Model!BW19</f>
        <v>6.7564779551575499E-2</v>
      </c>
      <c r="BX117" s="1179">
        <f>BX115/Model!BX19</f>
        <v>6.099060285948299E-2</v>
      </c>
      <c r="BY117" s="1046">
        <f>BY115/Model!BY19</f>
        <v>7.3473293927810907E-2</v>
      </c>
      <c r="BZ117" s="1044"/>
      <c r="CA117" s="1179">
        <f>CA115/Model!CA19</f>
        <v>4.8988728141822604E-2</v>
      </c>
      <c r="CB117" s="1179">
        <f>CB115/Model!CB19</f>
        <v>5.428383126629157E-2</v>
      </c>
      <c r="CC117" s="1179">
        <f>CC115/Model!CC19</f>
        <v>5.3066696539238456E-2</v>
      </c>
      <c r="CD117" s="1179">
        <f>CD115/Model!CD19</f>
        <v>5.9084540581251122E-2</v>
      </c>
      <c r="CE117" s="1046">
        <f>CE115/Model!CE19</f>
        <v>5.4052172980947916E-2</v>
      </c>
      <c r="CF117" s="1044"/>
      <c r="CG117" s="1179">
        <f>CG115/Model!CG19</f>
        <v>4.7041127817110888E-2</v>
      </c>
      <c r="CH117" s="1179">
        <f>CH115/Model!CH19</f>
        <v>3.9691463304222713E-2</v>
      </c>
      <c r="CI117" s="1179">
        <f>CI115/Model!CI19</f>
        <v>4.6753821773433714E-2</v>
      </c>
      <c r="CJ117" s="1179">
        <f>CJ115/Model!CJ19</f>
        <v>3.7838551827734969E-2</v>
      </c>
      <c r="CK117" s="1046">
        <f>CK115/Model!CK19</f>
        <v>4.2667884166344691E-2</v>
      </c>
      <c r="CL117" s="1044"/>
      <c r="CM117" s="1179">
        <f>CM115/Model!CM19</f>
        <v>4.346283502634609E-2</v>
      </c>
      <c r="CN117" s="1179">
        <f>CN115/Model!CN19</f>
        <v>4.71516995332458E-2</v>
      </c>
      <c r="CO117" s="1179">
        <f>CO115/Model!CO19</f>
        <v>6.5579373127717347E-2</v>
      </c>
      <c r="CP117" s="1179">
        <f>CP115/Model!CP19</f>
        <v>6.2761444262132177E-2</v>
      </c>
      <c r="CQ117" s="1046">
        <f>CQ115/Model!CQ19</f>
        <v>5.5285853738519998E-2</v>
      </c>
      <c r="CR117" s="1044"/>
      <c r="CS117" s="1179">
        <f>CS115/Model!CS19</f>
        <v>6.5590290415521335E-2</v>
      </c>
      <c r="CT117" s="1179">
        <f>CT115/Model!CT19</f>
        <v>5.0120452578458138E-2</v>
      </c>
      <c r="CU117" s="1179">
        <f>CU115/Model!CU19</f>
        <v>4.1524105348041157E-2</v>
      </c>
      <c r="CV117" s="1179">
        <f>CV115/Model!CV19</f>
        <v>4.8319486159783091E-2</v>
      </c>
      <c r="CW117" s="1046">
        <f>CW115/Model!CW19</f>
        <v>5.0956716461775055E-2</v>
      </c>
      <c r="CX117" s="1044"/>
      <c r="CY117" s="1045">
        <f>CS117-1.22%</f>
        <v>5.3390290415521333E-2</v>
      </c>
      <c r="CZ117" s="1045">
        <f>CT117-1.22%</f>
        <v>3.7920452578458136E-2</v>
      </c>
      <c r="DA117" s="1045">
        <f>CU117-1.22%</f>
        <v>2.9324105348041158E-2</v>
      </c>
      <c r="DB117" s="1045">
        <f>CV117-1.22%</f>
        <v>3.6119486159783096E-2</v>
      </c>
      <c r="DC117" s="1046">
        <f>DC115/Model!DC19</f>
        <v>3.8832075571244698E-2</v>
      </c>
      <c r="DD117" s="1961"/>
      <c r="DE117" s="1045">
        <f>CY117-0.0051</f>
        <v>4.8290290415521332E-2</v>
      </c>
      <c r="DF117" s="1045">
        <f>CZ117</f>
        <v>3.7920452578458136E-2</v>
      </c>
      <c r="DG117" s="1045">
        <f>DA117</f>
        <v>2.9324105348041158E-2</v>
      </c>
      <c r="DH117" s="1045">
        <f>DB117</f>
        <v>3.6119486159783096E-2</v>
      </c>
      <c r="DI117" s="1046">
        <f>DI115/Model!DI19</f>
        <v>3.7651083614933911E-2</v>
      </c>
      <c r="DJ117" s="1961"/>
      <c r="DK117" s="1045">
        <f>DE117-0.0101</f>
        <v>3.8190290415521334E-2</v>
      </c>
      <c r="DL117" s="1045">
        <f>DF117</f>
        <v>3.7920452578458136E-2</v>
      </c>
      <c r="DM117" s="1045">
        <f>DG117</f>
        <v>2.9324105348041158E-2</v>
      </c>
      <c r="DN117" s="1045">
        <f>DH117+0.005</f>
        <v>4.1119486159783093E-2</v>
      </c>
      <c r="DO117" s="1046">
        <f>DO115/Model!DO19</f>
        <v>3.6646931439927366E-2</v>
      </c>
      <c r="DP117" s="1045"/>
      <c r="DQ117" s="965"/>
    </row>
    <row r="118" spans="1:121" ht="10.5" hidden="1" customHeight="1" outlineLevel="1">
      <c r="A118" s="1182"/>
      <c r="B118" s="1183"/>
      <c r="C118" s="1048"/>
      <c r="D118" s="1184"/>
      <c r="E118" s="1184"/>
      <c r="F118" s="1185"/>
      <c r="G118" s="1048"/>
      <c r="H118" s="1048"/>
      <c r="I118" s="1048"/>
      <c r="J118" s="1048"/>
      <c r="K118" s="1186"/>
      <c r="L118" s="1186"/>
      <c r="M118" s="1048"/>
      <c r="N118" s="1048"/>
      <c r="O118" s="1048"/>
      <c r="P118" s="1048"/>
      <c r="Q118" s="1048"/>
      <c r="R118" s="1186"/>
      <c r="S118" s="1048"/>
      <c r="T118" s="1047"/>
      <c r="U118" s="1047"/>
      <c r="V118" s="1047"/>
      <c r="W118" s="1048"/>
      <c r="X118" s="1186"/>
      <c r="Y118" s="1047"/>
      <c r="Z118" s="1047"/>
      <c r="AA118" s="1047"/>
      <c r="AB118" s="1047"/>
      <c r="AC118" s="1187"/>
      <c r="AD118" s="1186"/>
      <c r="AE118" s="1047"/>
      <c r="AF118" s="1047"/>
      <c r="AG118" s="1047"/>
      <c r="AH118" s="1047"/>
      <c r="AI118" s="1187"/>
      <c r="AJ118" s="1186"/>
      <c r="AK118" s="1047"/>
      <c r="AL118" s="1047"/>
      <c r="AM118" s="1047"/>
      <c r="AN118" s="1047"/>
      <c r="AO118" s="1049"/>
      <c r="AP118" s="1047"/>
      <c r="AQ118" s="1048"/>
      <c r="AR118" s="1048"/>
      <c r="AS118" s="1048"/>
      <c r="AT118" s="1048"/>
      <c r="AU118" s="1049"/>
      <c r="AV118" s="1047"/>
      <c r="AW118" s="1048"/>
      <c r="AX118" s="1048"/>
      <c r="AY118" s="1048"/>
      <c r="AZ118" s="1048"/>
      <c r="BA118" s="1049"/>
      <c r="BB118" s="1047"/>
      <c r="BC118" s="1048"/>
      <c r="BD118" s="1048"/>
      <c r="BE118" s="1048"/>
      <c r="BF118" s="1048"/>
      <c r="BG118" s="1049"/>
      <c r="BH118" s="1047"/>
      <c r="BI118" s="1048"/>
      <c r="BJ118" s="1048"/>
      <c r="BK118" s="1048"/>
      <c r="BL118" s="1048"/>
      <c r="BM118" s="1049"/>
      <c r="BN118" s="1047"/>
      <c r="BO118" s="1048"/>
      <c r="BP118" s="1048"/>
      <c r="BQ118" s="1048"/>
      <c r="BR118" s="1048"/>
      <c r="BS118" s="1049"/>
      <c r="BT118" s="1047"/>
      <c r="BU118" s="1048"/>
      <c r="BV118" s="1048"/>
      <c r="BW118" s="1048"/>
      <c r="BX118" s="1048"/>
      <c r="BY118" s="1049"/>
      <c r="BZ118" s="1047"/>
      <c r="CA118" s="1048"/>
      <c r="CB118" s="1048"/>
      <c r="CC118" s="1048"/>
      <c r="CD118" s="1048"/>
      <c r="CE118" s="1049"/>
      <c r="CF118" s="1047"/>
      <c r="CG118" s="1048"/>
      <c r="CH118" s="1048"/>
      <c r="CI118" s="1048"/>
      <c r="CJ118" s="1048"/>
      <c r="CK118" s="1049"/>
      <c r="CL118" s="1047"/>
      <c r="CM118" s="1048"/>
      <c r="CN118" s="1048"/>
      <c r="CO118" s="1048"/>
      <c r="CP118" s="1048"/>
      <c r="CQ118" s="1049"/>
      <c r="CR118" s="1047"/>
      <c r="CS118" s="1048"/>
      <c r="CT118" s="1048"/>
      <c r="CU118" s="1048"/>
      <c r="CV118" s="1048"/>
      <c r="CW118" s="1049"/>
      <c r="CX118" s="1047"/>
      <c r="CY118" s="1048"/>
      <c r="CZ118" s="1048"/>
      <c r="DA118" s="1048"/>
      <c r="DB118" s="1048"/>
      <c r="DC118" s="1049"/>
      <c r="DD118" s="1047"/>
      <c r="DE118" s="1048"/>
      <c r="DF118" s="1048"/>
      <c r="DG118" s="1048"/>
      <c r="DH118" s="1048"/>
      <c r="DI118" s="1049"/>
      <c r="DJ118" s="1047"/>
      <c r="DK118" s="1048"/>
      <c r="DL118" s="1048"/>
      <c r="DM118" s="1048"/>
      <c r="DN118" s="1048"/>
      <c r="DO118" s="1049"/>
      <c r="DP118" s="1693"/>
      <c r="DQ118" s="965"/>
    </row>
    <row r="119" spans="1:121" ht="10.5" hidden="1" customHeight="1" outlineLevel="1">
      <c r="A119" s="1122"/>
      <c r="B119" s="1122"/>
      <c r="C119" s="989"/>
      <c r="D119" s="1188"/>
      <c r="E119" s="1188"/>
      <c r="F119" s="1189"/>
      <c r="G119" s="989"/>
      <c r="H119" s="989"/>
      <c r="I119" s="989"/>
      <c r="J119" s="989"/>
      <c r="K119" s="1190"/>
      <c r="L119" s="1190"/>
      <c r="M119" s="989"/>
      <c r="N119" s="989"/>
      <c r="O119" s="989"/>
      <c r="P119" s="989"/>
      <c r="Q119" s="989"/>
      <c r="R119" s="1050"/>
      <c r="S119" s="989"/>
      <c r="T119" s="1191"/>
      <c r="U119" s="1191"/>
      <c r="V119" s="1191"/>
      <c r="W119" s="989"/>
      <c r="X119" s="1050"/>
      <c r="Y119" s="1191"/>
      <c r="Z119" s="1191"/>
      <c r="AA119" s="1191"/>
      <c r="AB119" s="1191"/>
      <c r="AC119" s="1051"/>
      <c r="AD119" s="1050"/>
      <c r="AE119" s="989"/>
      <c r="AF119" s="989"/>
      <c r="AG119" s="989"/>
      <c r="AH119" s="989"/>
      <c r="AI119" s="1051"/>
      <c r="AJ119" s="1050"/>
      <c r="AK119" s="989"/>
      <c r="AL119" s="989"/>
      <c r="AM119" s="989"/>
      <c r="AN119" s="989"/>
      <c r="AO119" s="1051"/>
      <c r="AP119" s="1050"/>
      <c r="AQ119" s="989"/>
      <c r="AR119" s="989"/>
      <c r="AS119" s="989"/>
      <c r="AT119" s="989"/>
      <c r="AU119" s="1051"/>
      <c r="AV119" s="1050"/>
      <c r="AW119" s="989"/>
      <c r="AX119" s="989"/>
      <c r="AY119" s="989"/>
      <c r="AZ119" s="989"/>
      <c r="BA119" s="1051"/>
      <c r="BB119" s="1050"/>
      <c r="BC119" s="989"/>
      <c r="BD119" s="989"/>
      <c r="BE119" s="989"/>
      <c r="BF119" s="989"/>
      <c r="BG119" s="1051"/>
      <c r="BH119" s="1050"/>
      <c r="BI119" s="989"/>
      <c r="BJ119" s="989"/>
      <c r="BK119" s="989"/>
      <c r="BL119" s="989"/>
      <c r="BM119" s="1051"/>
      <c r="BN119" s="1050"/>
      <c r="BO119" s="989"/>
      <c r="BP119" s="989"/>
      <c r="BQ119" s="989"/>
      <c r="BR119" s="989"/>
      <c r="BS119" s="1051"/>
      <c r="BT119" s="1050"/>
      <c r="BU119" s="989"/>
      <c r="BV119" s="989"/>
      <c r="BW119" s="989"/>
      <c r="BX119" s="989"/>
      <c r="BY119" s="1051"/>
      <c r="BZ119" s="1050"/>
      <c r="CA119" s="989"/>
      <c r="CB119" s="989"/>
      <c r="CC119" s="989"/>
      <c r="CD119" s="989"/>
      <c r="CE119" s="1051"/>
      <c r="CF119" s="1050"/>
      <c r="CG119" s="989"/>
      <c r="CH119" s="989"/>
      <c r="CI119" s="989"/>
      <c r="CJ119" s="989"/>
      <c r="CK119" s="1051"/>
      <c r="CL119" s="1050"/>
      <c r="CM119" s="989"/>
      <c r="CN119" s="989"/>
      <c r="CO119" s="989"/>
      <c r="CP119" s="989"/>
      <c r="CQ119" s="1051"/>
      <c r="CR119" s="1050"/>
      <c r="CS119" s="989"/>
      <c r="CT119" s="989"/>
      <c r="CU119" s="989"/>
      <c r="CV119" s="989"/>
      <c r="CW119" s="1051"/>
      <c r="CX119" s="1050"/>
      <c r="CY119" s="989"/>
      <c r="CZ119" s="989"/>
      <c r="DA119" s="989"/>
      <c r="DB119" s="989"/>
      <c r="DC119" s="1051"/>
      <c r="DD119" s="1050"/>
      <c r="DE119" s="989"/>
      <c r="DF119" s="989"/>
      <c r="DG119" s="989"/>
      <c r="DH119" s="989"/>
      <c r="DI119" s="1051"/>
      <c r="DJ119" s="1050"/>
      <c r="DK119" s="989"/>
      <c r="DL119" s="989"/>
      <c r="DM119" s="989"/>
      <c r="DN119" s="989"/>
      <c r="DO119" s="1051"/>
      <c r="DP119" s="989"/>
      <c r="DQ119" s="965"/>
    </row>
    <row r="120" spans="1:121" ht="10.5" hidden="1" customHeight="1" outlineLevel="1">
      <c r="A120" s="1192" t="s">
        <v>984</v>
      </c>
      <c r="B120" s="1193"/>
      <c r="C120" s="1194"/>
      <c r="D120" s="1195"/>
      <c r="E120" s="1195"/>
      <c r="F120" s="1196"/>
      <c r="G120" s="1194"/>
      <c r="H120" s="1194"/>
      <c r="I120" s="1194"/>
      <c r="J120" s="1194"/>
      <c r="K120" s="1197"/>
      <c r="L120" s="1197"/>
      <c r="M120" s="1194"/>
      <c r="N120" s="1194"/>
      <c r="O120" s="1194"/>
      <c r="P120" s="1194"/>
      <c r="Q120" s="1194"/>
      <c r="R120" s="1052"/>
      <c r="S120" s="1194"/>
      <c r="T120" s="1198"/>
      <c r="U120" s="1198"/>
      <c r="V120" s="1198"/>
      <c r="W120" s="1194"/>
      <c r="X120" s="1052"/>
      <c r="Y120" s="1198"/>
      <c r="Z120" s="1198"/>
      <c r="AA120" s="1198"/>
      <c r="AB120" s="1198"/>
      <c r="AC120" s="1054"/>
      <c r="AD120" s="1052"/>
      <c r="AE120" s="1194"/>
      <c r="AF120" s="1194"/>
      <c r="AG120" s="1194"/>
      <c r="AH120" s="1053">
        <f>AH25</f>
        <v>10.983000000000001</v>
      </c>
      <c r="AI120" s="1199">
        <f>AI25</f>
        <v>10.983000000000001</v>
      </c>
      <c r="AJ120" s="1052"/>
      <c r="AK120" s="1053">
        <f>AK25</f>
        <v>22.225000000000001</v>
      </c>
      <c r="AL120" s="1053">
        <f>AL25</f>
        <v>23.956</v>
      </c>
      <c r="AM120" s="1053">
        <f>AM25</f>
        <v>23.79</v>
      </c>
      <c r="AN120" s="1053">
        <f>AN25</f>
        <v>23.061</v>
      </c>
      <c r="AO120" s="1199">
        <f>AO25</f>
        <v>23.061</v>
      </c>
      <c r="AP120" s="1052"/>
      <c r="AQ120" s="1053">
        <f>AQ25</f>
        <v>22.969000000000001</v>
      </c>
      <c r="AR120" s="1053">
        <f>AR25</f>
        <v>24.218</v>
      </c>
      <c r="AS120" s="1053">
        <f>AS25</f>
        <v>31.95</v>
      </c>
      <c r="AT120" s="1053">
        <f>AT25</f>
        <v>29.989000000000001</v>
      </c>
      <c r="AU120" s="1054"/>
      <c r="AV120" s="1052"/>
      <c r="AW120" s="1053">
        <f>AW25</f>
        <v>28.948</v>
      </c>
      <c r="AX120" s="1053">
        <f>AX25</f>
        <v>28.981000000000002</v>
      </c>
      <c r="AY120" s="1053">
        <f>AY25</f>
        <v>32.78</v>
      </c>
      <c r="AZ120" s="1053">
        <f>AZ25</f>
        <v>34.808999999999997</v>
      </c>
      <c r="BA120" s="1054"/>
      <c r="BB120" s="1052"/>
      <c r="BC120" s="1053">
        <f>BC25</f>
        <v>35.049999999999997</v>
      </c>
      <c r="BD120" s="1053">
        <f>BD25</f>
        <v>64.186000000000007</v>
      </c>
      <c r="BE120" s="1053">
        <f>BE25</f>
        <v>79.498999999999995</v>
      </c>
      <c r="BF120" s="1053">
        <f>BF25</f>
        <v>127.98699999999999</v>
      </c>
      <c r="BG120" s="1054"/>
      <c r="BH120" s="1052"/>
      <c r="BI120" s="1053">
        <f>BI25</f>
        <v>124.661</v>
      </c>
      <c r="BJ120" s="1053">
        <f>BJ25</f>
        <v>198.291</v>
      </c>
      <c r="BK120" s="1053">
        <f>BK25</f>
        <v>199.41300000000001</v>
      </c>
      <c r="BL120" s="1053">
        <f>BL25</f>
        <v>188.41200000000001</v>
      </c>
      <c r="BM120" s="1054"/>
      <c r="BN120" s="1052"/>
      <c r="BO120" s="1053">
        <f>BO25</f>
        <v>182.87100000000001</v>
      </c>
      <c r="BP120" s="1053">
        <f>BP25</f>
        <v>173.45599999999999</v>
      </c>
      <c r="BQ120" s="1053">
        <f>BQ25</f>
        <v>225.137</v>
      </c>
      <c r="BR120" s="1053">
        <f>BR25</f>
        <v>207.32300000000001</v>
      </c>
      <c r="BS120" s="1054"/>
      <c r="BT120" s="1052"/>
      <c r="BU120" s="1053">
        <f>BU25</f>
        <v>192.429</v>
      </c>
      <c r="BV120" s="1053">
        <f>BV25</f>
        <v>537.38</v>
      </c>
      <c r="BW120" s="1053">
        <f>BW25</f>
        <v>505.82900000000001</v>
      </c>
      <c r="BX120" s="1053">
        <f>BX25</f>
        <v>481.91699999999997</v>
      </c>
      <c r="BY120" s="1054"/>
      <c r="BZ120" s="1052"/>
      <c r="CA120" s="1053">
        <f>CA25</f>
        <v>455.81900000000002</v>
      </c>
      <c r="CB120" s="1053">
        <f>CB25</f>
        <v>449.49900000000002</v>
      </c>
      <c r="CC120" s="1053">
        <f>CC25</f>
        <v>448.08800000000002</v>
      </c>
      <c r="CD120" s="1053">
        <f>CD25</f>
        <v>433.39800000000002</v>
      </c>
      <c r="CE120" s="1054"/>
      <c r="CF120" s="1052"/>
      <c r="CG120" s="1053">
        <f>CG25</f>
        <v>421.32299999999998</v>
      </c>
      <c r="CH120" s="1053">
        <f>CH25</f>
        <v>414.03500000000003</v>
      </c>
      <c r="CI120" s="1053">
        <f>CI25</f>
        <v>397.01299999999998</v>
      </c>
      <c r="CJ120" s="1053">
        <f>CJ25</f>
        <v>384.25799999999998</v>
      </c>
      <c r="CK120" s="1054"/>
      <c r="CL120" s="1052"/>
      <c r="CM120" s="1053">
        <f>CM25</f>
        <v>407.03</v>
      </c>
      <c r="CN120" s="1053">
        <f>CN25</f>
        <v>626.21400000000006</v>
      </c>
      <c r="CO120" s="1053">
        <f>CO25</f>
        <v>637.87699999999995</v>
      </c>
      <c r="CP120" s="1053">
        <f>CP25</f>
        <v>141.67099999999999</v>
      </c>
      <c r="CQ120" s="1054"/>
      <c r="CR120" s="1052"/>
      <c r="CS120" s="1053">
        <f>CS25</f>
        <v>141.685</v>
      </c>
      <c r="CT120" s="1053">
        <f>CT25</f>
        <v>140.703</v>
      </c>
      <c r="CU120" s="1053">
        <f>CU25</f>
        <v>140.768</v>
      </c>
      <c r="CV120" s="1053">
        <f>CV25</f>
        <v>146.065</v>
      </c>
      <c r="CW120" s="1054"/>
      <c r="CX120" s="1052"/>
      <c r="CY120" s="1053">
        <f>CV120+CY122-CY125</f>
        <v>190.34293247119692</v>
      </c>
      <c r="CZ120" s="1053">
        <f>CY120+CZ122-CZ125</f>
        <v>233.64396285706647</v>
      </c>
      <c r="DA120" s="1053">
        <f>CZ120+DA122-DA125</f>
        <v>274.98895244870891</v>
      </c>
      <c r="DB120" s="1053">
        <f>DA120+DB122-DB125</f>
        <v>315.75361000925972</v>
      </c>
      <c r="DC120" s="1054"/>
      <c r="DD120" s="1052"/>
      <c r="DE120" s="1053">
        <f>DB120+DE122-DE125</f>
        <v>354.96177781640733</v>
      </c>
      <c r="DF120" s="1053">
        <f>DE120+DF122-DF125</f>
        <v>394.45474631690433</v>
      </c>
      <c r="DG120" s="1053">
        <f>DF120+DG122-DG125</f>
        <v>432.85839554856932</v>
      </c>
      <c r="DH120" s="1053">
        <f>DG120+DH122-DH125</f>
        <v>471.20783603856148</v>
      </c>
      <c r="DI120" s="1054"/>
      <c r="DJ120" s="1052"/>
      <c r="DK120" s="1053">
        <f>DH120+DK122-DK125</f>
        <v>508.80932937373109</v>
      </c>
      <c r="DL120" s="1053">
        <f>DK120+DL122-DL125</f>
        <v>547.47951915548163</v>
      </c>
      <c r="DM120" s="1053">
        <f>DL120+DM122-DM125</f>
        <v>585.60190349169534</v>
      </c>
      <c r="DN120" s="1053">
        <f>DM120+DN122-DN125</f>
        <v>624.36219649529698</v>
      </c>
      <c r="DO120" s="1054"/>
      <c r="DP120" s="989"/>
      <c r="DQ120" s="965"/>
    </row>
    <row r="121" spans="1:121" ht="5.25" hidden="1" customHeight="1" outlineLevel="1">
      <c r="A121" s="1200"/>
      <c r="B121" s="1122"/>
      <c r="C121" s="989"/>
      <c r="D121" s="1188"/>
      <c r="E121" s="1188"/>
      <c r="F121" s="1189"/>
      <c r="G121" s="989"/>
      <c r="H121" s="989"/>
      <c r="I121" s="989"/>
      <c r="J121" s="989"/>
      <c r="K121" s="1190"/>
      <c r="L121" s="1190"/>
      <c r="M121" s="989"/>
      <c r="N121" s="989"/>
      <c r="O121" s="989"/>
      <c r="P121" s="989"/>
      <c r="Q121" s="989"/>
      <c r="R121" s="1050"/>
      <c r="S121" s="989"/>
      <c r="T121" s="1191"/>
      <c r="U121" s="1191"/>
      <c r="V121" s="1191"/>
      <c r="W121" s="989"/>
      <c r="X121" s="1050"/>
      <c r="Y121" s="1191"/>
      <c r="Z121" s="1191"/>
      <c r="AA121" s="1191"/>
      <c r="AB121" s="1191"/>
      <c r="AC121" s="1051"/>
      <c r="AD121" s="1050"/>
      <c r="AE121" s="989"/>
      <c r="AF121" s="989"/>
      <c r="AG121" s="989"/>
      <c r="AH121" s="986"/>
      <c r="AI121" s="1000"/>
      <c r="AJ121" s="1050"/>
      <c r="AK121" s="986"/>
      <c r="AL121" s="986"/>
      <c r="AM121" s="986"/>
      <c r="AN121" s="986"/>
      <c r="AO121" s="1000"/>
      <c r="AP121" s="1050"/>
      <c r="AQ121" s="986"/>
      <c r="AR121" s="986"/>
      <c r="AS121" s="986"/>
      <c r="AT121" s="986"/>
      <c r="AU121" s="1051"/>
      <c r="AV121" s="1050"/>
      <c r="AW121" s="986"/>
      <c r="AX121" s="986"/>
      <c r="AY121" s="986"/>
      <c r="AZ121" s="986"/>
      <c r="BA121" s="1051"/>
      <c r="BB121" s="1050"/>
      <c r="BC121" s="986"/>
      <c r="BD121" s="986"/>
      <c r="BE121" s="986"/>
      <c r="BF121" s="986"/>
      <c r="BG121" s="1051"/>
      <c r="BH121" s="1050"/>
      <c r="BI121" s="986"/>
      <c r="BJ121" s="986"/>
      <c r="BK121" s="986"/>
      <c r="BL121" s="986"/>
      <c r="BM121" s="1051"/>
      <c r="BN121" s="1050"/>
      <c r="BO121" s="986"/>
      <c r="BP121" s="986"/>
      <c r="BQ121" s="986"/>
      <c r="BR121" s="986"/>
      <c r="BS121" s="1051"/>
      <c r="BT121" s="1050"/>
      <c r="BU121" s="986"/>
      <c r="BV121" s="986"/>
      <c r="BW121" s="986"/>
      <c r="BX121" s="986"/>
      <c r="BY121" s="1051"/>
      <c r="BZ121" s="1050"/>
      <c r="CA121" s="986"/>
      <c r="CB121" s="986"/>
      <c r="CC121" s="986"/>
      <c r="CD121" s="986"/>
      <c r="CE121" s="1051"/>
      <c r="CF121" s="1050"/>
      <c r="CG121" s="986"/>
      <c r="CH121" s="986"/>
      <c r="CI121" s="986"/>
      <c r="CJ121" s="986"/>
      <c r="CK121" s="1051"/>
      <c r="CL121" s="1050"/>
      <c r="CM121" s="986"/>
      <c r="CN121" s="986"/>
      <c r="CO121" s="986"/>
      <c r="CP121" s="986"/>
      <c r="CQ121" s="1051"/>
      <c r="CR121" s="1050"/>
      <c r="CS121" s="986"/>
      <c r="CT121" s="986"/>
      <c r="CU121" s="986"/>
      <c r="CV121" s="986"/>
      <c r="CW121" s="1051"/>
      <c r="CX121" s="1050"/>
      <c r="CY121" s="986"/>
      <c r="CZ121" s="986"/>
      <c r="DA121" s="986"/>
      <c r="DB121" s="986"/>
      <c r="DC121" s="1051"/>
      <c r="DD121" s="1050"/>
      <c r="DE121" s="986"/>
      <c r="DF121" s="986"/>
      <c r="DG121" s="986"/>
      <c r="DH121" s="986"/>
      <c r="DI121" s="1051"/>
      <c r="DJ121" s="1050"/>
      <c r="DK121" s="986"/>
      <c r="DL121" s="986"/>
      <c r="DM121" s="986"/>
      <c r="DN121" s="986"/>
      <c r="DO121" s="1051"/>
      <c r="DP121" s="989"/>
      <c r="DQ121" s="965"/>
    </row>
    <row r="122" spans="1:121" ht="10.5" hidden="1" customHeight="1" outlineLevel="1">
      <c r="A122" s="1200" t="s">
        <v>261</v>
      </c>
      <c r="B122" s="1108"/>
      <c r="C122" s="986"/>
      <c r="D122" s="1119"/>
      <c r="E122" s="1119"/>
      <c r="F122" s="972"/>
      <c r="G122" s="986"/>
      <c r="H122" s="986"/>
      <c r="I122" s="986"/>
      <c r="J122" s="986"/>
      <c r="K122" s="1055"/>
      <c r="L122" s="1055"/>
      <c r="M122" s="986"/>
      <c r="N122" s="986"/>
      <c r="O122" s="986"/>
      <c r="P122" s="986"/>
      <c r="Q122" s="986">
        <v>0.45300000000000001</v>
      </c>
      <c r="R122" s="1055"/>
      <c r="S122" s="986"/>
      <c r="T122" s="1201"/>
      <c r="U122" s="1201"/>
      <c r="V122" s="986">
        <v>0.64100000000000001</v>
      </c>
      <c r="W122" s="986">
        <v>0.46500000000000002</v>
      </c>
      <c r="X122" s="1055"/>
      <c r="Y122" s="1201"/>
      <c r="Z122" s="986">
        <v>1.012</v>
      </c>
      <c r="AA122" s="1201"/>
      <c r="AB122" s="1201"/>
      <c r="AC122" s="1000">
        <v>1.3520000000000001</v>
      </c>
      <c r="AD122" s="1055"/>
      <c r="AE122" s="986"/>
      <c r="AF122" s="986"/>
      <c r="AG122" s="986"/>
      <c r="AH122" s="986"/>
      <c r="AI122" s="1000">
        <v>4.8259999999999996</v>
      </c>
      <c r="AJ122" s="1055"/>
      <c r="AK122" s="986">
        <f>AK25-AI25+AK125</f>
        <v>12.611000000000001</v>
      </c>
      <c r="AL122" s="986">
        <f>AL25-AK25+AL125</f>
        <v>3.5739999999999976</v>
      </c>
      <c r="AM122" s="986">
        <f>AM25-AL25+AM125</f>
        <v>1.9199999999999995</v>
      </c>
      <c r="AN122" s="986">
        <f>AN25-AM25+AN125</f>
        <v>1.6099999999999994</v>
      </c>
      <c r="AO122" s="1000">
        <f>AO25-AI25+AO125</f>
        <v>19.714999999999996</v>
      </c>
      <c r="AP122" s="986">
        <f>AP25-AJ25+AP125</f>
        <v>0</v>
      </c>
      <c r="AQ122" s="986">
        <f>AQ25-AO25+AQ125</f>
        <v>2.6080000000000014</v>
      </c>
      <c r="AR122" s="986">
        <f>AR25-AQ25+AR125</f>
        <v>4.2489999999999988</v>
      </c>
      <c r="AS122" s="986">
        <f>AS25-AR25+AS125</f>
        <v>11.632</v>
      </c>
      <c r="AT122" s="986">
        <f>AT25-AS25+AT125</f>
        <v>2.0390000000000006</v>
      </c>
      <c r="AU122" s="1000">
        <f>SUM(AQ122:AT122)</f>
        <v>20.528000000000002</v>
      </c>
      <c r="AV122" s="1055"/>
      <c r="AW122" s="986">
        <f>AW25-AU25+AW125</f>
        <v>3.1589999999999998</v>
      </c>
      <c r="AX122" s="986">
        <f>AX25-AW25+AX125</f>
        <v>4.0330000000000013</v>
      </c>
      <c r="AY122" s="986">
        <f>AY25-AX25+AY125</f>
        <v>8.2989999999999995</v>
      </c>
      <c r="AZ122" s="986">
        <f>AZ25-AY25+AZ125</f>
        <v>6.8058008937679082</v>
      </c>
      <c r="BA122" s="1000">
        <f>SUM(AW122:AZ122)</f>
        <v>22.296800893767909</v>
      </c>
      <c r="BB122" s="1055"/>
      <c r="BC122" s="986">
        <f>BC25-BA25+BC125</f>
        <v>5.3134729198037585</v>
      </c>
      <c r="BD122" s="986">
        <f>BD25-BC25+BD125</f>
        <v>34.243592169815912</v>
      </c>
      <c r="BE122" s="986">
        <f>BE25-BD25+BE125</f>
        <v>24.666378345557867</v>
      </c>
      <c r="BF122" s="986">
        <f>BF25-BE25+BF125</f>
        <v>60.0728350901054</v>
      </c>
      <c r="BG122" s="1000">
        <f>SUM(BC122:BF122)</f>
        <v>124.29627852528293</v>
      </c>
      <c r="BH122" s="1055"/>
      <c r="BI122" s="986">
        <f>BI25-BG25+BI125</f>
        <v>15.324653324913786</v>
      </c>
      <c r="BJ122" s="986">
        <f>BJ25-BI25+BJ125</f>
        <v>91.795978530140374</v>
      </c>
      <c r="BK122" s="986">
        <f>BK25-BJ25+BK125</f>
        <v>30.017565162481191</v>
      </c>
      <c r="BL122" s="986">
        <f>BL25-BK25+BL125</f>
        <v>18.058066401126919</v>
      </c>
      <c r="BM122" s="1000">
        <f>SUM(BI122:BL122)</f>
        <v>155.19626341866226</v>
      </c>
      <c r="BN122" s="1055"/>
      <c r="BO122" s="986">
        <f>BO25-BM25+BO125</f>
        <v>21.914967358041483</v>
      </c>
      <c r="BP122" s="986">
        <f>BP25-BO25+BP125</f>
        <v>17.233516053820352</v>
      </c>
      <c r="BQ122" s="986">
        <f>BQ25-BP25+BQ125</f>
        <v>76.957533734881252</v>
      </c>
      <c r="BR122" s="986">
        <f>BR25-BQ25+BR125</f>
        <v>14.993645601593244</v>
      </c>
      <c r="BS122" s="1000">
        <f>SUM(BO122:BR122)</f>
        <v>131.09966274833633</v>
      </c>
      <c r="BT122" s="1055"/>
      <c r="BU122" s="986">
        <f>BU25-BS25+BU125</f>
        <v>15.317735561276528</v>
      </c>
      <c r="BV122" s="986">
        <f>BV25-BU25+BV125</f>
        <v>372.99233676592024</v>
      </c>
      <c r="BW122" s="986">
        <f>BW25-BV25+BW125</f>
        <v>22.187000000000012</v>
      </c>
      <c r="BX122" s="986">
        <f>BX25-BW25+BX125</f>
        <v>26.670899999999968</v>
      </c>
      <c r="BY122" s="1000">
        <f>SUM(BU122:BX122)</f>
        <v>437.16797232719676</v>
      </c>
      <c r="BZ122" s="1055"/>
      <c r="CA122" s="986">
        <f>CA25-BY25+CA125</f>
        <v>22.093700000000041</v>
      </c>
      <c r="CB122" s="986">
        <f>CB25-CA25+CB125</f>
        <v>39.261900000000011</v>
      </c>
      <c r="CC122" s="986">
        <f>CC25-CB25+CC125</f>
        <v>43.538899999999998</v>
      </c>
      <c r="CD122" s="986">
        <f>CD25-CC25+CD125</f>
        <v>30.118800000000007</v>
      </c>
      <c r="CE122" s="1000">
        <f>SUM(CA122:CD122)</f>
        <v>135.01330000000007</v>
      </c>
      <c r="CF122" s="1055"/>
      <c r="CG122" s="986">
        <f>CG25-CE25+CG125</f>
        <v>31.264799999999958</v>
      </c>
      <c r="CH122" s="986">
        <f>CH25-CG25+CH125</f>
        <v>34.844300000000047</v>
      </c>
      <c r="CI122" s="986">
        <f>CI25-CH25+CI125</f>
        <v>24.381499999999953</v>
      </c>
      <c r="CJ122" s="986">
        <f>CJ25-CI25+CJ125</f>
        <v>26.946300000000001</v>
      </c>
      <c r="CK122" s="1000">
        <f>SUM(CG122:CJ122)</f>
        <v>117.43689999999998</v>
      </c>
      <c r="CL122" s="1055"/>
      <c r="CM122" s="986">
        <f>CM25-CK25+CM125</f>
        <v>61.197799999999987</v>
      </c>
      <c r="CN122" s="986">
        <f>CN25-CM25+CN125</f>
        <v>259.88700000000006</v>
      </c>
      <c r="CO122" s="986">
        <f>CO25-CN25+CO125</f>
        <v>74.284399999999906</v>
      </c>
      <c r="CP122" s="986">
        <f>CP25-CO25+CP125</f>
        <v>-432.41829999999999</v>
      </c>
      <c r="CQ122" s="1000">
        <f>SUM(CM122:CP122)</f>
        <v>-37.049100000000067</v>
      </c>
      <c r="CR122" s="1055"/>
      <c r="CS122" s="986">
        <f>CS25-CQ25+CS125</f>
        <v>14.18110000000001</v>
      </c>
      <c r="CT122" s="986">
        <f>CT25-CS25+CT125</f>
        <v>13.186500000000001</v>
      </c>
      <c r="CU122" s="986">
        <f>CU25-CT25+CU125</f>
        <v>14.135299999999997</v>
      </c>
      <c r="CV122" s="986">
        <f>CV25-CU25+CV125</f>
        <v>19.373799999999996</v>
      </c>
      <c r="CW122" s="1000">
        <f>SUM(CS122:CV122)</f>
        <v>60.876700000000007</v>
      </c>
      <c r="CX122" s="1055"/>
      <c r="CY122" s="986">
        <f>Model!CY19*BS!CY123</f>
        <v>58.884432471196924</v>
      </c>
      <c r="CZ122" s="986">
        <f>Model!CZ19*BS!CZ123</f>
        <v>62.335323632989237</v>
      </c>
      <c r="DA122" s="986">
        <f>Model!DA19*BS!DA123</f>
        <v>64.709385877349078</v>
      </c>
      <c r="DB122" s="986">
        <f>Model!DB19*BS!DB123</f>
        <v>68.263552805421696</v>
      </c>
      <c r="DC122" s="1000">
        <f>SUM(CY122:DB122)</f>
        <v>254.19269478695691</v>
      </c>
      <c r="DD122" s="1055"/>
      <c r="DE122" s="986">
        <f>Model!DE19*BS!DE123</f>
        <v>70.783528808073569</v>
      </c>
      <c r="DF122" s="986">
        <f>Model!DF19*BS!DF123</f>
        <v>74.989146282137725</v>
      </c>
      <c r="DG122" s="986">
        <f>Model!DG19*BS!DG123</f>
        <v>77.849123863355459</v>
      </c>
      <c r="DH122" s="986">
        <f>Model!DH19*BS!DH123</f>
        <v>81.635280044849026</v>
      </c>
      <c r="DI122" s="1000">
        <f>SUM(DE122:DH122)</f>
        <v>305.25707899841575</v>
      </c>
      <c r="DJ122" s="1055"/>
      <c r="DK122" s="986">
        <f>Model!DK19*BS!DK123</f>
        <v>84.72227693902569</v>
      </c>
      <c r="DL122" s="986">
        <f>Model!DL19*BS!DL123</f>
        <v>89.551122719123711</v>
      </c>
      <c r="DM122" s="986">
        <f>Model!DM19*BS!DM123</f>
        <v>92.870336251761827</v>
      </c>
      <c r="DN122" s="986">
        <f>Model!DN19*BS!DN123</f>
        <v>97.320483352771106</v>
      </c>
      <c r="DO122" s="1000">
        <f>SUM(DK122:DN122)</f>
        <v>364.46421926268238</v>
      </c>
      <c r="DP122" s="986"/>
      <c r="DQ122" s="965"/>
    </row>
    <row r="123" spans="1:121" ht="10.5" hidden="1" customHeight="1" outlineLevel="1">
      <c r="A123" s="1202" t="s">
        <v>985</v>
      </c>
      <c r="B123" s="1122"/>
      <c r="C123" s="988"/>
      <c r="D123" s="1203"/>
      <c r="E123" s="1203"/>
      <c r="F123" s="1204"/>
      <c r="G123" s="988"/>
      <c r="H123" s="988"/>
      <c r="I123" s="988"/>
      <c r="J123" s="988"/>
      <c r="K123" s="1056"/>
      <c r="L123" s="1056"/>
      <c r="M123" s="988"/>
      <c r="N123" s="988"/>
      <c r="O123" s="988"/>
      <c r="P123" s="988"/>
      <c r="Q123" s="988"/>
      <c r="R123" s="1056"/>
      <c r="S123" s="988"/>
      <c r="T123" s="1205"/>
      <c r="U123" s="1205"/>
      <c r="V123" s="988"/>
      <c r="W123" s="988"/>
      <c r="X123" s="1056"/>
      <c r="Y123" s="1205"/>
      <c r="Z123" s="988"/>
      <c r="AA123" s="1205"/>
      <c r="AB123" s="1205"/>
      <c r="AC123" s="1057"/>
      <c r="AD123" s="1056"/>
      <c r="AE123" s="988"/>
      <c r="AF123" s="988"/>
      <c r="AG123" s="988"/>
      <c r="AH123" s="988"/>
      <c r="AI123" s="1057"/>
      <c r="AJ123" s="1056"/>
      <c r="AK123" s="1206">
        <f>AK122/Model!AK19</f>
        <v>7.7648203334728966E-2</v>
      </c>
      <c r="AL123" s="1206">
        <f>AL122/Model!AL19</f>
        <v>2.0240232417218344E-2</v>
      </c>
      <c r="AM123" s="1206">
        <f>AM122/Model!AM19</f>
        <v>9.9583512704677808E-3</v>
      </c>
      <c r="AN123" s="1206">
        <f>AN122/Model!AN19</f>
        <v>7.4225701455930193E-3</v>
      </c>
      <c r="AO123" s="1057"/>
      <c r="AP123" s="988"/>
      <c r="AQ123" s="1206">
        <f>AQ122/Model!AQ19</f>
        <v>1.0532182116290157E-2</v>
      </c>
      <c r="AR123" s="1206">
        <f>AR122/Model!AR19</f>
        <v>1.6151164868080443E-2</v>
      </c>
      <c r="AS123" s="1206">
        <f>AS122/Model!AS19</f>
        <v>4.2070694101350156E-2</v>
      </c>
      <c r="AT123" s="1206">
        <f>AT122/Model!AT19</f>
        <v>7.041159184068127E-3</v>
      </c>
      <c r="AU123" s="1057"/>
      <c r="AV123" s="1056"/>
      <c r="AW123" s="1206">
        <f>AW122/Model!AW19</f>
        <v>1.035995854704779E-2</v>
      </c>
      <c r="AX123" s="1206">
        <f>AX122/Model!AX19</f>
        <v>1.2760195025643789E-2</v>
      </c>
      <c r="AY123" s="1206">
        <f>AY122/Model!AY19</f>
        <v>2.5106716402106797E-2</v>
      </c>
      <c r="AZ123" s="1206">
        <f>AZ122/Model!AZ19</f>
        <v>1.9222765475309656E-2</v>
      </c>
      <c r="BA123" s="1057"/>
      <c r="BB123" s="1056"/>
      <c r="BC123" s="1206">
        <f>BC122/Model!BC19</f>
        <v>1.4101087063885159E-2</v>
      </c>
      <c r="BD123" s="1206">
        <f>BD122/Model!BD19</f>
        <v>8.6830688207621007E-2</v>
      </c>
      <c r="BE123" s="1206">
        <f>BE122/Model!BE19</f>
        <v>5.7485727476147885E-2</v>
      </c>
      <c r="BF123" s="1206">
        <f>BF122/Model!BF19</f>
        <v>0.13148867195508848</v>
      </c>
      <c r="BG123" s="1057"/>
      <c r="BH123" s="1056"/>
      <c r="BI123" s="1206">
        <f>BI122/Model!BI19</f>
        <v>3.0384114101945789E-2</v>
      </c>
      <c r="BJ123" s="1206">
        <f>BJ122/Model!BJ19</f>
        <v>0.16812388696404112</v>
      </c>
      <c r="BK123" s="1206">
        <f>BK122/Model!BK19</f>
        <v>5.1377066994970029E-2</v>
      </c>
      <c r="BL123" s="1206">
        <f>BL122/Model!BL19</f>
        <v>2.8576823710110281E-2</v>
      </c>
      <c r="BM123" s="1057"/>
      <c r="BN123" s="1056"/>
      <c r="BO123" s="1206">
        <f>BO122/Model!BO19</f>
        <v>3.1511153452344232E-2</v>
      </c>
      <c r="BP123" s="1206">
        <f>BP122/Model!BP19</f>
        <v>2.3554349221854131E-2</v>
      </c>
      <c r="BQ123" s="1206">
        <f>BQ122/Model!BQ19</f>
        <v>9.7612543074540079E-2</v>
      </c>
      <c r="BR123" s="1206">
        <f>BR122/Model!BR19</f>
        <v>1.7963324433637812E-2</v>
      </c>
      <c r="BS123" s="1057"/>
      <c r="BT123" s="1056"/>
      <c r="BU123" s="1206">
        <f>BU122/Model!BU19</f>
        <v>1.7160171718137832E-2</v>
      </c>
      <c r="BV123" s="1206">
        <f>BV122/Model!BV19</f>
        <v>0.38971337900553155</v>
      </c>
      <c r="BW123" s="1206">
        <f>BW122/Model!BW19</f>
        <v>2.0619236938609755E-2</v>
      </c>
      <c r="BX123" s="1206">
        <f>BX122/Model!BX19</f>
        <v>2.328844034710565E-2</v>
      </c>
      <c r="BY123" s="1057"/>
      <c r="BZ123" s="1056"/>
      <c r="CA123" s="1206">
        <f>CA122/Model!CA19</f>
        <v>1.8009621999850046E-2</v>
      </c>
      <c r="CB123" s="1206">
        <f>CB122/Model!CB19</f>
        <v>2.9776550167570321E-2</v>
      </c>
      <c r="CC123" s="1206">
        <f>CC122/Model!CC19</f>
        <v>3.1466586685264752E-2</v>
      </c>
      <c r="CD123" s="1206">
        <f>CD122/Model!CD19</f>
        <v>2.0849116161616166E-2</v>
      </c>
      <c r="CE123" s="1057"/>
      <c r="CF123" s="1056"/>
      <c r="CG123" s="1206">
        <f>CG122/Model!CG19</f>
        <v>2.0689175981211845E-2</v>
      </c>
      <c r="CH123" s="1206">
        <f>CH122/Model!CH19</f>
        <v>2.1315618186756612E-2</v>
      </c>
      <c r="CI123" s="1206">
        <f>CI122/Model!CI19</f>
        <v>1.4241804894603664E-2</v>
      </c>
      <c r="CJ123" s="1206">
        <f>CJ122/Model!CJ19</f>
        <v>1.4892411730310301E-2</v>
      </c>
      <c r="CK123" s="1057"/>
      <c r="CL123" s="1056"/>
      <c r="CM123" s="1206">
        <f>CM122/Model!CM19</f>
        <v>3.1930347599372425E-2</v>
      </c>
      <c r="CN123" s="1206">
        <f>CN122/Model!CN19</f>
        <v>0.12760714085803035</v>
      </c>
      <c r="CO123" s="1206">
        <f>CO122/Model!CO19</f>
        <v>3.4635054959144852E-2</v>
      </c>
      <c r="CP123" s="1206">
        <f>CP122/Model!CP19</f>
        <v>-0.18850068091027505</v>
      </c>
      <c r="CQ123" s="1057"/>
      <c r="CR123" s="1056"/>
      <c r="CS123" s="1206">
        <f>CS122/Model!CS19</f>
        <v>5.9395312155116169E-3</v>
      </c>
      <c r="CT123" s="1206">
        <f>CT122/Model!CT19</f>
        <v>5.1477813185487609E-3</v>
      </c>
      <c r="CU123" s="1206">
        <f>CU122/Model!CU19</f>
        <v>5.2746786096637818E-3</v>
      </c>
      <c r="CV123" s="1206">
        <f>CV122/Model!CV19</f>
        <v>6.7954330458438643E-3</v>
      </c>
      <c r="CW123" s="1057"/>
      <c r="CX123" s="1056"/>
      <c r="CY123" s="1045">
        <v>0.02</v>
      </c>
      <c r="CZ123" s="1045">
        <f>CY123</f>
        <v>0.02</v>
      </c>
      <c r="DA123" s="1045">
        <f>CZ123</f>
        <v>0.02</v>
      </c>
      <c r="DB123" s="1045">
        <f>DA123</f>
        <v>0.02</v>
      </c>
      <c r="DC123" s="1057"/>
      <c r="DD123" s="1056"/>
      <c r="DE123" s="1045">
        <v>0.02</v>
      </c>
      <c r="DF123" s="1045">
        <f>DE123</f>
        <v>0.02</v>
      </c>
      <c r="DG123" s="1045">
        <f>DF123</f>
        <v>0.02</v>
      </c>
      <c r="DH123" s="1045">
        <f>DG123</f>
        <v>0.02</v>
      </c>
      <c r="DI123" s="1057"/>
      <c r="DJ123" s="1056"/>
      <c r="DK123" s="1045">
        <v>0.02</v>
      </c>
      <c r="DL123" s="1045">
        <f>DK123</f>
        <v>0.02</v>
      </c>
      <c r="DM123" s="1045">
        <f>DL123</f>
        <v>0.02</v>
      </c>
      <c r="DN123" s="1045">
        <f>DM123</f>
        <v>0.02</v>
      </c>
      <c r="DO123" s="1057"/>
      <c r="DP123" s="988"/>
      <c r="DQ123" s="965"/>
    </row>
    <row r="124" spans="1:121" ht="10.5" hidden="1" customHeight="1" outlineLevel="1">
      <c r="A124" s="1202" t="s">
        <v>240</v>
      </c>
      <c r="B124" s="1122"/>
      <c r="C124" s="988"/>
      <c r="D124" s="1203"/>
      <c r="E124" s="1203"/>
      <c r="F124" s="1204"/>
      <c r="G124" s="988"/>
      <c r="H124" s="988"/>
      <c r="I124" s="988"/>
      <c r="J124" s="988"/>
      <c r="K124" s="1056"/>
      <c r="L124" s="1056"/>
      <c r="M124" s="988"/>
      <c r="N124" s="988"/>
      <c r="O124" s="988"/>
      <c r="P124" s="988"/>
      <c r="Q124" s="988"/>
      <c r="R124" s="1056"/>
      <c r="S124" s="988"/>
      <c r="T124" s="1205"/>
      <c r="U124" s="1205"/>
      <c r="V124" s="988"/>
      <c r="W124" s="988"/>
      <c r="X124" s="1056"/>
      <c r="Y124" s="1205"/>
      <c r="Z124" s="988"/>
      <c r="AA124" s="1205"/>
      <c r="AB124" s="1205"/>
      <c r="AC124" s="1057"/>
      <c r="AD124" s="1056"/>
      <c r="AE124" s="988"/>
      <c r="AF124" s="988"/>
      <c r="AG124" s="988"/>
      <c r="AH124" s="988"/>
      <c r="AI124" s="1057"/>
      <c r="AJ124" s="1056"/>
      <c r="AK124" s="1206">
        <f>AK122/Model!AK41</f>
        <v>0.98185923388352536</v>
      </c>
      <c r="AL124" s="1206">
        <f>AL122/Model!AL41</f>
        <v>0.26306491977035168</v>
      </c>
      <c r="AM124" s="1206">
        <f>AM122/Model!AM41</f>
        <v>0.12625764450581967</v>
      </c>
      <c r="AN124" s="1206">
        <f>AN122/Model!AN41</f>
        <v>0.10164783130248119</v>
      </c>
      <c r="AO124" s="1058">
        <f>AO122/Model!AO41</f>
        <v>0.34301273575057412</v>
      </c>
      <c r="AP124" s="988"/>
      <c r="AQ124" s="1206"/>
      <c r="AR124" s="1206"/>
      <c r="AS124" s="1206"/>
      <c r="AT124" s="1206"/>
      <c r="AU124" s="1058">
        <f>AU122/Model!AU41</f>
        <v>0.22890787038069541</v>
      </c>
      <c r="AV124" s="1056"/>
      <c r="AW124" s="1206"/>
      <c r="AX124" s="1045"/>
      <c r="AY124" s="1045"/>
      <c r="AZ124" s="1045"/>
      <c r="BA124" s="1058">
        <f>BA122/Model!BA41</f>
        <v>0.18773407730843247</v>
      </c>
      <c r="BB124" s="1056"/>
      <c r="BC124" s="1045"/>
      <c r="BD124" s="1045"/>
      <c r="BE124" s="1045"/>
      <c r="BF124" s="1045"/>
      <c r="BG124" s="1058">
        <f>BG122/Model!BG41</f>
        <v>0.73552446017683248</v>
      </c>
      <c r="BH124" s="1056"/>
      <c r="BI124" s="1045"/>
      <c r="BJ124" s="1045"/>
      <c r="BK124" s="1045"/>
      <c r="BL124" s="1045"/>
      <c r="BM124" s="1058">
        <f>BM122/Model!BM41</f>
        <v>0.62214630980049257</v>
      </c>
      <c r="BN124" s="1056"/>
      <c r="BO124" s="1045"/>
      <c r="BP124" s="1045"/>
      <c r="BQ124" s="1045"/>
      <c r="BR124" s="1045"/>
      <c r="BS124" s="1058">
        <f>BS122/Model!BS41</f>
        <v>0.37123360521805809</v>
      </c>
      <c r="BT124" s="1056"/>
      <c r="BU124" s="1045"/>
      <c r="BV124" s="1045"/>
      <c r="BW124" s="1045"/>
      <c r="BX124" s="1045"/>
      <c r="BY124" s="1058">
        <f>BY122/Model!BY41</f>
        <v>0.84660456550665741</v>
      </c>
      <c r="BZ124" s="1056"/>
      <c r="CA124" s="1045"/>
      <c r="CB124" s="1045"/>
      <c r="CC124" s="1045"/>
      <c r="CD124" s="1045"/>
      <c r="CE124" s="1058">
        <f>CE122/Model!CE41</f>
        <v>0.20099520040969218</v>
      </c>
      <c r="CF124" s="1056"/>
      <c r="CG124" s="1045"/>
      <c r="CH124" s="1045"/>
      <c r="CI124" s="1045"/>
      <c r="CJ124" s="1045"/>
      <c r="CK124" s="1058">
        <f>CK122/Model!CK41</f>
        <v>0.14376519527070533</v>
      </c>
      <c r="CL124" s="1056"/>
      <c r="CM124" s="1045"/>
      <c r="CN124" s="1045"/>
      <c r="CO124" s="1045"/>
      <c r="CP124" s="1045"/>
      <c r="CQ124" s="1058">
        <f>CQ122/Model!CQ41</f>
        <v>-3.6299870669383984E-2</v>
      </c>
      <c r="CR124" s="1056"/>
      <c r="CS124" s="1045"/>
      <c r="CT124" s="1045"/>
      <c r="CU124" s="1045"/>
      <c r="CV124" s="1045"/>
      <c r="CW124" s="1058">
        <f>CW122/Model!CW41</f>
        <v>4.7073192420557748E-2</v>
      </c>
      <c r="CX124" s="1056"/>
      <c r="CY124" s="1045"/>
      <c r="CZ124" s="1045"/>
      <c r="DA124" s="1045"/>
      <c r="DB124" s="1045"/>
      <c r="DC124" s="1058">
        <f>DC122/Model!DC41</f>
        <v>0.16783689189283785</v>
      </c>
      <c r="DD124" s="1056"/>
      <c r="DE124" s="1045"/>
      <c r="DF124" s="1045"/>
      <c r="DG124" s="1045"/>
      <c r="DH124" s="1045"/>
      <c r="DI124" s="1058">
        <f>DI122/Model!DI41</f>
        <v>0.17519107234031739</v>
      </c>
      <c r="DJ124" s="1056"/>
      <c r="DK124" s="1045"/>
      <c r="DL124" s="1045"/>
      <c r="DM124" s="1045"/>
      <c r="DN124" s="1045"/>
      <c r="DO124" s="1058">
        <f>DO122/Model!DO41</f>
        <v>0.18547846084480429</v>
      </c>
      <c r="DP124" s="1073"/>
      <c r="DQ124" s="965"/>
    </row>
    <row r="125" spans="1:121" ht="10.5" hidden="1" customHeight="1" outlineLevel="1">
      <c r="A125" s="1200" t="s">
        <v>980</v>
      </c>
      <c r="B125" s="1108"/>
      <c r="C125" s="986"/>
      <c r="D125" s="1119"/>
      <c r="E125" s="1119"/>
      <c r="F125" s="972"/>
      <c r="G125" s="986"/>
      <c r="H125" s="986"/>
      <c r="I125" s="986"/>
      <c r="J125" s="986"/>
      <c r="K125" s="1055"/>
      <c r="L125" s="1055"/>
      <c r="M125" s="986"/>
      <c r="N125" s="986"/>
      <c r="O125" s="986"/>
      <c r="P125" s="986"/>
      <c r="Q125" s="986">
        <v>0.27700000000000002</v>
      </c>
      <c r="R125" s="1055"/>
      <c r="S125" s="986"/>
      <c r="T125" s="1201"/>
      <c r="U125" s="1201"/>
      <c r="V125" s="986"/>
      <c r="W125" s="986">
        <v>0.39600000000000002</v>
      </c>
      <c r="X125" s="1055"/>
      <c r="Y125" s="1201"/>
      <c r="Z125" s="986"/>
      <c r="AA125" s="1201"/>
      <c r="AB125" s="1201"/>
      <c r="AC125" s="1000">
        <v>0.443</v>
      </c>
      <c r="AD125" s="1055"/>
      <c r="AE125" s="986"/>
      <c r="AF125" s="986"/>
      <c r="AG125" s="986"/>
      <c r="AH125" s="986"/>
      <c r="AI125" s="1000">
        <v>0.75</v>
      </c>
      <c r="AJ125" s="1055"/>
      <c r="AK125" s="986">
        <v>1.3690000000000007</v>
      </c>
      <c r="AL125" s="986">
        <v>1.8429999999999995</v>
      </c>
      <c r="AM125" s="986">
        <v>2.0859999999999999</v>
      </c>
      <c r="AN125" s="986">
        <v>2.3389999999999986</v>
      </c>
      <c r="AO125" s="1000">
        <f>4.898+6.542-2.15-1.653</f>
        <v>7.6369999999999987</v>
      </c>
      <c r="AP125" s="1055"/>
      <c r="AQ125" s="986">
        <f>1.4+1.3</f>
        <v>2.7</v>
      </c>
      <c r="AR125" s="986">
        <f>1.6+1.4</f>
        <v>3</v>
      </c>
      <c r="AS125" s="986">
        <f>1.8+2.1</f>
        <v>3.9000000000000004</v>
      </c>
      <c r="AT125" s="986">
        <f>6.6+7-AS125-AR125-AQ125</f>
        <v>3.9999999999999991</v>
      </c>
      <c r="AU125" s="1000">
        <f>SUM(AQ125:AT125)</f>
        <v>13.600000000000001</v>
      </c>
      <c r="AV125" s="1055"/>
      <c r="AW125" s="986">
        <f>2.2+2</f>
        <v>4.2</v>
      </c>
      <c r="AX125" s="986">
        <f>2.3+1.7</f>
        <v>4</v>
      </c>
      <c r="AY125" s="986">
        <f>2.5+2</f>
        <v>4.5</v>
      </c>
      <c r="AZ125" s="986">
        <f>AY120/AZ126/4</f>
        <v>4.7768008937679118</v>
      </c>
      <c r="BA125" s="1000">
        <f>SUM(AW125:AZ125)</f>
        <v>17.476800893767912</v>
      </c>
      <c r="BB125" s="1055"/>
      <c r="BC125" s="986">
        <f>AZ120/BC126/4</f>
        <v>5.0724729198037588</v>
      </c>
      <c r="BD125" s="986">
        <f>BC120/BD126/4</f>
        <v>5.1075921698159021</v>
      </c>
      <c r="BE125" s="986">
        <f>BD120/BE126/4</f>
        <v>9.3533783455578767</v>
      </c>
      <c r="BF125" s="986">
        <f>BE120/BF126/4</f>
        <v>11.584835090105404</v>
      </c>
      <c r="BG125" s="1000">
        <f>SUM(BC125:BF125)</f>
        <v>31.118278525282943</v>
      </c>
      <c r="BH125" s="1055"/>
      <c r="BI125" s="986">
        <f>BF120/BI126/4</f>
        <v>18.65065332491378</v>
      </c>
      <c r="BJ125" s="986">
        <f>BI120/BJ126/4</f>
        <v>18.165978530140379</v>
      </c>
      <c r="BK125" s="986">
        <f>BJ120/BK126/4</f>
        <v>28.895565162481176</v>
      </c>
      <c r="BL125" s="986">
        <f>BK120/BL126/4</f>
        <v>29.059066401126923</v>
      </c>
      <c r="BM125" s="1000">
        <f>SUM(BI125:BL125)</f>
        <v>94.771263418662258</v>
      </c>
      <c r="BN125" s="1055"/>
      <c r="BO125" s="986">
        <f>BL120/BO126/4</f>
        <v>27.45596735804148</v>
      </c>
      <c r="BP125" s="986">
        <f>BO120/BP126/4</f>
        <v>26.648516053820373</v>
      </c>
      <c r="BQ125" s="986">
        <f>BP120/BQ126/4</f>
        <v>25.276533734881234</v>
      </c>
      <c r="BR125" s="986">
        <f>BQ120/BR126/4</f>
        <v>32.807645601593237</v>
      </c>
      <c r="BS125" s="1000">
        <f>SUM(BO125:BR125)</f>
        <v>112.18866274833633</v>
      </c>
      <c r="BT125" s="1055"/>
      <c r="BU125" s="986">
        <f>BR120/BU126/4</f>
        <v>30.211735561276534</v>
      </c>
      <c r="BV125" s="986">
        <f>BU120/BV126/4</f>
        <v>28.041336765920239</v>
      </c>
      <c r="BW125" s="986">
        <f>BV120/BW126/4</f>
        <v>53.738</v>
      </c>
      <c r="BX125" s="986">
        <f>BW120/BX126/4</f>
        <v>50.582900000000002</v>
      </c>
      <c r="BY125" s="1000">
        <f>SUM(BU125:BX125)</f>
        <v>162.57397232719677</v>
      </c>
      <c r="BZ125" s="1055"/>
      <c r="CA125" s="986">
        <f>BX120/CA126/4</f>
        <v>48.191699999999997</v>
      </c>
      <c r="CB125" s="986">
        <f>CA120/CB126/4</f>
        <v>45.581900000000005</v>
      </c>
      <c r="CC125" s="986">
        <f>CB120/CC126/4</f>
        <v>44.9499</v>
      </c>
      <c r="CD125" s="986">
        <f>CC120/CD126/4</f>
        <v>44.808800000000005</v>
      </c>
      <c r="CE125" s="1000">
        <f>SUM(CA125:CD125)</f>
        <v>183.53230000000002</v>
      </c>
      <c r="CF125" s="1055"/>
      <c r="CG125" s="986">
        <f>CD120/CG126/4</f>
        <v>43.339800000000004</v>
      </c>
      <c r="CH125" s="986">
        <f>CG120/CH126/4</f>
        <v>42.132300000000001</v>
      </c>
      <c r="CI125" s="986">
        <f>CH120/CI126/4</f>
        <v>41.403500000000001</v>
      </c>
      <c r="CJ125" s="986">
        <f>CI120/CJ126/4</f>
        <v>39.701299999999996</v>
      </c>
      <c r="CK125" s="1000">
        <f>SUM(CG125:CJ125)</f>
        <v>166.57690000000002</v>
      </c>
      <c r="CL125" s="1055"/>
      <c r="CM125" s="986">
        <f>CJ120/CM126/4</f>
        <v>38.425799999999995</v>
      </c>
      <c r="CN125" s="986">
        <f>CM120/CN126/4</f>
        <v>40.702999999999996</v>
      </c>
      <c r="CO125" s="986">
        <f>CN120/CO126/4</f>
        <v>62.621400000000008</v>
      </c>
      <c r="CP125" s="986">
        <f>CO120/CP126/4</f>
        <v>63.787699999999994</v>
      </c>
      <c r="CQ125" s="1000">
        <f>SUM(CM125:CP125)</f>
        <v>205.53790000000001</v>
      </c>
      <c r="CR125" s="1055"/>
      <c r="CS125" s="986">
        <f>CP120/CS126/4</f>
        <v>14.1671</v>
      </c>
      <c r="CT125" s="986">
        <f>CS120/CT126/4</f>
        <v>14.1685</v>
      </c>
      <c r="CU125" s="986">
        <f>CT120/CU126/4</f>
        <v>14.0703</v>
      </c>
      <c r="CV125" s="986">
        <f>CU120/CV126/4</f>
        <v>14.0768</v>
      </c>
      <c r="CW125" s="1000">
        <f>SUM(CS125:CV125)</f>
        <v>56.482700000000001</v>
      </c>
      <c r="CX125" s="1055"/>
      <c r="CY125" s="986">
        <f>CV120/CY126/4</f>
        <v>14.6065</v>
      </c>
      <c r="CZ125" s="986">
        <f>CY120/CZ126/4</f>
        <v>19.034293247119692</v>
      </c>
      <c r="DA125" s="986">
        <f>CZ120/DA126/4</f>
        <v>23.364396285706647</v>
      </c>
      <c r="DB125" s="986">
        <f>DA120/DB126/4</f>
        <v>27.498895244870891</v>
      </c>
      <c r="DC125" s="1000">
        <f>SUM(CY125:DB125)</f>
        <v>84.50408477769723</v>
      </c>
      <c r="DD125" s="1055"/>
      <c r="DE125" s="986">
        <f>DB120/DE126/4</f>
        <v>31.575361000925973</v>
      </c>
      <c r="DF125" s="986">
        <f>DE120/DF126/4</f>
        <v>35.496177781640732</v>
      </c>
      <c r="DG125" s="986">
        <f>DF120/DG126/4</f>
        <v>39.445474631690431</v>
      </c>
      <c r="DH125" s="986">
        <f>DG120/DH126/4</f>
        <v>43.285839554856935</v>
      </c>
      <c r="DI125" s="1000">
        <f>SUM(DE125:DH125)</f>
        <v>149.80285296911407</v>
      </c>
      <c r="DJ125" s="1055"/>
      <c r="DK125" s="986">
        <f>DH120/DK126/4</f>
        <v>47.120783603856147</v>
      </c>
      <c r="DL125" s="986">
        <f>DK120/DL126/4</f>
        <v>50.88093293737311</v>
      </c>
      <c r="DM125" s="986">
        <f>DL120/DM126/4</f>
        <v>54.747951915548164</v>
      </c>
      <c r="DN125" s="986">
        <f>DM120/DN126/4</f>
        <v>58.560190349169531</v>
      </c>
      <c r="DO125" s="1000">
        <f>SUM(DK125:DN125)</f>
        <v>211.30985880594693</v>
      </c>
      <c r="DP125" s="986"/>
      <c r="DQ125" s="965"/>
    </row>
    <row r="126" spans="1:121" ht="10.5" hidden="1" customHeight="1" outlineLevel="1">
      <c r="A126" s="1207" t="s">
        <v>970</v>
      </c>
      <c r="B126" s="1208"/>
      <c r="C126" s="1209"/>
      <c r="D126" s="1210"/>
      <c r="E126" s="1210"/>
      <c r="F126" s="1211"/>
      <c r="G126" s="1209"/>
      <c r="H126" s="1209"/>
      <c r="I126" s="1209"/>
      <c r="J126" s="1209"/>
      <c r="K126" s="1059"/>
      <c r="L126" s="1059"/>
      <c r="M126" s="1209"/>
      <c r="N126" s="1209"/>
      <c r="O126" s="1209"/>
      <c r="P126" s="1209"/>
      <c r="Q126" s="1209"/>
      <c r="R126" s="1059"/>
      <c r="S126" s="1209"/>
      <c r="T126" s="1212"/>
      <c r="U126" s="1212"/>
      <c r="V126" s="1209"/>
      <c r="W126" s="1209"/>
      <c r="X126" s="1059"/>
      <c r="Y126" s="1212"/>
      <c r="Z126" s="1209"/>
      <c r="AA126" s="1212"/>
      <c r="AB126" s="1212"/>
      <c r="AC126" s="1061"/>
      <c r="AD126" s="1059"/>
      <c r="AE126" s="1209"/>
      <c r="AF126" s="1209"/>
      <c r="AG126" s="1209"/>
      <c r="AH126" s="1209"/>
      <c r="AI126" s="1061"/>
      <c r="AJ126" s="1059"/>
      <c r="AK126" s="1209">
        <f>(AVERAGE(AK25,AH25)/AK125/4)</f>
        <v>3.032140248356463</v>
      </c>
      <c r="AL126" s="1209">
        <f>(AVERAGE(AL25,AK25)/AL125/4)</f>
        <v>3.1321893651654915</v>
      </c>
      <c r="AM126" s="1209">
        <f>(AVERAGE(AM25,AL25)/AM125/4)</f>
        <v>2.8610977948226268</v>
      </c>
      <c r="AN126" s="1209">
        <f>(AVERAGE(AN25,AM25)/AN125/4)</f>
        <v>2.503794356562635</v>
      </c>
      <c r="AO126" s="1061"/>
      <c r="AP126" s="1059"/>
      <c r="AQ126" s="1209">
        <f>(AVERAGE(AQ25,AN25)/AQ125/4)</f>
        <v>2.1310185185185184</v>
      </c>
      <c r="AR126" s="1209">
        <f>(AVERAGE(AR120,AQ120)/AR125/4)</f>
        <v>1.9661249999999999</v>
      </c>
      <c r="AS126" s="1209">
        <f>(AVERAGE(AS120,AR120)/AS125/4)</f>
        <v>1.80025641025641</v>
      </c>
      <c r="AT126" s="1209">
        <f>(AVERAGE(AT120,AS120)/AT125/4)</f>
        <v>1.9355937500000004</v>
      </c>
      <c r="AU126" s="1061"/>
      <c r="AV126" s="1059"/>
      <c r="AW126" s="1209">
        <f>(AVERAGE(AW25,AT25)/AW125/4)</f>
        <v>1.7540773809523809</v>
      </c>
      <c r="AX126" s="1209">
        <f>(AVERAGE(AX120,AW120)/AX125/4)</f>
        <v>1.8102812500000001</v>
      </c>
      <c r="AY126" s="1209">
        <f>(AVERAGE(AY120,AX120)/AY125/4)</f>
        <v>1.7155833333333335</v>
      </c>
      <c r="AZ126" s="1060">
        <f>AY126</f>
        <v>1.7155833333333335</v>
      </c>
      <c r="BA126" s="1061"/>
      <c r="BB126" s="1059"/>
      <c r="BC126" s="1060">
        <f>AZ126</f>
        <v>1.7155833333333335</v>
      </c>
      <c r="BD126" s="1060">
        <f>BC126</f>
        <v>1.7155833333333335</v>
      </c>
      <c r="BE126" s="1060">
        <f>BD126</f>
        <v>1.7155833333333335</v>
      </c>
      <c r="BF126" s="1060">
        <f>BE126</f>
        <v>1.7155833333333335</v>
      </c>
      <c r="BG126" s="1061"/>
      <c r="BH126" s="1059"/>
      <c r="BI126" s="1060">
        <f>BF126</f>
        <v>1.7155833333333335</v>
      </c>
      <c r="BJ126" s="1060">
        <f>BI126</f>
        <v>1.7155833333333335</v>
      </c>
      <c r="BK126" s="1060">
        <f>BJ126</f>
        <v>1.7155833333333335</v>
      </c>
      <c r="BL126" s="1060">
        <f>BK126</f>
        <v>1.7155833333333335</v>
      </c>
      <c r="BM126" s="1061"/>
      <c r="BN126" s="1059"/>
      <c r="BO126" s="1060">
        <f>BL126</f>
        <v>1.7155833333333335</v>
      </c>
      <c r="BP126" s="1060">
        <f>BO126</f>
        <v>1.7155833333333335</v>
      </c>
      <c r="BQ126" s="1060">
        <f>BP126</f>
        <v>1.7155833333333335</v>
      </c>
      <c r="BR126" s="1060">
        <f>BQ126</f>
        <v>1.7155833333333335</v>
      </c>
      <c r="BS126" s="1061"/>
      <c r="BT126" s="1059"/>
      <c r="BU126" s="1060">
        <f>BR126</f>
        <v>1.7155833333333335</v>
      </c>
      <c r="BV126" s="1060">
        <f>BU126</f>
        <v>1.7155833333333335</v>
      </c>
      <c r="BW126" s="1060">
        <v>2.5</v>
      </c>
      <c r="BX126" s="1060">
        <f>BW126</f>
        <v>2.5</v>
      </c>
      <c r="BY126" s="1061"/>
      <c r="BZ126" s="1059"/>
      <c r="CA126" s="1060">
        <f>BX126</f>
        <v>2.5</v>
      </c>
      <c r="CB126" s="1060">
        <f>CA126</f>
        <v>2.5</v>
      </c>
      <c r="CC126" s="1060">
        <f>CB126</f>
        <v>2.5</v>
      </c>
      <c r="CD126" s="1060">
        <f>CC126</f>
        <v>2.5</v>
      </c>
      <c r="CE126" s="1061"/>
      <c r="CF126" s="1059"/>
      <c r="CG126" s="1060">
        <f>CD126</f>
        <v>2.5</v>
      </c>
      <c r="CH126" s="1060">
        <f>CG126</f>
        <v>2.5</v>
      </c>
      <c r="CI126" s="1060">
        <f>CH126</f>
        <v>2.5</v>
      </c>
      <c r="CJ126" s="1060">
        <f>CI126</f>
        <v>2.5</v>
      </c>
      <c r="CK126" s="1061"/>
      <c r="CL126" s="1059"/>
      <c r="CM126" s="1060">
        <f>CJ126</f>
        <v>2.5</v>
      </c>
      <c r="CN126" s="1060">
        <f>CM126</f>
        <v>2.5</v>
      </c>
      <c r="CO126" s="1060">
        <f>CN126</f>
        <v>2.5</v>
      </c>
      <c r="CP126" s="1060">
        <f>CO126</f>
        <v>2.5</v>
      </c>
      <c r="CQ126" s="1061"/>
      <c r="CR126" s="1059"/>
      <c r="CS126" s="1060">
        <f>CP126</f>
        <v>2.5</v>
      </c>
      <c r="CT126" s="1060">
        <f>CS126</f>
        <v>2.5</v>
      </c>
      <c r="CU126" s="1060">
        <f>CT126</f>
        <v>2.5</v>
      </c>
      <c r="CV126" s="1060">
        <f>CU126</f>
        <v>2.5</v>
      </c>
      <c r="CW126" s="1061"/>
      <c r="CX126" s="1059"/>
      <c r="CY126" s="1060">
        <f>CV126</f>
        <v>2.5</v>
      </c>
      <c r="CZ126" s="1060">
        <f>CY126</f>
        <v>2.5</v>
      </c>
      <c r="DA126" s="1060">
        <f>CZ126</f>
        <v>2.5</v>
      </c>
      <c r="DB126" s="1060">
        <f>DA126</f>
        <v>2.5</v>
      </c>
      <c r="DC126" s="1061"/>
      <c r="DD126" s="1059"/>
      <c r="DE126" s="1060">
        <f>DB126</f>
        <v>2.5</v>
      </c>
      <c r="DF126" s="1060">
        <f>DE126</f>
        <v>2.5</v>
      </c>
      <c r="DG126" s="1060">
        <f>DF126</f>
        <v>2.5</v>
      </c>
      <c r="DH126" s="1060">
        <f>DG126</f>
        <v>2.5</v>
      </c>
      <c r="DI126" s="1061"/>
      <c r="DJ126" s="1059"/>
      <c r="DK126" s="1060">
        <f>DH126</f>
        <v>2.5</v>
      </c>
      <c r="DL126" s="1060">
        <f>DK126</f>
        <v>2.5</v>
      </c>
      <c r="DM126" s="1060">
        <f>DL126</f>
        <v>2.5</v>
      </c>
      <c r="DN126" s="1060">
        <f>DM126</f>
        <v>2.5</v>
      </c>
      <c r="DO126" s="1061"/>
      <c r="DP126" s="988"/>
      <c r="DQ126" s="965"/>
    </row>
    <row r="127" spans="1:121" ht="10.5" hidden="1" customHeight="1" outlineLevel="1">
      <c r="A127" s="1202" t="s">
        <v>240</v>
      </c>
      <c r="B127" s="1122"/>
      <c r="C127" s="988"/>
      <c r="D127" s="1203"/>
      <c r="E127" s="1203"/>
      <c r="F127" s="1204"/>
      <c r="G127" s="988"/>
      <c r="H127" s="988"/>
      <c r="I127" s="988"/>
      <c r="J127" s="988"/>
      <c r="K127" s="1056"/>
      <c r="L127" s="1056"/>
      <c r="M127" s="988"/>
      <c r="N127" s="988"/>
      <c r="O127" s="988"/>
      <c r="P127" s="988"/>
      <c r="Q127" s="988"/>
      <c r="R127" s="1056"/>
      <c r="S127" s="988"/>
      <c r="T127" s="1205"/>
      <c r="U127" s="1205"/>
      <c r="V127" s="988"/>
      <c r="W127" s="988"/>
      <c r="X127" s="1056"/>
      <c r="Y127" s="1205"/>
      <c r="Z127" s="988"/>
      <c r="AA127" s="1205"/>
      <c r="AB127" s="1205"/>
      <c r="AC127" s="1057"/>
      <c r="AD127" s="1056"/>
      <c r="AE127" s="988"/>
      <c r="AF127" s="988"/>
      <c r="AG127" s="988"/>
      <c r="AH127" s="988"/>
      <c r="AI127" s="1057"/>
      <c r="AJ127" s="1056"/>
      <c r="AK127" s="988"/>
      <c r="AL127" s="988"/>
      <c r="AM127" s="988"/>
      <c r="AN127" s="988"/>
      <c r="AO127" s="1058">
        <f>AO125/Model!AO41</f>
        <v>0.13287285127705475</v>
      </c>
      <c r="AP127" s="1056"/>
      <c r="AQ127" s="988"/>
      <c r="AR127" s="988"/>
      <c r="AS127" s="988"/>
      <c r="AT127" s="988"/>
      <c r="AU127" s="1058">
        <f>AU125/Model!AU41</f>
        <v>0.1516536943285979</v>
      </c>
      <c r="AV127" s="1056"/>
      <c r="AW127" s="988"/>
      <c r="AX127" s="989"/>
      <c r="AY127" s="989"/>
      <c r="AZ127" s="989"/>
      <c r="BA127" s="1058">
        <f>BA125/Model!BA41</f>
        <v>0.14715075520146767</v>
      </c>
      <c r="BB127" s="1056"/>
      <c r="BC127" s="989"/>
      <c r="BD127" s="989"/>
      <c r="BE127" s="989"/>
      <c r="BF127" s="989"/>
      <c r="BG127" s="1058">
        <f>BG125/Model!BG41</f>
        <v>0.18414272161242051</v>
      </c>
      <c r="BH127" s="1056"/>
      <c r="BI127" s="989"/>
      <c r="BJ127" s="989"/>
      <c r="BK127" s="989"/>
      <c r="BL127" s="989"/>
      <c r="BM127" s="1058">
        <f>BM125/Model!BM41</f>
        <v>0.37991631056215908</v>
      </c>
      <c r="BN127" s="1056"/>
      <c r="BO127" s="989"/>
      <c r="BP127" s="989"/>
      <c r="BQ127" s="989"/>
      <c r="BR127" s="989"/>
      <c r="BS127" s="1058">
        <f>BS125/Model!BS41</f>
        <v>0.31768351545348478</v>
      </c>
      <c r="BT127" s="1056"/>
      <c r="BU127" s="989"/>
      <c r="BV127" s="989"/>
      <c r="BW127" s="989"/>
      <c r="BX127" s="989"/>
      <c r="BY127" s="1058">
        <f>BY125/Model!BY41</f>
        <v>0.31483520275301574</v>
      </c>
      <c r="BZ127" s="1056"/>
      <c r="CA127" s="989"/>
      <c r="CB127" s="989"/>
      <c r="CC127" s="989"/>
      <c r="CD127" s="989"/>
      <c r="CE127" s="1058">
        <f>CE125/Model!CE41</f>
        <v>0.27322575938927296</v>
      </c>
      <c r="CF127" s="1056"/>
      <c r="CG127" s="989"/>
      <c r="CH127" s="989"/>
      <c r="CI127" s="989"/>
      <c r="CJ127" s="989"/>
      <c r="CK127" s="1058">
        <f>CK125/Model!CK41</f>
        <v>0.20392194068549802</v>
      </c>
      <c r="CL127" s="1056"/>
      <c r="CM127" s="989"/>
      <c r="CN127" s="989"/>
      <c r="CO127" s="989"/>
      <c r="CP127" s="989"/>
      <c r="CQ127" s="1058">
        <f>CQ125/Model!CQ41</f>
        <v>0.20138138814861264</v>
      </c>
      <c r="CR127" s="1056"/>
      <c r="CS127" s="989"/>
      <c r="CT127" s="989"/>
      <c r="CU127" s="989"/>
      <c r="CV127" s="989"/>
      <c r="CW127" s="1058">
        <f>CW125/Model!CW41</f>
        <v>4.3675511411305754E-2</v>
      </c>
      <c r="CX127" s="1056"/>
      <c r="CY127" s="989"/>
      <c r="CZ127" s="989"/>
      <c r="DA127" s="989"/>
      <c r="DB127" s="989"/>
      <c r="DC127" s="1058">
        <f>DC125/Model!DC41</f>
        <v>5.5795871526616837E-2</v>
      </c>
      <c r="DD127" s="1056"/>
      <c r="DE127" s="989"/>
      <c r="DF127" s="989"/>
      <c r="DG127" s="989"/>
      <c r="DH127" s="989"/>
      <c r="DI127" s="1058">
        <f>DI125/Model!DI41</f>
        <v>8.5973837322325275E-2</v>
      </c>
      <c r="DJ127" s="1056"/>
      <c r="DK127" s="989"/>
      <c r="DL127" s="989"/>
      <c r="DM127" s="989"/>
      <c r="DN127" s="989"/>
      <c r="DO127" s="1058">
        <f>DO125/Model!DO41</f>
        <v>0.10753710597970072</v>
      </c>
      <c r="DP127" s="1073"/>
      <c r="DQ127" s="965"/>
    </row>
    <row r="128" spans="1:121" ht="10.5" hidden="1" customHeight="1" outlineLevel="1">
      <c r="A128" s="1122"/>
      <c r="B128" s="1122"/>
      <c r="C128" s="989"/>
      <c r="D128" s="1188"/>
      <c r="E128" s="1188"/>
      <c r="F128" s="1189"/>
      <c r="G128" s="989"/>
      <c r="H128" s="989"/>
      <c r="I128" s="989"/>
      <c r="J128" s="989"/>
      <c r="K128" s="1190"/>
      <c r="L128" s="1190"/>
      <c r="M128" s="989"/>
      <c r="N128" s="989"/>
      <c r="O128" s="989"/>
      <c r="P128" s="989"/>
      <c r="Q128" s="989"/>
      <c r="R128" s="1050"/>
      <c r="S128" s="989"/>
      <c r="T128" s="1191"/>
      <c r="U128" s="1191"/>
      <c r="V128" s="989"/>
      <c r="W128" s="989"/>
      <c r="X128" s="1050"/>
      <c r="Y128" s="1191"/>
      <c r="Z128" s="989"/>
      <c r="AA128" s="1191"/>
      <c r="AB128" s="1191"/>
      <c r="AC128" s="1051"/>
      <c r="AD128" s="1050"/>
      <c r="AE128" s="989"/>
      <c r="AF128" s="989"/>
      <c r="AG128" s="989"/>
      <c r="AH128" s="989"/>
      <c r="AI128" s="1051"/>
      <c r="AJ128" s="1050"/>
      <c r="AK128" s="989"/>
      <c r="AL128" s="989"/>
      <c r="AM128" s="989"/>
      <c r="AN128" s="989"/>
      <c r="AO128" s="1051"/>
      <c r="AP128" s="1050"/>
      <c r="AQ128" s="989"/>
      <c r="AR128" s="989"/>
      <c r="AS128" s="989"/>
      <c r="AT128" s="989"/>
      <c r="AU128" s="1051"/>
      <c r="AV128" s="1050"/>
      <c r="AW128" s="989"/>
      <c r="AX128" s="989"/>
      <c r="AY128" s="989"/>
      <c r="AZ128" s="989"/>
      <c r="BA128" s="1051"/>
      <c r="BB128" s="1050"/>
      <c r="BC128" s="989"/>
      <c r="BD128" s="989"/>
      <c r="BE128" s="989"/>
      <c r="BF128" s="989"/>
      <c r="BG128" s="1051"/>
      <c r="BH128" s="1050"/>
      <c r="BI128" s="989"/>
      <c r="BJ128" s="989"/>
      <c r="BK128" s="989"/>
      <c r="BL128" s="989"/>
      <c r="BM128" s="1051"/>
      <c r="BN128" s="1050"/>
      <c r="BO128" s="989"/>
      <c r="BP128" s="989"/>
      <c r="BQ128" s="989"/>
      <c r="BR128" s="989"/>
      <c r="BS128" s="1051"/>
      <c r="BT128" s="1050"/>
      <c r="BU128" s="989"/>
      <c r="BV128" s="989"/>
      <c r="BW128" s="989"/>
      <c r="BX128" s="989"/>
      <c r="BY128" s="1051"/>
      <c r="BZ128" s="1050"/>
      <c r="CA128" s="989"/>
      <c r="CB128" s="989"/>
      <c r="CC128" s="989"/>
      <c r="CD128" s="989"/>
      <c r="CE128" s="1051"/>
      <c r="CF128" s="1050"/>
      <c r="CG128" s="989"/>
      <c r="CH128" s="989"/>
      <c r="CI128" s="989"/>
      <c r="CJ128" s="989"/>
      <c r="CK128" s="1051"/>
      <c r="CL128" s="1050"/>
      <c r="CM128" s="989"/>
      <c r="CN128" s="989"/>
      <c r="CO128" s="989"/>
      <c r="CP128" s="989"/>
      <c r="CQ128" s="1051"/>
      <c r="CR128" s="1050"/>
      <c r="CS128" s="989"/>
      <c r="CT128" s="989"/>
      <c r="CU128" s="989"/>
      <c r="CV128" s="989"/>
      <c r="CW128" s="1051"/>
      <c r="CX128" s="1050"/>
      <c r="CY128" s="989"/>
      <c r="CZ128" s="989"/>
      <c r="DA128" s="989"/>
      <c r="DB128" s="989"/>
      <c r="DC128" s="1051"/>
      <c r="DD128" s="1050"/>
      <c r="DE128" s="989"/>
      <c r="DF128" s="989"/>
      <c r="DG128" s="989"/>
      <c r="DH128" s="989"/>
      <c r="DI128" s="1051"/>
      <c r="DJ128" s="1050"/>
      <c r="DK128" s="989"/>
      <c r="DL128" s="989"/>
      <c r="DM128" s="989"/>
      <c r="DN128" s="989"/>
      <c r="DO128" s="1051"/>
      <c r="DP128" s="989"/>
      <c r="DQ128" s="965"/>
    </row>
    <row r="129" spans="1:121" collapsed="1">
      <c r="A129" s="966"/>
      <c r="B129" s="966"/>
      <c r="C129" s="948"/>
      <c r="D129" s="948"/>
      <c r="E129" s="948"/>
      <c r="F129" s="948"/>
      <c r="G129" s="948"/>
      <c r="H129" s="948"/>
      <c r="I129" s="948"/>
      <c r="J129" s="948"/>
      <c r="K129" s="948"/>
      <c r="L129" s="948"/>
      <c r="M129" s="948"/>
      <c r="N129" s="948"/>
      <c r="O129" s="948"/>
      <c r="P129" s="948"/>
      <c r="Q129" s="948"/>
      <c r="R129" s="948"/>
      <c r="S129" s="948"/>
      <c r="T129" s="948"/>
      <c r="U129" s="948"/>
      <c r="V129" s="948"/>
      <c r="W129" s="948"/>
      <c r="X129" s="948"/>
      <c r="Y129" s="948"/>
      <c r="Z129" s="948"/>
      <c r="AA129" s="948"/>
      <c r="AB129" s="948"/>
      <c r="AC129" s="976"/>
      <c r="AD129" s="948"/>
      <c r="AE129" s="948"/>
      <c r="AF129" s="948"/>
      <c r="AG129" s="948"/>
      <c r="AH129" s="948"/>
      <c r="AI129" s="976"/>
      <c r="AJ129" s="948"/>
      <c r="AK129" s="948"/>
      <c r="AL129" s="948"/>
      <c r="AM129" s="948"/>
      <c r="AN129" s="948"/>
      <c r="AO129" s="1051"/>
      <c r="AP129" s="948"/>
      <c r="AQ129" s="948"/>
      <c r="AR129" s="948"/>
      <c r="AS129" s="948"/>
      <c r="AT129" s="948"/>
      <c r="AU129" s="1051"/>
      <c r="AV129" s="948"/>
      <c r="AW129" s="948"/>
      <c r="AX129" s="948"/>
      <c r="AY129" s="948"/>
      <c r="AZ129" s="948"/>
      <c r="BA129" s="1051"/>
      <c r="BB129" s="948"/>
      <c r="BC129" s="948"/>
      <c r="BD129" s="948"/>
      <c r="BE129" s="948"/>
      <c r="BF129" s="948"/>
      <c r="BG129" s="1051"/>
      <c r="BH129" s="948"/>
      <c r="BI129" s="948"/>
      <c r="BJ129" s="948"/>
      <c r="BK129" s="948"/>
      <c r="BL129" s="948"/>
      <c r="BM129" s="1051"/>
      <c r="BN129" s="948"/>
      <c r="BO129" s="948"/>
      <c r="BP129" s="948"/>
      <c r="BQ129" s="948"/>
      <c r="BR129" s="948"/>
      <c r="BS129" s="1051"/>
      <c r="BT129" s="948"/>
      <c r="BU129" s="948"/>
      <c r="BV129" s="948"/>
      <c r="BW129" s="948"/>
      <c r="BX129" s="948"/>
      <c r="BY129" s="1051"/>
      <c r="BZ129" s="948"/>
      <c r="CA129" s="948"/>
      <c r="CB129" s="948"/>
      <c r="CC129" s="948"/>
      <c r="CD129" s="948"/>
      <c r="CE129" s="1051"/>
      <c r="CF129" s="948"/>
      <c r="CG129" s="948"/>
      <c r="CH129" s="948"/>
      <c r="CI129" s="948"/>
      <c r="CJ129" s="948"/>
      <c r="CK129" s="1051"/>
      <c r="CL129" s="948"/>
      <c r="CM129" s="948"/>
      <c r="CN129" s="948"/>
      <c r="CO129" s="948"/>
      <c r="CP129" s="948"/>
      <c r="CQ129" s="1051"/>
      <c r="CR129" s="948"/>
      <c r="CS129" s="948"/>
      <c r="CT129" s="948"/>
      <c r="CU129" s="948"/>
      <c r="CV129" s="948"/>
      <c r="CW129" s="1051"/>
      <c r="CX129" s="948"/>
      <c r="CY129" s="948"/>
      <c r="CZ129" s="948"/>
      <c r="DA129" s="948"/>
      <c r="DB129" s="948"/>
      <c r="DC129" s="1051"/>
      <c r="DD129" s="948"/>
      <c r="DE129" s="948"/>
      <c r="DF129" s="948"/>
      <c r="DG129" s="948"/>
      <c r="DH129" s="948"/>
      <c r="DI129" s="1051"/>
      <c r="DJ129" s="948"/>
      <c r="DK129" s="948"/>
      <c r="DL129" s="948"/>
      <c r="DM129" s="948"/>
      <c r="DN129" s="948"/>
      <c r="DO129" s="1051"/>
      <c r="DP129" s="989"/>
      <c r="DQ129" s="948"/>
    </row>
    <row r="130" spans="1:121" ht="10.5" hidden="1" customHeight="1" outlineLevel="1" thickBot="1">
      <c r="A130" s="1213" t="s">
        <v>990</v>
      </c>
      <c r="B130" s="1213"/>
      <c r="C130" s="1068"/>
      <c r="D130" s="1068"/>
      <c r="E130" s="1068"/>
      <c r="F130" s="1062"/>
      <c r="G130" s="1062"/>
      <c r="H130" s="1062"/>
      <c r="I130" s="1062"/>
      <c r="J130" s="1063"/>
      <c r="K130" s="1068"/>
      <c r="L130" s="1062"/>
      <c r="M130" s="1063"/>
      <c r="N130" s="1063"/>
      <c r="O130" s="1063"/>
      <c r="P130" s="1063"/>
      <c r="Q130" s="1068"/>
      <c r="R130" s="1062"/>
      <c r="S130" s="1063"/>
      <c r="T130" s="1063"/>
      <c r="U130" s="1063"/>
      <c r="V130" s="1063"/>
      <c r="W130" s="1068"/>
      <c r="X130" s="1062"/>
      <c r="Y130" s="1063"/>
      <c r="Z130" s="1063"/>
      <c r="AA130" s="1063"/>
      <c r="AB130" s="1063"/>
      <c r="AC130" s="1214"/>
      <c r="AD130" s="1062"/>
      <c r="AE130" s="1063"/>
      <c r="AF130" s="1063"/>
      <c r="AG130" s="1063"/>
      <c r="AH130" s="1063"/>
      <c r="AI130" s="1214"/>
      <c r="AJ130" s="1062"/>
      <c r="AK130" s="1063"/>
      <c r="AL130" s="1063"/>
      <c r="AM130" s="1063"/>
      <c r="AN130" s="1063"/>
      <c r="AO130" s="1051"/>
      <c r="AP130" s="1062"/>
      <c r="AQ130" s="1063"/>
      <c r="AR130" s="1063"/>
      <c r="AS130" s="1063"/>
      <c r="AT130" s="1063"/>
      <c r="AU130" s="1051"/>
      <c r="AV130" s="1062"/>
      <c r="AW130" s="1063"/>
      <c r="AX130" s="1063"/>
      <c r="AY130" s="1063"/>
      <c r="AZ130" s="1063"/>
      <c r="BA130" s="1051"/>
      <c r="BB130" s="1062"/>
      <c r="BC130" s="1063"/>
      <c r="BD130" s="1063"/>
      <c r="BE130" s="1063"/>
      <c r="BF130" s="1063"/>
      <c r="BG130" s="1051"/>
      <c r="BH130" s="1062"/>
      <c r="BI130" s="1063"/>
      <c r="BJ130" s="1063"/>
      <c r="BK130" s="1063"/>
      <c r="BL130" s="1063"/>
      <c r="BM130" s="1051"/>
      <c r="BN130" s="1062"/>
      <c r="BO130" s="1063"/>
      <c r="BP130" s="1063"/>
      <c r="BQ130" s="1063"/>
      <c r="BR130" s="1063"/>
      <c r="BS130" s="1051"/>
      <c r="BT130" s="1062"/>
      <c r="BU130" s="1063"/>
      <c r="BV130" s="1063"/>
      <c r="BW130" s="1063"/>
      <c r="BX130" s="1063"/>
      <c r="BY130" s="1051"/>
      <c r="BZ130" s="1062"/>
      <c r="CA130" s="1063"/>
      <c r="CB130" s="1063"/>
      <c r="CC130" s="1063"/>
      <c r="CD130" s="1063"/>
      <c r="CE130" s="1051"/>
      <c r="CF130" s="1062"/>
      <c r="CG130" s="1063"/>
      <c r="CH130" s="1063"/>
      <c r="CI130" s="1063"/>
      <c r="CJ130" s="1063"/>
      <c r="CK130" s="1051"/>
      <c r="CL130" s="1062"/>
      <c r="CM130" s="1063"/>
      <c r="CN130" s="1063"/>
      <c r="CO130" s="1063"/>
      <c r="CP130" s="1063"/>
      <c r="CQ130" s="1051"/>
      <c r="CR130" s="1062"/>
      <c r="CS130" s="1063"/>
      <c r="CT130" s="1063"/>
      <c r="CU130" s="1063"/>
      <c r="CV130" s="1063"/>
      <c r="CW130" s="1051"/>
      <c r="CX130" s="1062"/>
      <c r="CY130" s="1063"/>
      <c r="CZ130" s="1063"/>
      <c r="DA130" s="1063"/>
      <c r="DB130" s="1063"/>
      <c r="DC130" s="1051"/>
      <c r="DD130" s="1062"/>
      <c r="DE130" s="1063"/>
      <c r="DF130" s="1063"/>
      <c r="DG130" s="1063"/>
      <c r="DH130" s="1063"/>
      <c r="DI130" s="1051"/>
      <c r="DJ130" s="1062"/>
      <c r="DK130" s="1063"/>
      <c r="DL130" s="1063"/>
      <c r="DM130" s="1063"/>
      <c r="DN130" s="1063"/>
      <c r="DO130" s="1051"/>
      <c r="DP130" s="989"/>
      <c r="DQ130" s="956"/>
    </row>
    <row r="131" spans="1:121" ht="12.75" hidden="1" customHeight="1" outlineLevel="1">
      <c r="A131" s="1215" t="s">
        <v>461</v>
      </c>
      <c r="B131" s="1216"/>
      <c r="C131" s="1065"/>
      <c r="D131" s="1065"/>
      <c r="E131" s="1065"/>
      <c r="F131" s="1065"/>
      <c r="G131" s="1065"/>
      <c r="H131" s="1065"/>
      <c r="I131" s="1065"/>
      <c r="J131" s="1066">
        <v>0</v>
      </c>
      <c r="K131" s="1066">
        <f>SUM(G131:J131)</f>
        <v>0</v>
      </c>
      <c r="L131" s="1217"/>
      <c r="M131" s="1065">
        <v>0</v>
      </c>
      <c r="N131" s="1065">
        <v>0</v>
      </c>
      <c r="O131" s="1065">
        <v>0</v>
      </c>
      <c r="P131" s="1066">
        <v>0</v>
      </c>
      <c r="Q131" s="1066">
        <f>SUM(M131:P131)</f>
        <v>0</v>
      </c>
      <c r="R131" s="1064"/>
      <c r="S131" s="1065">
        <v>0</v>
      </c>
      <c r="T131" s="1065">
        <v>0</v>
      </c>
      <c r="U131" s="1065">
        <v>0</v>
      </c>
      <c r="V131" s="1066">
        <v>0</v>
      </c>
      <c r="W131" s="1066">
        <f>SUM(S131:V131)</f>
        <v>0</v>
      </c>
      <c r="X131" s="1064"/>
      <c r="Y131" s="1065">
        <v>0</v>
      </c>
      <c r="Z131" s="1065">
        <v>0</v>
      </c>
      <c r="AA131" s="1065">
        <v>0</v>
      </c>
      <c r="AB131" s="1066">
        <v>0</v>
      </c>
      <c r="AC131" s="1067">
        <f>SUM(Y131:AB131)</f>
        <v>0</v>
      </c>
      <c r="AD131" s="1064"/>
      <c r="AE131" s="1065">
        <v>0</v>
      </c>
      <c r="AF131" s="1065">
        <v>0</v>
      </c>
      <c r="AG131" s="1065">
        <v>0</v>
      </c>
      <c r="AH131" s="1066">
        <v>0</v>
      </c>
      <c r="AI131" s="1067">
        <f>SUM(AE131:AH131)</f>
        <v>0</v>
      </c>
      <c r="AJ131" s="1064"/>
      <c r="AK131" s="1065">
        <v>0</v>
      </c>
      <c r="AL131" s="1065">
        <v>0</v>
      </c>
      <c r="AM131" s="1065">
        <v>0</v>
      </c>
      <c r="AN131" s="1066">
        <v>0</v>
      </c>
      <c r="AO131" s="1067">
        <f>SUM(AK131:AN131)</f>
        <v>0</v>
      </c>
      <c r="AP131" s="1064"/>
      <c r="AQ131" s="1065">
        <v>0</v>
      </c>
      <c r="AR131" s="1065">
        <v>0</v>
      </c>
      <c r="AS131" s="1065">
        <v>0</v>
      </c>
      <c r="AT131" s="1066">
        <v>0</v>
      </c>
      <c r="AU131" s="1067">
        <f>SUM(AQ131:AT131)</f>
        <v>0</v>
      </c>
      <c r="AV131" s="1064"/>
      <c r="AW131" s="1065">
        <v>0</v>
      </c>
      <c r="AX131" s="1065">
        <v>0</v>
      </c>
      <c r="AY131" s="1065">
        <v>0</v>
      </c>
      <c r="AZ131" s="1065">
        <v>0</v>
      </c>
      <c r="BA131" s="1067">
        <f>SUM(AW131:AZ131)</f>
        <v>0</v>
      </c>
      <c r="BB131" s="1064"/>
      <c r="BC131" s="1065">
        <v>0</v>
      </c>
      <c r="BD131" s="1065">
        <v>0</v>
      </c>
      <c r="BE131" s="1065">
        <v>0</v>
      </c>
      <c r="BF131" s="1066">
        <v>0</v>
      </c>
      <c r="BG131" s="1067">
        <f>SUM(BC131:BF131)</f>
        <v>0</v>
      </c>
      <c r="BH131" s="1064"/>
      <c r="BI131" s="1065">
        <v>0</v>
      </c>
      <c r="BJ131" s="1065">
        <v>0</v>
      </c>
      <c r="BK131" s="1065">
        <v>0</v>
      </c>
      <c r="BL131" s="1066">
        <v>0</v>
      </c>
      <c r="BM131" s="1067">
        <f>SUM(BI131:BL131)</f>
        <v>0</v>
      </c>
      <c r="BN131" s="1064"/>
      <c r="BO131" s="1065">
        <v>0</v>
      </c>
      <c r="BP131" s="1065">
        <v>0</v>
      </c>
      <c r="BQ131" s="1065">
        <v>0</v>
      </c>
      <c r="BR131" s="1066">
        <v>0</v>
      </c>
      <c r="BS131" s="1067">
        <f>SUM(BO131:BR131)</f>
        <v>0</v>
      </c>
      <c r="BT131" s="1064"/>
      <c r="BU131" s="1065">
        <v>0</v>
      </c>
      <c r="BV131" s="1065">
        <v>0</v>
      </c>
      <c r="BW131" s="1065">
        <v>0</v>
      </c>
      <c r="BX131" s="1066">
        <v>0</v>
      </c>
      <c r="BY131" s="1067">
        <f>SUM(BU131:BX131)</f>
        <v>0</v>
      </c>
      <c r="BZ131" s="1064"/>
      <c r="CA131" s="1065">
        <v>0</v>
      </c>
      <c r="CB131" s="1065">
        <v>0</v>
      </c>
      <c r="CC131" s="1065">
        <v>0</v>
      </c>
      <c r="CD131" s="1065">
        <v>0</v>
      </c>
      <c r="CE131" s="1067">
        <f>SUM(CA131:CD131)</f>
        <v>0</v>
      </c>
      <c r="CF131" s="1064"/>
      <c r="CG131" s="1065">
        <v>0</v>
      </c>
      <c r="CH131" s="1065">
        <v>0</v>
      </c>
      <c r="CI131" s="1065">
        <v>0</v>
      </c>
      <c r="CJ131" s="1065">
        <v>0</v>
      </c>
      <c r="CK131" s="1067">
        <f>SUM(CG131:CJ131)</f>
        <v>0</v>
      </c>
      <c r="CL131" s="1064"/>
      <c r="CM131" s="1065">
        <v>0</v>
      </c>
      <c r="CN131" s="1065">
        <v>0</v>
      </c>
      <c r="CO131" s="1065">
        <v>0</v>
      </c>
      <c r="CP131" s="1065">
        <v>0</v>
      </c>
      <c r="CQ131" s="1067">
        <f>SUM(CM131:CP131)</f>
        <v>0</v>
      </c>
      <c r="CR131" s="1064"/>
      <c r="CS131" s="1065">
        <v>0</v>
      </c>
      <c r="CT131" s="1065">
        <v>0</v>
      </c>
      <c r="CU131" s="1065">
        <v>0</v>
      </c>
      <c r="CV131" s="1065">
        <v>0</v>
      </c>
      <c r="CW131" s="1067">
        <f>SUM(CS131:CV131)</f>
        <v>0</v>
      </c>
      <c r="CX131" s="1064"/>
      <c r="CY131" s="1065">
        <v>0</v>
      </c>
      <c r="CZ131" s="1065">
        <v>0</v>
      </c>
      <c r="DA131" s="1065">
        <v>0</v>
      </c>
      <c r="DB131" s="1066">
        <v>0</v>
      </c>
      <c r="DC131" s="1067">
        <f>SUM(CY131:DB131)</f>
        <v>0</v>
      </c>
      <c r="DD131" s="1064"/>
      <c r="DE131" s="1065">
        <v>0</v>
      </c>
      <c r="DF131" s="1065">
        <v>0</v>
      </c>
      <c r="DG131" s="1065">
        <v>0</v>
      </c>
      <c r="DH131" s="1066">
        <v>0</v>
      </c>
      <c r="DI131" s="1067">
        <f>SUM(DE131:DH131)</f>
        <v>0</v>
      </c>
      <c r="DJ131" s="1064"/>
      <c r="DK131" s="1065">
        <v>0</v>
      </c>
      <c r="DL131" s="1065">
        <v>0</v>
      </c>
      <c r="DM131" s="1065">
        <v>0</v>
      </c>
      <c r="DN131" s="1066">
        <v>0</v>
      </c>
      <c r="DO131" s="1067">
        <f>SUM(DK131:DN131)</f>
        <v>0</v>
      </c>
      <c r="DP131" s="1029"/>
      <c r="DQ131" s="961"/>
    </row>
    <row r="132" spans="1:121" ht="12.75" hidden="1" customHeight="1" outlineLevel="1">
      <c r="A132" s="1218" t="s">
        <v>972</v>
      </c>
      <c r="B132" s="1219"/>
      <c r="C132" s="986"/>
      <c r="D132" s="986"/>
      <c r="E132" s="986"/>
      <c r="F132" s="986"/>
      <c r="G132" s="986"/>
      <c r="H132" s="986"/>
      <c r="I132" s="986"/>
      <c r="J132" s="986">
        <f>I132+J131</f>
        <v>0</v>
      </c>
      <c r="K132" s="1029">
        <f>J132</f>
        <v>0</v>
      </c>
      <c r="L132" s="1220"/>
      <c r="M132" s="986">
        <f>J132+M131</f>
        <v>0</v>
      </c>
      <c r="N132" s="986">
        <f>M132+N131</f>
        <v>0</v>
      </c>
      <c r="O132" s="986">
        <f>N132+O131</f>
        <v>0</v>
      </c>
      <c r="P132" s="986">
        <f>O132+P131</f>
        <v>0</v>
      </c>
      <c r="Q132" s="1029">
        <f>P132</f>
        <v>0</v>
      </c>
      <c r="R132" s="988"/>
      <c r="S132" s="986">
        <f>P132+S131</f>
        <v>0</v>
      </c>
      <c r="T132" s="986">
        <f>S132+T131</f>
        <v>0</v>
      </c>
      <c r="U132" s="986">
        <f>T132+U131</f>
        <v>0</v>
      </c>
      <c r="V132" s="986">
        <f>U132+V131</f>
        <v>0</v>
      </c>
      <c r="W132" s="1029">
        <f>V132</f>
        <v>0</v>
      </c>
      <c r="X132" s="988"/>
      <c r="Y132" s="986">
        <f>V132+Y131</f>
        <v>0</v>
      </c>
      <c r="Z132" s="986">
        <f>Y132+Z131</f>
        <v>0</v>
      </c>
      <c r="AA132" s="986">
        <f>Z132+AA131</f>
        <v>0</v>
      </c>
      <c r="AB132" s="986">
        <f>AA132+AB131</f>
        <v>0</v>
      </c>
      <c r="AC132" s="983">
        <f>AB132</f>
        <v>0</v>
      </c>
      <c r="AD132" s="988"/>
      <c r="AE132" s="986">
        <f>AB132+AE131</f>
        <v>0</v>
      </c>
      <c r="AF132" s="986">
        <f>AE132+AF131</f>
        <v>0</v>
      </c>
      <c r="AG132" s="986">
        <f>AF132+AG131</f>
        <v>0</v>
      </c>
      <c r="AH132" s="986">
        <f>AG132+AH131</f>
        <v>0</v>
      </c>
      <c r="AI132" s="983">
        <f>AH132</f>
        <v>0</v>
      </c>
      <c r="AJ132" s="988"/>
      <c r="AK132" s="986">
        <f>AH132+AK131</f>
        <v>0</v>
      </c>
      <c r="AL132" s="986">
        <f>AK132+AL131</f>
        <v>0</v>
      </c>
      <c r="AM132" s="986">
        <f>AL132+AM131</f>
        <v>0</v>
      </c>
      <c r="AN132" s="986">
        <f>AM132+AN131</f>
        <v>0</v>
      </c>
      <c r="AO132" s="983">
        <f>AN132</f>
        <v>0</v>
      </c>
      <c r="AP132" s="988"/>
      <c r="AQ132" s="986">
        <f>AN132+AQ131</f>
        <v>0</v>
      </c>
      <c r="AR132" s="986">
        <f>AQ132+AR131</f>
        <v>0</v>
      </c>
      <c r="AS132" s="986">
        <f>AR132+AS131</f>
        <v>0</v>
      </c>
      <c r="AT132" s="986">
        <f>AS132+AT131</f>
        <v>0</v>
      </c>
      <c r="AU132" s="983">
        <f>AT132</f>
        <v>0</v>
      </c>
      <c r="AV132" s="988"/>
      <c r="AW132" s="986">
        <f>AT132+AW131</f>
        <v>0</v>
      </c>
      <c r="AX132" s="986">
        <f>AW132+AX131</f>
        <v>0</v>
      </c>
      <c r="AY132" s="986">
        <f>AX132+AY131</f>
        <v>0</v>
      </c>
      <c r="AZ132" s="986">
        <f>AY132+AZ131</f>
        <v>0</v>
      </c>
      <c r="BA132" s="983">
        <f>AZ132</f>
        <v>0</v>
      </c>
      <c r="BB132" s="988"/>
      <c r="BC132" s="986">
        <f>AZ132+BC131</f>
        <v>0</v>
      </c>
      <c r="BD132" s="986">
        <f>BC132+BD131</f>
        <v>0</v>
      </c>
      <c r="BE132" s="986">
        <f>BD132+BE131</f>
        <v>0</v>
      </c>
      <c r="BF132" s="986">
        <f>BE132+BF131</f>
        <v>0</v>
      </c>
      <c r="BG132" s="983">
        <f>BF132</f>
        <v>0</v>
      </c>
      <c r="BH132" s="988"/>
      <c r="BI132" s="986">
        <f>BF132+BI131</f>
        <v>0</v>
      </c>
      <c r="BJ132" s="986">
        <f>BI132+BJ131</f>
        <v>0</v>
      </c>
      <c r="BK132" s="986">
        <f>BJ132+BK131</f>
        <v>0</v>
      </c>
      <c r="BL132" s="986">
        <f>BK132+BL131</f>
        <v>0</v>
      </c>
      <c r="BM132" s="983">
        <f>BL132</f>
        <v>0</v>
      </c>
      <c r="BN132" s="988"/>
      <c r="BO132" s="986">
        <f>BL132+BO131</f>
        <v>0</v>
      </c>
      <c r="BP132" s="986">
        <f>BO132+BP131</f>
        <v>0</v>
      </c>
      <c r="BQ132" s="986">
        <f>BP132+BQ131</f>
        <v>0</v>
      </c>
      <c r="BR132" s="986">
        <f>BQ132+BR131</f>
        <v>0</v>
      </c>
      <c r="BS132" s="983">
        <f>BR132</f>
        <v>0</v>
      </c>
      <c r="BT132" s="988"/>
      <c r="BU132" s="986">
        <f>BR132+BU131</f>
        <v>0</v>
      </c>
      <c r="BV132" s="986">
        <f>BU132+BV131</f>
        <v>0</v>
      </c>
      <c r="BW132" s="986">
        <f>BV132+BW131</f>
        <v>0</v>
      </c>
      <c r="BX132" s="986">
        <f>BW132+BX131</f>
        <v>0</v>
      </c>
      <c r="BY132" s="983">
        <f>BX132</f>
        <v>0</v>
      </c>
      <c r="BZ132" s="988"/>
      <c r="CA132" s="986">
        <f>BX132+CA131</f>
        <v>0</v>
      </c>
      <c r="CB132" s="986">
        <f>CA132+CB131</f>
        <v>0</v>
      </c>
      <c r="CC132" s="986">
        <f>CB132+CC131</f>
        <v>0</v>
      </c>
      <c r="CD132" s="986">
        <f>CC132+CD131</f>
        <v>0</v>
      </c>
      <c r="CE132" s="983">
        <f>CD132</f>
        <v>0</v>
      </c>
      <c r="CF132" s="988"/>
      <c r="CG132" s="986">
        <f>CD132+CG131</f>
        <v>0</v>
      </c>
      <c r="CH132" s="986">
        <f>CG132+CH131</f>
        <v>0</v>
      </c>
      <c r="CI132" s="986">
        <f>CH132+CI131</f>
        <v>0</v>
      </c>
      <c r="CJ132" s="986">
        <f>CI132+CJ131</f>
        <v>0</v>
      </c>
      <c r="CK132" s="983">
        <f>CJ132</f>
        <v>0</v>
      </c>
      <c r="CL132" s="988"/>
      <c r="CM132" s="986">
        <f>CJ132+CM131</f>
        <v>0</v>
      </c>
      <c r="CN132" s="986">
        <f>CM132+CN131</f>
        <v>0</v>
      </c>
      <c r="CO132" s="986">
        <f>CN132+CO131</f>
        <v>0</v>
      </c>
      <c r="CP132" s="986">
        <f>CO132+CP131</f>
        <v>0</v>
      </c>
      <c r="CQ132" s="983">
        <f>CP132</f>
        <v>0</v>
      </c>
      <c r="CR132" s="988"/>
      <c r="CS132" s="986">
        <f>CP132+CS131</f>
        <v>0</v>
      </c>
      <c r="CT132" s="986">
        <f>CS132+CT131</f>
        <v>0</v>
      </c>
      <c r="CU132" s="986">
        <f>CT132+CU131</f>
        <v>0</v>
      </c>
      <c r="CV132" s="986">
        <f>CU132+CV131</f>
        <v>0</v>
      </c>
      <c r="CW132" s="983">
        <f>CV132</f>
        <v>0</v>
      </c>
      <c r="CX132" s="988"/>
      <c r="CY132" s="986">
        <f>CV132+CY131</f>
        <v>0</v>
      </c>
      <c r="CZ132" s="986">
        <f>CY132+CZ131</f>
        <v>0</v>
      </c>
      <c r="DA132" s="986">
        <f>CZ132+DA131</f>
        <v>0</v>
      </c>
      <c r="DB132" s="986">
        <f>DA132+DB131</f>
        <v>0</v>
      </c>
      <c r="DC132" s="983">
        <f>DB132</f>
        <v>0</v>
      </c>
      <c r="DD132" s="988"/>
      <c r="DE132" s="986">
        <f>DB132+DE131</f>
        <v>0</v>
      </c>
      <c r="DF132" s="986">
        <f>DE132+DF131</f>
        <v>0</v>
      </c>
      <c r="DG132" s="986">
        <f>DF132+DG131</f>
        <v>0</v>
      </c>
      <c r="DH132" s="986">
        <f>DG132+DH131</f>
        <v>0</v>
      </c>
      <c r="DI132" s="983">
        <f>DH132</f>
        <v>0</v>
      </c>
      <c r="DJ132" s="988"/>
      <c r="DK132" s="986">
        <f>DH132+DK131</f>
        <v>0</v>
      </c>
      <c r="DL132" s="986">
        <f>DK132+DL131</f>
        <v>0</v>
      </c>
      <c r="DM132" s="986">
        <f>DL132+DM131</f>
        <v>0</v>
      </c>
      <c r="DN132" s="986">
        <f>DM132+DN131</f>
        <v>0</v>
      </c>
      <c r="DO132" s="983">
        <f>DN132</f>
        <v>0</v>
      </c>
      <c r="DP132" s="1029"/>
      <c r="DQ132" s="961"/>
    </row>
    <row r="133" spans="1:121" ht="12.75" hidden="1" customHeight="1" outlineLevel="1">
      <c r="A133" s="1221" t="s">
        <v>999</v>
      </c>
      <c r="B133" s="1219"/>
      <c r="C133" s="1029"/>
      <c r="D133" s="1029"/>
      <c r="E133" s="1029"/>
      <c r="F133" s="986"/>
      <c r="G133" s="1029"/>
      <c r="H133" s="1029"/>
      <c r="I133" s="1029"/>
      <c r="J133" s="1029">
        <f>J56</f>
        <v>-55.875</v>
      </c>
      <c r="K133" s="1029">
        <f>K56</f>
        <v>-55.875</v>
      </c>
      <c r="L133" s="1220"/>
      <c r="M133" s="1029">
        <f>M56</f>
        <v>-54.412999999999997</v>
      </c>
      <c r="N133" s="1029">
        <f>N56</f>
        <v>-52.896000000000001</v>
      </c>
      <c r="O133" s="1029">
        <f>O56</f>
        <v>-46.992000000000004</v>
      </c>
      <c r="P133" s="1029">
        <f>P56</f>
        <v>-46.236999999999995</v>
      </c>
      <c r="Q133" s="1029">
        <f>Q56</f>
        <v>-46.236999999999995</v>
      </c>
      <c r="R133" s="988"/>
      <c r="S133" s="1029">
        <f>S56</f>
        <v>-44.055999999999997</v>
      </c>
      <c r="T133" s="1029">
        <f>T56</f>
        <v>133.18700000000001</v>
      </c>
      <c r="U133" s="1029">
        <f>U56</f>
        <v>137.35500000000002</v>
      </c>
      <c r="V133" s="1029">
        <f>V56</f>
        <v>145.131</v>
      </c>
      <c r="W133" s="1029">
        <f>W56</f>
        <v>145.131</v>
      </c>
      <c r="X133" s="988"/>
      <c r="Y133" s="1029">
        <f>Y56</f>
        <v>152.99799999999999</v>
      </c>
      <c r="Z133" s="1029">
        <f>Z56</f>
        <v>165.40199999999999</v>
      </c>
      <c r="AA133" s="1029">
        <f>AA56</f>
        <v>181.97900000000001</v>
      </c>
      <c r="AB133" s="1029">
        <f>AB56</f>
        <v>196.37099999999998</v>
      </c>
      <c r="AC133" s="983">
        <f>AC56</f>
        <v>196.37099999999998</v>
      </c>
      <c r="AD133" s="988"/>
      <c r="AE133" s="1029">
        <f>AE56</f>
        <v>211.87699999999995</v>
      </c>
      <c r="AF133" s="1029">
        <f>AF56</f>
        <v>230.11900000000003</v>
      </c>
      <c r="AG133" s="1029">
        <f>AG56</f>
        <v>256.38099999999997</v>
      </c>
      <c r="AH133" s="1029">
        <f>AH56</f>
        <v>281.791</v>
      </c>
      <c r="AI133" s="983">
        <f>AI56</f>
        <v>281.791</v>
      </c>
      <c r="AJ133" s="988"/>
      <c r="AK133" s="1029">
        <f>AK56</f>
        <v>309.28200000000004</v>
      </c>
      <c r="AL133" s="1029">
        <f>AL56</f>
        <v>351.05600000000004</v>
      </c>
      <c r="AM133" s="1029">
        <f>AM56</f>
        <v>401.29500000000002</v>
      </c>
      <c r="AN133" s="1029">
        <f>AN56</f>
        <v>452.05900000000003</v>
      </c>
      <c r="AO133" s="983">
        <f>AO56</f>
        <v>452.05900000000003</v>
      </c>
      <c r="AP133" s="988"/>
      <c r="AQ133" s="1029">
        <f>AQ56</f>
        <v>503.06700000000001</v>
      </c>
      <c r="AR133" s="1029">
        <f>AR56</f>
        <v>565.976</v>
      </c>
      <c r="AS133" s="1029">
        <f>AS56</f>
        <v>618.38700000000006</v>
      </c>
      <c r="AT133" s="1029">
        <f>AT56</f>
        <v>671.78400000000011</v>
      </c>
      <c r="AU133" s="983">
        <f>AU56</f>
        <v>671.78400000000011</v>
      </c>
      <c r="AV133" s="988"/>
      <c r="AW133" s="1029">
        <f>AW56</f>
        <v>727.85500000000013</v>
      </c>
      <c r="AX133" s="1029">
        <f>AX56</f>
        <v>791.11700000000019</v>
      </c>
      <c r="AY133" s="1029">
        <f>AY56</f>
        <v>858.89099999999996</v>
      </c>
      <c r="AZ133" s="1029">
        <f>AZ56</f>
        <v>1043.8019999999999</v>
      </c>
      <c r="BA133" s="983">
        <f>BA56</f>
        <v>1043.8019999999999</v>
      </c>
      <c r="BB133" s="988"/>
      <c r="BC133" s="1029">
        <f>BC56</f>
        <v>1134.51</v>
      </c>
      <c r="BD133" s="1029">
        <f>BD56</f>
        <v>1240.626</v>
      </c>
      <c r="BE133" s="1029">
        <f>BE56</f>
        <v>1210.2880000000002</v>
      </c>
      <c r="BF133" s="1029">
        <f>BF56</f>
        <v>1276.4910000000002</v>
      </c>
      <c r="BG133" s="983">
        <f>BG56</f>
        <v>1276.4910000000002</v>
      </c>
      <c r="BH133" s="988"/>
      <c r="BI133" s="1029">
        <f>BI56</f>
        <v>1352.2730000000001</v>
      </c>
      <c r="BJ133" s="1029">
        <f>BJ56</f>
        <v>1508.895</v>
      </c>
      <c r="BK133" s="1029">
        <f>BK56</f>
        <v>1583.1599999999999</v>
      </c>
      <c r="BL133" s="1029">
        <f>BL56</f>
        <v>1666.1009999999999</v>
      </c>
      <c r="BM133" s="983">
        <f>BM56</f>
        <v>1666.1009999999999</v>
      </c>
      <c r="BN133" s="988"/>
      <c r="BO133" s="1029">
        <f>BO56</f>
        <v>1809.7689999999998</v>
      </c>
      <c r="BP133" s="1029">
        <f>BP56</f>
        <v>1958.6709999999998</v>
      </c>
      <c r="BQ133" s="1029">
        <f>BQ56</f>
        <v>2143.6139999999996</v>
      </c>
      <c r="BR133" s="1029">
        <f>BR56</f>
        <v>2371.2450000000003</v>
      </c>
      <c r="BS133" s="983">
        <f>BS56</f>
        <v>2371.2450000000003</v>
      </c>
      <c r="BT133" s="988"/>
      <c r="BU133" s="1029">
        <f>BU56</f>
        <v>2509.8760000000002</v>
      </c>
      <c r="BV133" s="1029">
        <f>BV56</f>
        <v>2859.1480000000001</v>
      </c>
      <c r="BW133" s="1029">
        <f>BW56</f>
        <v>2946.0870000000004</v>
      </c>
      <c r="BX133" s="1029">
        <f>BX56</f>
        <v>3065.2149999999997</v>
      </c>
      <c r="BY133" s="983">
        <f>BY56</f>
        <v>3065.2149999999997</v>
      </c>
      <c r="BZ133" s="988"/>
      <c r="CA133" s="1029">
        <f>CA56</f>
        <v>3141.857</v>
      </c>
      <c r="CB133" s="1029">
        <f>CB56</f>
        <v>3306.7460000000001</v>
      </c>
      <c r="CC133" s="1029">
        <f>CC56</f>
        <v>3792.4960000000001</v>
      </c>
      <c r="CD133" s="1029">
        <f>CD56</f>
        <v>3975.1829999999991</v>
      </c>
      <c r="CE133" s="983">
        <f>CE56</f>
        <v>3975.1829999999991</v>
      </c>
      <c r="CF133" s="988"/>
      <c r="CG133" s="1029">
        <f>CG56</f>
        <v>4235.2030000000004</v>
      </c>
      <c r="CH133" s="1029">
        <f>CH56</f>
        <v>4535.8029999999999</v>
      </c>
      <c r="CI133" s="1029">
        <f>CI56</f>
        <v>4749.9540000000006</v>
      </c>
      <c r="CJ133" s="1029">
        <f>CJ56</f>
        <v>5002.8690000000006</v>
      </c>
      <c r="CK133" s="983">
        <f>CK56</f>
        <v>5002.8690000000006</v>
      </c>
      <c r="CL133" s="988"/>
      <c r="CM133" s="1029">
        <f>CM56</f>
        <v>5584.2639999999992</v>
      </c>
      <c r="CN133" s="1029">
        <f>CN56</f>
        <v>6132.576</v>
      </c>
      <c r="CO133" s="1029">
        <f>CO56</f>
        <v>6806.0369999999994</v>
      </c>
      <c r="CP133" s="1029">
        <f>CP56</f>
        <v>7500.1269999999995</v>
      </c>
      <c r="CQ133" s="983">
        <f>CQ56</f>
        <v>7500.1269999999995</v>
      </c>
      <c r="CR133" s="988"/>
      <c r="CS133" s="1029">
        <f>CS56</f>
        <v>7934.4879999999994</v>
      </c>
      <c r="CT133" s="1029">
        <f>CT56</f>
        <v>8468.5370000000003</v>
      </c>
      <c r="CU133" s="1029">
        <f>CU56</f>
        <v>8840.1670000000013</v>
      </c>
      <c r="CV133" s="1029">
        <f>CV56</f>
        <v>9392.3629999999994</v>
      </c>
      <c r="CW133" s="983">
        <f>CW56</f>
        <v>9392.3629999999994</v>
      </c>
      <c r="CX133" s="988"/>
      <c r="CY133" s="1029">
        <f>CY56</f>
        <v>9819.3196408447839</v>
      </c>
      <c r="CZ133" s="1029">
        <f>CZ56</f>
        <v>10282.275663781109</v>
      </c>
      <c r="DA133" s="1029">
        <f>DA56</f>
        <v>10799.711774477166</v>
      </c>
      <c r="DB133" s="1029">
        <f>DB56</f>
        <v>11272.766442921575</v>
      </c>
      <c r="DC133" s="983">
        <f>DC56</f>
        <v>11272.766442921575</v>
      </c>
      <c r="DD133" s="988"/>
      <c r="DE133" s="1029">
        <f>DE56</f>
        <v>11814.771430292152</v>
      </c>
      <c r="DF133" s="1029">
        <f>DF56</f>
        <v>12467.543759664673</v>
      </c>
      <c r="DG133" s="1029">
        <f>DG56</f>
        <v>13174.041600676714</v>
      </c>
      <c r="DH133" s="1029">
        <f>DH56</f>
        <v>13867.030843890972</v>
      </c>
      <c r="DI133" s="983">
        <f>DI56</f>
        <v>13867.030843890972</v>
      </c>
      <c r="DJ133" s="988"/>
      <c r="DK133" s="1029">
        <f>DK56</f>
        <v>14591.5532082883</v>
      </c>
      <c r="DL133" s="1029">
        <f>DL56</f>
        <v>15449.957272687379</v>
      </c>
      <c r="DM133" s="1029">
        <f>DM56</f>
        <v>16370.292462652877</v>
      </c>
      <c r="DN133" s="1029">
        <f>DN56</f>
        <v>17296.7681223127</v>
      </c>
      <c r="DO133" s="983">
        <f>DO56</f>
        <v>17296.7681223127</v>
      </c>
      <c r="DP133" s="1029"/>
      <c r="DQ133" s="961"/>
    </row>
    <row r="134" spans="1:121" ht="12.75" hidden="1" customHeight="1" outlineLevel="1">
      <c r="A134" s="1222" t="s">
        <v>510</v>
      </c>
      <c r="B134" s="1223"/>
      <c r="C134" s="988"/>
      <c r="D134" s="988"/>
      <c r="E134" s="988"/>
      <c r="F134" s="988"/>
      <c r="G134" s="988"/>
      <c r="H134" s="988"/>
      <c r="I134" s="988"/>
      <c r="J134" s="988"/>
      <c r="K134" s="1034"/>
      <c r="L134" s="1224"/>
      <c r="M134" s="1068" t="s">
        <v>88</v>
      </c>
      <c r="N134" s="1068" t="s">
        <v>88</v>
      </c>
      <c r="O134" s="1068" t="s">
        <v>88</v>
      </c>
      <c r="P134" s="1068" t="s">
        <v>88</v>
      </c>
      <c r="Q134" s="1225">
        <f>Model!Q84/Q133</f>
        <v>-1.1299036598363418E-2</v>
      </c>
      <c r="R134" s="988"/>
      <c r="S134" s="1068" t="s">
        <v>88</v>
      </c>
      <c r="T134" s="1068" t="s">
        <v>88</v>
      </c>
      <c r="U134" s="1068" t="s">
        <v>88</v>
      </c>
      <c r="V134" s="1068" t="s">
        <v>88</v>
      </c>
      <c r="W134" s="1225">
        <f>Model!W84/W133</f>
        <v>5.0616339720666245E-2</v>
      </c>
      <c r="X134" s="988"/>
      <c r="Y134" s="1068" t="s">
        <v>88</v>
      </c>
      <c r="Z134" s="1068" t="s">
        <v>88</v>
      </c>
      <c r="AA134" s="1068" t="s">
        <v>88</v>
      </c>
      <c r="AB134" s="1068" t="s">
        <v>88</v>
      </c>
      <c r="AC134" s="1014">
        <f>Model!AC84/AC133</f>
        <v>0.10936950975449515</v>
      </c>
      <c r="AD134" s="988"/>
      <c r="AE134" s="1068" t="s">
        <v>88</v>
      </c>
      <c r="AF134" s="1068" t="s">
        <v>88</v>
      </c>
      <c r="AG134" s="1068" t="s">
        <v>88</v>
      </c>
      <c r="AH134" s="1068" t="s">
        <v>88</v>
      </c>
      <c r="AI134" s="1014">
        <f>Model!AI84/AI133</f>
        <v>9.4235513898866474E-2</v>
      </c>
      <c r="AJ134" s="988"/>
      <c r="AK134" s="1068" t="s">
        <v>88</v>
      </c>
      <c r="AL134" s="1068" t="s">
        <v>88</v>
      </c>
      <c r="AM134" s="1068" t="s">
        <v>88</v>
      </c>
      <c r="AN134" s="1068" t="s">
        <v>88</v>
      </c>
      <c r="AO134" s="1014">
        <f>Model!AO84/AO133</f>
        <v>0.11934061704335056</v>
      </c>
      <c r="AP134" s="988"/>
      <c r="AQ134" s="1068" t="s">
        <v>88</v>
      </c>
      <c r="AR134" s="1068" t="s">
        <v>88</v>
      </c>
      <c r="AS134" s="1068" t="s">
        <v>88</v>
      </c>
      <c r="AT134" s="1068" t="s">
        <v>88</v>
      </c>
      <c r="AU134" s="1014">
        <f>Model!AU84/AU133</f>
        <v>0.13730554276670948</v>
      </c>
      <c r="AV134" s="988"/>
      <c r="AW134" s="1068" t="s">
        <v>88</v>
      </c>
      <c r="AX134" s="1068" t="s">
        <v>88</v>
      </c>
      <c r="AY134" s="1068" t="s">
        <v>88</v>
      </c>
      <c r="AZ134" s="1068" t="s">
        <v>88</v>
      </c>
      <c r="BA134" s="1014">
        <f>Model!BA84/BA133</f>
        <v>0.13333722295991002</v>
      </c>
      <c r="BB134" s="988"/>
      <c r="BC134" s="1068" t="s">
        <v>88</v>
      </c>
      <c r="BD134" s="1068" t="s">
        <v>88</v>
      </c>
      <c r="BE134" s="1068" t="s">
        <v>88</v>
      </c>
      <c r="BF134" s="1068" t="s">
        <v>88</v>
      </c>
      <c r="BG134" s="1014">
        <f>Model!BG84/BG133</f>
        <v>0.13012704359059329</v>
      </c>
      <c r="BH134" s="988"/>
      <c r="BI134" s="1068" t="s">
        <v>88</v>
      </c>
      <c r="BJ134" s="1068" t="s">
        <v>88</v>
      </c>
      <c r="BK134" s="1068" t="s">
        <v>88</v>
      </c>
      <c r="BL134" s="1068" t="s">
        <v>88</v>
      </c>
      <c r="BM134" s="1014">
        <f>Model!BM84/BM133</f>
        <v>0.11620123870041497</v>
      </c>
      <c r="BN134" s="988"/>
      <c r="BO134" s="1068" t="s">
        <v>88</v>
      </c>
      <c r="BP134" s="1068" t="s">
        <v>88</v>
      </c>
      <c r="BQ134" s="1068" t="s">
        <v>88</v>
      </c>
      <c r="BR134" s="1068" t="s">
        <v>88</v>
      </c>
      <c r="BS134" s="1014">
        <f>Model!BS84/BS133</f>
        <v>0.10228930372019762</v>
      </c>
      <c r="BT134" s="988"/>
      <c r="BU134" s="1068" t="s">
        <v>88</v>
      </c>
      <c r="BV134" s="1068" t="s">
        <v>88</v>
      </c>
      <c r="BW134" s="1068" t="s">
        <v>88</v>
      </c>
      <c r="BX134" s="1068" t="s">
        <v>88</v>
      </c>
      <c r="BY134" s="1014">
        <f>Model!BY84/BY133</f>
        <v>7.2377630932903572E-2</v>
      </c>
      <c r="BZ134" s="988"/>
      <c r="CA134" s="1068" t="s">
        <v>88</v>
      </c>
      <c r="CB134" s="1068" t="s">
        <v>88</v>
      </c>
      <c r="CC134" s="1068" t="s">
        <v>88</v>
      </c>
      <c r="CD134" s="1068" t="s">
        <v>88</v>
      </c>
      <c r="CE134" s="1014">
        <f>Model!CE84/CE133</f>
        <v>8.5929377339357779E-2</v>
      </c>
      <c r="CF134" s="988"/>
      <c r="CG134" s="1068" t="s">
        <v>88</v>
      </c>
      <c r="CH134" s="1068" t="s">
        <v>88</v>
      </c>
      <c r="CI134" s="1068" t="s">
        <v>88</v>
      </c>
      <c r="CJ134" s="1068" t="s">
        <v>88</v>
      </c>
      <c r="CK134" s="1014">
        <f>Model!CK84/CK133</f>
        <v>0.10129847493508229</v>
      </c>
      <c r="CL134" s="988"/>
      <c r="CM134" s="1068" t="s">
        <v>88</v>
      </c>
      <c r="CN134" s="1068" t="s">
        <v>88</v>
      </c>
      <c r="CO134" s="1068" t="s">
        <v>88</v>
      </c>
      <c r="CP134" s="1068" t="s">
        <v>88</v>
      </c>
      <c r="CQ134" s="1014">
        <f>Model!CQ84/CQ133</f>
        <v>9.402827445455246E-2</v>
      </c>
      <c r="CR134" s="988"/>
      <c r="CS134" s="1068" t="s">
        <v>88</v>
      </c>
      <c r="CT134" s="1068" t="s">
        <v>88</v>
      </c>
      <c r="CU134" s="1068" t="s">
        <v>88</v>
      </c>
      <c r="CV134" s="1068" t="s">
        <v>88</v>
      </c>
      <c r="CW134" s="1014">
        <f>Model!CW84/CW133</f>
        <v>0.10554713441122321</v>
      </c>
      <c r="CX134" s="988"/>
      <c r="CY134" s="1068" t="s">
        <v>88</v>
      </c>
      <c r="CZ134" s="1068" t="s">
        <v>88</v>
      </c>
      <c r="DA134" s="1068" t="s">
        <v>88</v>
      </c>
      <c r="DB134" s="1068" t="s">
        <v>88</v>
      </c>
      <c r="DC134" s="1014">
        <f>Model!DC84/DC133</f>
        <v>0.1533962457257228</v>
      </c>
      <c r="DD134" s="988"/>
      <c r="DE134" s="1068" t="s">
        <v>88</v>
      </c>
      <c r="DF134" s="1068" t="s">
        <v>88</v>
      </c>
      <c r="DG134" s="1068" t="s">
        <v>88</v>
      </c>
      <c r="DH134" s="1068" t="s">
        <v>88</v>
      </c>
      <c r="DI134" s="1014">
        <f>Model!DI84/DI133</f>
        <v>0.17422382916933049</v>
      </c>
      <c r="DJ134" s="988"/>
      <c r="DK134" s="1068" t="s">
        <v>88</v>
      </c>
      <c r="DL134" s="1068" t="s">
        <v>88</v>
      </c>
      <c r="DM134" s="1068" t="s">
        <v>88</v>
      </c>
      <c r="DN134" s="1068" t="s">
        <v>88</v>
      </c>
      <c r="DO134" s="1014">
        <f>Model!DO84/DO133</f>
        <v>0.18727214725731356</v>
      </c>
      <c r="DP134" s="1225"/>
      <c r="DQ134" s="969"/>
    </row>
    <row r="135" spans="1:121" ht="12.75" hidden="1" customHeight="1" outlineLevel="1">
      <c r="A135" s="1221" t="s">
        <v>991</v>
      </c>
      <c r="B135" s="1219"/>
      <c r="C135" s="986"/>
      <c r="D135" s="986">
        <f>D132+D56</f>
        <v>-29.329000000000001</v>
      </c>
      <c r="E135" s="986">
        <f>E132+E56</f>
        <v>-51.347999999999999</v>
      </c>
      <c r="F135" s="986"/>
      <c r="G135" s="986">
        <f>G132+G56</f>
        <v>-51.612749999999998</v>
      </c>
      <c r="H135" s="986">
        <f>H132+H56</f>
        <v>-51.441500000000005</v>
      </c>
      <c r="I135" s="986">
        <f>I132+I56</f>
        <v>-54.985249999999994</v>
      </c>
      <c r="J135" s="986">
        <f>J132+J56</f>
        <v>-55.875</v>
      </c>
      <c r="K135" s="1029">
        <f>J135</f>
        <v>-55.875</v>
      </c>
      <c r="L135" s="986"/>
      <c r="M135" s="986">
        <f>M132+M56</f>
        <v>-54.412999999999997</v>
      </c>
      <c r="N135" s="986">
        <f>N132+N56</f>
        <v>-52.896000000000001</v>
      </c>
      <c r="O135" s="986">
        <f>O132+O56</f>
        <v>-46.992000000000004</v>
      </c>
      <c r="P135" s="986">
        <f>P132+P56</f>
        <v>-46.236999999999995</v>
      </c>
      <c r="Q135" s="1029">
        <f>P135</f>
        <v>-46.236999999999995</v>
      </c>
      <c r="R135" s="986"/>
      <c r="S135" s="986">
        <f>S132+S56</f>
        <v>-44.055999999999997</v>
      </c>
      <c r="T135" s="986">
        <f>T132+T56</f>
        <v>133.18700000000001</v>
      </c>
      <c r="U135" s="986">
        <f>U132+U56</f>
        <v>137.35500000000002</v>
      </c>
      <c r="V135" s="986">
        <f>V132+V56</f>
        <v>145.131</v>
      </c>
      <c r="W135" s="1029">
        <f>V135</f>
        <v>145.131</v>
      </c>
      <c r="X135" s="986"/>
      <c r="Y135" s="986">
        <f>Y132+Y56</f>
        <v>152.99799999999999</v>
      </c>
      <c r="Z135" s="986">
        <f>Z132+Z56</f>
        <v>165.40199999999999</v>
      </c>
      <c r="AA135" s="986">
        <f>AA132+AA56</f>
        <v>181.97900000000001</v>
      </c>
      <c r="AB135" s="986">
        <f>AB132+AB56</f>
        <v>196.37099999999998</v>
      </c>
      <c r="AC135" s="983">
        <f>AB135</f>
        <v>196.37099999999998</v>
      </c>
      <c r="AD135" s="986"/>
      <c r="AE135" s="986">
        <f>AE132+AE56</f>
        <v>211.87699999999995</v>
      </c>
      <c r="AF135" s="986">
        <f>AF132+AF56</f>
        <v>230.11900000000003</v>
      </c>
      <c r="AG135" s="986">
        <f>AG132+AG56</f>
        <v>256.38099999999997</v>
      </c>
      <c r="AH135" s="986">
        <f>AH132+AH56</f>
        <v>281.791</v>
      </c>
      <c r="AI135" s="983">
        <f>AH135</f>
        <v>281.791</v>
      </c>
      <c r="AJ135" s="986"/>
      <c r="AK135" s="986">
        <f>AK132+AK56</f>
        <v>309.28200000000004</v>
      </c>
      <c r="AL135" s="986">
        <f>AL132+AL56</f>
        <v>351.05600000000004</v>
      </c>
      <c r="AM135" s="986">
        <f>AM132+AM56</f>
        <v>401.29500000000002</v>
      </c>
      <c r="AN135" s="986">
        <f>AN132+AN56</f>
        <v>452.05900000000003</v>
      </c>
      <c r="AO135" s="983">
        <f>AN135</f>
        <v>452.05900000000003</v>
      </c>
      <c r="AP135" s="986"/>
      <c r="AQ135" s="986">
        <f>AQ132+AQ56</f>
        <v>503.06700000000001</v>
      </c>
      <c r="AR135" s="986">
        <f>AR132+AR56</f>
        <v>565.976</v>
      </c>
      <c r="AS135" s="986">
        <f>AS132+AS56</f>
        <v>618.38700000000006</v>
      </c>
      <c r="AT135" s="986">
        <f>AT132+AT56</f>
        <v>671.78400000000011</v>
      </c>
      <c r="AU135" s="983">
        <f>AT135</f>
        <v>671.78400000000011</v>
      </c>
      <c r="AV135" s="986"/>
      <c r="AW135" s="986">
        <f>AW132+AW56</f>
        <v>727.85500000000013</v>
      </c>
      <c r="AX135" s="986">
        <f>AX132+AX56</f>
        <v>791.11700000000019</v>
      </c>
      <c r="AY135" s="986">
        <f>AY132+AY56</f>
        <v>858.89099999999996</v>
      </c>
      <c r="AZ135" s="986">
        <f>AZ132+AZ56</f>
        <v>1043.8019999999999</v>
      </c>
      <c r="BA135" s="983">
        <f>AZ135</f>
        <v>1043.8019999999999</v>
      </c>
      <c r="BB135" s="986"/>
      <c r="BC135" s="986">
        <f>BC132+BC56</f>
        <v>1134.51</v>
      </c>
      <c r="BD135" s="986">
        <f>BD132+BD56</f>
        <v>1240.626</v>
      </c>
      <c r="BE135" s="986">
        <f>BE132+BE56</f>
        <v>1210.2880000000002</v>
      </c>
      <c r="BF135" s="986">
        <f>BF132+BF56</f>
        <v>1276.4910000000002</v>
      </c>
      <c r="BG135" s="983">
        <f>BF135</f>
        <v>1276.4910000000002</v>
      </c>
      <c r="BH135" s="986"/>
      <c r="BI135" s="986">
        <f>BI132+BI56</f>
        <v>1352.2730000000001</v>
      </c>
      <c r="BJ135" s="986">
        <f>BJ132+BJ56</f>
        <v>1508.895</v>
      </c>
      <c r="BK135" s="986">
        <f>BK132+BK56</f>
        <v>1583.1599999999999</v>
      </c>
      <c r="BL135" s="986">
        <f>BL132+BL56</f>
        <v>1666.1009999999999</v>
      </c>
      <c r="BM135" s="983">
        <f>BL135</f>
        <v>1666.1009999999999</v>
      </c>
      <c r="BN135" s="986"/>
      <c r="BO135" s="986">
        <f>BO132+BO56</f>
        <v>1809.7689999999998</v>
      </c>
      <c r="BP135" s="986">
        <f>BP132+BP56</f>
        <v>1958.6709999999998</v>
      </c>
      <c r="BQ135" s="986">
        <f>BQ132+BQ56</f>
        <v>2143.6139999999996</v>
      </c>
      <c r="BR135" s="986">
        <f>BR132+BR56</f>
        <v>2371.2450000000003</v>
      </c>
      <c r="BS135" s="983">
        <f>BR135</f>
        <v>2371.2450000000003</v>
      </c>
      <c r="BT135" s="986"/>
      <c r="BU135" s="986">
        <f>BU132+BU56</f>
        <v>2509.8760000000002</v>
      </c>
      <c r="BV135" s="986">
        <f>BV132+BV56</f>
        <v>2859.1480000000001</v>
      </c>
      <c r="BW135" s="986">
        <f>BW132+BW56</f>
        <v>2946.0870000000004</v>
      </c>
      <c r="BX135" s="986">
        <f>BX132+BX56</f>
        <v>3065.2149999999997</v>
      </c>
      <c r="BY135" s="983">
        <f>BX135</f>
        <v>3065.2149999999997</v>
      </c>
      <c r="BZ135" s="986"/>
      <c r="CA135" s="986">
        <f>CA132+CA56</f>
        <v>3141.857</v>
      </c>
      <c r="CB135" s="986">
        <f>CB132+CB56</f>
        <v>3306.7460000000001</v>
      </c>
      <c r="CC135" s="986">
        <f>CC132+CC56</f>
        <v>3792.4960000000001</v>
      </c>
      <c r="CD135" s="986">
        <f>CD132+CD56</f>
        <v>3975.1829999999991</v>
      </c>
      <c r="CE135" s="983">
        <f>CD135</f>
        <v>3975.1829999999991</v>
      </c>
      <c r="CF135" s="986"/>
      <c r="CG135" s="986">
        <f>CG132+CG56</f>
        <v>4235.2030000000004</v>
      </c>
      <c r="CH135" s="986">
        <f>CH132+CH56</f>
        <v>4535.8029999999999</v>
      </c>
      <c r="CI135" s="986">
        <f>CI132+CI56</f>
        <v>4749.9540000000006</v>
      </c>
      <c r="CJ135" s="986">
        <f>CJ132+CJ56</f>
        <v>5002.8690000000006</v>
      </c>
      <c r="CK135" s="983">
        <f>CJ135</f>
        <v>5002.8690000000006</v>
      </c>
      <c r="CL135" s="986"/>
      <c r="CM135" s="986">
        <f>CM132+CM56</f>
        <v>5584.2639999999992</v>
      </c>
      <c r="CN135" s="986">
        <f>CN132+CN56</f>
        <v>6132.576</v>
      </c>
      <c r="CO135" s="986">
        <f>CO132+CO56</f>
        <v>6806.0369999999994</v>
      </c>
      <c r="CP135" s="986">
        <f>CP132+CP56</f>
        <v>7500.1269999999995</v>
      </c>
      <c r="CQ135" s="983">
        <f>CP135</f>
        <v>7500.1269999999995</v>
      </c>
      <c r="CR135" s="986"/>
      <c r="CS135" s="986">
        <f>CS132+CS56</f>
        <v>7934.4879999999994</v>
      </c>
      <c r="CT135" s="986">
        <f>CT132+CT56</f>
        <v>8468.5370000000003</v>
      </c>
      <c r="CU135" s="986">
        <f>CU132+CU56</f>
        <v>8840.1670000000013</v>
      </c>
      <c r="CV135" s="986">
        <f>CV132+CV56</f>
        <v>9392.3629999999994</v>
      </c>
      <c r="CW135" s="983">
        <f>CV135</f>
        <v>9392.3629999999994</v>
      </c>
      <c r="CX135" s="986"/>
      <c r="CY135" s="986">
        <f>CY132+CY56</f>
        <v>9819.3196408447839</v>
      </c>
      <c r="CZ135" s="986">
        <f>CZ132+CZ56</f>
        <v>10282.275663781109</v>
      </c>
      <c r="DA135" s="986">
        <f>DA132+DA56</f>
        <v>10799.711774477166</v>
      </c>
      <c r="DB135" s="986">
        <f>DB132+DB56</f>
        <v>11272.766442921575</v>
      </c>
      <c r="DC135" s="983">
        <f>DB135</f>
        <v>11272.766442921575</v>
      </c>
      <c r="DD135" s="986"/>
      <c r="DE135" s="986">
        <f>DE132+DE56</f>
        <v>11814.771430292152</v>
      </c>
      <c r="DF135" s="986">
        <f>DF132+DF56</f>
        <v>12467.543759664673</v>
      </c>
      <c r="DG135" s="986">
        <f>DG132+DG56</f>
        <v>13174.041600676714</v>
      </c>
      <c r="DH135" s="986">
        <f>DH132+DH56</f>
        <v>13867.030843890972</v>
      </c>
      <c r="DI135" s="983">
        <f>DH135</f>
        <v>13867.030843890972</v>
      </c>
      <c r="DJ135" s="986"/>
      <c r="DK135" s="986">
        <f>DK132+DK56</f>
        <v>14591.5532082883</v>
      </c>
      <c r="DL135" s="986">
        <f>DL132+DL56</f>
        <v>15449.957272687379</v>
      </c>
      <c r="DM135" s="986">
        <f>DM132+DM56</f>
        <v>16370.292462652877</v>
      </c>
      <c r="DN135" s="986">
        <f>DN132+DN56</f>
        <v>17296.7681223127</v>
      </c>
      <c r="DO135" s="983">
        <f>DN135</f>
        <v>17296.7681223127</v>
      </c>
      <c r="DP135" s="1029"/>
      <c r="DQ135" s="961"/>
    </row>
    <row r="136" spans="1:121" ht="13.5" hidden="1" customHeight="1" outlineLevel="1" thickBot="1">
      <c r="A136" s="1226" t="s">
        <v>813</v>
      </c>
      <c r="B136" s="1227"/>
      <c r="C136" s="1069"/>
      <c r="D136" s="1069"/>
      <c r="E136" s="1069"/>
      <c r="F136" s="1069"/>
      <c r="G136" s="1069"/>
      <c r="H136" s="1069"/>
      <c r="I136" s="1069"/>
      <c r="J136" s="1069"/>
      <c r="K136" s="1228"/>
      <c r="L136" s="1069"/>
      <c r="M136" s="1069" t="s">
        <v>88</v>
      </c>
      <c r="N136" s="1069" t="s">
        <v>88</v>
      </c>
      <c r="O136" s="1069" t="s">
        <v>88</v>
      </c>
      <c r="P136" s="1069" t="s">
        <v>88</v>
      </c>
      <c r="Q136" s="1229">
        <f>Model!Q84/Q135</f>
        <v>-1.1299036598363418E-2</v>
      </c>
      <c r="R136" s="1069"/>
      <c r="S136" s="1069" t="s">
        <v>88</v>
      </c>
      <c r="T136" s="1069" t="s">
        <v>88</v>
      </c>
      <c r="U136" s="1069" t="s">
        <v>88</v>
      </c>
      <c r="V136" s="1069" t="s">
        <v>88</v>
      </c>
      <c r="W136" s="1229">
        <f>Model!W84/W135</f>
        <v>5.0616339720666245E-2</v>
      </c>
      <c r="X136" s="1069"/>
      <c r="Y136" s="1069" t="s">
        <v>88</v>
      </c>
      <c r="Z136" s="1069" t="s">
        <v>88</v>
      </c>
      <c r="AA136" s="1069" t="s">
        <v>88</v>
      </c>
      <c r="AB136" s="1069" t="s">
        <v>88</v>
      </c>
      <c r="AC136" s="1070">
        <f>Model!AC84/AC135</f>
        <v>0.10936950975449515</v>
      </c>
      <c r="AD136" s="1069"/>
      <c r="AE136" s="1069" t="s">
        <v>88</v>
      </c>
      <c r="AF136" s="1069" t="s">
        <v>88</v>
      </c>
      <c r="AG136" s="1069" t="s">
        <v>88</v>
      </c>
      <c r="AH136" s="1069" t="s">
        <v>88</v>
      </c>
      <c r="AI136" s="1070">
        <f>Model!AI84/AI135</f>
        <v>9.4235513898866474E-2</v>
      </c>
      <c r="AJ136" s="1069"/>
      <c r="AK136" s="1069" t="s">
        <v>88</v>
      </c>
      <c r="AL136" s="1069" t="s">
        <v>88</v>
      </c>
      <c r="AM136" s="1069" t="s">
        <v>88</v>
      </c>
      <c r="AN136" s="1069" t="s">
        <v>88</v>
      </c>
      <c r="AO136" s="1070">
        <f>Model!AO84/AO135</f>
        <v>0.11934061704335056</v>
      </c>
      <c r="AP136" s="1069"/>
      <c r="AQ136" s="1069" t="s">
        <v>88</v>
      </c>
      <c r="AR136" s="1069" t="s">
        <v>88</v>
      </c>
      <c r="AS136" s="1069" t="s">
        <v>88</v>
      </c>
      <c r="AT136" s="1069" t="s">
        <v>88</v>
      </c>
      <c r="AU136" s="1070">
        <f>Model!AU84/AU135</f>
        <v>0.13730554276670948</v>
      </c>
      <c r="AV136" s="1069"/>
      <c r="AW136" s="1069" t="s">
        <v>88</v>
      </c>
      <c r="AX136" s="1069" t="s">
        <v>88</v>
      </c>
      <c r="AY136" s="1069" t="s">
        <v>88</v>
      </c>
      <c r="AZ136" s="1069" t="s">
        <v>88</v>
      </c>
      <c r="BA136" s="1070">
        <f>Model!BA84/BA135</f>
        <v>0.13333722295991002</v>
      </c>
      <c r="BB136" s="1069"/>
      <c r="BC136" s="1069" t="s">
        <v>88</v>
      </c>
      <c r="BD136" s="1069" t="s">
        <v>88</v>
      </c>
      <c r="BE136" s="1069" t="s">
        <v>88</v>
      </c>
      <c r="BF136" s="1069" t="s">
        <v>88</v>
      </c>
      <c r="BG136" s="1070">
        <f>Model!BG84/BG135</f>
        <v>0.13012704359059329</v>
      </c>
      <c r="BH136" s="1069"/>
      <c r="BI136" s="1069" t="s">
        <v>88</v>
      </c>
      <c r="BJ136" s="1069" t="s">
        <v>88</v>
      </c>
      <c r="BK136" s="1069" t="s">
        <v>88</v>
      </c>
      <c r="BL136" s="1069" t="s">
        <v>88</v>
      </c>
      <c r="BM136" s="1070">
        <f>Model!BM84/BM135</f>
        <v>0.11620123870041497</v>
      </c>
      <c r="BN136" s="1069"/>
      <c r="BO136" s="1069" t="s">
        <v>88</v>
      </c>
      <c r="BP136" s="1069" t="s">
        <v>88</v>
      </c>
      <c r="BQ136" s="1069" t="s">
        <v>88</v>
      </c>
      <c r="BR136" s="1069" t="s">
        <v>88</v>
      </c>
      <c r="BS136" s="1070">
        <f>Model!BS84/BS135</f>
        <v>0.10228930372019762</v>
      </c>
      <c r="BT136" s="1069"/>
      <c r="BU136" s="1069" t="s">
        <v>88</v>
      </c>
      <c r="BV136" s="1069" t="s">
        <v>88</v>
      </c>
      <c r="BW136" s="1069" t="s">
        <v>88</v>
      </c>
      <c r="BX136" s="1069" t="s">
        <v>88</v>
      </c>
      <c r="BY136" s="1070">
        <f>Model!BY84/BY135</f>
        <v>7.2377630932903572E-2</v>
      </c>
      <c r="BZ136" s="1069"/>
      <c r="CA136" s="1069" t="s">
        <v>88</v>
      </c>
      <c r="CB136" s="1069" t="s">
        <v>88</v>
      </c>
      <c r="CC136" s="1069" t="s">
        <v>88</v>
      </c>
      <c r="CD136" s="1069" t="s">
        <v>88</v>
      </c>
      <c r="CE136" s="1070">
        <f>Model!CE84/CE135</f>
        <v>8.5929377339357779E-2</v>
      </c>
      <c r="CF136" s="1069"/>
      <c r="CG136" s="1069" t="s">
        <v>88</v>
      </c>
      <c r="CH136" s="1069" t="s">
        <v>88</v>
      </c>
      <c r="CI136" s="1069" t="s">
        <v>88</v>
      </c>
      <c r="CJ136" s="1069" t="s">
        <v>88</v>
      </c>
      <c r="CK136" s="1070">
        <f>Model!CK84/CK135</f>
        <v>0.10129847493508229</v>
      </c>
      <c r="CL136" s="1069"/>
      <c r="CM136" s="1069" t="s">
        <v>88</v>
      </c>
      <c r="CN136" s="1069" t="s">
        <v>88</v>
      </c>
      <c r="CO136" s="1069" t="s">
        <v>88</v>
      </c>
      <c r="CP136" s="1069" t="s">
        <v>88</v>
      </c>
      <c r="CQ136" s="1070">
        <f>Model!CQ84/CQ135</f>
        <v>9.402827445455246E-2</v>
      </c>
      <c r="CR136" s="1069"/>
      <c r="CS136" s="1069" t="s">
        <v>88</v>
      </c>
      <c r="CT136" s="1069" t="s">
        <v>88</v>
      </c>
      <c r="CU136" s="1069" t="s">
        <v>88</v>
      </c>
      <c r="CV136" s="1069" t="s">
        <v>88</v>
      </c>
      <c r="CW136" s="1070">
        <f>Model!CW84/CW135</f>
        <v>0.10554713441122321</v>
      </c>
      <c r="CX136" s="1069"/>
      <c r="CY136" s="1069" t="s">
        <v>88</v>
      </c>
      <c r="CZ136" s="1069" t="s">
        <v>88</v>
      </c>
      <c r="DA136" s="1069" t="s">
        <v>88</v>
      </c>
      <c r="DB136" s="1069" t="s">
        <v>88</v>
      </c>
      <c r="DC136" s="1070">
        <f>Model!DC84/DC135</f>
        <v>0.1533962457257228</v>
      </c>
      <c r="DD136" s="1069"/>
      <c r="DE136" s="1069" t="s">
        <v>88</v>
      </c>
      <c r="DF136" s="1069" t="s">
        <v>88</v>
      </c>
      <c r="DG136" s="1069" t="s">
        <v>88</v>
      </c>
      <c r="DH136" s="1069" t="s">
        <v>88</v>
      </c>
      <c r="DI136" s="1070">
        <f>Model!DI84/DI135</f>
        <v>0.17422382916933049</v>
      </c>
      <c r="DJ136" s="1069"/>
      <c r="DK136" s="1069" t="s">
        <v>88</v>
      </c>
      <c r="DL136" s="1069" t="s">
        <v>88</v>
      </c>
      <c r="DM136" s="1069" t="s">
        <v>88</v>
      </c>
      <c r="DN136" s="1069" t="s">
        <v>88</v>
      </c>
      <c r="DO136" s="1070">
        <f>Model!DO84/DO135</f>
        <v>0.18727214725731356</v>
      </c>
      <c r="DP136" s="1225"/>
      <c r="DQ136" s="961"/>
    </row>
    <row r="137" spans="1:121" collapsed="1">
      <c r="A137" s="966"/>
      <c r="B137" s="966"/>
      <c r="C137" s="948"/>
      <c r="D137" s="948"/>
      <c r="E137" s="948"/>
      <c r="F137" s="948"/>
      <c r="G137" s="948"/>
      <c r="H137" s="948"/>
      <c r="I137" s="948"/>
      <c r="J137" s="948"/>
      <c r="K137" s="948"/>
      <c r="L137" s="948"/>
      <c r="M137" s="948"/>
      <c r="N137" s="948"/>
      <c r="O137" s="948"/>
      <c r="P137" s="948"/>
      <c r="Q137" s="948"/>
      <c r="R137" s="948"/>
      <c r="S137" s="948"/>
      <c r="T137" s="948"/>
      <c r="U137" s="948"/>
      <c r="V137" s="948"/>
      <c r="W137" s="948"/>
      <c r="X137" s="948"/>
      <c r="Y137" s="948"/>
      <c r="Z137" s="948"/>
      <c r="AA137" s="948"/>
      <c r="AB137" s="948"/>
      <c r="AC137" s="976"/>
      <c r="AD137" s="948"/>
      <c r="AE137" s="948"/>
      <c r="AF137" s="948"/>
      <c r="AG137" s="948"/>
      <c r="AH137" s="948"/>
      <c r="AI137" s="976"/>
      <c r="AJ137" s="948"/>
      <c r="AK137" s="948"/>
      <c r="AL137" s="948"/>
      <c r="AM137" s="948"/>
      <c r="AN137" s="948"/>
      <c r="AO137" s="976"/>
      <c r="AP137" s="948"/>
      <c r="AQ137" s="948"/>
      <c r="AR137" s="948"/>
      <c r="AS137" s="948"/>
      <c r="AT137" s="948"/>
      <c r="AU137" s="976"/>
      <c r="AV137" s="948"/>
      <c r="AW137" s="948"/>
      <c r="AX137" s="948"/>
      <c r="AY137" s="948"/>
      <c r="AZ137" s="948"/>
      <c r="BA137" s="976"/>
      <c r="BB137" s="948"/>
      <c r="BC137" s="948"/>
      <c r="BD137" s="948"/>
      <c r="BE137" s="948"/>
      <c r="BF137" s="948"/>
      <c r="BG137" s="976"/>
      <c r="BH137" s="948"/>
      <c r="BI137" s="948"/>
      <c r="BJ137" s="948"/>
      <c r="BK137" s="948"/>
      <c r="BL137" s="948"/>
      <c r="BM137" s="976"/>
      <c r="BN137" s="948"/>
      <c r="BO137" s="948"/>
      <c r="BP137" s="948"/>
      <c r="BQ137" s="948"/>
      <c r="BR137" s="948"/>
      <c r="BS137" s="976"/>
      <c r="BT137" s="948"/>
      <c r="BU137" s="948"/>
      <c r="BV137" s="948"/>
      <c r="BW137" s="948"/>
      <c r="BX137" s="948"/>
      <c r="BY137" s="976"/>
      <c r="BZ137" s="948"/>
      <c r="CA137" s="948"/>
      <c r="CB137" s="948"/>
      <c r="CC137" s="948"/>
      <c r="CD137" s="948"/>
      <c r="CE137" s="976"/>
      <c r="CF137" s="948"/>
      <c r="CG137" s="948"/>
      <c r="CH137" s="948"/>
      <c r="CI137" s="948"/>
      <c r="CJ137" s="948"/>
      <c r="CK137" s="976"/>
      <c r="CL137" s="948"/>
      <c r="CM137" s="948"/>
      <c r="CN137" s="948"/>
      <c r="CO137" s="948"/>
      <c r="CP137" s="948"/>
      <c r="CQ137" s="976"/>
      <c r="CR137" s="948"/>
      <c r="CS137" s="948"/>
      <c r="CT137" s="948"/>
      <c r="CU137" s="948"/>
      <c r="CV137" s="948"/>
      <c r="CW137" s="976"/>
      <c r="CX137" s="948"/>
      <c r="CY137" s="948"/>
      <c r="CZ137" s="948"/>
      <c r="DA137" s="948"/>
      <c r="DB137" s="948"/>
      <c r="DC137" s="976"/>
      <c r="DD137" s="948"/>
      <c r="DE137" s="948"/>
      <c r="DF137" s="948"/>
      <c r="DG137" s="948"/>
      <c r="DH137" s="948"/>
      <c r="DI137" s="976"/>
      <c r="DJ137" s="948"/>
      <c r="DK137" s="948"/>
      <c r="DL137" s="948"/>
      <c r="DM137" s="948"/>
      <c r="DN137" s="948"/>
      <c r="DO137" s="976"/>
      <c r="DP137" s="948"/>
      <c r="DQ137" s="948"/>
    </row>
    <row r="138" spans="1:121">
      <c r="A138" s="966"/>
      <c r="B138" s="966"/>
      <c r="C138" s="966"/>
      <c r="D138" s="966"/>
      <c r="E138" s="966"/>
      <c r="F138" s="966"/>
      <c r="G138" s="966"/>
      <c r="H138" s="966"/>
      <c r="I138" s="966"/>
      <c r="J138" s="966"/>
      <c r="K138" s="966"/>
      <c r="L138" s="966"/>
      <c r="M138" s="966"/>
      <c r="N138" s="966"/>
      <c r="O138" s="966"/>
      <c r="P138" s="966"/>
      <c r="Q138" s="966"/>
      <c r="R138" s="966"/>
      <c r="S138" s="966"/>
      <c r="T138" s="966"/>
      <c r="U138" s="966"/>
      <c r="V138" s="966"/>
      <c r="W138" s="966"/>
      <c r="X138" s="966"/>
      <c r="Y138" s="966"/>
      <c r="Z138" s="966"/>
      <c r="AA138" s="966"/>
      <c r="AB138" s="966"/>
      <c r="AC138" s="1022"/>
      <c r="AD138" s="966"/>
      <c r="AE138" s="966"/>
      <c r="AF138" s="966"/>
      <c r="AG138" s="966"/>
      <c r="AH138" s="966"/>
      <c r="AI138" s="1022"/>
      <c r="AJ138" s="966"/>
      <c r="AK138" s="966"/>
      <c r="AL138" s="966"/>
      <c r="AM138" s="966"/>
      <c r="AN138" s="966"/>
      <c r="AO138" s="1022"/>
      <c r="AP138" s="966"/>
      <c r="AQ138" s="966"/>
      <c r="AR138" s="966"/>
      <c r="AS138" s="966"/>
      <c r="AT138" s="966"/>
      <c r="AU138" s="1022"/>
      <c r="AV138" s="966"/>
      <c r="AW138" s="966"/>
      <c r="AX138" s="966"/>
      <c r="AY138" s="966"/>
      <c r="AZ138" s="966"/>
      <c r="BA138" s="1022"/>
      <c r="BB138" s="966"/>
      <c r="BC138" s="966"/>
      <c r="BD138" s="966"/>
      <c r="BE138" s="966"/>
      <c r="BF138" s="966"/>
      <c r="BG138" s="1022"/>
      <c r="BH138" s="966"/>
      <c r="BI138" s="966"/>
      <c r="BJ138" s="966"/>
      <c r="BK138" s="966"/>
      <c r="BL138" s="966"/>
      <c r="BM138" s="1022"/>
      <c r="BN138" s="966"/>
      <c r="BO138" s="966"/>
      <c r="BP138" s="966"/>
      <c r="BQ138" s="966"/>
      <c r="BR138" s="966"/>
      <c r="BS138" s="1022"/>
      <c r="BT138" s="966"/>
      <c r="BU138" s="966"/>
      <c r="BV138" s="966"/>
      <c r="BW138" s="966"/>
      <c r="BX138" s="966"/>
      <c r="BY138" s="1022"/>
      <c r="BZ138" s="966"/>
      <c r="CA138" s="966"/>
      <c r="CB138" s="966"/>
      <c r="CC138" s="966"/>
      <c r="CD138" s="966"/>
      <c r="CE138" s="1022"/>
      <c r="CF138" s="966"/>
      <c r="CG138" s="966"/>
      <c r="CH138" s="966"/>
      <c r="CI138" s="966"/>
      <c r="CJ138" s="966"/>
      <c r="CK138" s="1022"/>
      <c r="CL138" s="966"/>
      <c r="CM138" s="966"/>
      <c r="CN138" s="966"/>
      <c r="CO138" s="966"/>
      <c r="CP138" s="966"/>
      <c r="CQ138" s="1022"/>
      <c r="CR138" s="966"/>
      <c r="CS138" s="966"/>
      <c r="CT138" s="966"/>
      <c r="CU138" s="966"/>
      <c r="CV138" s="966"/>
      <c r="CW138" s="1022"/>
      <c r="CX138" s="966"/>
      <c r="CY138" s="966"/>
      <c r="CZ138" s="966"/>
      <c r="DA138" s="966"/>
      <c r="DB138" s="966"/>
      <c r="DC138" s="1022"/>
      <c r="DD138" s="966"/>
      <c r="DE138" s="966"/>
      <c r="DF138" s="966"/>
      <c r="DG138" s="966"/>
      <c r="DH138" s="966"/>
      <c r="DI138" s="1022"/>
      <c r="DJ138" s="966"/>
      <c r="DK138" s="966"/>
      <c r="DL138" s="966"/>
      <c r="DM138" s="966"/>
      <c r="DN138" s="966"/>
      <c r="DO138" s="1022"/>
      <c r="DP138" s="1692"/>
      <c r="DQ138" s="966"/>
    </row>
    <row r="139" spans="1:121" ht="12.75" hidden="1" customHeight="1" outlineLevel="1">
      <c r="A139" s="1117" t="s">
        <v>892</v>
      </c>
      <c r="B139" s="966"/>
      <c r="C139" s="977"/>
      <c r="D139" s="966"/>
      <c r="E139" s="966"/>
      <c r="F139" s="966"/>
      <c r="G139" s="966"/>
      <c r="H139" s="966"/>
      <c r="I139" s="966"/>
      <c r="J139" s="966"/>
      <c r="K139" s="966"/>
      <c r="L139" s="966"/>
      <c r="M139" s="1220">
        <f>SUM(M50:M51,M53)-SUM(J50:J51,J53)</f>
        <v>0.76051364991971226</v>
      </c>
      <c r="N139" s="1220">
        <f>SUM(N50:N51,N53)-SUM(M50:M51,M53)</f>
        <v>1.073782518926361</v>
      </c>
      <c r="O139" s="1220">
        <f>SUM(O50:O51,O53)-SUM(N50:N51,N53)</f>
        <v>1.8045177793071723</v>
      </c>
      <c r="P139" s="1220">
        <f>SUM(P50:P51,P53)-SUM(O50:O51,O53)</f>
        <v>1.1441860518467522</v>
      </c>
      <c r="Q139" s="1220">
        <f>SUM(M139:P139)</f>
        <v>4.7829999999999977</v>
      </c>
      <c r="R139" s="966"/>
      <c r="S139" s="1220">
        <f>SUM(S50:S51,S53)-SUM(P50:P51,P53)</f>
        <v>1.0210000000000079</v>
      </c>
      <c r="T139" s="1220">
        <f>SUM(T50:T51,T53)-SUM(S50:S51,S53)</f>
        <v>176.74199999999999</v>
      </c>
      <c r="U139" s="1220">
        <f>SUM(U50:U51,U53)-SUM(T50:T51,T53)</f>
        <v>0.52400000000002933</v>
      </c>
      <c r="V139" s="1220">
        <f>SUM(V50:V51,V53)-SUM(U50:U51,U53)</f>
        <v>4.4009999999999536</v>
      </c>
      <c r="W139" s="1220">
        <f>SUM(S139:V139)</f>
        <v>182.68799999999999</v>
      </c>
      <c r="X139" s="966"/>
      <c r="Y139" s="1220">
        <f>SUM(Y50:Y51,Y53)-SUM(V50:V51,V53)</f>
        <v>2.9020000000000152</v>
      </c>
      <c r="Z139" s="1220">
        <f>SUM(Z50:Z51,Z53)-SUM(Y50:Y51,Y53)</f>
        <v>7.1980000000000075</v>
      </c>
      <c r="AA139" s="1220">
        <f>SUM(AA50:AA51,AA53)-SUM(Z50:Z51,Z53)</f>
        <v>3.0980000000000132</v>
      </c>
      <c r="AB139" s="1220">
        <f>SUM(AB50:AB51,AB53)-SUM(AA50:AA51,AA53)</f>
        <v>7.2969999999999686</v>
      </c>
      <c r="AC139" s="1101">
        <f>SUM(Y139:AB139)</f>
        <v>20.495000000000005</v>
      </c>
      <c r="AD139" s="966"/>
      <c r="AE139" s="1220">
        <f>SUM(AE50:AE51,AE53)-SUM(AB50:AB51,AB53)</f>
        <v>13.356999999999999</v>
      </c>
      <c r="AF139" s="1220">
        <f>SUM(AF50:AF51,AF53)-SUM(AE50:AE51,AE53)</f>
        <v>18.489000000000061</v>
      </c>
      <c r="AG139" s="1220">
        <f>SUM(AG50:AG51,AG53)-SUM(AF50:AF51,AF53)</f>
        <v>25.511999999999944</v>
      </c>
      <c r="AH139" s="1220">
        <f>SUM(AH50:AH51,AH53)-SUM(AG50:AG51,AG53)</f>
        <v>25.132000000000005</v>
      </c>
      <c r="AI139" s="1101">
        <f>SUM(AE139:AH139)</f>
        <v>82.490000000000009</v>
      </c>
      <c r="AJ139" s="966"/>
      <c r="AK139" s="986">
        <f>SUM(AK50:AK51,AK53)-SUM(AH50:AH51,AH53)</f>
        <v>26.970000000000027</v>
      </c>
      <c r="AL139" s="986">
        <f>SUM(AL50:AL51,AL53)-SUM(AK50:AK51,AK53)</f>
        <v>38.045999999999992</v>
      </c>
      <c r="AM139" s="986">
        <f>SUM(AM50:AM51,AM53)-SUM(AL50:AL51,AL53)</f>
        <v>44.725999999999999</v>
      </c>
      <c r="AN139" s="986">
        <f>SUM(AN50:AN51,AN53)-SUM(AM50:AM51,AM53)</f>
        <v>42.56800000000004</v>
      </c>
      <c r="AO139" s="1000">
        <f>SUM(AK139:AN139)</f>
        <v>152.31000000000006</v>
      </c>
      <c r="AP139" s="977"/>
      <c r="AQ139" s="986">
        <f>SUM(AQ50:AQ51,AN53)-SUM(AN50:AN51,AQ53)</f>
        <v>42.819999999999936</v>
      </c>
      <c r="AR139" s="986">
        <f>SUM(AR50:AR51,AR53)-SUM(AQ50:AQ51,AQ53)</f>
        <v>53.45799999999997</v>
      </c>
      <c r="AS139" s="986">
        <f>SUM(AS50:AS51,AS53)-SUM(AR50:AR51,AR53)</f>
        <v>45.691000000000031</v>
      </c>
      <c r="AT139" s="986">
        <f>SUM(AT50:AT51,AT53)-SUM(AS50:AS51,AS53)</f>
        <v>34.957000000000107</v>
      </c>
      <c r="AU139" s="1000">
        <f>SUM(AQ139:AT139)</f>
        <v>176.92600000000004</v>
      </c>
      <c r="AV139" s="977"/>
      <c r="AW139" s="986">
        <f>SUM(AW50:AW51,AT53)-SUM(AT50:AT51,AW53)</f>
        <v>38.779999999999973</v>
      </c>
      <c r="AX139" s="986">
        <f>SUM(AX50:AX51,AX53)-SUM(AW50:AW51,AW53)</f>
        <v>32.210000000000036</v>
      </c>
      <c r="AY139" s="986">
        <f>SUM(AY50:AY51,AY53)-SUM(AX50:AX51,AX53)</f>
        <v>56.125999999999863</v>
      </c>
      <c r="AZ139" s="986">
        <f>SUM(AZ50:AZ51,AZ53)-SUM(AY50:AY51,AY53)</f>
        <v>162.70799999999997</v>
      </c>
      <c r="BA139" s="1000">
        <f>SUM(AW139:AZ139)</f>
        <v>289.82399999999984</v>
      </c>
      <c r="BB139" s="977"/>
      <c r="BC139" s="986">
        <f>SUM(BC50:BC51,AZ53)-SUM(AZ50:AZ51,BC53)</f>
        <v>71.463000000000079</v>
      </c>
      <c r="BD139" s="986">
        <f>SUM(BD50:BD51,BD53)-SUM(BC50:BC51,BC53)</f>
        <v>83.586999999999989</v>
      </c>
      <c r="BE139" s="986">
        <f>SUM(BE50:BE51,BE53)-SUM(BD50:BD51,BD53)</f>
        <v>-52.584999999999809</v>
      </c>
      <c r="BF139" s="986">
        <f>SUM(BF50:BF51,BF53)-SUM(BE50:BE51,BE53)</f>
        <v>57.600999999999885</v>
      </c>
      <c r="BG139" s="1000">
        <f>SUM(BC139:BF139)</f>
        <v>160.06600000000014</v>
      </c>
      <c r="BH139" s="977"/>
      <c r="BI139" s="986">
        <f>SUM(BI50:BI51,BF53)-SUM(BF50:BF51,BI53)</f>
        <v>81.894999999999982</v>
      </c>
      <c r="BJ139" s="986">
        <f>SUM(BJ50:BJ51,BJ53)-SUM(BI50:BI51,BI53)</f>
        <v>153.74699999999984</v>
      </c>
      <c r="BK139" s="986">
        <f>SUM(BK50:BK51,BK53)-SUM(BJ50:BJ51,BJ53)</f>
        <v>81.26299999999992</v>
      </c>
      <c r="BL139" s="986">
        <f>SUM(BL50:BL51,BL53)-SUM(BK50:BK51,BK53)</f>
        <v>78.313000000000102</v>
      </c>
      <c r="BM139" s="1000">
        <f>SUM(BI139:BL139)</f>
        <v>395.21799999999985</v>
      </c>
      <c r="BN139" s="977"/>
      <c r="BO139" s="986">
        <f>SUM(BO50:BO51,BL53)-SUM(BL50:BL51,BO53)</f>
        <v>165.62899999999991</v>
      </c>
      <c r="BP139" s="986">
        <f>SUM(BP50:BP51,BP53)-SUM(BO50:BO51,BO53)</f>
        <v>149.19800000000009</v>
      </c>
      <c r="BQ139" s="986">
        <f>SUM(BQ50:BQ51,BQ53)-SUM(BP50:BP51,BP53)</f>
        <v>401.32099999999969</v>
      </c>
      <c r="BR139" s="986">
        <f>SUM(BR50:BR51,BR53)-SUM(BQ50:BQ51,BQ53)</f>
        <v>254.98700000000053</v>
      </c>
      <c r="BS139" s="1000">
        <f>SUM(BO139:BR139)</f>
        <v>971.13500000000022</v>
      </c>
      <c r="BT139" s="977"/>
      <c r="BU139" s="986">
        <f>SUM(BU50:BU51,BR53)-SUM(BR50:BR51,BU53)</f>
        <v>209.76299999999992</v>
      </c>
      <c r="BV139" s="986">
        <f>SUM(BV50:BV51,BV53)-SUM(BU50:BU51,BU53)</f>
        <v>275.15599999999995</v>
      </c>
      <c r="BW139" s="986">
        <f>SUM(BW50:BW51,BW53)-SUM(BV50:BV51,BV53)</f>
        <v>205.80600000000049</v>
      </c>
      <c r="BX139" s="986">
        <f>SUM(BX50:BX51,BX53)-SUM(BW50:BW51,BW53)</f>
        <v>234.8769999999995</v>
      </c>
      <c r="BY139" s="1000">
        <f>SUM(BU139:BX139)</f>
        <v>925.60199999999986</v>
      </c>
      <c r="BZ139" s="977"/>
      <c r="CA139" s="986">
        <f>SUM(CA50:CA51,BX53)-SUM(BX50:BX51,CA53)</f>
        <v>175.9350000000004</v>
      </c>
      <c r="CB139" s="986">
        <f>SUM(CB50:CB51,CB53)-SUM(CA50:CA51,CA53)</f>
        <v>230.11199999999963</v>
      </c>
      <c r="CC139" s="986">
        <f>SUM(CC50:CC51,CC53)-SUM(CB50:CB51,CB53)</f>
        <v>537.08800000000019</v>
      </c>
      <c r="CD139" s="986">
        <f>SUM(CD50:CD51,CD53)-SUM(CC50:CC51,CC53)</f>
        <v>271.30899999999929</v>
      </c>
      <c r="CE139" s="1000">
        <f>SUM(CA139:CD139)</f>
        <v>1214.4439999999995</v>
      </c>
      <c r="CF139" s="977"/>
      <c r="CG139" s="986">
        <f>SUM(CG50:CG51,CD53)-SUM(CD50:CD51,CG53)</f>
        <v>260.17200000000048</v>
      </c>
      <c r="CH139" s="986">
        <f>SUM(CH50:CH51,CH53)-SUM(CG50:CG51,CG53)</f>
        <v>301.24399999999969</v>
      </c>
      <c r="CI139" s="986">
        <f>SUM(CI50:CI51,CI53)-SUM(CH50:CH51,CH53)</f>
        <v>244.48900000000049</v>
      </c>
      <c r="CJ139" s="986">
        <f>SUM(CJ50:CJ51,CJ53)-SUM(CI50:CI51,CI53)</f>
        <v>295.01600000000053</v>
      </c>
      <c r="CK139" s="1000">
        <f>SUM(CG139:CJ139)</f>
        <v>1100.9210000000012</v>
      </c>
      <c r="CL139" s="977"/>
      <c r="CM139" s="986">
        <f>SUM(CM50:CM51,CJ53)-SUM(CJ50:CJ51,CM53)</f>
        <v>512.5669999999991</v>
      </c>
      <c r="CN139" s="986">
        <f>SUM(CN50:CN51,CN53)-SUM(CM50:CM51,CM53)</f>
        <v>301.32800000000043</v>
      </c>
      <c r="CO139" s="986">
        <f>SUM(CO50:CO51,CO53)-SUM(CN50:CN51,CN53)</f>
        <v>762.49799999999959</v>
      </c>
      <c r="CP139" s="986">
        <f>SUM(CP50:CP51,CP53)-SUM(CO50:CO51,CO53)</f>
        <v>758.42799999999988</v>
      </c>
      <c r="CQ139" s="1000">
        <f>SUM(CM139:CP139)</f>
        <v>2334.820999999999</v>
      </c>
      <c r="CR139" s="977"/>
      <c r="CS139" s="986">
        <f>SUM(CS50:CS51,CP53)-SUM(CP50:CP51,CS53)</f>
        <v>358.21399999999903</v>
      </c>
      <c r="CT139" s="986">
        <f>SUM(CT50:CT51,CT53)-SUM(CS50:CS51,CS53)</f>
        <v>508.29100000000108</v>
      </c>
      <c r="CU139" s="986">
        <f>SUM(CU50:CU51,CU53)-SUM(CT50:CT51,CT53)</f>
        <v>334.21700000000055</v>
      </c>
      <c r="CV139" s="986">
        <f>SUM(CV50:CV51,CV53)-SUM(CU50:CU51,CU53)</f>
        <v>511.46999999999935</v>
      </c>
      <c r="CW139" s="1000">
        <f>SUM(CS139:CV139)</f>
        <v>1712.192</v>
      </c>
      <c r="CX139" s="977"/>
      <c r="CY139" s="986">
        <f>SUM(CY50:CY51,CV53)-SUM(CV50:CV51,CY53)</f>
        <v>329.14745000000039</v>
      </c>
      <c r="CZ139" s="986">
        <f>SUM(CZ50:CZ51,CZ53)-SUM(CY50:CY51,CY53)</f>
        <v>289.63349999999991</v>
      </c>
      <c r="DA139" s="986">
        <f>SUM(DA50:DA51,DA53)-SUM(CZ50:CZ51,CZ53)</f>
        <v>283.90469999999914</v>
      </c>
      <c r="DB139" s="986">
        <f>SUM(DB50:DB51,DB53)-SUM(DA50:DA51,DA53)</f>
        <v>268.95019999999931</v>
      </c>
      <c r="DC139" s="1000">
        <f>SUM(CY139:DB139)</f>
        <v>1171.6358499999988</v>
      </c>
      <c r="DD139" s="977"/>
      <c r="DE139" s="986">
        <f>SUM(DE50:DE51,DB53)-SUM(DB50:DB51,DE53)</f>
        <v>314.8548224999995</v>
      </c>
      <c r="DF139" s="986">
        <f>SUM(DF50:DF51,DF53)-SUM(DE50:DE51,DE53)</f>
        <v>333.74017500000082</v>
      </c>
      <c r="DG139" s="986">
        <f>SUM(DG50:DG51,DG53)-SUM(DF50:DF51,DF53)</f>
        <v>327.72493500000019</v>
      </c>
      <c r="DH139" s="986">
        <f>SUM(DH50:DH51,DH53)-SUM(DG50:DG51,DG53)</f>
        <v>312.02270999999928</v>
      </c>
      <c r="DI139" s="1000">
        <f>SUM(DE139:DH139)</f>
        <v>1288.3426424999998</v>
      </c>
      <c r="DJ139" s="977"/>
      <c r="DK139" s="986">
        <f>SUM(DK50:DK51,DH53)-SUM(DH50:DH51,DK53)</f>
        <v>328.72256362500048</v>
      </c>
      <c r="DL139" s="986">
        <f>SUM(DL50:DL51,DL53)-SUM(DK50:DK51,DK53)</f>
        <v>348.55218375000004</v>
      </c>
      <c r="DM139" s="986">
        <f>SUM(DM50:DM51,DM53)-SUM(DL50:DL51,DL53)</f>
        <v>342.23618175000047</v>
      </c>
      <c r="DN139" s="986">
        <f>SUM(DN50:DN51,DN53)-SUM(DM50:DM51,DM53)</f>
        <v>325.74884550000024</v>
      </c>
      <c r="DO139" s="1000">
        <f>SUM(DK139:DN139)</f>
        <v>1345.2597746250012</v>
      </c>
      <c r="DP139" s="986"/>
      <c r="DQ139" s="966"/>
    </row>
    <row r="140" spans="1:121" ht="6" hidden="1" customHeight="1" outlineLevel="1">
      <c r="A140" s="1122"/>
      <c r="B140" s="966"/>
      <c r="C140" s="966"/>
      <c r="D140" s="966"/>
      <c r="E140" s="966"/>
      <c r="F140" s="966"/>
      <c r="G140" s="966"/>
      <c r="H140" s="966"/>
      <c r="I140" s="966"/>
      <c r="J140" s="966"/>
      <c r="K140" s="966"/>
      <c r="L140" s="966"/>
      <c r="M140" s="1073"/>
      <c r="N140" s="1073"/>
      <c r="O140" s="1073"/>
      <c r="P140" s="1074"/>
      <c r="Q140" s="1230"/>
      <c r="R140" s="966"/>
      <c r="S140" s="1073"/>
      <c r="T140" s="1071"/>
      <c r="U140" s="1071"/>
      <c r="V140" s="1071"/>
      <c r="W140" s="1071"/>
      <c r="X140" s="966"/>
      <c r="Y140" s="1071"/>
      <c r="Z140" s="1071"/>
      <c r="AA140" s="1071"/>
      <c r="AB140" s="1071"/>
      <c r="AC140" s="1072"/>
      <c r="AD140" s="966"/>
      <c r="AE140" s="1071"/>
      <c r="AF140" s="1071"/>
      <c r="AG140" s="1071"/>
      <c r="AH140" s="1071"/>
      <c r="AI140" s="1072"/>
      <c r="AJ140" s="966"/>
      <c r="AK140" s="1071"/>
      <c r="AL140" s="1071"/>
      <c r="AM140" s="1071"/>
      <c r="AN140" s="1071"/>
      <c r="AO140" s="1072"/>
      <c r="AP140" s="966"/>
      <c r="AQ140" s="1071"/>
      <c r="AR140" s="1071"/>
      <c r="AS140" s="1071"/>
      <c r="AT140" s="1071"/>
      <c r="AU140" s="1072"/>
      <c r="AV140" s="966"/>
      <c r="AW140" s="1071"/>
      <c r="AX140" s="1071"/>
      <c r="AY140" s="1071"/>
      <c r="AZ140" s="1071"/>
      <c r="BA140" s="1072"/>
      <c r="BB140" s="966"/>
      <c r="BC140" s="1071"/>
      <c r="BD140" s="1071"/>
      <c r="BE140" s="1071"/>
      <c r="BF140" s="1071"/>
      <c r="BG140" s="1072"/>
      <c r="BH140" s="966"/>
      <c r="BI140" s="1071"/>
      <c r="BJ140" s="1071"/>
      <c r="BK140" s="1071"/>
      <c r="BL140" s="1071"/>
      <c r="BM140" s="1072"/>
      <c r="BN140" s="966"/>
      <c r="BO140" s="1071"/>
      <c r="BP140" s="1071"/>
      <c r="BQ140" s="1071"/>
      <c r="BR140" s="1071"/>
      <c r="BS140" s="1072"/>
      <c r="BT140" s="966"/>
      <c r="BU140" s="1071"/>
      <c r="BV140" s="1071"/>
      <c r="BW140" s="1071"/>
      <c r="BX140" s="1071"/>
      <c r="BY140" s="1072"/>
      <c r="BZ140" s="966"/>
      <c r="CA140" s="1071"/>
      <c r="CB140" s="1071"/>
      <c r="CC140" s="1071"/>
      <c r="CD140" s="1071"/>
      <c r="CE140" s="1072"/>
      <c r="CF140" s="966"/>
      <c r="CG140" s="1071"/>
      <c r="CH140" s="1071"/>
      <c r="CI140" s="1071"/>
      <c r="CJ140" s="1071"/>
      <c r="CK140" s="1072"/>
      <c r="CL140" s="966"/>
      <c r="CM140" s="1071"/>
      <c r="CN140" s="1071"/>
      <c r="CO140" s="1071"/>
      <c r="CP140" s="1071"/>
      <c r="CQ140" s="1072"/>
      <c r="CR140" s="966"/>
      <c r="CS140" s="1071"/>
      <c r="CT140" s="1071"/>
      <c r="CU140" s="1071"/>
      <c r="CV140" s="1071"/>
      <c r="CW140" s="1072"/>
      <c r="CX140" s="966"/>
      <c r="CY140" s="1071"/>
      <c r="CZ140" s="1071"/>
      <c r="DA140" s="1071"/>
      <c r="DB140" s="1071"/>
      <c r="DC140" s="1072"/>
      <c r="DD140" s="966"/>
      <c r="DE140" s="1071"/>
      <c r="DF140" s="1071"/>
      <c r="DG140" s="1071"/>
      <c r="DH140" s="1071"/>
      <c r="DI140" s="1072"/>
      <c r="DJ140" s="966"/>
      <c r="DK140" s="1071"/>
      <c r="DL140" s="1071"/>
      <c r="DM140" s="1071"/>
      <c r="DN140" s="1071"/>
      <c r="DO140" s="1072"/>
      <c r="DP140" s="1071"/>
      <c r="DQ140" s="966"/>
    </row>
    <row r="141" spans="1:121" ht="12.75" hidden="1" customHeight="1" outlineLevel="1">
      <c r="A141" s="1231" t="s">
        <v>425</v>
      </c>
      <c r="B141" s="966"/>
      <c r="C141" s="977"/>
      <c r="D141" s="966"/>
      <c r="E141" s="966"/>
      <c r="F141" s="966"/>
      <c r="G141" s="966"/>
      <c r="H141" s="966"/>
      <c r="I141" s="966"/>
      <c r="J141" s="966"/>
      <c r="K141" s="966"/>
      <c r="L141" s="966"/>
      <c r="M141" s="1232">
        <v>1.73</v>
      </c>
      <c r="N141" s="1232">
        <v>1.73</v>
      </c>
      <c r="O141" s="1232">
        <v>1.73</v>
      </c>
      <c r="P141" s="1232">
        <v>5.6</v>
      </c>
      <c r="Q141" s="1232">
        <f>SUMPRODUCT(M141:P141,M144:P144)/Q144</f>
        <v>3.4329240028392198</v>
      </c>
      <c r="R141" s="1233"/>
      <c r="S141" s="1234">
        <v>5.6</v>
      </c>
      <c r="T141" s="1235">
        <v>6</v>
      </c>
      <c r="U141" s="1235">
        <v>6.5</v>
      </c>
      <c r="V141" s="1235">
        <v>7</v>
      </c>
      <c r="W141" s="1235">
        <v>7.5</v>
      </c>
      <c r="X141" s="1236"/>
      <c r="Y141" s="1235">
        <v>8</v>
      </c>
      <c r="Z141" s="1235">
        <v>10</v>
      </c>
      <c r="AA141" s="1235">
        <v>12</v>
      </c>
      <c r="AB141" s="1235">
        <v>14</v>
      </c>
      <c r="AC141" s="1237">
        <v>10</v>
      </c>
      <c r="AD141" s="1236"/>
      <c r="AE141" s="1235">
        <v>16</v>
      </c>
      <c r="AF141" s="1235">
        <v>18</v>
      </c>
      <c r="AG141" s="1235">
        <v>20</v>
      </c>
      <c r="AH141" s="1235">
        <v>22</v>
      </c>
      <c r="AI141" s="1237"/>
      <c r="AJ141" s="966"/>
      <c r="AK141" s="1235"/>
      <c r="AL141" s="1235"/>
      <c r="AM141" s="1071"/>
      <c r="AN141" s="1071"/>
      <c r="AO141" s="1072"/>
      <c r="AP141" s="966"/>
      <c r="AQ141" s="1071"/>
      <c r="AR141" s="1071"/>
      <c r="AS141" s="1071"/>
      <c r="AT141" s="1071"/>
      <c r="AU141" s="1072"/>
      <c r="AV141" s="966"/>
      <c r="AW141" s="1071"/>
      <c r="AX141" s="1071"/>
      <c r="AY141" s="1071"/>
      <c r="AZ141" s="1071"/>
      <c r="BA141" s="1072"/>
      <c r="BB141" s="966"/>
      <c r="BC141" s="1071"/>
      <c r="BD141" s="1071"/>
      <c r="BE141" s="1071"/>
      <c r="BF141" s="1071"/>
      <c r="BG141" s="1072"/>
      <c r="BH141" s="966"/>
      <c r="BI141" s="1071"/>
      <c r="BJ141" s="1071"/>
      <c r="BK141" s="1071"/>
      <c r="BL141" s="1071"/>
      <c r="BM141" s="1072"/>
      <c r="BN141" s="966"/>
      <c r="BO141" s="1071"/>
      <c r="BP141" s="1071"/>
      <c r="BQ141" s="1071"/>
      <c r="BR141" s="1071"/>
      <c r="BS141" s="1072"/>
      <c r="BT141" s="966"/>
      <c r="BU141" s="1071"/>
      <c r="BV141" s="1071"/>
      <c r="BW141" s="1071"/>
      <c r="BX141" s="1071"/>
      <c r="BY141" s="1072"/>
      <c r="BZ141" s="966"/>
      <c r="CA141" s="1071"/>
      <c r="CB141" s="1071"/>
      <c r="CC141" s="1071"/>
      <c r="CD141" s="1071"/>
      <c r="CE141" s="1072"/>
      <c r="CF141" s="966"/>
      <c r="CG141" s="1071"/>
      <c r="CH141" s="1071"/>
      <c r="CI141" s="1071"/>
      <c r="CJ141" s="1071"/>
      <c r="CK141" s="1072"/>
      <c r="CL141" s="966"/>
      <c r="CM141" s="1071"/>
      <c r="CN141" s="1071"/>
      <c r="CO141" s="1071"/>
      <c r="CP141" s="1071"/>
      <c r="CQ141" s="1072"/>
      <c r="CR141" s="966"/>
      <c r="CS141" s="1071"/>
      <c r="CT141" s="1071"/>
      <c r="CU141" s="1071"/>
      <c r="CV141" s="1071"/>
      <c r="CW141" s="1072"/>
      <c r="CX141" s="966"/>
      <c r="CY141" s="1071"/>
      <c r="CZ141" s="1071"/>
      <c r="DA141" s="1071"/>
      <c r="DB141" s="1071"/>
      <c r="DC141" s="1072"/>
      <c r="DD141" s="966"/>
      <c r="DE141" s="1071"/>
      <c r="DF141" s="1071"/>
      <c r="DG141" s="1071"/>
      <c r="DH141" s="1071"/>
      <c r="DI141" s="1072"/>
      <c r="DJ141" s="966"/>
      <c r="DK141" s="1071"/>
      <c r="DL141" s="1071"/>
      <c r="DM141" s="1071"/>
      <c r="DN141" s="1071"/>
      <c r="DO141" s="1072"/>
      <c r="DP141" s="1071"/>
      <c r="DQ141" s="966"/>
    </row>
    <row r="142" spans="1:121" ht="6" hidden="1" customHeight="1" outlineLevel="1">
      <c r="A142" s="1122"/>
      <c r="B142" s="966"/>
      <c r="C142" s="966"/>
      <c r="D142" s="966"/>
      <c r="E142" s="966"/>
      <c r="F142" s="966"/>
      <c r="G142" s="966"/>
      <c r="H142" s="966"/>
      <c r="I142" s="966"/>
      <c r="J142" s="966"/>
      <c r="K142" s="966"/>
      <c r="L142" s="966"/>
      <c r="M142" s="1073"/>
      <c r="N142" s="1073"/>
      <c r="O142" s="1073"/>
      <c r="P142" s="1074"/>
      <c r="Q142" s="1230"/>
      <c r="R142" s="966"/>
      <c r="S142" s="1073"/>
      <c r="T142" s="1073"/>
      <c r="U142" s="1073"/>
      <c r="V142" s="1074"/>
      <c r="W142" s="1230"/>
      <c r="X142" s="966"/>
      <c r="Y142" s="1073"/>
      <c r="Z142" s="1073"/>
      <c r="AA142" s="1073"/>
      <c r="AB142" s="1074"/>
      <c r="AC142" s="1072"/>
      <c r="AD142" s="966"/>
      <c r="AE142" s="1073"/>
      <c r="AF142" s="1073"/>
      <c r="AG142" s="1073"/>
      <c r="AH142" s="1074"/>
      <c r="AI142" s="1072"/>
      <c r="AJ142" s="966"/>
      <c r="AK142" s="1073"/>
      <c r="AL142" s="1073"/>
      <c r="AM142" s="1073"/>
      <c r="AN142" s="1074"/>
      <c r="AO142" s="1072"/>
      <c r="AP142" s="966"/>
      <c r="AQ142" s="1073"/>
      <c r="AR142" s="1073"/>
      <c r="AS142" s="1073"/>
      <c r="AT142" s="1073"/>
      <c r="AU142" s="1072"/>
      <c r="AV142" s="966"/>
      <c r="AW142" s="1073"/>
      <c r="AX142" s="1073"/>
      <c r="AY142" s="1073"/>
      <c r="AZ142" s="1073"/>
      <c r="BA142" s="1072"/>
      <c r="BB142" s="966"/>
      <c r="BC142" s="1073"/>
      <c r="BD142" s="1073"/>
      <c r="BE142" s="1073"/>
      <c r="BF142" s="1074"/>
      <c r="BG142" s="1072"/>
      <c r="BH142" s="966"/>
      <c r="BI142" s="1073"/>
      <c r="BJ142" s="1073"/>
      <c r="BK142" s="1073"/>
      <c r="BL142" s="1074"/>
      <c r="BM142" s="1072"/>
      <c r="BN142" s="966"/>
      <c r="BO142" s="1073"/>
      <c r="BP142" s="1073"/>
      <c r="BQ142" s="1073"/>
      <c r="BR142" s="1074"/>
      <c r="BS142" s="1072"/>
      <c r="BT142" s="966"/>
      <c r="BU142" s="1073"/>
      <c r="BV142" s="1073"/>
      <c r="BW142" s="1073"/>
      <c r="BX142" s="1074"/>
      <c r="BY142" s="1072"/>
      <c r="BZ142" s="966"/>
      <c r="CA142" s="1073"/>
      <c r="CB142" s="1073"/>
      <c r="CC142" s="1073"/>
      <c r="CD142" s="1073"/>
      <c r="CE142" s="1072"/>
      <c r="CF142" s="966"/>
      <c r="CG142" s="1073"/>
      <c r="CH142" s="1073"/>
      <c r="CI142" s="1073"/>
      <c r="CJ142" s="1073"/>
      <c r="CK142" s="1072"/>
      <c r="CL142" s="966"/>
      <c r="CM142" s="1073"/>
      <c r="CN142" s="1073"/>
      <c r="CO142" s="1073"/>
      <c r="CP142" s="1073"/>
      <c r="CQ142" s="1072"/>
      <c r="CR142" s="966"/>
      <c r="CS142" s="1073"/>
      <c r="CT142" s="1073"/>
      <c r="CU142" s="1073"/>
      <c r="CV142" s="1074"/>
      <c r="CW142" s="1072"/>
      <c r="CX142" s="966"/>
      <c r="CY142" s="1073"/>
      <c r="CZ142" s="1073"/>
      <c r="DA142" s="1073"/>
      <c r="DB142" s="1074"/>
      <c r="DC142" s="1072"/>
      <c r="DD142" s="966"/>
      <c r="DE142" s="1073"/>
      <c r="DF142" s="1073"/>
      <c r="DG142" s="1073"/>
      <c r="DH142" s="1074"/>
      <c r="DI142" s="1072"/>
      <c r="DJ142" s="966"/>
      <c r="DK142" s="1073"/>
      <c r="DL142" s="1073"/>
      <c r="DM142" s="1073"/>
      <c r="DN142" s="1074"/>
      <c r="DO142" s="1072"/>
      <c r="DP142" s="1071"/>
      <c r="DQ142" s="966"/>
    </row>
    <row r="143" spans="1:121" ht="12.75" hidden="1" customHeight="1" outlineLevel="1">
      <c r="A143" s="1117" t="s">
        <v>391</v>
      </c>
      <c r="B143" s="966"/>
      <c r="C143" s="966"/>
      <c r="D143" s="966"/>
      <c r="E143" s="966"/>
      <c r="F143" s="966"/>
      <c r="G143" s="966"/>
      <c r="H143" s="966"/>
      <c r="I143" s="966"/>
      <c r="J143" s="966"/>
      <c r="K143" s="966"/>
      <c r="L143" s="966"/>
      <c r="M143" s="986"/>
      <c r="N143" s="986"/>
      <c r="O143" s="986"/>
      <c r="P143" s="986"/>
      <c r="Q143" s="1238">
        <f>Q238</f>
        <v>1.4</v>
      </c>
      <c r="R143" s="966"/>
      <c r="S143" s="988"/>
      <c r="T143" s="988"/>
      <c r="U143" s="988"/>
      <c r="V143" s="1075"/>
      <c r="W143" s="1238">
        <f>W238</f>
        <v>1.24</v>
      </c>
      <c r="X143" s="966"/>
      <c r="Y143" s="988"/>
      <c r="Z143" s="988"/>
      <c r="AA143" s="988"/>
      <c r="AB143" s="1075"/>
      <c r="AC143" s="1076">
        <f>AC238</f>
        <v>3.23</v>
      </c>
      <c r="AD143" s="966"/>
      <c r="AE143" s="988"/>
      <c r="AF143" s="988"/>
      <c r="AG143" s="988"/>
      <c r="AH143" s="1075"/>
      <c r="AI143" s="1076">
        <f>AI238</f>
        <v>7.44</v>
      </c>
      <c r="AJ143" s="966"/>
      <c r="AK143" s="988"/>
      <c r="AL143" s="988"/>
      <c r="AM143" s="988"/>
      <c r="AN143" s="1075"/>
      <c r="AO143" s="1076">
        <f>AO238</f>
        <v>13.94</v>
      </c>
      <c r="AP143" s="966"/>
      <c r="AQ143" s="988"/>
      <c r="AR143" s="988"/>
      <c r="AS143" s="988"/>
      <c r="AT143" s="988"/>
      <c r="AU143" s="1076">
        <v>10</v>
      </c>
      <c r="AV143" s="966"/>
      <c r="AW143" s="988"/>
      <c r="AX143" s="988"/>
      <c r="AY143" s="988"/>
      <c r="AZ143" s="988"/>
      <c r="BA143" s="1076">
        <v>10</v>
      </c>
      <c r="BB143" s="966"/>
      <c r="BC143" s="988"/>
      <c r="BD143" s="988"/>
      <c r="BE143" s="988"/>
      <c r="BF143" s="1075"/>
      <c r="BG143" s="1076">
        <v>10</v>
      </c>
      <c r="BH143" s="966"/>
      <c r="BI143" s="988"/>
      <c r="BJ143" s="988"/>
      <c r="BK143" s="988"/>
      <c r="BL143" s="1075"/>
      <c r="BM143" s="1076">
        <v>10</v>
      </c>
      <c r="BN143" s="966"/>
      <c r="BO143" s="988"/>
      <c r="BP143" s="988"/>
      <c r="BQ143" s="988"/>
      <c r="BR143" s="1075"/>
      <c r="BS143" s="1076">
        <v>10</v>
      </c>
      <c r="BT143" s="966"/>
      <c r="BU143" s="988"/>
      <c r="BV143" s="988"/>
      <c r="BW143" s="988"/>
      <c r="BX143" s="1075"/>
      <c r="BY143" s="1076">
        <v>10</v>
      </c>
      <c r="BZ143" s="966"/>
      <c r="CA143" s="988"/>
      <c r="CB143" s="988"/>
      <c r="CC143" s="988"/>
      <c r="CD143" s="988"/>
      <c r="CE143" s="1076">
        <v>10</v>
      </c>
      <c r="CF143" s="966"/>
      <c r="CG143" s="988"/>
      <c r="CH143" s="988"/>
      <c r="CI143" s="988"/>
      <c r="CJ143" s="988"/>
      <c r="CK143" s="1076">
        <v>10</v>
      </c>
      <c r="CL143" s="966"/>
      <c r="CM143" s="988"/>
      <c r="CN143" s="988"/>
      <c r="CO143" s="988"/>
      <c r="CP143" s="988"/>
      <c r="CQ143" s="1076">
        <v>10</v>
      </c>
      <c r="CR143" s="966"/>
      <c r="CS143" s="988"/>
      <c r="CT143" s="988"/>
      <c r="CU143" s="988"/>
      <c r="CV143" s="1075"/>
      <c r="CW143" s="1076">
        <v>10</v>
      </c>
      <c r="CX143" s="966"/>
      <c r="CY143" s="988"/>
      <c r="CZ143" s="988"/>
      <c r="DA143" s="988"/>
      <c r="DB143" s="1075"/>
      <c r="DC143" s="1076">
        <v>10</v>
      </c>
      <c r="DD143" s="966"/>
      <c r="DE143" s="988"/>
      <c r="DF143" s="988"/>
      <c r="DG143" s="988"/>
      <c r="DH143" s="1075"/>
      <c r="DI143" s="1076">
        <v>10</v>
      </c>
      <c r="DJ143" s="966"/>
      <c r="DK143" s="988"/>
      <c r="DL143" s="988"/>
      <c r="DM143" s="988"/>
      <c r="DN143" s="1075"/>
      <c r="DO143" s="1076">
        <v>10</v>
      </c>
      <c r="DP143" s="1238"/>
      <c r="DQ143" s="966"/>
    </row>
    <row r="144" spans="1:121" ht="12.75" hidden="1" customHeight="1" outlineLevel="1">
      <c r="A144" s="1108" t="s">
        <v>974</v>
      </c>
      <c r="B144" s="966"/>
      <c r="C144" s="966"/>
      <c r="D144" s="966"/>
      <c r="E144" s="966"/>
      <c r="F144" s="966"/>
      <c r="G144" s="966"/>
      <c r="H144" s="966"/>
      <c r="I144" s="966"/>
      <c r="J144" s="966"/>
      <c r="K144" s="966"/>
      <c r="L144" s="966"/>
      <c r="M144" s="1088">
        <v>4.3999999999999997E-2</v>
      </c>
      <c r="N144" s="1088">
        <v>8.2000000000000003E-2</v>
      </c>
      <c r="O144" s="1088">
        <v>0.45700000000000002</v>
      </c>
      <c r="P144" s="1088">
        <f>Q144-O144-N144-M144</f>
        <v>0.45813100000000001</v>
      </c>
      <c r="Q144" s="961">
        <f>-Q231</f>
        <v>1.041131</v>
      </c>
      <c r="R144" s="993"/>
      <c r="S144" s="1239">
        <v>1.71</v>
      </c>
      <c r="T144" s="1239">
        <v>3.5000000000000003E-2</v>
      </c>
      <c r="U144" s="1239">
        <f>-U231</f>
        <v>0.31114400000000031</v>
      </c>
      <c r="V144" s="1239">
        <f>W144-U144-T144-S144</f>
        <v>2.0707009999999997</v>
      </c>
      <c r="W144" s="961">
        <v>4.1268450000000003</v>
      </c>
      <c r="X144" s="993"/>
      <c r="Y144" s="1239">
        <v>0.94450100000000003</v>
      </c>
      <c r="Z144" s="1239">
        <f>Model!Z114-Model!Y114</f>
        <v>-1253.2310600000001</v>
      </c>
      <c r="AA144" s="1239">
        <f>Model!AA114-Model!Z114</f>
        <v>2.8000000000000114</v>
      </c>
      <c r="AB144" s="1239">
        <f>AC144-AA144-Z144-Y144</f>
        <v>1254.3186540000002</v>
      </c>
      <c r="AC144" s="1080">
        <f>-AC231</f>
        <v>4.8320949999999998</v>
      </c>
      <c r="AD144" s="993"/>
      <c r="AE144" s="1239">
        <v>0.94450100000000003</v>
      </c>
      <c r="AF144" s="1239">
        <f>Model!AF114-Model!AE114</f>
        <v>-1315.778004</v>
      </c>
      <c r="AG144" s="1239">
        <f>Model!AG114-Model!AF114</f>
        <v>6</v>
      </c>
      <c r="AH144" s="1239">
        <f>Model!AH114-Model!AG114</f>
        <v>6</v>
      </c>
      <c r="AI144" s="1080">
        <f>-AI231</f>
        <v>3.8896320000000002</v>
      </c>
      <c r="AJ144" s="993"/>
      <c r="AK144" s="987">
        <f>Model!AK114-Model!AH114</f>
        <v>2</v>
      </c>
      <c r="AL144" s="987">
        <f>Model!AL114-Model!AK114</f>
        <v>5.1999999999999886</v>
      </c>
      <c r="AM144" s="987">
        <f>Model!AM114-Model!AL114</f>
        <v>5.1999999999999886</v>
      </c>
      <c r="AN144" s="987">
        <f>Model!AN114-Model!AM114</f>
        <v>4.8000000000000114</v>
      </c>
      <c r="AO144" s="1000">
        <f>SUM(AK144:AN144)</f>
        <v>17.199999999999989</v>
      </c>
      <c r="AP144" s="993"/>
      <c r="AQ144" s="987">
        <f>Model!AQ114-Model!AN114</f>
        <v>3.1999999999999886</v>
      </c>
      <c r="AR144" s="987">
        <f>Model!AR114-Model!AQ114</f>
        <v>3.6000000000000227</v>
      </c>
      <c r="AS144" s="987">
        <f>Model!AS114-Model!AR114</f>
        <v>4</v>
      </c>
      <c r="AT144" s="987">
        <f>Model!AT114-Model!AS114</f>
        <v>3.6000000000000227</v>
      </c>
      <c r="AU144" s="1000">
        <f>-AU231</f>
        <v>2.9576750000000001</v>
      </c>
      <c r="AV144" s="993"/>
      <c r="AW144" s="987">
        <f>Model!AW114-Model!AT114</f>
        <v>2.3999999999999773</v>
      </c>
      <c r="AX144" s="987">
        <f>Model!AX114-Model!AW114</f>
        <v>3.6000000000000227</v>
      </c>
      <c r="AY144" s="987">
        <f>Model!AY114-Model!AX114</f>
        <v>5.1999999999999886</v>
      </c>
      <c r="AZ144" s="987">
        <f>Model!AZ114-Model!AY114</f>
        <v>8</v>
      </c>
      <c r="BA144" s="1000">
        <f>SUM(AW144:AZ144)</f>
        <v>19.199999999999989</v>
      </c>
      <c r="BB144" s="977"/>
      <c r="BC144" s="987">
        <f>Model!BC114-Model!AZ114</f>
        <v>1.3280000000000314</v>
      </c>
      <c r="BD144" s="987">
        <f>Model!BD114-Model!BC114</f>
        <v>5.8719999999999573</v>
      </c>
      <c r="BE144" s="987">
        <f>Model!BE114-Model!BD114</f>
        <v>5.5520000000000209</v>
      </c>
      <c r="BF144" s="987">
        <f>Model!BF114-Model!BE114</f>
        <v>5.8239999999999554</v>
      </c>
      <c r="BG144" s="1000">
        <f>SUM(BC144:BF144)</f>
        <v>18.575999999999965</v>
      </c>
      <c r="BH144" s="977"/>
      <c r="BI144" s="987">
        <f>Model!BI114-Model!BF114</f>
        <v>4.4400000000000546</v>
      </c>
      <c r="BJ144" s="987">
        <f>Model!BJ114-Model!BI114</f>
        <v>6.5559999999999263</v>
      </c>
      <c r="BK144" s="987">
        <f>Model!BK114-Model!BJ114</f>
        <v>3.0160000000000764</v>
      </c>
      <c r="BL144" s="987">
        <f>Model!BL114-Model!BK114</f>
        <v>4.6119999999999663</v>
      </c>
      <c r="BM144" s="1000">
        <f>SUM(BI144:BL144)</f>
        <v>18.624000000000024</v>
      </c>
      <c r="BN144" s="977"/>
      <c r="BO144" s="987">
        <f>Model!BO114-Model!BL114</f>
        <v>4</v>
      </c>
      <c r="BP144" s="987">
        <f>Model!BP114-Model!BO114</f>
        <v>4</v>
      </c>
      <c r="BQ144" s="987">
        <f>Model!BQ114-Model!BP114</f>
        <v>12</v>
      </c>
      <c r="BR144" s="987">
        <f>Model!BR114-Model!BQ114</f>
        <v>17.624000000000024</v>
      </c>
      <c r="BS144" s="1000">
        <f>SUM(BO144:BR144)</f>
        <v>37.624000000000024</v>
      </c>
      <c r="BT144" s="977"/>
      <c r="BU144" s="987">
        <f>Model!BU114-Model!BR114</f>
        <v>7.3759999999999764</v>
      </c>
      <c r="BV144" s="987">
        <f>Model!BV114-Model!BU114</f>
        <v>3</v>
      </c>
      <c r="BW144" s="987">
        <f>Model!BW114-Model!BV114</f>
        <v>9</v>
      </c>
      <c r="BX144" s="987">
        <f>Model!BX114-Model!BW114</f>
        <v>5.1430000000000291</v>
      </c>
      <c r="BY144" s="1000">
        <f>SUM(BU144:BX144)</f>
        <v>24.519000000000005</v>
      </c>
      <c r="BZ144" s="977"/>
      <c r="CA144" s="987">
        <f>Model!CA114-Model!BX114</f>
        <v>7.8569999999999709</v>
      </c>
      <c r="CB144" s="987">
        <f>Model!CB114-Model!CA114</f>
        <v>10</v>
      </c>
      <c r="CC144" s="987">
        <f>Model!CC114-Model!CB114</f>
        <v>3</v>
      </c>
      <c r="CD144" s="987">
        <f>Model!CD114-Model!CC114</f>
        <v>19.596000000000004</v>
      </c>
      <c r="CE144" s="1000">
        <f>SUM(CA144:CD144)</f>
        <v>40.452999999999975</v>
      </c>
      <c r="CF144" s="977"/>
      <c r="CG144" s="987">
        <f>Model!CG114-Model!CD114</f>
        <v>3.2129999999999654</v>
      </c>
      <c r="CH144" s="987">
        <f>Model!CH114-Model!CG114</f>
        <v>5.5570000000000164</v>
      </c>
      <c r="CI144" s="987">
        <f>Model!CI114-Model!CH114</f>
        <v>4.7649999999999864</v>
      </c>
      <c r="CJ144" s="987">
        <f>Model!CJ114-Model!CI114</f>
        <v>4.8940000000000055</v>
      </c>
      <c r="CK144" s="1000">
        <f>SUM(CG144:CJ144)</f>
        <v>18.428999999999974</v>
      </c>
      <c r="CL144" s="977"/>
      <c r="CM144" s="987">
        <f>Model!CM114-Model!CJ114</f>
        <v>14</v>
      </c>
      <c r="CN144" s="987">
        <f>Model!CN114-Model!CM114</f>
        <v>7.5</v>
      </c>
      <c r="CO144" s="987">
        <f>Model!CO114-Model!CN114</f>
        <v>11.475000000000023</v>
      </c>
      <c r="CP144" s="987">
        <f>Model!CP114-Model!CO114</f>
        <v>0</v>
      </c>
      <c r="CQ144" s="1000">
        <f>SUM(CM144:CP144)</f>
        <v>32.975000000000023</v>
      </c>
      <c r="CR144" s="977"/>
      <c r="CS144" s="987">
        <f>Model!CS114-Model!CP114</f>
        <v>11.299999999999955</v>
      </c>
      <c r="CT144" s="987">
        <f>Model!CT114-Model!CS114</f>
        <v>1.7000000000000455</v>
      </c>
      <c r="CU144" s="987">
        <f>Model!CU114-Model!CT114</f>
        <v>5</v>
      </c>
      <c r="CV144" s="987">
        <f>CW144-CU144-CT144-CS144</f>
        <v>14</v>
      </c>
      <c r="CW144" s="1000">
        <v>32</v>
      </c>
      <c r="CX144" s="977"/>
      <c r="CY144" s="987">
        <v>13</v>
      </c>
      <c r="CZ144" s="987">
        <v>1.5</v>
      </c>
      <c r="DA144" s="987">
        <v>1.5</v>
      </c>
      <c r="DB144" s="987">
        <v>1.5</v>
      </c>
      <c r="DC144" s="1000">
        <f>SUM(CY144:DB144)</f>
        <v>17.5</v>
      </c>
      <c r="DD144" s="977"/>
      <c r="DE144" s="987">
        <f>DI144/4</f>
        <v>7.5</v>
      </c>
      <c r="DF144" s="987">
        <f>(DI144-DE144)/3</f>
        <v>7.5</v>
      </c>
      <c r="DG144" s="987">
        <f>(DI144-DF144-DE144)/2</f>
        <v>7.5</v>
      </c>
      <c r="DH144" s="987">
        <f>DI144-DG144-DF144-DE144</f>
        <v>7.5</v>
      </c>
      <c r="DI144" s="1000">
        <v>30</v>
      </c>
      <c r="DJ144" s="977"/>
      <c r="DK144" s="987">
        <f>DO144/4</f>
        <v>7.5</v>
      </c>
      <c r="DL144" s="987">
        <f>(DO144-DK144)/3</f>
        <v>7.5</v>
      </c>
      <c r="DM144" s="987">
        <f>(DO144-DL144-DK144)/2</f>
        <v>7.5</v>
      </c>
      <c r="DN144" s="987">
        <f>DO144-DM144-DL144-DK144</f>
        <v>7.5</v>
      </c>
      <c r="DO144" s="1000">
        <v>30</v>
      </c>
      <c r="DP144" s="986"/>
      <c r="DQ144" s="966"/>
    </row>
    <row r="145" spans="1:121" ht="12.75" hidden="1" customHeight="1" outlineLevel="1">
      <c r="A145" s="1108" t="s">
        <v>829</v>
      </c>
      <c r="B145" s="966"/>
      <c r="C145" s="966"/>
      <c r="D145" s="966"/>
      <c r="E145" s="966"/>
      <c r="F145" s="966"/>
      <c r="G145" s="966"/>
      <c r="H145" s="966"/>
      <c r="I145" s="966"/>
      <c r="J145" s="966"/>
      <c r="K145" s="966"/>
      <c r="L145" s="966"/>
      <c r="M145" s="1087">
        <f>M146/M144</f>
        <v>1.3863636363636365</v>
      </c>
      <c r="N145" s="1087">
        <f>N146/N144</f>
        <v>1.3902439024390243</v>
      </c>
      <c r="O145" s="1087">
        <f>O146/O144</f>
        <v>1.4004376367614879</v>
      </c>
      <c r="P145" s="1087">
        <f>P146/P144</f>
        <v>1.4515498842034267</v>
      </c>
      <c r="Q145" s="1087">
        <f>SUMPRODUCT(M144:P144,M145:P145)/Q144</f>
        <v>1.4215310081056081</v>
      </c>
      <c r="R145" s="993"/>
      <c r="S145" s="1087">
        <f>S146/S144</f>
        <v>0.96023391812865488</v>
      </c>
      <c r="T145" s="1087">
        <f>T146/T144</f>
        <v>2.6285714285714308</v>
      </c>
      <c r="U145" s="1087">
        <f>U146/U144</f>
        <v>1.475201193016737</v>
      </c>
      <c r="V145" s="1087">
        <f>V146/V144</f>
        <v>1.5840046438380044</v>
      </c>
      <c r="W145" s="1087">
        <f>W146/W144</f>
        <v>1.3261947080639083</v>
      </c>
      <c r="X145" s="993"/>
      <c r="Y145" s="1087">
        <f>Y146/Y144</f>
        <v>2.2784517962394957</v>
      </c>
      <c r="Z145" s="1087">
        <f>Z146/Z144</f>
        <v>-4.2210891262142829E-3</v>
      </c>
      <c r="AA145" s="1087">
        <f>AA146/AA144</f>
        <v>0.78892857142856809</v>
      </c>
      <c r="AB145" s="1087">
        <f>AB146/AB144</f>
        <v>4.8504420950754665E-3</v>
      </c>
      <c r="AC145" s="1078">
        <f>SUMPRODUCT(Y144:AB144,Y145:AB145)/AC144</f>
        <v>3.2563515411017376</v>
      </c>
      <c r="AD145" s="993"/>
      <c r="AE145" s="1087">
        <f>AE146/AE144</f>
        <v>5.8263569863875206</v>
      </c>
      <c r="AF145" s="1087">
        <f>AF146/AF144</f>
        <v>-4.0949156952163187E-3</v>
      </c>
      <c r="AG145" s="1087">
        <f>AG146/AG144</f>
        <v>1.6914999999999998</v>
      </c>
      <c r="AH145" s="1087">
        <f>AH146/AH144</f>
        <v>1.3403333333333336</v>
      </c>
      <c r="AI145" s="1078"/>
      <c r="AJ145" s="993"/>
      <c r="AK145" s="1087">
        <f>AK146/AK144</f>
        <v>4.1500000000000004</v>
      </c>
      <c r="AL145" s="1087">
        <f>AL146/AL144</f>
        <v>2.9623076923076987</v>
      </c>
      <c r="AM145" s="1087">
        <f>AM146/AM144</f>
        <v>3.9588461538461623</v>
      </c>
      <c r="AN145" s="1087">
        <f>AN146/AN144</f>
        <v>3.4624999999999915</v>
      </c>
      <c r="AO145" s="1078">
        <f>SUMPRODUCT(AK144:AN144,AK145:AN145)/AO144</f>
        <v>3.5412790697674441</v>
      </c>
      <c r="AP145" s="993"/>
      <c r="AQ145" s="1087">
        <f>AQ146/AQ144</f>
        <v>3.5890625000000127</v>
      </c>
      <c r="AR145" s="1087">
        <f>AR146/AR144</f>
        <v>6.2569444444444047</v>
      </c>
      <c r="AS145" s="1087">
        <f>AS146/AS144</f>
        <v>1.6487499999999997</v>
      </c>
      <c r="AT145" s="1087">
        <f>AT146/AT144</f>
        <v>0.75166666666666282</v>
      </c>
      <c r="AU145" s="1078">
        <f>SUMPRODUCT(AQ144:AT144,AQ145:AT145)/AU144</f>
        <v>14.643596744064173</v>
      </c>
      <c r="AV145" s="993"/>
      <c r="AW145" s="1087">
        <f>AW146/AW144</f>
        <v>3.8200000000000358</v>
      </c>
      <c r="AX145" s="1087">
        <f>AX146/AX144</f>
        <v>1.4274999999999913</v>
      </c>
      <c r="AY145" s="1087">
        <f>AY146/AY144</f>
        <v>3.5690384615384687</v>
      </c>
      <c r="AZ145" s="1087">
        <f>AZ146/AZ144</f>
        <v>7.6237499999999994</v>
      </c>
      <c r="BA145" s="1078">
        <f>SUMPRODUCT(AW144:AZ144,AW145:AZ145)/BA144</f>
        <v>4.8883333333333363</v>
      </c>
      <c r="BB145" s="993"/>
      <c r="BC145" s="1087">
        <f>BC146/BC144</f>
        <v>28.249999999999332</v>
      </c>
      <c r="BD145" s="1087">
        <f>BD146/BD144</f>
        <v>5.8118188010899612</v>
      </c>
      <c r="BE145" s="1087">
        <f>BE146/BE144</f>
        <v>7.9886527377521306</v>
      </c>
      <c r="BF145" s="1087">
        <f>BF146/BF144</f>
        <v>7.6246565934066499</v>
      </c>
      <c r="BG145" s="1078">
        <f>SUMPRODUCT(BC144:BF144,BC145:BF145)/BG144</f>
        <v>8.6349052540913167</v>
      </c>
      <c r="BH145" s="993"/>
      <c r="BI145" s="1087">
        <f>BI146/BI144</f>
        <v>7.2716216216215326</v>
      </c>
      <c r="BJ145" s="1087">
        <f>BJ146/BJ144</f>
        <v>6.4493593654668198</v>
      </c>
      <c r="BK145" s="1087">
        <f>BK146/BK144</f>
        <v>5.2367374005303704</v>
      </c>
      <c r="BL145" s="1087">
        <f>BL146/BL144</f>
        <v>5.6814830875976137</v>
      </c>
      <c r="BM145" s="1078">
        <f>SUMPRODUCT(BI144:BL144,BI145:BL145)/BM144</f>
        <v>6.2588595360824666</v>
      </c>
      <c r="BN145" s="993"/>
      <c r="BO145" s="1087">
        <f>BO146/BO144</f>
        <v>23.391749999999998</v>
      </c>
      <c r="BP145" s="1087">
        <f>BP146/BP144</f>
        <v>8.4560000000000031</v>
      </c>
      <c r="BQ145" s="1087">
        <f>BQ146/BQ144</f>
        <v>6.3735833333333325</v>
      </c>
      <c r="BR145" s="1087">
        <f>BR146/BR144</f>
        <v>8.3688152519291759</v>
      </c>
      <c r="BS145" s="1078">
        <f>SUMPRODUCT(BO144:BR144,BO145:BR145)/BS144</f>
        <v>9.3388794386561713</v>
      </c>
      <c r="BT145" s="993"/>
      <c r="BU145" s="1087">
        <f>BU146/BU144</f>
        <v>9.0189804772234563</v>
      </c>
      <c r="BV145" s="1087">
        <f>BV146/BV144</f>
        <v>13.398333333333332</v>
      </c>
      <c r="BW145" s="1087">
        <f>BW146/BW144</f>
        <v>12.301111111111112</v>
      </c>
      <c r="BX145" s="1087">
        <f>BX146/BX144</f>
        <v>14.09721952167987</v>
      </c>
      <c r="BY145" s="1078">
        <f>SUMPRODUCT(BU144:BX144,BU145:BX145)/BY144</f>
        <v>11.824748154492431</v>
      </c>
      <c r="BZ145" s="993"/>
      <c r="CA145" s="1087">
        <f>CA146/CA144</f>
        <v>9.3922616774850809</v>
      </c>
      <c r="CB145" s="1087">
        <f>CB146/CB144</f>
        <v>6.1428999999999991</v>
      </c>
      <c r="CC145" s="1087">
        <f>CC146/CC144</f>
        <v>30.445666666666671</v>
      </c>
      <c r="CD145" s="1087">
        <f>CD146/CD144</f>
        <v>4.2063686466625816</v>
      </c>
      <c r="CE145" s="1078">
        <f>SUMPRODUCT(CA144:CD144,CA145:CD145)/CE144</f>
        <v>7.6382221343287311</v>
      </c>
      <c r="CF145" s="993"/>
      <c r="CG145" s="1087">
        <f>CG146/CG144</f>
        <v>48.246187363834935</v>
      </c>
      <c r="CH145" s="1087">
        <f>CH146/CH144</f>
        <v>20.658448803311085</v>
      </c>
      <c r="CI145" s="1087">
        <f>CI146/CI144</f>
        <v>20.569989506820619</v>
      </c>
      <c r="CJ145" s="1087">
        <f>CJ146/CJ144</f>
        <v>17.910093992644043</v>
      </c>
      <c r="CK145" s="1078">
        <f>SUMPRODUCT(CG144:CJ144,CG145:CJ145)/CK144</f>
        <v>24.715502740246389</v>
      </c>
      <c r="CL145" s="993"/>
      <c r="CM145" s="1087">
        <f>CM146/CM144</f>
        <v>6.3672142857142857</v>
      </c>
      <c r="CN145" s="1087">
        <f>CN146/CN144</f>
        <v>17.850399999999997</v>
      </c>
      <c r="CO145" s="1087">
        <f>CO146/CO144</f>
        <v>8.0911546840958444</v>
      </c>
      <c r="CP145" s="1087">
        <v>0</v>
      </c>
      <c r="CQ145" s="1078">
        <f>SUMPRODUCT(CM144:CP144,CM145:CP145)/CQ144</f>
        <v>9.5789234268385073</v>
      </c>
      <c r="CR145" s="993"/>
      <c r="CS145" s="1087">
        <f>CS146/CS144</f>
        <v>14.142212389380587</v>
      </c>
      <c r="CT145" s="1087">
        <f>CT146/CT144</f>
        <v>107.65235294117359</v>
      </c>
      <c r="CU145" s="1087">
        <f>CU146/CU144</f>
        <v>28.394000000000005</v>
      </c>
      <c r="CV145" s="1077">
        <f>CU145</f>
        <v>28.394000000000005</v>
      </c>
      <c r="CW145" s="1078">
        <f>SUMPRODUCT(CS144:CV144,CS145:CV145)/CW144</f>
        <v>27.571937500000004</v>
      </c>
      <c r="CX145" s="993"/>
      <c r="CY145" s="1077">
        <v>5</v>
      </c>
      <c r="CZ145" s="1077">
        <f>CY145</f>
        <v>5</v>
      </c>
      <c r="DA145" s="1077">
        <f>CZ145</f>
        <v>5</v>
      </c>
      <c r="DB145" s="1077">
        <f>DA145</f>
        <v>5</v>
      </c>
      <c r="DC145" s="1078">
        <f>SUMPRODUCT(CY144:DB144,CY145:DB145)/DC144</f>
        <v>5</v>
      </c>
      <c r="DD145" s="993"/>
      <c r="DE145" s="1077">
        <v>5</v>
      </c>
      <c r="DF145" s="1077">
        <f>DE145</f>
        <v>5</v>
      </c>
      <c r="DG145" s="1077">
        <f>DF145</f>
        <v>5</v>
      </c>
      <c r="DH145" s="1077">
        <f>DG145</f>
        <v>5</v>
      </c>
      <c r="DI145" s="1078">
        <f>SUMPRODUCT(DE144:DH144,DE145:DH145)/DI144</f>
        <v>5</v>
      </c>
      <c r="DJ145" s="993"/>
      <c r="DK145" s="1077">
        <v>5</v>
      </c>
      <c r="DL145" s="1077">
        <f>DK145</f>
        <v>5</v>
      </c>
      <c r="DM145" s="1077">
        <f>DL145</f>
        <v>5</v>
      </c>
      <c r="DN145" s="1077">
        <f>DM145</f>
        <v>5</v>
      </c>
      <c r="DO145" s="1078">
        <f>SUMPRODUCT(DK144:DN144,DK145:DN145)/DO144</f>
        <v>5</v>
      </c>
      <c r="DP145" s="1694"/>
      <c r="DQ145" s="966"/>
    </row>
    <row r="146" spans="1:121" ht="12.75" hidden="1" customHeight="1" outlineLevel="1">
      <c r="A146" s="1108" t="s">
        <v>973</v>
      </c>
      <c r="B146" s="966"/>
      <c r="C146" s="966"/>
      <c r="D146" s="966"/>
      <c r="E146" s="966"/>
      <c r="F146" s="966"/>
      <c r="G146" s="966"/>
      <c r="H146" s="966"/>
      <c r="I146" s="966"/>
      <c r="J146" s="966"/>
      <c r="K146" s="966"/>
      <c r="L146" s="966"/>
      <c r="M146" s="993">
        <f>CF!M120</f>
        <v>6.0999999999999999E-2</v>
      </c>
      <c r="N146" s="993">
        <f>CF!N120</f>
        <v>0.114</v>
      </c>
      <c r="O146" s="993">
        <f>CF!O120</f>
        <v>0.64</v>
      </c>
      <c r="P146" s="993">
        <f>CF!P120</f>
        <v>0.66500000000000004</v>
      </c>
      <c r="Q146" s="993">
        <f>SUM(M146:P146)</f>
        <v>1.48</v>
      </c>
      <c r="R146" s="993"/>
      <c r="S146" s="994">
        <f>CF!S120</f>
        <v>1.6419999999999999</v>
      </c>
      <c r="T146" s="994">
        <f>CF!T120</f>
        <v>9.2000000000000082E-2</v>
      </c>
      <c r="U146" s="994">
        <f>CF!U120</f>
        <v>0.45900000000000007</v>
      </c>
      <c r="V146" s="1239">
        <f>W146-U146-T146-S146</f>
        <v>3.2799999999999989</v>
      </c>
      <c r="W146" s="993">
        <v>5.4729999999999999</v>
      </c>
      <c r="X146" s="993"/>
      <c r="Y146" s="994">
        <f>CF!Y120</f>
        <v>2.1520000000000001</v>
      </c>
      <c r="Z146" s="994">
        <f>CF!Z120</f>
        <v>5.29</v>
      </c>
      <c r="AA146" s="994">
        <f>CF!AA120</f>
        <v>2.2089999999999996</v>
      </c>
      <c r="AB146" s="994">
        <f>CF!AB120</f>
        <v>6.0839999999999996</v>
      </c>
      <c r="AC146" s="996">
        <f>SUM(Y146:AB146)</f>
        <v>15.734999999999999</v>
      </c>
      <c r="AD146" s="993"/>
      <c r="AE146" s="994">
        <f>CF!AE120</f>
        <v>5.5030000000000001</v>
      </c>
      <c r="AF146" s="994">
        <f>CF!AF120</f>
        <v>5.3879999999999999</v>
      </c>
      <c r="AG146" s="994">
        <f>CF!AG120</f>
        <v>10.148999999999999</v>
      </c>
      <c r="AH146" s="994">
        <f>CF!AH120</f>
        <v>8.0420000000000016</v>
      </c>
      <c r="AI146" s="996">
        <f>SUM(AE146:AH146)</f>
        <v>29.082000000000001</v>
      </c>
      <c r="AJ146" s="993"/>
      <c r="AK146" s="994">
        <f>CF!AK120</f>
        <v>8.3000000000000007</v>
      </c>
      <c r="AL146" s="994">
        <f>CF!AL120</f>
        <v>15.404</v>
      </c>
      <c r="AM146" s="994">
        <f>CF!AM120</f>
        <v>20.585999999999999</v>
      </c>
      <c r="AN146" s="994">
        <f>CF!AN120</f>
        <v>16.619999999999997</v>
      </c>
      <c r="AO146" s="996">
        <f>SUM(AK146:AN146)</f>
        <v>60.91</v>
      </c>
      <c r="AP146" s="993"/>
      <c r="AQ146" s="994">
        <f>CF!AQ120</f>
        <v>11.484999999999999</v>
      </c>
      <c r="AR146" s="994">
        <f>CF!AR120</f>
        <v>22.524999999999999</v>
      </c>
      <c r="AS146" s="994">
        <f>CF!AS120</f>
        <v>6.5949999999999989</v>
      </c>
      <c r="AT146" s="994">
        <f>CF!AT120</f>
        <v>2.7060000000000031</v>
      </c>
      <c r="AU146" s="996">
        <f>SUM(AQ146:AT146)</f>
        <v>43.311</v>
      </c>
      <c r="AV146" s="993"/>
      <c r="AW146" s="994">
        <f>CF!AW120</f>
        <v>9.1679999999999993</v>
      </c>
      <c r="AX146" s="994">
        <f>CF!AX120</f>
        <v>5.1390000000000011</v>
      </c>
      <c r="AY146" s="994">
        <f>CF!AY120</f>
        <v>18.558999999999997</v>
      </c>
      <c r="AZ146" s="994">
        <f>CF!AZ120</f>
        <v>60.989999999999995</v>
      </c>
      <c r="BA146" s="996">
        <f>SUM(AW146:AZ146)</f>
        <v>93.855999999999995</v>
      </c>
      <c r="BB146" s="993"/>
      <c r="BC146" s="994">
        <f>CF!BC120</f>
        <v>37.515999999999998</v>
      </c>
      <c r="BD146" s="994">
        <f>CF!BD120</f>
        <v>34.127000000000002</v>
      </c>
      <c r="BE146" s="994">
        <f>CF!BE120</f>
        <v>44.352999999999994</v>
      </c>
      <c r="BF146" s="994">
        <f>CF!BF120</f>
        <v>44.405999999999992</v>
      </c>
      <c r="BG146" s="996">
        <f>SUM(BC146:BF146)</f>
        <v>160.40199999999999</v>
      </c>
      <c r="BH146" s="993"/>
      <c r="BI146" s="994">
        <f>CF!BI120</f>
        <v>32.286000000000001</v>
      </c>
      <c r="BJ146" s="994">
        <f>CF!BJ120</f>
        <v>42.281999999999996</v>
      </c>
      <c r="BK146" s="994">
        <f>CF!BK120</f>
        <v>15.793999999999997</v>
      </c>
      <c r="BL146" s="994">
        <f>CF!BL120</f>
        <v>26.203000000000003</v>
      </c>
      <c r="BM146" s="996">
        <f>SUM(BI146:BL146)</f>
        <v>116.565</v>
      </c>
      <c r="BN146" s="993"/>
      <c r="BO146" s="994">
        <f>CF!BO120</f>
        <v>93.566999999999993</v>
      </c>
      <c r="BP146" s="994">
        <f>CF!BP120</f>
        <v>33.824000000000012</v>
      </c>
      <c r="BQ146" s="994">
        <f>CF!BQ120</f>
        <v>76.48299999999999</v>
      </c>
      <c r="BR146" s="994">
        <f>CF!BR120</f>
        <v>147.49199999999999</v>
      </c>
      <c r="BS146" s="996">
        <f>SUM(BO146:BR146)</f>
        <v>351.36599999999999</v>
      </c>
      <c r="BT146" s="993"/>
      <c r="BU146" s="994">
        <f>CF!BU120</f>
        <v>66.524000000000001</v>
      </c>
      <c r="BV146" s="994">
        <f>CF!BV120</f>
        <v>40.194999999999993</v>
      </c>
      <c r="BW146" s="994">
        <f>CF!BW120</f>
        <v>110.71000000000001</v>
      </c>
      <c r="BX146" s="994">
        <f>CF!BX120</f>
        <v>72.501999999999981</v>
      </c>
      <c r="BY146" s="996">
        <f>SUM(BU146:BX146)</f>
        <v>289.93099999999998</v>
      </c>
      <c r="BZ146" s="993"/>
      <c r="CA146" s="994">
        <f>CF!CA120</f>
        <v>73.795000000000002</v>
      </c>
      <c r="CB146" s="994">
        <f>CF!CB120</f>
        <v>61.428999999999988</v>
      </c>
      <c r="CC146" s="994">
        <f>CF!CC120</f>
        <v>91.337000000000018</v>
      </c>
      <c r="CD146" s="994">
        <f>CF!CD120</f>
        <v>82.427999999999969</v>
      </c>
      <c r="CE146" s="996">
        <f>SUM(CA146:CD146)</f>
        <v>308.98899999999998</v>
      </c>
      <c r="CF146" s="993"/>
      <c r="CG146" s="994">
        <f>CF!CG120</f>
        <v>155.01499999999999</v>
      </c>
      <c r="CH146" s="994">
        <f>CF!CH120</f>
        <v>114.79900000000004</v>
      </c>
      <c r="CI146" s="994">
        <f>CF!CI120</f>
        <v>98.015999999999963</v>
      </c>
      <c r="CJ146" s="994">
        <f>CF!CJ120</f>
        <v>87.652000000000044</v>
      </c>
      <c r="CK146" s="996">
        <f>SUM(CG146:CJ146)</f>
        <v>455.48200000000003</v>
      </c>
      <c r="CL146" s="993"/>
      <c r="CM146" s="994">
        <f>CF!CM120</f>
        <v>89.141000000000005</v>
      </c>
      <c r="CN146" s="994">
        <f>CF!CN120</f>
        <v>133.87799999999999</v>
      </c>
      <c r="CO146" s="994">
        <f>CF!CO120</f>
        <v>92.846000000000004</v>
      </c>
      <c r="CP146" s="994">
        <f>CF!CP120</f>
        <v>85.615999999999985</v>
      </c>
      <c r="CQ146" s="996">
        <f>SUM(CM146:CP146)</f>
        <v>401.48099999999999</v>
      </c>
      <c r="CR146" s="993"/>
      <c r="CS146" s="994">
        <f>CF!CS120</f>
        <v>159.80699999999999</v>
      </c>
      <c r="CT146" s="994">
        <f>CF!CT120</f>
        <v>183.00899999999999</v>
      </c>
      <c r="CU146" s="994">
        <f>CF!CU120</f>
        <v>141.97000000000003</v>
      </c>
      <c r="CV146" s="993">
        <f>ROUND(CV144*CV145,3)</f>
        <v>397.51600000000002</v>
      </c>
      <c r="CW146" s="996">
        <f>SUM(CS146:CV146)</f>
        <v>882.30200000000002</v>
      </c>
      <c r="CX146" s="993"/>
      <c r="CY146" s="993">
        <f>ROUND(CY144*CY145,3)</f>
        <v>65</v>
      </c>
      <c r="CZ146" s="993">
        <f>ROUND(CZ144*CZ145,3)</f>
        <v>7.5</v>
      </c>
      <c r="DA146" s="993">
        <f>ROUND(DA144*DA145,3)</f>
        <v>7.5</v>
      </c>
      <c r="DB146" s="993">
        <f>ROUND(DB144*DB145,3)</f>
        <v>7.5</v>
      </c>
      <c r="DC146" s="996">
        <f>SUM(CY146:DB146)</f>
        <v>87.5</v>
      </c>
      <c r="DD146" s="993"/>
      <c r="DE146" s="993">
        <f>ROUND(DE144*DE145,3)</f>
        <v>37.5</v>
      </c>
      <c r="DF146" s="993">
        <f>ROUND(DF144*DF145,3)</f>
        <v>37.5</v>
      </c>
      <c r="DG146" s="993">
        <f>ROUND(DG144*DG145,3)</f>
        <v>37.5</v>
      </c>
      <c r="DH146" s="993">
        <f>ROUND(DH144*DH145,3)</f>
        <v>37.5</v>
      </c>
      <c r="DI146" s="996">
        <f>SUM(DE146:DH146)</f>
        <v>150</v>
      </c>
      <c r="DJ146" s="993"/>
      <c r="DK146" s="993">
        <f>ROUND(DK144*DK145,3)</f>
        <v>37.5</v>
      </c>
      <c r="DL146" s="993">
        <f>ROUND(DL144*DL145,3)</f>
        <v>37.5</v>
      </c>
      <c r="DM146" s="993">
        <f>ROUND(DM144*DM145,3)</f>
        <v>37.5</v>
      </c>
      <c r="DN146" s="993">
        <f>ROUND(DN144*DN145,3)</f>
        <v>37.5</v>
      </c>
      <c r="DO146" s="996">
        <f>SUM(DK146:DN146)</f>
        <v>150</v>
      </c>
      <c r="DP146" s="1062"/>
      <c r="DQ146" s="966"/>
    </row>
    <row r="147" spans="1:121" ht="12.75" hidden="1" customHeight="1" outlineLevel="1">
      <c r="A147" s="1122" t="s">
        <v>780</v>
      </c>
      <c r="B147" s="966"/>
      <c r="C147" s="966"/>
      <c r="D147" s="966"/>
      <c r="E147" s="966"/>
      <c r="F147" s="966"/>
      <c r="G147" s="966"/>
      <c r="H147" s="966"/>
      <c r="I147" s="966"/>
      <c r="J147" s="966"/>
      <c r="K147" s="966"/>
      <c r="L147" s="966"/>
      <c r="M147" s="1082"/>
      <c r="N147" s="1082"/>
      <c r="O147" s="1082"/>
      <c r="P147" s="1082"/>
      <c r="Q147" s="961">
        <f>1000000*Q144/Model!Q260</f>
        <v>2344.8896396396394</v>
      </c>
      <c r="R147" s="993"/>
      <c r="S147" s="1079"/>
      <c r="T147" s="1079"/>
      <c r="U147" s="1079"/>
      <c r="V147" s="1079"/>
      <c r="W147" s="961">
        <f>1000000*W144/Model!W260</f>
        <v>5380.5019556714478</v>
      </c>
      <c r="X147" s="993"/>
      <c r="Y147" s="1079"/>
      <c r="Z147" s="1079"/>
      <c r="AA147" s="1079"/>
      <c r="AB147" s="1079"/>
      <c r="AC147" s="1080">
        <f>1000000*AC144/Model!AC260</f>
        <v>3705.594325153374</v>
      </c>
      <c r="AD147" s="993"/>
      <c r="AE147" s="1079"/>
      <c r="AF147" s="1079"/>
      <c r="AG147" s="1079"/>
      <c r="AH147" s="1079"/>
      <c r="AI147" s="1080">
        <f>1000000*AI144/Model!AI260</f>
        <v>1879.0492753623189</v>
      </c>
      <c r="AJ147" s="993"/>
      <c r="AK147" s="1079"/>
      <c r="AL147" s="1079"/>
      <c r="AM147" s="1079"/>
      <c r="AN147" s="1079"/>
      <c r="AO147" s="1080">
        <f>1000000*AO144/Model!AO260</f>
        <v>6600.153491941669</v>
      </c>
      <c r="AP147" s="993"/>
      <c r="AQ147" s="1079"/>
      <c r="AR147" s="1079"/>
      <c r="AS147" s="1079"/>
      <c r="AT147" s="1079"/>
      <c r="AU147" s="1080">
        <f>1000000*AU144/Model!AU260</f>
        <v>829.40970274817721</v>
      </c>
      <c r="AV147" s="993"/>
      <c r="AW147" s="1079"/>
      <c r="AX147" s="1079"/>
      <c r="AY147" s="1079"/>
      <c r="AZ147" s="1079"/>
      <c r="BA147" s="1080">
        <f>1000000*BA144/Model!BA260</f>
        <v>4837.4905517762636</v>
      </c>
      <c r="BB147" s="993"/>
      <c r="BC147" s="1079"/>
      <c r="BD147" s="1079"/>
      <c r="BE147" s="1079"/>
      <c r="BF147" s="1079"/>
      <c r="BG147" s="1080">
        <f>1000000*BG144/Model!BG260</f>
        <v>3500.9423294383655</v>
      </c>
      <c r="BH147" s="993"/>
      <c r="BI147" s="1079"/>
      <c r="BJ147" s="1079"/>
      <c r="BK147" s="1079"/>
      <c r="BL147" s="1079"/>
      <c r="BM147" s="1080">
        <f>1000000*BM144/Model!BM260</f>
        <v>2392.2928709055905</v>
      </c>
      <c r="BN147" s="993"/>
      <c r="BO147" s="1079"/>
      <c r="BP147" s="1079"/>
      <c r="BQ147" s="1079"/>
      <c r="BR147" s="1079"/>
      <c r="BS147" s="1080">
        <f>1000000*BS144/Model!BS260</f>
        <v>3838.7919600040836</v>
      </c>
      <c r="BT147" s="993"/>
      <c r="BU147" s="1079"/>
      <c r="BV147" s="1079"/>
      <c r="BW147" s="1079"/>
      <c r="BX147" s="1079"/>
      <c r="BY147" s="1080">
        <f>1000000*BY144/Model!BY260</f>
        <v>1841.8719951923081</v>
      </c>
      <c r="BZ147" s="993"/>
      <c r="CA147" s="1079"/>
      <c r="CB147" s="1079"/>
      <c r="CC147" s="1079"/>
      <c r="CD147" s="1079"/>
      <c r="CE147" s="1080">
        <f>1000000*CE144/Model!CE260</f>
        <v>2492.9438590004302</v>
      </c>
      <c r="CF147" s="993"/>
      <c r="CG147" s="1079"/>
      <c r="CH147" s="1079"/>
      <c r="CI147" s="1079"/>
      <c r="CJ147" s="1079"/>
      <c r="CK147" s="1080">
        <f>1000000*CK144/Model!CK260</f>
        <v>933.4920474116085</v>
      </c>
      <c r="CL147" s="993"/>
      <c r="CM147" s="1079"/>
      <c r="CN147" s="1079"/>
      <c r="CO147" s="1079"/>
      <c r="CP147" s="1079"/>
      <c r="CQ147" s="1080">
        <f>1000000*CQ144/Model!CQ260</f>
        <v>1309.6751131940591</v>
      </c>
      <c r="CR147" s="993"/>
      <c r="CS147" s="1079"/>
      <c r="CT147" s="1079"/>
      <c r="CU147" s="1079"/>
      <c r="CV147" s="1079"/>
      <c r="CW147" s="1080">
        <f>1000000*CW144/Model!CW260</f>
        <v>1088.3983537974898</v>
      </c>
      <c r="CX147" s="993"/>
      <c r="CY147" s="1079"/>
      <c r="CZ147" s="1079"/>
      <c r="DA147" s="1079"/>
      <c r="DB147" s="1079"/>
      <c r="DC147" s="1080">
        <f>1000000*DC144/Model!DC260</f>
        <v>543.46138318685757</v>
      </c>
      <c r="DD147" s="993"/>
      <c r="DE147" s="1079"/>
      <c r="DF147" s="1079"/>
      <c r="DG147" s="1079"/>
      <c r="DH147" s="1079"/>
      <c r="DI147" s="1080">
        <f>1000000*DI144/Model!DI260</f>
        <v>857.11836804662721</v>
      </c>
      <c r="DJ147" s="993"/>
      <c r="DK147" s="1079"/>
      <c r="DL147" s="1079"/>
      <c r="DM147" s="1079"/>
      <c r="DN147" s="1079"/>
      <c r="DO147" s="1080">
        <f>1000000*DO144/Model!DO260</f>
        <v>793.62979815348797</v>
      </c>
      <c r="DP147" s="961"/>
      <c r="DQ147" s="966"/>
    </row>
    <row r="148" spans="1:121" ht="12.75" hidden="1" customHeight="1" outlineLevel="1">
      <c r="A148" s="1240"/>
      <c r="B148" s="971"/>
      <c r="C148" s="971"/>
      <c r="D148" s="971"/>
      <c r="E148" s="971"/>
      <c r="F148" s="971"/>
      <c r="G148" s="971"/>
      <c r="H148" s="971"/>
      <c r="I148" s="971"/>
      <c r="J148" s="971"/>
      <c r="K148" s="971"/>
      <c r="L148" s="971"/>
      <c r="M148" s="1082"/>
      <c r="N148" s="1082"/>
      <c r="O148" s="1082"/>
      <c r="P148" s="1083"/>
      <c r="Q148" s="1083"/>
      <c r="R148" s="1081"/>
      <c r="S148" s="1082"/>
      <c r="T148" s="1082"/>
      <c r="U148" s="1082"/>
      <c r="V148" s="1083"/>
      <c r="W148" s="1083"/>
      <c r="X148" s="1081"/>
      <c r="Y148" s="1082"/>
      <c r="Z148" s="1082"/>
      <c r="AA148" s="1082"/>
      <c r="AB148" s="1083"/>
      <c r="AC148" s="1084"/>
      <c r="AD148" s="1081"/>
      <c r="AE148" s="1082"/>
      <c r="AF148" s="1082"/>
      <c r="AG148" s="1082"/>
      <c r="AH148" s="1083"/>
      <c r="AI148" s="1084"/>
      <c r="AJ148" s="1081"/>
      <c r="AK148" s="1082"/>
      <c r="AL148" s="1082"/>
      <c r="AM148" s="1082"/>
      <c r="AN148" s="1083"/>
      <c r="AO148" s="1084"/>
      <c r="AP148" s="1081"/>
      <c r="AQ148" s="1082"/>
      <c r="AR148" s="1082"/>
      <c r="AS148" s="1082"/>
      <c r="AT148" s="1082"/>
      <c r="AU148" s="1084"/>
      <c r="AV148" s="1081"/>
      <c r="AW148" s="1082"/>
      <c r="AX148" s="1082"/>
      <c r="AY148" s="1082"/>
      <c r="AZ148" s="1082"/>
      <c r="BA148" s="1084"/>
      <c r="BB148" s="1081"/>
      <c r="BC148" s="1082"/>
      <c r="BD148" s="1082"/>
      <c r="BE148" s="1082"/>
      <c r="BF148" s="1083"/>
      <c r="BG148" s="1084"/>
      <c r="BH148" s="1081"/>
      <c r="BI148" s="1082"/>
      <c r="BJ148" s="1082"/>
      <c r="BK148" s="1082"/>
      <c r="BL148" s="1083"/>
      <c r="BM148" s="1084"/>
      <c r="BN148" s="1081"/>
      <c r="BO148" s="1082"/>
      <c r="BP148" s="1082"/>
      <c r="BQ148" s="1082"/>
      <c r="BR148" s="1083"/>
      <c r="BS148" s="1084"/>
      <c r="BT148" s="1081"/>
      <c r="BU148" s="1082"/>
      <c r="BV148" s="1082"/>
      <c r="BW148" s="1082"/>
      <c r="BX148" s="1083"/>
      <c r="BY148" s="1084"/>
      <c r="BZ148" s="1081"/>
      <c r="CA148" s="1082"/>
      <c r="CB148" s="1082"/>
      <c r="CC148" s="1082"/>
      <c r="CD148" s="1082"/>
      <c r="CE148" s="1084"/>
      <c r="CF148" s="1081"/>
      <c r="CG148" s="1082"/>
      <c r="CH148" s="1082"/>
      <c r="CI148" s="1082"/>
      <c r="CJ148" s="1082"/>
      <c r="CK148" s="1084"/>
      <c r="CL148" s="1081"/>
      <c r="CM148" s="1082"/>
      <c r="CN148" s="1082"/>
      <c r="CO148" s="1082"/>
      <c r="CP148" s="1082"/>
      <c r="CQ148" s="1084"/>
      <c r="CR148" s="1081"/>
      <c r="CS148" s="1082"/>
      <c r="CT148" s="1082"/>
      <c r="CU148" s="1082"/>
      <c r="CV148" s="1083"/>
      <c r="CW148" s="1084"/>
      <c r="CX148" s="1081"/>
      <c r="CY148" s="1082"/>
      <c r="CZ148" s="1082"/>
      <c r="DA148" s="1082"/>
      <c r="DB148" s="1083"/>
      <c r="DC148" s="1084"/>
      <c r="DD148" s="1081"/>
      <c r="DE148" s="1082"/>
      <c r="DF148" s="1082"/>
      <c r="DG148" s="1082"/>
      <c r="DH148" s="1083"/>
      <c r="DI148" s="1084"/>
      <c r="DJ148" s="1081"/>
      <c r="DK148" s="1082"/>
      <c r="DL148" s="1082"/>
      <c r="DM148" s="1082"/>
      <c r="DN148" s="1083"/>
      <c r="DO148" s="1084"/>
      <c r="DP148" s="1083"/>
      <c r="DQ148" s="971"/>
    </row>
    <row r="149" spans="1:121" ht="12.75" hidden="1" customHeight="1" outlineLevel="1">
      <c r="A149" s="1117" t="s">
        <v>596</v>
      </c>
      <c r="B149" s="966"/>
      <c r="C149" s="966"/>
      <c r="D149" s="966"/>
      <c r="E149" s="966"/>
      <c r="F149" s="966"/>
      <c r="G149" s="966"/>
      <c r="H149" s="966"/>
      <c r="I149" s="966"/>
      <c r="J149" s="966"/>
      <c r="K149" s="966"/>
      <c r="L149" s="966"/>
      <c r="M149" s="961"/>
      <c r="N149" s="961"/>
      <c r="O149" s="961"/>
      <c r="P149" s="961"/>
      <c r="Q149" s="1088"/>
      <c r="R149" s="993"/>
      <c r="S149" s="961"/>
      <c r="T149" s="961"/>
      <c r="U149" s="961"/>
      <c r="V149" s="961"/>
      <c r="W149" s="1088"/>
      <c r="X149" s="993"/>
      <c r="Y149" s="961"/>
      <c r="Z149" s="961"/>
      <c r="AA149" s="961"/>
      <c r="AB149" s="961"/>
      <c r="AC149" s="1085"/>
      <c r="AD149" s="993"/>
      <c r="AE149" s="961"/>
      <c r="AF149" s="961"/>
      <c r="AG149" s="961"/>
      <c r="AH149" s="961"/>
      <c r="AI149" s="996">
        <f>SUM(AE149:AH149)</f>
        <v>0</v>
      </c>
      <c r="AJ149" s="993"/>
      <c r="AK149" s="961"/>
      <c r="AL149" s="961"/>
      <c r="AM149" s="961"/>
      <c r="AN149" s="961"/>
      <c r="AO149" s="996">
        <f>SUM(AK149:AN149)</f>
        <v>0</v>
      </c>
      <c r="AP149" s="993"/>
      <c r="AQ149" s="961"/>
      <c r="AR149" s="961"/>
      <c r="AS149" s="961"/>
      <c r="AT149" s="961"/>
      <c r="AU149" s="996">
        <f>SUM(AQ149:AT149)</f>
        <v>0</v>
      </c>
      <c r="AV149" s="993"/>
      <c r="AW149" s="961"/>
      <c r="AX149" s="961"/>
      <c r="AY149" s="961"/>
      <c r="AZ149" s="961"/>
      <c r="BA149" s="996">
        <f>SUM(AW149:AZ149)</f>
        <v>0</v>
      </c>
      <c r="BB149" s="993"/>
      <c r="BC149" s="961"/>
      <c r="BD149" s="961"/>
      <c r="BE149" s="961"/>
      <c r="BF149" s="961"/>
      <c r="BG149" s="996">
        <f>SUM(BC149:BF149)</f>
        <v>0</v>
      </c>
      <c r="BH149" s="993"/>
      <c r="BI149" s="961"/>
      <c r="BJ149" s="961"/>
      <c r="BK149" s="961"/>
      <c r="BL149" s="961"/>
      <c r="BM149" s="996">
        <f>SUM(BI149:BL149)</f>
        <v>0</v>
      </c>
      <c r="BN149" s="993"/>
      <c r="BO149" s="961"/>
      <c r="BP149" s="961"/>
      <c r="BQ149" s="961"/>
      <c r="BR149" s="961"/>
      <c r="BS149" s="996">
        <f>SUM(BO149:BR149)</f>
        <v>0</v>
      </c>
      <c r="BT149" s="993"/>
      <c r="BU149" s="961"/>
      <c r="BV149" s="961"/>
      <c r="BW149" s="961"/>
      <c r="BX149" s="961"/>
      <c r="BY149" s="996">
        <f>SUM(BU149:BX149)</f>
        <v>0</v>
      </c>
      <c r="BZ149" s="993"/>
      <c r="CA149" s="961"/>
      <c r="CB149" s="961"/>
      <c r="CC149" s="961"/>
      <c r="CD149" s="961"/>
      <c r="CE149" s="996">
        <f>SUM(CA149:CD149)</f>
        <v>0</v>
      </c>
      <c r="CF149" s="993"/>
      <c r="CG149" s="961"/>
      <c r="CH149" s="961"/>
      <c r="CI149" s="961"/>
      <c r="CJ149" s="961"/>
      <c r="CK149" s="996">
        <f>SUM(CG149:CJ149)</f>
        <v>0</v>
      </c>
      <c r="CL149" s="993"/>
      <c r="CM149" s="961"/>
      <c r="CN149" s="961"/>
      <c r="CO149" s="961"/>
      <c r="CP149" s="961"/>
      <c r="CQ149" s="996">
        <f>SUM(CM149:CP149)</f>
        <v>0</v>
      </c>
      <c r="CR149" s="993"/>
      <c r="CS149" s="961"/>
      <c r="CT149" s="961"/>
      <c r="CU149" s="961"/>
      <c r="CV149" s="961"/>
      <c r="CW149" s="996">
        <f>SUM(CS149:CV149)</f>
        <v>0</v>
      </c>
      <c r="CX149" s="993"/>
      <c r="CY149" s="961"/>
      <c r="CZ149" s="961"/>
      <c r="DA149" s="961"/>
      <c r="DB149" s="961"/>
      <c r="DC149" s="996">
        <f>SUM(CY149:DB149)</f>
        <v>0</v>
      </c>
      <c r="DD149" s="993"/>
      <c r="DE149" s="961"/>
      <c r="DF149" s="961"/>
      <c r="DG149" s="961"/>
      <c r="DH149" s="961"/>
      <c r="DI149" s="996">
        <f>SUM(DE149:DH149)</f>
        <v>0</v>
      </c>
      <c r="DJ149" s="993"/>
      <c r="DK149" s="961"/>
      <c r="DL149" s="961"/>
      <c r="DM149" s="961"/>
      <c r="DN149" s="961"/>
      <c r="DO149" s="996">
        <f>SUM(DK149:DN149)</f>
        <v>0</v>
      </c>
      <c r="DP149" s="1062"/>
      <c r="DQ149" s="966"/>
    </row>
    <row r="150" spans="1:121" ht="12.75" hidden="1" customHeight="1" outlineLevel="1">
      <c r="A150" s="1117" t="s">
        <v>390</v>
      </c>
      <c r="B150" s="966"/>
      <c r="C150" s="966"/>
      <c r="D150" s="966"/>
      <c r="E150" s="966"/>
      <c r="F150" s="966"/>
      <c r="G150" s="966"/>
      <c r="H150" s="966"/>
      <c r="I150" s="966"/>
      <c r="J150" s="966"/>
      <c r="K150" s="966"/>
      <c r="L150" s="966"/>
      <c r="M150" s="961"/>
      <c r="N150" s="961"/>
      <c r="O150" s="961"/>
      <c r="P150" s="961"/>
      <c r="Q150" s="1088"/>
      <c r="R150" s="993"/>
      <c r="S150" s="961"/>
      <c r="T150" s="961"/>
      <c r="U150" s="961"/>
      <c r="V150" s="961"/>
      <c r="W150" s="1088"/>
      <c r="X150" s="993"/>
      <c r="Y150" s="961"/>
      <c r="Z150" s="961"/>
      <c r="AA150" s="961"/>
      <c r="AB150" s="961"/>
      <c r="AC150" s="1085"/>
      <c r="AD150" s="993"/>
      <c r="AE150" s="961"/>
      <c r="AF150" s="961"/>
      <c r="AG150" s="961"/>
      <c r="AH150" s="961"/>
      <c r="AI150" s="1085"/>
      <c r="AJ150" s="993"/>
      <c r="AK150" s="961"/>
      <c r="AL150" s="961"/>
      <c r="AM150" s="961"/>
      <c r="AN150" s="961"/>
      <c r="AO150" s="1085"/>
      <c r="AP150" s="993"/>
      <c r="AQ150" s="961"/>
      <c r="AR150" s="961"/>
      <c r="AS150" s="961"/>
      <c r="AT150" s="961"/>
      <c r="AU150" s="1085"/>
      <c r="AV150" s="993"/>
      <c r="AW150" s="961"/>
      <c r="AX150" s="961"/>
      <c r="AY150" s="961"/>
      <c r="AZ150" s="961"/>
      <c r="BA150" s="1085"/>
      <c r="BB150" s="993"/>
      <c r="BC150" s="961"/>
      <c r="BD150" s="961"/>
      <c r="BE150" s="961"/>
      <c r="BF150" s="961"/>
      <c r="BG150" s="1085"/>
      <c r="BH150" s="993"/>
      <c r="BI150" s="961"/>
      <c r="BJ150" s="961"/>
      <c r="BK150" s="961"/>
      <c r="BL150" s="961"/>
      <c r="BM150" s="1085"/>
      <c r="BN150" s="993"/>
      <c r="BO150" s="961"/>
      <c r="BP150" s="961"/>
      <c r="BQ150" s="961"/>
      <c r="BR150" s="961"/>
      <c r="BS150" s="1085"/>
      <c r="BT150" s="993"/>
      <c r="BU150" s="961"/>
      <c r="BV150" s="961"/>
      <c r="BW150" s="961"/>
      <c r="BX150" s="961"/>
      <c r="BY150" s="1085"/>
      <c r="BZ150" s="993"/>
      <c r="CA150" s="961"/>
      <c r="CB150" s="961"/>
      <c r="CC150" s="961"/>
      <c r="CD150" s="961"/>
      <c r="CE150" s="1085"/>
      <c r="CF150" s="993"/>
      <c r="CG150" s="961"/>
      <c r="CH150" s="961"/>
      <c r="CI150" s="961"/>
      <c r="CJ150" s="961"/>
      <c r="CK150" s="1085"/>
      <c r="CL150" s="993"/>
      <c r="CM150" s="961"/>
      <c r="CN150" s="961"/>
      <c r="CO150" s="961"/>
      <c r="CP150" s="961"/>
      <c r="CQ150" s="1085"/>
      <c r="CR150" s="993"/>
      <c r="CS150" s="961"/>
      <c r="CT150" s="961"/>
      <c r="CU150" s="961"/>
      <c r="CV150" s="961"/>
      <c r="CW150" s="1085"/>
      <c r="CX150" s="993"/>
      <c r="CY150" s="961"/>
      <c r="CZ150" s="961"/>
      <c r="DA150" s="961"/>
      <c r="DB150" s="961"/>
      <c r="DC150" s="1085"/>
      <c r="DD150" s="993"/>
      <c r="DE150" s="961"/>
      <c r="DF150" s="961"/>
      <c r="DG150" s="961"/>
      <c r="DH150" s="961"/>
      <c r="DI150" s="1085"/>
      <c r="DJ150" s="993"/>
      <c r="DK150" s="961"/>
      <c r="DL150" s="961"/>
      <c r="DM150" s="961"/>
      <c r="DN150" s="961"/>
      <c r="DO150" s="1085"/>
      <c r="DP150" s="1088"/>
      <c r="DQ150" s="966"/>
    </row>
    <row r="151" spans="1:121" ht="12.75" hidden="1" customHeight="1" outlineLevel="1">
      <c r="A151" s="1108" t="s">
        <v>973</v>
      </c>
      <c r="B151" s="966"/>
      <c r="C151" s="966"/>
      <c r="D151" s="966"/>
      <c r="E151" s="966"/>
      <c r="F151" s="966"/>
      <c r="G151" s="966"/>
      <c r="H151" s="966"/>
      <c r="I151" s="966"/>
      <c r="J151" s="966"/>
      <c r="K151" s="966"/>
      <c r="L151" s="966"/>
      <c r="M151" s="993">
        <f>CF!M86</f>
        <v>1.0840000000000001</v>
      </c>
      <c r="N151" s="993">
        <f>CF!N86</f>
        <v>1.044</v>
      </c>
      <c r="O151" s="993">
        <f>CF!O86</f>
        <v>1.0089999999999999</v>
      </c>
      <c r="P151" s="993">
        <f>CF!P86</f>
        <v>1.222</v>
      </c>
      <c r="Q151" s="993">
        <f>SUM(M151:P151)</f>
        <v>4.359</v>
      </c>
      <c r="R151" s="993"/>
      <c r="S151" s="993">
        <f>CF!S86</f>
        <v>0.877</v>
      </c>
      <c r="T151" s="993">
        <f>CF!T86</f>
        <v>1.1000000000000001</v>
      </c>
      <c r="U151" s="993">
        <f>CF!U86</f>
        <v>1.1910000000000001</v>
      </c>
      <c r="V151" s="993">
        <f>CF!V86</f>
        <v>0.44599999999999973</v>
      </c>
      <c r="W151" s="993">
        <v>0.79800000000000004</v>
      </c>
      <c r="X151" s="993"/>
      <c r="Y151" s="993">
        <f>CF!Y86</f>
        <v>0.85599999999999998</v>
      </c>
      <c r="Z151" s="993">
        <f>CF!Z86</f>
        <v>0.93800000000000006</v>
      </c>
      <c r="AA151" s="993">
        <f>CF!AA86</f>
        <v>0.82500000000000018</v>
      </c>
      <c r="AB151" s="993">
        <f>CF!AB86</f>
        <v>0.82899999999999974</v>
      </c>
      <c r="AC151" s="996">
        <f>SUM(Y151:AB151)</f>
        <v>3.448</v>
      </c>
      <c r="AD151" s="993"/>
      <c r="AE151" s="993">
        <f>CF!AE86</f>
        <v>7.6059999999999999</v>
      </c>
      <c r="AF151" s="993">
        <f>CF!AF86</f>
        <v>10.193</v>
      </c>
      <c r="AG151" s="993">
        <f>CF!AG86</f>
        <v>10.240000000000002</v>
      </c>
      <c r="AH151" s="993">
        <f>AH146*0.3</f>
        <v>2.4126000000000003</v>
      </c>
      <c r="AI151" s="996">
        <f>SUM(AE151:AH151)</f>
        <v>30.451600000000003</v>
      </c>
      <c r="AJ151" s="993"/>
      <c r="AK151" s="993">
        <f>CF!AK86</f>
        <v>12.012</v>
      </c>
      <c r="AL151" s="993">
        <f>CF!AL86</f>
        <v>13.431000000000001</v>
      </c>
      <c r="AM151" s="993">
        <f>CF!AM86</f>
        <v>14.178000000000001</v>
      </c>
      <c r="AN151" s="993">
        <f>CF!AN86</f>
        <v>15.585999999999999</v>
      </c>
      <c r="AO151" s="996">
        <f>SUM(AK151:AN151)</f>
        <v>55.207000000000001</v>
      </c>
      <c r="AP151" s="993"/>
      <c r="AQ151" s="993">
        <f>CF!AQ86</f>
        <v>18.065000000000001</v>
      </c>
      <c r="AR151" s="993">
        <f>CF!AR86</f>
        <v>18.883999999999997</v>
      </c>
      <c r="AS151" s="993">
        <f>CF!AS86</f>
        <v>19.276000000000003</v>
      </c>
      <c r="AT151" s="993">
        <f>CF!AT86</f>
        <v>21.140999999999998</v>
      </c>
      <c r="AU151" s="996">
        <f>SUM(AQ151:AT151)</f>
        <v>77.366</v>
      </c>
      <c r="AV151" s="993"/>
      <c r="AW151" s="993">
        <f>CF!AW86</f>
        <v>21.663</v>
      </c>
      <c r="AX151" s="993">
        <f>CF!AX86</f>
        <v>20.876999999999999</v>
      </c>
      <c r="AY151" s="977">
        <f>Model!AY56</f>
        <v>20.407</v>
      </c>
      <c r="AZ151" s="977">
        <f>Model!AZ56</f>
        <v>25.945</v>
      </c>
      <c r="BA151" s="996">
        <f>SUM(AW151:AZ151)</f>
        <v>88.891999999999996</v>
      </c>
      <c r="BB151" s="993"/>
      <c r="BC151" s="993">
        <f>-CF!BC89</f>
        <v>9.2880000000000003</v>
      </c>
      <c r="BD151" s="993">
        <f>-CF!BD89</f>
        <v>22.901999999999997</v>
      </c>
      <c r="BE151" s="993">
        <f>-CF!BE89</f>
        <v>14.578000000000003</v>
      </c>
      <c r="BF151" s="993">
        <f>-CF!BF89</f>
        <v>-10.777000000000001</v>
      </c>
      <c r="BG151" s="996">
        <f>SUM(BC151:BF151)</f>
        <v>35.991</v>
      </c>
      <c r="BH151" s="993"/>
      <c r="BI151" s="993">
        <f>-CF!BI89</f>
        <v>2.0339999999999998</v>
      </c>
      <c r="BJ151" s="993">
        <f>-CF!BJ89</f>
        <v>2.0860000000000003</v>
      </c>
      <c r="BK151" s="993">
        <f>-CF!BK89</f>
        <v>6.8920000000000003</v>
      </c>
      <c r="BL151" s="993">
        <f>-CF!BL89</f>
        <v>-4.9940000000000007</v>
      </c>
      <c r="BM151" s="996">
        <f>SUM(BI151:BL151)</f>
        <v>6.0179999999999998</v>
      </c>
      <c r="BN151" s="993"/>
      <c r="BO151" s="993">
        <f>-CF!BO89</f>
        <v>11.042999999999999</v>
      </c>
      <c r="BP151" s="993">
        <f>-CF!BP89</f>
        <v>14.702000000000002</v>
      </c>
      <c r="BQ151" s="993">
        <f>-CF!BQ89</f>
        <v>3.16</v>
      </c>
      <c r="BR151" s="993">
        <f>-CF!BR89</f>
        <v>-13.972000000000001</v>
      </c>
      <c r="BS151" s="996">
        <f>SUM(BO151:BR151)</f>
        <v>14.933</v>
      </c>
      <c r="BT151" s="993"/>
      <c r="BU151" s="993">
        <f>-CF!BU89</f>
        <v>1.8660000000000001</v>
      </c>
      <c r="BV151" s="993">
        <f>-CF!BV89</f>
        <v>-1.278</v>
      </c>
      <c r="BW151" s="993">
        <f>-CF!BW89</f>
        <v>1.5779999999999998</v>
      </c>
      <c r="BX151" s="993">
        <f>-CF!BX89</f>
        <v>5.9779999999999998</v>
      </c>
      <c r="BY151" s="996">
        <f>SUM(BU151:BX151)</f>
        <v>8.1440000000000001</v>
      </c>
      <c r="BZ151" s="993"/>
      <c r="CA151" s="993">
        <f>-CF!CA89</f>
        <v>9.0410000000000004</v>
      </c>
      <c r="CB151" s="993">
        <f>-CF!CB89</f>
        <v>-6.8150000000000004</v>
      </c>
      <c r="CC151" s="993">
        <f>-CF!CC89</f>
        <v>1.2210000000000001</v>
      </c>
      <c r="CD151" s="993">
        <f>-CF!CD89</f>
        <v>4.2830000000000004</v>
      </c>
      <c r="CE151" s="996">
        <f>SUM(CA151:CD151)</f>
        <v>7.73</v>
      </c>
      <c r="CF151" s="993"/>
      <c r="CG151" s="993">
        <f>-CF!CG89</f>
        <v>4.2240000000000002</v>
      </c>
      <c r="CH151" s="993">
        <f>-CF!CH89</f>
        <v>-0.13300000000000001</v>
      </c>
      <c r="CI151" s="993">
        <f>-CF!CI89</f>
        <v>44.606999999999999</v>
      </c>
      <c r="CJ151" s="993">
        <f>-CF!CJ89</f>
        <v>10.798000000000002</v>
      </c>
      <c r="CK151" s="996">
        <f>SUM(CG151:CJ151)</f>
        <v>59.496000000000002</v>
      </c>
      <c r="CL151" s="993"/>
      <c r="CM151" s="993">
        <f>-CF!CM89</f>
        <v>0</v>
      </c>
      <c r="CN151" s="993">
        <f>-CF!CN89</f>
        <v>0</v>
      </c>
      <c r="CO151" s="993">
        <f>-CF!CO89</f>
        <v>0</v>
      </c>
      <c r="CP151" s="993">
        <f>-CF!CP89</f>
        <v>0</v>
      </c>
      <c r="CQ151" s="996">
        <f>SUM(CM151:CP151)</f>
        <v>0</v>
      </c>
      <c r="CR151" s="993"/>
      <c r="CS151" s="993">
        <f>-CF!CS89</f>
        <v>0</v>
      </c>
      <c r="CT151" s="993">
        <f>-CF!CT89</f>
        <v>0</v>
      </c>
      <c r="CU151" s="993">
        <f>-CF!CU89</f>
        <v>0</v>
      </c>
      <c r="CV151" s="977">
        <v>0</v>
      </c>
      <c r="CW151" s="996">
        <f>SUM(CS151:CV151)</f>
        <v>0</v>
      </c>
      <c r="CX151" s="993"/>
      <c r="CY151" s="977">
        <f>Model!CY56</f>
        <v>264.14744999999999</v>
      </c>
      <c r="CZ151" s="977">
        <f>Model!CZ56</f>
        <v>282.13350000000003</v>
      </c>
      <c r="DA151" s="977">
        <f>Model!DA56</f>
        <v>276.40469999999999</v>
      </c>
      <c r="DB151" s="977">
        <f>Model!DB56</f>
        <v>261.4502</v>
      </c>
      <c r="DC151" s="996">
        <f>SUM(CY151:DB151)</f>
        <v>1084.1358500000001</v>
      </c>
      <c r="DD151" s="993"/>
      <c r="DE151" s="977">
        <f>Model!DE56</f>
        <v>277.35482250000001</v>
      </c>
      <c r="DF151" s="977">
        <f>Model!DF56</f>
        <v>296.24017500000002</v>
      </c>
      <c r="DG151" s="977">
        <f>Model!DG56</f>
        <v>290.22493500000002</v>
      </c>
      <c r="DH151" s="977">
        <f>Model!DH56</f>
        <v>274.52271000000002</v>
      </c>
      <c r="DI151" s="996">
        <f>SUM(DE151:DH151)</f>
        <v>1138.3426425</v>
      </c>
      <c r="DJ151" s="993"/>
      <c r="DK151" s="977">
        <f>Model!DK56</f>
        <v>291.22256362500002</v>
      </c>
      <c r="DL151" s="977">
        <f>Model!DL56</f>
        <v>311.05218375000004</v>
      </c>
      <c r="DM151" s="977">
        <f>Model!DM56</f>
        <v>304.73618175000001</v>
      </c>
      <c r="DN151" s="977">
        <f>Model!DN56</f>
        <v>288.24884550000002</v>
      </c>
      <c r="DO151" s="996">
        <f>SUM(DK151:DN151)</f>
        <v>1195.2597746250001</v>
      </c>
      <c r="DP151" s="1062"/>
      <c r="DQ151" s="966"/>
    </row>
    <row r="152" spans="1:121" ht="12.75" hidden="1" customHeight="1" outlineLevel="1">
      <c r="A152" s="1122" t="s">
        <v>819</v>
      </c>
      <c r="B152" s="966"/>
      <c r="C152" s="966"/>
      <c r="D152" s="966"/>
      <c r="E152" s="966"/>
      <c r="F152" s="966"/>
      <c r="G152" s="966"/>
      <c r="H152" s="966"/>
      <c r="I152" s="966"/>
      <c r="J152" s="966"/>
      <c r="K152" s="966"/>
      <c r="L152" s="966"/>
      <c r="M152" s="993"/>
      <c r="N152" s="993"/>
      <c r="O152" s="993"/>
      <c r="P152" s="993"/>
      <c r="Q152" s="993"/>
      <c r="R152" s="993"/>
      <c r="S152" s="993"/>
      <c r="T152" s="993"/>
      <c r="U152" s="993"/>
      <c r="V152" s="993"/>
      <c r="W152" s="1241">
        <f>W151/W146</f>
        <v>0.14580668737438335</v>
      </c>
      <c r="X152" s="993"/>
      <c r="Y152" s="993"/>
      <c r="Z152" s="993"/>
      <c r="AA152" s="993"/>
      <c r="AB152" s="993"/>
      <c r="AC152" s="1086">
        <f>AC151/AC146</f>
        <v>0.21912932952017794</v>
      </c>
      <c r="AD152" s="993"/>
      <c r="AE152" s="993"/>
      <c r="AF152" s="993"/>
      <c r="AG152" s="993"/>
      <c r="AH152" s="993"/>
      <c r="AI152" s="1086">
        <f>AI151/AI146</f>
        <v>1.0470944226669419</v>
      </c>
      <c r="AJ152" s="993"/>
      <c r="AK152" s="993"/>
      <c r="AL152" s="993"/>
      <c r="AM152" s="993"/>
      <c r="AN152" s="993"/>
      <c r="AO152" s="1086">
        <f>AO151/AO146</f>
        <v>0.90637005417829586</v>
      </c>
      <c r="AP152" s="993"/>
      <c r="AQ152" s="993"/>
      <c r="AR152" s="993"/>
      <c r="AS152" s="993"/>
      <c r="AT152" s="993"/>
      <c r="AU152" s="1086">
        <f>AU151/AU146</f>
        <v>1.7862898570801875</v>
      </c>
      <c r="AV152" s="993"/>
      <c r="AW152" s="993"/>
      <c r="AX152" s="993"/>
      <c r="AY152" s="993"/>
      <c r="AZ152" s="993"/>
      <c r="BA152" s="1086">
        <f>BA151/BA146</f>
        <v>0.94711046709853397</v>
      </c>
      <c r="BB152" s="993"/>
      <c r="BC152" s="993"/>
      <c r="BD152" s="993"/>
      <c r="BE152" s="993"/>
      <c r="BF152" s="993"/>
      <c r="BG152" s="1086">
        <f>BG151/BG146</f>
        <v>0.22437999526190447</v>
      </c>
      <c r="BH152" s="993"/>
      <c r="BI152" s="993"/>
      <c r="BJ152" s="993"/>
      <c r="BK152" s="993"/>
      <c r="BL152" s="993"/>
      <c r="BM152" s="1086">
        <f>BM151/BM146</f>
        <v>5.1627847123922273E-2</v>
      </c>
      <c r="BN152" s="993"/>
      <c r="BO152" s="993"/>
      <c r="BP152" s="993"/>
      <c r="BQ152" s="993"/>
      <c r="BR152" s="993"/>
      <c r="BS152" s="1086">
        <f>BS151/BS146</f>
        <v>4.2499843468064638E-2</v>
      </c>
      <c r="BT152" s="993"/>
      <c r="BU152" s="993"/>
      <c r="BV152" s="993"/>
      <c r="BW152" s="993"/>
      <c r="BX152" s="993"/>
      <c r="BY152" s="1086">
        <f>BY151/BY146</f>
        <v>2.8089441970675783E-2</v>
      </c>
      <c r="BZ152" s="993"/>
      <c r="CA152" s="993"/>
      <c r="CB152" s="993"/>
      <c r="CC152" s="993"/>
      <c r="CD152" s="993"/>
      <c r="CE152" s="1086">
        <f>CE151/CE146</f>
        <v>2.5017071805145171E-2</v>
      </c>
      <c r="CF152" s="993"/>
      <c r="CG152" s="993"/>
      <c r="CH152" s="993"/>
      <c r="CI152" s="993"/>
      <c r="CJ152" s="993"/>
      <c r="CK152" s="1086">
        <f>CK151/CK146</f>
        <v>0.1306220662946066</v>
      </c>
      <c r="CL152" s="993"/>
      <c r="CM152" s="993"/>
      <c r="CN152" s="993"/>
      <c r="CO152" s="993"/>
      <c r="CP152" s="993"/>
      <c r="CQ152" s="1086">
        <f>CQ151/CQ146</f>
        <v>0</v>
      </c>
      <c r="CR152" s="993"/>
      <c r="CS152" s="993"/>
      <c r="CT152" s="993"/>
      <c r="CU152" s="993"/>
      <c r="CV152" s="993"/>
      <c r="CW152" s="1086">
        <f>CW151/CW146</f>
        <v>0</v>
      </c>
      <c r="CX152" s="993"/>
      <c r="CY152" s="993"/>
      <c r="CZ152" s="993"/>
      <c r="DA152" s="993"/>
      <c r="DB152" s="993"/>
      <c r="DC152" s="1086">
        <f>DC151/DC146</f>
        <v>12.390124000000002</v>
      </c>
      <c r="DD152" s="993"/>
      <c r="DE152" s="993"/>
      <c r="DF152" s="993"/>
      <c r="DG152" s="993"/>
      <c r="DH152" s="993"/>
      <c r="DI152" s="1086">
        <f>DI151/DI146</f>
        <v>7.5889509500000001</v>
      </c>
      <c r="DJ152" s="993"/>
      <c r="DK152" s="993"/>
      <c r="DL152" s="993"/>
      <c r="DM152" s="993"/>
      <c r="DN152" s="993"/>
      <c r="DO152" s="1086">
        <f>DO151/DO146</f>
        <v>7.9683984975000008</v>
      </c>
      <c r="DP152" s="1695"/>
      <c r="DQ152" s="966"/>
    </row>
    <row r="153" spans="1:121" ht="13.5" hidden="1" customHeight="1" outlineLevel="1">
      <c r="A153" s="1240"/>
      <c r="B153" s="971"/>
      <c r="C153" s="971"/>
      <c r="D153" s="971"/>
      <c r="E153" s="971"/>
      <c r="F153" s="971"/>
      <c r="G153" s="971"/>
      <c r="H153" s="971"/>
      <c r="I153" s="971"/>
      <c r="J153" s="971"/>
      <c r="K153" s="971"/>
      <c r="L153" s="971"/>
      <c r="M153" s="1082"/>
      <c r="N153" s="1082"/>
      <c r="O153" s="1082"/>
      <c r="P153" s="1083"/>
      <c r="Q153" s="1083"/>
      <c r="R153" s="1081"/>
      <c r="S153" s="1082"/>
      <c r="T153" s="1082"/>
      <c r="U153" s="1082"/>
      <c r="V153" s="1083"/>
      <c r="W153" s="1083"/>
      <c r="X153" s="1081"/>
      <c r="Y153" s="1082"/>
      <c r="Z153" s="1082"/>
      <c r="AA153" s="1082"/>
      <c r="AB153" s="1083"/>
      <c r="AC153" s="1084"/>
      <c r="AD153" s="1081"/>
      <c r="AE153" s="1082"/>
      <c r="AF153" s="1082"/>
      <c r="AG153" s="1082"/>
      <c r="AH153" s="1083"/>
      <c r="AI153" s="1084"/>
      <c r="AJ153" s="1081"/>
      <c r="AK153" s="1082"/>
      <c r="AL153" s="1082"/>
      <c r="AM153" s="1082"/>
      <c r="AN153" s="1083"/>
      <c r="AO153" s="1084"/>
      <c r="AP153" s="1081"/>
      <c r="AQ153" s="1082"/>
      <c r="AR153" s="1082"/>
      <c r="AS153" s="1082"/>
      <c r="AT153" s="1082"/>
      <c r="AU153" s="1084"/>
      <c r="AV153" s="1081"/>
      <c r="AW153" s="1082"/>
      <c r="AX153" s="1082"/>
      <c r="AY153" s="1082"/>
      <c r="AZ153" s="1082"/>
      <c r="BA153" s="1084"/>
      <c r="BB153" s="1081"/>
      <c r="BC153" s="1082"/>
      <c r="BD153" s="1082"/>
      <c r="BE153" s="1082"/>
      <c r="BF153" s="1082"/>
      <c r="BG153" s="1084"/>
      <c r="BH153" s="1081"/>
      <c r="BI153" s="1082"/>
      <c r="BJ153" s="1082"/>
      <c r="BK153" s="1082"/>
      <c r="BL153" s="1082"/>
      <c r="BM153" s="1084"/>
      <c r="BN153" s="1081"/>
      <c r="BO153" s="1082"/>
      <c r="BP153" s="1082"/>
      <c r="BQ153" s="1082"/>
      <c r="BR153" s="1082"/>
      <c r="BS153" s="1084"/>
      <c r="BT153" s="1081"/>
      <c r="BU153" s="1082"/>
      <c r="BV153" s="1082"/>
      <c r="BW153" s="1082"/>
      <c r="BX153" s="1082"/>
      <c r="BY153" s="1084"/>
      <c r="BZ153" s="1081"/>
      <c r="CA153" s="1082"/>
      <c r="CB153" s="1082"/>
      <c r="CC153" s="1082"/>
      <c r="CD153" s="1082"/>
      <c r="CE153" s="1084"/>
      <c r="CF153" s="1081"/>
      <c r="CG153" s="1082"/>
      <c r="CH153" s="1082"/>
      <c r="CI153" s="1082"/>
      <c r="CJ153" s="1082"/>
      <c r="CK153" s="1084"/>
      <c r="CL153" s="1081"/>
      <c r="CM153" s="1082"/>
      <c r="CN153" s="1082"/>
      <c r="CO153" s="1082"/>
      <c r="CP153" s="1082"/>
      <c r="CQ153" s="1084"/>
      <c r="CR153" s="1081"/>
      <c r="CS153" s="1082"/>
      <c r="CT153" s="1082"/>
      <c r="CU153" s="1082"/>
      <c r="CV153" s="1083"/>
      <c r="CW153" s="1084"/>
      <c r="CX153" s="1081"/>
      <c r="CY153" s="1082"/>
      <c r="CZ153" s="1082"/>
      <c r="DA153" s="1082"/>
      <c r="DB153" s="1083"/>
      <c r="DC153" s="1084"/>
      <c r="DD153" s="1081"/>
      <c r="DE153" s="1082"/>
      <c r="DF153" s="1082"/>
      <c r="DG153" s="1082"/>
      <c r="DH153" s="1083"/>
      <c r="DI153" s="1084"/>
      <c r="DJ153" s="1081"/>
      <c r="DK153" s="1082"/>
      <c r="DL153" s="1082"/>
      <c r="DM153" s="1082"/>
      <c r="DN153" s="1083"/>
      <c r="DO153" s="1084"/>
      <c r="DP153" s="1083"/>
      <c r="DQ153" s="971"/>
    </row>
    <row r="154" spans="1:121" ht="12.75" hidden="1" customHeight="1" outlineLevel="1">
      <c r="A154" s="1117" t="s">
        <v>37</v>
      </c>
      <c r="B154" s="966"/>
      <c r="C154" s="966"/>
      <c r="D154" s="966"/>
      <c r="E154" s="966"/>
      <c r="F154" s="966"/>
      <c r="G154" s="966"/>
      <c r="H154" s="966"/>
      <c r="I154" s="966"/>
      <c r="J154" s="966"/>
      <c r="K154" s="966"/>
      <c r="L154" s="966"/>
      <c r="M154" s="961"/>
      <c r="N154" s="961"/>
      <c r="O154" s="961"/>
      <c r="P154" s="961"/>
      <c r="Q154" s="1088"/>
      <c r="R154" s="993"/>
      <c r="S154" s="961"/>
      <c r="T154" s="961"/>
      <c r="U154" s="961"/>
      <c r="V154" s="961"/>
      <c r="W154" s="1088"/>
      <c r="X154" s="993"/>
      <c r="Y154" s="961"/>
      <c r="Z154" s="961"/>
      <c r="AA154" s="961"/>
      <c r="AB154" s="961"/>
      <c r="AC154" s="1085"/>
      <c r="AD154" s="993"/>
      <c r="AE154" s="961"/>
      <c r="AF154" s="961"/>
      <c r="AG154" s="961"/>
      <c r="AH154" s="961"/>
      <c r="AI154" s="1085"/>
      <c r="AJ154" s="993"/>
      <c r="AK154" s="961"/>
      <c r="AL154" s="961"/>
      <c r="AM154" s="961"/>
      <c r="AN154" s="961"/>
      <c r="AO154" s="1085"/>
      <c r="AP154" s="993"/>
      <c r="AQ154" s="961"/>
      <c r="AR154" s="961"/>
      <c r="AS154" s="961"/>
      <c r="AT154" s="961"/>
      <c r="AU154" s="1085"/>
      <c r="AV154" s="993"/>
      <c r="AW154" s="961"/>
      <c r="AX154" s="961"/>
      <c r="AY154" s="961"/>
      <c r="AZ154" s="961"/>
      <c r="BA154" s="1085"/>
      <c r="BB154" s="993"/>
      <c r="BC154" s="961"/>
      <c r="BD154" s="961"/>
      <c r="BE154" s="961"/>
      <c r="BF154" s="961"/>
      <c r="BG154" s="1085"/>
      <c r="BH154" s="993"/>
      <c r="BI154" s="961"/>
      <c r="BJ154" s="961"/>
      <c r="BK154" s="961"/>
      <c r="BL154" s="961"/>
      <c r="BM154" s="1085"/>
      <c r="BN154" s="993"/>
      <c r="BO154" s="961"/>
      <c r="BP154" s="961"/>
      <c r="BQ154" s="961"/>
      <c r="BR154" s="961"/>
      <c r="BS154" s="1085"/>
      <c r="BT154" s="993"/>
      <c r="BU154" s="961"/>
      <c r="BV154" s="961"/>
      <c r="BW154" s="961"/>
      <c r="BX154" s="961"/>
      <c r="BY154" s="1085"/>
      <c r="BZ154" s="993"/>
      <c r="CA154" s="961"/>
      <c r="CB154" s="961"/>
      <c r="CC154" s="961"/>
      <c r="CD154" s="961"/>
      <c r="CE154" s="1085"/>
      <c r="CF154" s="993"/>
      <c r="CG154" s="961"/>
      <c r="CH154" s="961"/>
      <c r="CI154" s="961"/>
      <c r="CJ154" s="961"/>
      <c r="CK154" s="1085"/>
      <c r="CL154" s="993"/>
      <c r="CM154" s="961"/>
      <c r="CN154" s="961"/>
      <c r="CO154" s="961"/>
      <c r="CP154" s="961"/>
      <c r="CQ154" s="1085"/>
      <c r="CR154" s="993"/>
      <c r="CS154" s="961"/>
      <c r="CT154" s="961"/>
      <c r="CU154" s="961"/>
      <c r="CV154" s="961"/>
      <c r="CW154" s="1085"/>
      <c r="CX154" s="993"/>
      <c r="CY154" s="961"/>
      <c r="CZ154" s="961"/>
      <c r="DA154" s="961"/>
      <c r="DB154" s="961"/>
      <c r="DC154" s="1085"/>
      <c r="DD154" s="993"/>
      <c r="DE154" s="961"/>
      <c r="DF154" s="961"/>
      <c r="DG154" s="961"/>
      <c r="DH154" s="961"/>
      <c r="DI154" s="1085"/>
      <c r="DJ154" s="993"/>
      <c r="DK154" s="961"/>
      <c r="DL154" s="961"/>
      <c r="DM154" s="961"/>
      <c r="DN154" s="961"/>
      <c r="DO154" s="1085"/>
      <c r="DP154" s="1088"/>
      <c r="DQ154" s="966"/>
    </row>
    <row r="155" spans="1:121" ht="12.75" hidden="1" customHeight="1" outlineLevel="1">
      <c r="A155" s="1108" t="s">
        <v>974</v>
      </c>
      <c r="B155" s="966"/>
      <c r="C155" s="966"/>
      <c r="D155" s="966"/>
      <c r="E155" s="966"/>
      <c r="F155" s="966"/>
      <c r="G155" s="966"/>
      <c r="H155" s="966"/>
      <c r="I155" s="966"/>
      <c r="J155" s="966"/>
      <c r="K155" s="966"/>
      <c r="L155" s="966"/>
      <c r="M155" s="961">
        <f>Q155/4</f>
        <v>0</v>
      </c>
      <c r="N155" s="961">
        <f>(Q155-M155)/3</f>
        <v>0</v>
      </c>
      <c r="O155" s="961">
        <f>(Q155-M155-N155)/2</f>
        <v>0</v>
      </c>
      <c r="P155" s="961">
        <f>Q155-O155-N155-M155</f>
        <v>0</v>
      </c>
      <c r="Q155" s="961">
        <v>0</v>
      </c>
      <c r="R155" s="993"/>
      <c r="S155" s="961">
        <v>0</v>
      </c>
      <c r="T155" s="961">
        <f>11.5</f>
        <v>11.5</v>
      </c>
      <c r="U155" s="961">
        <f>(W155-S155-T155)/2</f>
        <v>0</v>
      </c>
      <c r="V155" s="961">
        <f>W155-U155-T155-S155</f>
        <v>0</v>
      </c>
      <c r="W155" s="961">
        <f>11.5</f>
        <v>11.5</v>
      </c>
      <c r="X155" s="993"/>
      <c r="Y155" s="961">
        <f>AC155/4</f>
        <v>0</v>
      </c>
      <c r="Z155" s="961">
        <f>(AC155-Y155)/3</f>
        <v>0</v>
      </c>
      <c r="AA155" s="961">
        <f>(AC155-Y155-Z155)/2</f>
        <v>0</v>
      </c>
      <c r="AB155" s="961">
        <f>AC155-AA155-Z155-Y155</f>
        <v>0</v>
      </c>
      <c r="AC155" s="1080">
        <v>0</v>
      </c>
      <c r="AD155" s="993"/>
      <c r="AE155" s="961">
        <f>AI155/4</f>
        <v>0</v>
      </c>
      <c r="AF155" s="961">
        <f>(AI155-AE155)/3</f>
        <v>0</v>
      </c>
      <c r="AG155" s="961">
        <f>(AJ155-AF155)/3</f>
        <v>0</v>
      </c>
      <c r="AH155" s="961">
        <f>AI155-AG155-AF155-AE155</f>
        <v>0</v>
      </c>
      <c r="AI155" s="1080">
        <v>0</v>
      </c>
      <c r="AJ155" s="993"/>
      <c r="AK155" s="961">
        <f>AO155/4</f>
        <v>0</v>
      </c>
      <c r="AL155" s="961">
        <f>(AO155-AK155)/3</f>
        <v>0</v>
      </c>
      <c r="AM155" s="961">
        <f>(AO155-AK155-AL155)/2</f>
        <v>0</v>
      </c>
      <c r="AN155" s="961">
        <f>AO155-AM155-AL155-AK155</f>
        <v>0</v>
      </c>
      <c r="AO155" s="1080">
        <v>0</v>
      </c>
      <c r="AP155" s="993"/>
      <c r="AQ155" s="961">
        <f>AU155/4</f>
        <v>0</v>
      </c>
      <c r="AR155" s="961">
        <f>AV155/4</f>
        <v>0</v>
      </c>
      <c r="AS155" s="961">
        <f>AW155/4</f>
        <v>0</v>
      </c>
      <c r="AT155" s="961">
        <f>AX155/4</f>
        <v>0</v>
      </c>
      <c r="AU155" s="1080">
        <v>0</v>
      </c>
      <c r="AV155" s="993"/>
      <c r="AW155" s="961">
        <f>BA155/4</f>
        <v>0</v>
      </c>
      <c r="AX155" s="961">
        <f>BB155/4</f>
        <v>0</v>
      </c>
      <c r="AY155" s="961">
        <f>(BA155-AW155-AX155)/2</f>
        <v>0</v>
      </c>
      <c r="AZ155" s="961">
        <f>(BB155-AX155-AY155)/2</f>
        <v>0</v>
      </c>
      <c r="BA155" s="1080">
        <v>0</v>
      </c>
      <c r="BB155" s="993"/>
      <c r="BC155" s="961">
        <v>0</v>
      </c>
      <c r="BD155" s="961">
        <v>0</v>
      </c>
      <c r="BE155" s="961">
        <v>0</v>
      </c>
      <c r="BF155" s="961">
        <v>0</v>
      </c>
      <c r="BG155" s="1080">
        <f>SUM(BC155:BF155)</f>
        <v>0</v>
      </c>
      <c r="BH155" s="993"/>
      <c r="BI155" s="961">
        <v>0</v>
      </c>
      <c r="BJ155" s="961">
        <v>0</v>
      </c>
      <c r="BK155" s="961">
        <v>0</v>
      </c>
      <c r="BL155" s="961">
        <v>0</v>
      </c>
      <c r="BM155" s="1080">
        <f>SUM(BI155:BL155)</f>
        <v>0</v>
      </c>
      <c r="BN155" s="993"/>
      <c r="BO155" s="961">
        <v>0</v>
      </c>
      <c r="BP155" s="961">
        <v>0</v>
      </c>
      <c r="BQ155" s="961">
        <v>0</v>
      </c>
      <c r="BR155" s="961">
        <v>0</v>
      </c>
      <c r="BS155" s="1080">
        <f>SUM(BO155:BR155)</f>
        <v>0</v>
      </c>
      <c r="BT155" s="993"/>
      <c r="BU155" s="961">
        <v>0</v>
      </c>
      <c r="BV155" s="961">
        <v>0</v>
      </c>
      <c r="BW155" s="961">
        <v>0</v>
      </c>
      <c r="BX155" s="961">
        <v>0</v>
      </c>
      <c r="BY155" s="1080">
        <f>SUM(BU155:BX155)</f>
        <v>0</v>
      </c>
      <c r="BZ155" s="993"/>
      <c r="CA155" s="961">
        <v>0</v>
      </c>
      <c r="CB155" s="961">
        <v>0</v>
      </c>
      <c r="CC155" s="961">
        <v>0</v>
      </c>
      <c r="CD155" s="961">
        <v>0</v>
      </c>
      <c r="CE155" s="1080">
        <f>SUM(CA155:CD155)</f>
        <v>0</v>
      </c>
      <c r="CF155" s="993"/>
      <c r="CG155" s="961">
        <v>0</v>
      </c>
      <c r="CH155" s="961">
        <v>0</v>
      </c>
      <c r="CI155" s="961">
        <v>0</v>
      </c>
      <c r="CJ155" s="961">
        <v>0</v>
      </c>
      <c r="CK155" s="1080">
        <f>SUM(CG155:CJ155)</f>
        <v>0</v>
      </c>
      <c r="CL155" s="993"/>
      <c r="CM155" s="961">
        <v>0</v>
      </c>
      <c r="CN155" s="961">
        <v>0</v>
      </c>
      <c r="CO155" s="961">
        <v>0</v>
      </c>
      <c r="CP155" s="961">
        <v>0</v>
      </c>
      <c r="CQ155" s="1080">
        <f>SUM(CM155:CP155)</f>
        <v>0</v>
      </c>
      <c r="CR155" s="993"/>
      <c r="CS155" s="961">
        <v>0</v>
      </c>
      <c r="CT155" s="961">
        <v>0</v>
      </c>
      <c r="CU155" s="961">
        <v>0</v>
      </c>
      <c r="CV155" s="961">
        <v>0</v>
      </c>
      <c r="CW155" s="1080">
        <f>SUM(CS155:CV155)</f>
        <v>0</v>
      </c>
      <c r="CX155" s="993"/>
      <c r="CY155" s="961">
        <v>0</v>
      </c>
      <c r="CZ155" s="961">
        <v>0</v>
      </c>
      <c r="DA155" s="961">
        <v>0</v>
      </c>
      <c r="DB155" s="961">
        <v>0</v>
      </c>
      <c r="DC155" s="1080">
        <f>SUM(CY155:DB155)</f>
        <v>0</v>
      </c>
      <c r="DD155" s="993"/>
      <c r="DE155" s="961">
        <v>0</v>
      </c>
      <c r="DF155" s="961">
        <v>0</v>
      </c>
      <c r="DG155" s="961">
        <v>0</v>
      </c>
      <c r="DH155" s="961">
        <v>0</v>
      </c>
      <c r="DI155" s="1080">
        <f>SUM(DE155:DH155)</f>
        <v>0</v>
      </c>
      <c r="DJ155" s="993"/>
      <c r="DK155" s="961">
        <v>0</v>
      </c>
      <c r="DL155" s="961">
        <v>0</v>
      </c>
      <c r="DM155" s="961">
        <v>0</v>
      </c>
      <c r="DN155" s="961">
        <v>0</v>
      </c>
      <c r="DO155" s="1080">
        <f>SUM(DK155:DN155)</f>
        <v>0</v>
      </c>
      <c r="DP155" s="961"/>
      <c r="DQ155" s="966"/>
    </row>
    <row r="156" spans="1:121" ht="12.75" hidden="1" customHeight="1" outlineLevel="1">
      <c r="A156" s="1108" t="s">
        <v>829</v>
      </c>
      <c r="B156" s="966"/>
      <c r="C156" s="966"/>
      <c r="D156" s="966"/>
      <c r="E156" s="966"/>
      <c r="F156" s="966"/>
      <c r="G156" s="966"/>
      <c r="H156" s="966"/>
      <c r="I156" s="966"/>
      <c r="J156" s="966"/>
      <c r="K156" s="966"/>
      <c r="L156" s="966"/>
      <c r="M156" s="1087"/>
      <c r="N156" s="1087"/>
      <c r="O156" s="1087"/>
      <c r="P156" s="1087"/>
      <c r="Q156" s="1087">
        <f>IF(ISERROR(SUMPRODUCT(M155:P155,M156:P156)/Q155),0,(SUMPRODUCT(M155:P155,M156:P156)/Q155))</f>
        <v>0</v>
      </c>
      <c r="R156" s="993"/>
      <c r="S156" s="1087"/>
      <c r="T156" s="1087">
        <v>9.8928999999999991</v>
      </c>
      <c r="U156" s="1087"/>
      <c r="V156" s="1087"/>
      <c r="W156" s="1087">
        <f>IF(ISERROR(SUMPRODUCT(S155:V155,S156:V156)/W155),0,(SUMPRODUCT(S155:V155,S156:V156)/W155))</f>
        <v>9.8928999999999991</v>
      </c>
      <c r="X156" s="993"/>
      <c r="Y156" s="1087"/>
      <c r="Z156" s="1087"/>
      <c r="AA156" s="1087"/>
      <c r="AB156" s="1087"/>
      <c r="AC156" s="1078">
        <f>IF(ISERROR(SUMPRODUCT(Y155:AB155,Y156:AB156)/AC155),0,(SUMPRODUCT(Y155:AB155,Y156:AB156)/AC155))</f>
        <v>0</v>
      </c>
      <c r="AD156" s="993"/>
      <c r="AE156" s="1087"/>
      <c r="AF156" s="1087"/>
      <c r="AG156" s="1087"/>
      <c r="AH156" s="1087"/>
      <c r="AI156" s="1078">
        <f>IF(ISERROR(SUMPRODUCT(AE155:AH155,AE156:AH156)/AI155),0,(SUMPRODUCT(AE155:AH155,AE156:AH156)/AI155))</f>
        <v>0</v>
      </c>
      <c r="AJ156" s="993"/>
      <c r="AK156" s="1087"/>
      <c r="AL156" s="1087"/>
      <c r="AM156" s="1087"/>
      <c r="AN156" s="1087"/>
      <c r="AO156" s="1078">
        <f>IF(ISERROR(SUMPRODUCT(AK155:AN155,AK156:AN156)/AO155),0,(SUMPRODUCT(AK155:AN155,AK156:AN156)/AO155))</f>
        <v>0</v>
      </c>
      <c r="AP156" s="993"/>
      <c r="AQ156" s="1087"/>
      <c r="AR156" s="1087"/>
      <c r="AS156" s="1087"/>
      <c r="AT156" s="1087"/>
      <c r="AU156" s="1078">
        <f>IF(ISERROR(SUMPRODUCT(AQ155:AT155,AQ156:AT156)/AU155),0,(SUMPRODUCT(AQ155:AT155,AQ156:AT156)/AU155))</f>
        <v>0</v>
      </c>
      <c r="AV156" s="993"/>
      <c r="AW156" s="1087"/>
      <c r="AX156" s="1087"/>
      <c r="AY156" s="1087"/>
      <c r="AZ156" s="1087"/>
      <c r="BA156" s="1078">
        <f>IF(ISERROR(SUMPRODUCT(AW155:AZ155,AW156:AZ156)/BA155),0,(SUMPRODUCT(AW155:AZ155,AW156:AZ156)/BA155))</f>
        <v>0</v>
      </c>
      <c r="BB156" s="993"/>
      <c r="BC156" s="1087"/>
      <c r="BD156" s="1087"/>
      <c r="BE156" s="1087"/>
      <c r="BF156" s="1087"/>
      <c r="BG156" s="1078">
        <f>IF(ISERROR(SUMPRODUCT(BC155:BF155,BC156:BF156)/BG155),0,(SUMPRODUCT(BC155:BF155,BC156:BF156)/BG155))</f>
        <v>0</v>
      </c>
      <c r="BH156" s="993"/>
      <c r="BI156" s="1087"/>
      <c r="BJ156" s="1087"/>
      <c r="BK156" s="1087"/>
      <c r="BL156" s="1087"/>
      <c r="BM156" s="1078">
        <f>IF(ISERROR(SUMPRODUCT(BI155:BL155,BI156:BL156)/BM155),0,(SUMPRODUCT(BI155:BL155,BI156:BL156)/BM155))</f>
        <v>0</v>
      </c>
      <c r="BN156" s="993"/>
      <c r="BO156" s="1087"/>
      <c r="BP156" s="1087"/>
      <c r="BQ156" s="1087"/>
      <c r="BR156" s="1087"/>
      <c r="BS156" s="1078">
        <f>IF(ISERROR(SUMPRODUCT(BO155:BR155,BO156:BR156)/BS155),0,(SUMPRODUCT(BO155:BR155,BO156:BR156)/BS155))</f>
        <v>0</v>
      </c>
      <c r="BT156" s="993"/>
      <c r="BU156" s="1087"/>
      <c r="BV156" s="1087"/>
      <c r="BW156" s="1087"/>
      <c r="BX156" s="1087"/>
      <c r="BY156" s="1078">
        <f>IF(ISERROR(SUMPRODUCT(BU155:BX155,BU156:BX156)/BY155),0,(SUMPRODUCT(BU155:BX155,BU156:BX156)/BY155))</f>
        <v>0</v>
      </c>
      <c r="BZ156" s="993"/>
      <c r="CA156" s="1087"/>
      <c r="CB156" s="1087"/>
      <c r="CC156" s="1087"/>
      <c r="CD156" s="1087"/>
      <c r="CE156" s="1078">
        <f>IF(ISERROR(SUMPRODUCT(CA155:CD155,CA156:CD156)/CE155),0,(SUMPRODUCT(CA155:CD155,CA156:CD156)/CE155))</f>
        <v>0</v>
      </c>
      <c r="CF156" s="993"/>
      <c r="CG156" s="1087"/>
      <c r="CH156" s="1087"/>
      <c r="CI156" s="1087"/>
      <c r="CJ156" s="1087"/>
      <c r="CK156" s="1078">
        <f>IF(ISERROR(SUMPRODUCT(CG155:CJ155,CG156:CJ156)/CK155),0,(SUMPRODUCT(CG155:CJ155,CG156:CJ156)/CK155))</f>
        <v>0</v>
      </c>
      <c r="CL156" s="993"/>
      <c r="CM156" s="1087"/>
      <c r="CN156" s="1087"/>
      <c r="CO156" s="1087"/>
      <c r="CP156" s="1087"/>
      <c r="CQ156" s="1078">
        <f>IF(ISERROR(SUMPRODUCT(CM155:CP155,CM156:CP156)/CQ155),0,(SUMPRODUCT(CM155:CP155,CM156:CP156)/CQ155))</f>
        <v>0</v>
      </c>
      <c r="CR156" s="993"/>
      <c r="CS156" s="1087"/>
      <c r="CT156" s="1087"/>
      <c r="CU156" s="1087"/>
      <c r="CV156" s="1087"/>
      <c r="CW156" s="1078">
        <f>IF(ISERROR(SUMPRODUCT(CS155:CV155,CS156:CV156)/CW155),0,(SUMPRODUCT(CS155:CV155,CS156:CV156)/CW155))</f>
        <v>0</v>
      </c>
      <c r="CX156" s="993"/>
      <c r="CY156" s="1087"/>
      <c r="CZ156" s="1087"/>
      <c r="DA156" s="1087"/>
      <c r="DB156" s="1087"/>
      <c r="DC156" s="1078">
        <f>IF(ISERROR(SUMPRODUCT(CY155:DB155,CY156:DB156)/DC155),0,(SUMPRODUCT(CY155:DB155,CY156:DB156)/DC155))</f>
        <v>0</v>
      </c>
      <c r="DD156" s="993"/>
      <c r="DE156" s="1087"/>
      <c r="DF156" s="1087"/>
      <c r="DG156" s="1087"/>
      <c r="DH156" s="1087"/>
      <c r="DI156" s="1078">
        <f>IF(ISERROR(SUMPRODUCT(DE155:DH155,DE156:DH156)/DI155),0,(SUMPRODUCT(DE155:DH155,DE156:DH156)/DI155))</f>
        <v>0</v>
      </c>
      <c r="DJ156" s="993"/>
      <c r="DK156" s="1087"/>
      <c r="DL156" s="1087"/>
      <c r="DM156" s="1087"/>
      <c r="DN156" s="1087"/>
      <c r="DO156" s="1078">
        <f>IF(ISERROR(SUMPRODUCT(DK155:DN155,DK156:DN156)/DO155),0,(SUMPRODUCT(DK155:DN155,DK156:DN156)/DO155))</f>
        <v>0</v>
      </c>
      <c r="DP156" s="1694"/>
      <c r="DQ156" s="966"/>
    </row>
    <row r="157" spans="1:121" ht="12.75" hidden="1" customHeight="1" outlineLevel="1">
      <c r="A157" s="1108" t="s">
        <v>973</v>
      </c>
      <c r="B157" s="966"/>
      <c r="C157" s="966"/>
      <c r="D157" s="966"/>
      <c r="E157" s="966"/>
      <c r="F157" s="966"/>
      <c r="G157" s="966"/>
      <c r="H157" s="966"/>
      <c r="I157" s="966"/>
      <c r="J157" s="966"/>
      <c r="K157" s="966"/>
      <c r="L157" s="966"/>
      <c r="M157" s="993">
        <f>ROUND(M155*M156,3)</f>
        <v>0</v>
      </c>
      <c r="N157" s="993">
        <f>ROUND(N155*N156,3)</f>
        <v>0</v>
      </c>
      <c r="O157" s="993">
        <f>ROUND(O155*O156,3)</f>
        <v>0</v>
      </c>
      <c r="P157" s="993">
        <f>ROUND(P155*P156,3)</f>
        <v>0</v>
      </c>
      <c r="Q157" s="993">
        <f>SUM(M157:P157)</f>
        <v>0</v>
      </c>
      <c r="R157" s="993"/>
      <c r="S157" s="993">
        <f>ROUND(S155*S156,3)</f>
        <v>0</v>
      </c>
      <c r="T157" s="993">
        <f>ROUND(T155*T156,3)</f>
        <v>113.768</v>
      </c>
      <c r="U157" s="993">
        <f>ROUND(U155*U156,3)</f>
        <v>0</v>
      </c>
      <c r="V157" s="993">
        <f>ROUND(V155*V156,3)</f>
        <v>0</v>
      </c>
      <c r="W157" s="993">
        <f>SUM(S157:V157)</f>
        <v>113.768</v>
      </c>
      <c r="X157" s="993"/>
      <c r="Y157" s="993">
        <f>ROUND(Y155*Y156,3)</f>
        <v>0</v>
      </c>
      <c r="Z157" s="993">
        <f>ROUND(Z155*Z156,3)</f>
        <v>0</v>
      </c>
      <c r="AA157" s="993">
        <f>ROUND(AA155*AA156,3)</f>
        <v>0</v>
      </c>
      <c r="AB157" s="993">
        <f>ROUND(AB155*AB156,3)</f>
        <v>0</v>
      </c>
      <c r="AC157" s="996">
        <f>SUM(Y157:AB157)</f>
        <v>0</v>
      </c>
      <c r="AD157" s="993"/>
      <c r="AE157" s="993">
        <f>ROUND(AE155*AE156,3)</f>
        <v>0</v>
      </c>
      <c r="AF157" s="993">
        <f>ROUND(AF155*AF156,3)</f>
        <v>0</v>
      </c>
      <c r="AG157" s="993">
        <f>ROUND(AG155*AG156,3)</f>
        <v>0</v>
      </c>
      <c r="AH157" s="993">
        <f>ROUND(AH155*AH156,3)</f>
        <v>0</v>
      </c>
      <c r="AI157" s="996">
        <f>SUM(AE157:AH157)</f>
        <v>0</v>
      </c>
      <c r="AJ157" s="993"/>
      <c r="AK157" s="993">
        <f>ROUND(AK155*AK156,3)</f>
        <v>0</v>
      </c>
      <c r="AL157" s="993">
        <f>ROUND(AL155*AL156,3)</f>
        <v>0</v>
      </c>
      <c r="AM157" s="993">
        <f>ROUND(AM155*AM156,3)</f>
        <v>0</v>
      </c>
      <c r="AN157" s="993">
        <f>ROUND(AN155*AN156,3)</f>
        <v>0</v>
      </c>
      <c r="AO157" s="996">
        <f>SUM(AK157:AN157)</f>
        <v>0</v>
      </c>
      <c r="AP157" s="993"/>
      <c r="AQ157" s="993">
        <f>ROUND(AQ155*AQ156,3)</f>
        <v>0</v>
      </c>
      <c r="AR157" s="993">
        <f>ROUND(AR155*AR156,3)</f>
        <v>0</v>
      </c>
      <c r="AS157" s="993">
        <f>ROUND(AS155*AS156,3)</f>
        <v>0</v>
      </c>
      <c r="AT157" s="993">
        <f>ROUND(AT155*AT156,3)</f>
        <v>0</v>
      </c>
      <c r="AU157" s="996">
        <f>SUM(AQ157:AT157)</f>
        <v>0</v>
      </c>
      <c r="AV157" s="993"/>
      <c r="AW157" s="993">
        <f>ROUND(AW155*AW156,3)</f>
        <v>0</v>
      </c>
      <c r="AX157" s="993">
        <f>ROUND(AX155*AX156,3)</f>
        <v>0</v>
      </c>
      <c r="AY157" s="993">
        <f>ROUND(AY155*AY156,3)</f>
        <v>0</v>
      </c>
      <c r="AZ157" s="993">
        <f>ROUND(AZ155*AZ156,3)</f>
        <v>0</v>
      </c>
      <c r="BA157" s="996">
        <f>SUM(AW157:AZ157)</f>
        <v>0</v>
      </c>
      <c r="BB157" s="993"/>
      <c r="BC157" s="993">
        <f>ROUND(BC155*BC156,3)</f>
        <v>0</v>
      </c>
      <c r="BD157" s="993">
        <f>ROUND(BD155*BD156,3)</f>
        <v>0</v>
      </c>
      <c r="BE157" s="993">
        <f>ROUND(BE155*BE156,3)</f>
        <v>0</v>
      </c>
      <c r="BF157" s="993">
        <f>ROUND(BF155*BF156,3)</f>
        <v>0</v>
      </c>
      <c r="BG157" s="996">
        <f>SUM(BC157:BF157)</f>
        <v>0</v>
      </c>
      <c r="BH157" s="993"/>
      <c r="BI157" s="993">
        <f>ROUND(BI155*BI156,3)</f>
        <v>0</v>
      </c>
      <c r="BJ157" s="993">
        <f>ROUND(BJ155*BJ156,3)</f>
        <v>0</v>
      </c>
      <c r="BK157" s="993">
        <f>ROUND(BK155*BK156,3)</f>
        <v>0</v>
      </c>
      <c r="BL157" s="993">
        <f>ROUND(BL155*BL156,3)</f>
        <v>0</v>
      </c>
      <c r="BM157" s="996">
        <f>SUM(BI157:BL157)</f>
        <v>0</v>
      </c>
      <c r="BN157" s="993"/>
      <c r="BO157" s="993">
        <f>ROUND(BO155*BO156,3)</f>
        <v>0</v>
      </c>
      <c r="BP157" s="993">
        <f>ROUND(BP155*BP156,3)</f>
        <v>0</v>
      </c>
      <c r="BQ157" s="993">
        <f>ROUND(BQ155*BQ156,3)</f>
        <v>0</v>
      </c>
      <c r="BR157" s="993">
        <f>ROUND(BR155*BR156,3)</f>
        <v>0</v>
      </c>
      <c r="BS157" s="996">
        <f>SUM(BO157:BR157)</f>
        <v>0</v>
      </c>
      <c r="BT157" s="993"/>
      <c r="BU157" s="993">
        <f>ROUND(BU155*BU156,3)</f>
        <v>0</v>
      </c>
      <c r="BV157" s="993">
        <f>ROUND(BV155*BV156,3)</f>
        <v>0</v>
      </c>
      <c r="BW157" s="993">
        <f>ROUND(BW155*BW156,3)</f>
        <v>0</v>
      </c>
      <c r="BX157" s="993">
        <f>ROUND(BX155*BX156,3)</f>
        <v>0</v>
      </c>
      <c r="BY157" s="996">
        <f>SUM(BU157:BX157)</f>
        <v>0</v>
      </c>
      <c r="BZ157" s="993"/>
      <c r="CA157" s="993">
        <f>ROUND(CA155*CA156,3)</f>
        <v>0</v>
      </c>
      <c r="CB157" s="993">
        <f>ROUND(CB155*CB156,3)</f>
        <v>0</v>
      </c>
      <c r="CC157" s="993">
        <f>ROUND(CC155*CC156,3)</f>
        <v>0</v>
      </c>
      <c r="CD157" s="993">
        <f>ROUND(CD155*CD156,3)</f>
        <v>0</v>
      </c>
      <c r="CE157" s="996">
        <f>SUM(CA157:CD157)</f>
        <v>0</v>
      </c>
      <c r="CF157" s="993"/>
      <c r="CG157" s="993">
        <f>ROUND(CG155*CG156,3)</f>
        <v>0</v>
      </c>
      <c r="CH157" s="993">
        <f>ROUND(CH155*CH156,3)</f>
        <v>0</v>
      </c>
      <c r="CI157" s="993">
        <f>ROUND(CI155*CI156,3)</f>
        <v>0</v>
      </c>
      <c r="CJ157" s="993">
        <f>ROUND(CJ155*CJ156,3)</f>
        <v>0</v>
      </c>
      <c r="CK157" s="996">
        <f>SUM(CG157:CJ157)</f>
        <v>0</v>
      </c>
      <c r="CL157" s="993"/>
      <c r="CM157" s="993">
        <f>ROUND(CM155*CM156,3)</f>
        <v>0</v>
      </c>
      <c r="CN157" s="993">
        <f>ROUND(CN155*CN156,3)</f>
        <v>0</v>
      </c>
      <c r="CO157" s="993">
        <f>ROUND(CO155*CO156,3)</f>
        <v>0</v>
      </c>
      <c r="CP157" s="993">
        <f>ROUND(CP155*CP156,3)</f>
        <v>0</v>
      </c>
      <c r="CQ157" s="996">
        <f>SUM(CM157:CP157)</f>
        <v>0</v>
      </c>
      <c r="CR157" s="993"/>
      <c r="CS157" s="993">
        <f>ROUND(CS155*CS156,3)</f>
        <v>0</v>
      </c>
      <c r="CT157" s="993">
        <f>ROUND(CT155*CT156,3)</f>
        <v>0</v>
      </c>
      <c r="CU157" s="993">
        <f>ROUND(CU155*CU156,3)</f>
        <v>0</v>
      </c>
      <c r="CV157" s="993">
        <f>ROUND(CV155*CV156,3)</f>
        <v>0</v>
      </c>
      <c r="CW157" s="996">
        <f>SUM(CS157:CV157)</f>
        <v>0</v>
      </c>
      <c r="CX157" s="993"/>
      <c r="CY157" s="993">
        <f>ROUND(CY155*CY156,3)</f>
        <v>0</v>
      </c>
      <c r="CZ157" s="993">
        <f>ROUND(CZ155*CZ156,3)</f>
        <v>0</v>
      </c>
      <c r="DA157" s="993">
        <f>ROUND(DA155*DA156,3)</f>
        <v>0</v>
      </c>
      <c r="DB157" s="993">
        <f>ROUND(DB155*DB156,3)</f>
        <v>0</v>
      </c>
      <c r="DC157" s="996">
        <f>SUM(CY157:DB157)</f>
        <v>0</v>
      </c>
      <c r="DD157" s="993"/>
      <c r="DE157" s="993">
        <f>ROUND(DE155*DE156,3)</f>
        <v>0</v>
      </c>
      <c r="DF157" s="993">
        <f>ROUND(DF155*DF156,3)</f>
        <v>0</v>
      </c>
      <c r="DG157" s="993">
        <f>ROUND(DG155*DG156,3)</f>
        <v>0</v>
      </c>
      <c r="DH157" s="993">
        <f>ROUND(DH155*DH156,3)</f>
        <v>0</v>
      </c>
      <c r="DI157" s="996">
        <f>SUM(DE157:DH157)</f>
        <v>0</v>
      </c>
      <c r="DJ157" s="993"/>
      <c r="DK157" s="993">
        <f>ROUND(DK155*DK156,3)</f>
        <v>0</v>
      </c>
      <c r="DL157" s="993">
        <f>ROUND(DL155*DL156,3)</f>
        <v>0</v>
      </c>
      <c r="DM157" s="993">
        <f>ROUND(DM155*DM156,3)</f>
        <v>0</v>
      </c>
      <c r="DN157" s="993">
        <f>ROUND(DN155*DN156,3)</f>
        <v>0</v>
      </c>
      <c r="DO157" s="996">
        <f>SUM(DK157:DN157)</f>
        <v>0</v>
      </c>
      <c r="DP157" s="1062"/>
      <c r="DQ157" s="966"/>
    </row>
    <row r="158" spans="1:121" ht="12.75" hidden="1" customHeight="1" outlineLevel="1">
      <c r="A158" s="1240"/>
      <c r="B158" s="971"/>
      <c r="C158" s="971"/>
      <c r="D158" s="971"/>
      <c r="E158" s="971"/>
      <c r="F158" s="971"/>
      <c r="G158" s="971"/>
      <c r="H158" s="971"/>
      <c r="I158" s="971"/>
      <c r="J158" s="971"/>
      <c r="K158" s="971"/>
      <c r="L158" s="971"/>
      <c r="M158" s="1082"/>
      <c r="N158" s="1082"/>
      <c r="O158" s="1082"/>
      <c r="P158" s="1083"/>
      <c r="Q158" s="1083"/>
      <c r="R158" s="1081"/>
      <c r="S158" s="1082"/>
      <c r="T158" s="1082"/>
      <c r="U158" s="1082"/>
      <c r="V158" s="1083"/>
      <c r="W158" s="1083"/>
      <c r="X158" s="1081"/>
      <c r="Y158" s="1082"/>
      <c r="Z158" s="1082"/>
      <c r="AA158" s="1082"/>
      <c r="AB158" s="1083"/>
      <c r="AC158" s="1084"/>
      <c r="AD158" s="1081"/>
      <c r="AE158" s="1082"/>
      <c r="AF158" s="1082"/>
      <c r="AG158" s="1082"/>
      <c r="AH158" s="1083"/>
      <c r="AI158" s="1084"/>
      <c r="AJ158" s="1081"/>
      <c r="AK158" s="1082"/>
      <c r="AL158" s="1082"/>
      <c r="AM158" s="1082"/>
      <c r="AN158" s="1083"/>
      <c r="AO158" s="1084"/>
      <c r="AP158" s="1081"/>
      <c r="AQ158" s="1082"/>
      <c r="AR158" s="1082"/>
      <c r="AS158" s="1082"/>
      <c r="AT158" s="1082"/>
      <c r="AU158" s="1084"/>
      <c r="AV158" s="1081"/>
      <c r="AW158" s="1082"/>
      <c r="AX158" s="1082"/>
      <c r="AY158" s="1082"/>
      <c r="AZ158" s="1082"/>
      <c r="BA158" s="1084"/>
      <c r="BB158" s="1081"/>
      <c r="BC158" s="1082"/>
      <c r="BD158" s="1082"/>
      <c r="BE158" s="1082"/>
      <c r="BF158" s="1082"/>
      <c r="BG158" s="1084"/>
      <c r="BH158" s="1081"/>
      <c r="BI158" s="1082"/>
      <c r="BJ158" s="1082"/>
      <c r="BK158" s="1082"/>
      <c r="BL158" s="1082"/>
      <c r="BM158" s="1084"/>
      <c r="BN158" s="1081"/>
      <c r="BO158" s="1082"/>
      <c r="BP158" s="1082"/>
      <c r="BQ158" s="1082"/>
      <c r="BR158" s="1082"/>
      <c r="BS158" s="1084"/>
      <c r="BT158" s="1081"/>
      <c r="BU158" s="1082"/>
      <c r="BV158" s="1082"/>
      <c r="BW158" s="1082"/>
      <c r="BX158" s="1082"/>
      <c r="BY158" s="1084"/>
      <c r="BZ158" s="1081"/>
      <c r="CA158" s="1082"/>
      <c r="CB158" s="1082"/>
      <c r="CC158" s="1082"/>
      <c r="CD158" s="1082"/>
      <c r="CE158" s="1084"/>
      <c r="CF158" s="1081"/>
      <c r="CG158" s="1082"/>
      <c r="CH158" s="1082"/>
      <c r="CI158" s="1082"/>
      <c r="CJ158" s="1082"/>
      <c r="CK158" s="1084"/>
      <c r="CL158" s="1081"/>
      <c r="CM158" s="1082"/>
      <c r="CN158" s="1082"/>
      <c r="CO158" s="1082"/>
      <c r="CP158" s="1082"/>
      <c r="CQ158" s="1084"/>
      <c r="CR158" s="1081"/>
      <c r="CS158" s="1082"/>
      <c r="CT158" s="1082"/>
      <c r="CU158" s="1082"/>
      <c r="CV158" s="1083"/>
      <c r="CW158" s="1084"/>
      <c r="CX158" s="1081"/>
      <c r="CY158" s="1082"/>
      <c r="CZ158" s="1082"/>
      <c r="DA158" s="1082"/>
      <c r="DB158" s="1083"/>
      <c r="DC158" s="1084"/>
      <c r="DD158" s="1081"/>
      <c r="DE158" s="1082"/>
      <c r="DF158" s="1082"/>
      <c r="DG158" s="1082"/>
      <c r="DH158" s="1083"/>
      <c r="DI158" s="1084"/>
      <c r="DJ158" s="1081"/>
      <c r="DK158" s="1082"/>
      <c r="DL158" s="1082"/>
      <c r="DM158" s="1082"/>
      <c r="DN158" s="1083"/>
      <c r="DO158" s="1084"/>
      <c r="DP158" s="1083"/>
      <c r="DQ158" s="971"/>
    </row>
    <row r="159" spans="1:121" ht="12.75" hidden="1" customHeight="1" outlineLevel="1">
      <c r="A159" s="1117" t="s">
        <v>665</v>
      </c>
      <c r="B159" s="966"/>
      <c r="C159" s="966"/>
      <c r="D159" s="966"/>
      <c r="E159" s="966"/>
      <c r="F159" s="966"/>
      <c r="G159" s="966"/>
      <c r="H159" s="966"/>
      <c r="I159" s="966"/>
      <c r="J159" s="966"/>
      <c r="K159" s="966"/>
      <c r="L159" s="966"/>
      <c r="M159" s="969"/>
      <c r="N159" s="969"/>
      <c r="O159" s="969"/>
      <c r="P159" s="1088"/>
      <c r="Q159" s="1079"/>
      <c r="R159" s="993"/>
      <c r="S159" s="969"/>
      <c r="T159" s="969"/>
      <c r="U159" s="969"/>
      <c r="V159" s="1088"/>
      <c r="W159" s="1079"/>
      <c r="X159" s="993"/>
      <c r="Y159" s="969"/>
      <c r="Z159" s="969"/>
      <c r="AA159" s="969"/>
      <c r="AB159" s="1088"/>
      <c r="AC159" s="1089"/>
      <c r="AD159" s="993"/>
      <c r="AE159" s="969"/>
      <c r="AF159" s="969"/>
      <c r="AG159" s="969"/>
      <c r="AH159" s="1088"/>
      <c r="AI159" s="1089"/>
      <c r="AJ159" s="993"/>
      <c r="AK159" s="969"/>
      <c r="AL159" s="969"/>
      <c r="AM159" s="969"/>
      <c r="AN159" s="1088"/>
      <c r="AO159" s="1089"/>
      <c r="AP159" s="993"/>
      <c r="AQ159" s="969"/>
      <c r="AR159" s="969"/>
      <c r="AS159" s="969"/>
      <c r="AT159" s="969"/>
      <c r="AU159" s="1089"/>
      <c r="AV159" s="993"/>
      <c r="AW159" s="969"/>
      <c r="AX159" s="969"/>
      <c r="AY159" s="969"/>
      <c r="AZ159" s="969"/>
      <c r="BA159" s="1089"/>
      <c r="BB159" s="993"/>
      <c r="BC159" s="969"/>
      <c r="BD159" s="969"/>
      <c r="BE159" s="969"/>
      <c r="BF159" s="969"/>
      <c r="BG159" s="1089"/>
      <c r="BH159" s="993"/>
      <c r="BI159" s="969"/>
      <c r="BJ159" s="969"/>
      <c r="BK159" s="969"/>
      <c r="BL159" s="969"/>
      <c r="BM159" s="1089"/>
      <c r="BN159" s="993"/>
      <c r="BO159" s="969"/>
      <c r="BP159" s="969"/>
      <c r="BQ159" s="969"/>
      <c r="BR159" s="969"/>
      <c r="BS159" s="1089"/>
      <c r="BT159" s="993"/>
      <c r="BU159" s="969"/>
      <c r="BV159" s="969"/>
      <c r="BW159" s="969"/>
      <c r="BX159" s="969"/>
      <c r="BY159" s="1089"/>
      <c r="BZ159" s="993"/>
      <c r="CA159" s="969"/>
      <c r="CB159" s="969"/>
      <c r="CC159" s="969"/>
      <c r="CD159" s="969"/>
      <c r="CE159" s="1089"/>
      <c r="CF159" s="993"/>
      <c r="CG159" s="969"/>
      <c r="CH159" s="969"/>
      <c r="CI159" s="969"/>
      <c r="CJ159" s="969"/>
      <c r="CK159" s="1089"/>
      <c r="CL159" s="993"/>
      <c r="CM159" s="969"/>
      <c r="CN159" s="969"/>
      <c r="CO159" s="969"/>
      <c r="CP159" s="969"/>
      <c r="CQ159" s="1089"/>
      <c r="CR159" s="993"/>
      <c r="CS159" s="969"/>
      <c r="CT159" s="969"/>
      <c r="CU159" s="969"/>
      <c r="CV159" s="1088"/>
      <c r="CW159" s="1089"/>
      <c r="CX159" s="993"/>
      <c r="CY159" s="969"/>
      <c r="CZ159" s="969"/>
      <c r="DA159" s="969"/>
      <c r="DB159" s="1088"/>
      <c r="DC159" s="1089"/>
      <c r="DD159" s="993"/>
      <c r="DE159" s="969"/>
      <c r="DF159" s="969"/>
      <c r="DG159" s="969"/>
      <c r="DH159" s="1088"/>
      <c r="DI159" s="1089"/>
      <c r="DJ159" s="993"/>
      <c r="DK159" s="969"/>
      <c r="DL159" s="969"/>
      <c r="DM159" s="969"/>
      <c r="DN159" s="1088"/>
      <c r="DO159" s="1089"/>
      <c r="DP159" s="1079"/>
      <c r="DQ159" s="966"/>
    </row>
    <row r="160" spans="1:121" ht="12.75" hidden="1" customHeight="1" outlineLevel="1">
      <c r="A160" s="1108" t="s">
        <v>666</v>
      </c>
      <c r="B160" s="966"/>
      <c r="C160" s="966"/>
      <c r="D160" s="966"/>
      <c r="E160" s="966"/>
      <c r="F160" s="966"/>
      <c r="G160" s="966"/>
      <c r="H160" s="966"/>
      <c r="I160" s="966"/>
      <c r="J160" s="966"/>
      <c r="K160" s="966"/>
      <c r="L160" s="966"/>
      <c r="M160" s="961">
        <f>Q160/4</f>
        <v>0</v>
      </c>
      <c r="N160" s="961">
        <f>(Q160-M160)/3</f>
        <v>0</v>
      </c>
      <c r="O160" s="961">
        <f>(Q160-M160-N160)/2</f>
        <v>0</v>
      </c>
      <c r="P160" s="961">
        <f>Q160-O160-N160-M160</f>
        <v>0</v>
      </c>
      <c r="Q160" s="961">
        <v>0</v>
      </c>
      <c r="R160" s="993"/>
      <c r="S160" s="961">
        <f>W160/4</f>
        <v>0</v>
      </c>
      <c r="T160" s="961">
        <f>(W160-S160)/3</f>
        <v>0</v>
      </c>
      <c r="U160" s="961">
        <f>(W160-S160-T160)/2</f>
        <v>0</v>
      </c>
      <c r="V160" s="961">
        <f>W160-U160-T160-S160</f>
        <v>0</v>
      </c>
      <c r="W160" s="961">
        <v>0</v>
      </c>
      <c r="X160" s="993"/>
      <c r="Y160" s="961">
        <f>AC160/4</f>
        <v>0</v>
      </c>
      <c r="Z160" s="961">
        <f>(AC160-Y160)/3</f>
        <v>0</v>
      </c>
      <c r="AA160" s="961">
        <f>(AC160-Y160-Z160)/2</f>
        <v>0</v>
      </c>
      <c r="AB160" s="961">
        <f>AC160-AA160-Z160-Y160</f>
        <v>0</v>
      </c>
      <c r="AC160" s="1080">
        <v>0</v>
      </c>
      <c r="AD160" s="993"/>
      <c r="AE160" s="961">
        <f>AI160/4</f>
        <v>0</v>
      </c>
      <c r="AF160" s="961">
        <f>(AI160-AE160)/3</f>
        <v>0</v>
      </c>
      <c r="AG160" s="961">
        <f>(AJ160-AF160)/3</f>
        <v>0</v>
      </c>
      <c r="AH160" s="961">
        <f>AI160-AG160-AF160-AE160</f>
        <v>0</v>
      </c>
      <c r="AI160" s="1080">
        <v>0</v>
      </c>
      <c r="AJ160" s="993"/>
      <c r="AK160" s="961">
        <f>AO160/4</f>
        <v>0</v>
      </c>
      <c r="AL160" s="961">
        <f>(AO160-AK160)/3</f>
        <v>0</v>
      </c>
      <c r="AM160" s="961">
        <f>(AO160-AK160-AL160)/2</f>
        <v>0</v>
      </c>
      <c r="AN160" s="961">
        <f>AO160-AM160-AL160-AK160</f>
        <v>0</v>
      </c>
      <c r="AO160" s="1080">
        <v>0</v>
      </c>
      <c r="AP160" s="993"/>
      <c r="AQ160" s="961">
        <f>AU160/4</f>
        <v>0</v>
      </c>
      <c r="AR160" s="961">
        <f>AV160/4</f>
        <v>0</v>
      </c>
      <c r="AS160" s="961">
        <f>AW160/4</f>
        <v>0</v>
      </c>
      <c r="AT160" s="961">
        <f>AX160/4</f>
        <v>0</v>
      </c>
      <c r="AU160" s="1080">
        <v>0</v>
      </c>
      <c r="AV160" s="993"/>
      <c r="AW160" s="961">
        <f>BA160/4</f>
        <v>0</v>
      </c>
      <c r="AX160" s="961">
        <f>BB160/4</f>
        <v>0</v>
      </c>
      <c r="AY160" s="961">
        <f>(BA160-AW160-AX160)/2</f>
        <v>0</v>
      </c>
      <c r="AZ160" s="961">
        <f>(BB160-AX160-AY160)/2</f>
        <v>0</v>
      </c>
      <c r="BA160" s="1080">
        <v>0</v>
      </c>
      <c r="BB160" s="993"/>
      <c r="BC160" s="961">
        <f>BG160/4</f>
        <v>0</v>
      </c>
      <c r="BD160" s="961">
        <f>BH160/4</f>
        <v>0</v>
      </c>
      <c r="BE160" s="961">
        <f>BI160/4</f>
        <v>0</v>
      </c>
      <c r="BF160" s="961">
        <f>BJ160/4</f>
        <v>0</v>
      </c>
      <c r="BG160" s="1080">
        <v>0</v>
      </c>
      <c r="BH160" s="993"/>
      <c r="BI160" s="961">
        <f>BM160/4</f>
        <v>0</v>
      </c>
      <c r="BJ160" s="961">
        <f>BN160/4</f>
        <v>0</v>
      </c>
      <c r="BK160" s="961">
        <f>BO160/4</f>
        <v>0</v>
      </c>
      <c r="BL160" s="961">
        <f>BP160/4</f>
        <v>0</v>
      </c>
      <c r="BM160" s="1080">
        <v>0</v>
      </c>
      <c r="BN160" s="993"/>
      <c r="BO160" s="961">
        <f>BS160/4</f>
        <v>0</v>
      </c>
      <c r="BP160" s="961">
        <f>BT160/4</f>
        <v>0</v>
      </c>
      <c r="BQ160" s="961">
        <f>BU160/4</f>
        <v>0</v>
      </c>
      <c r="BR160" s="961">
        <f>BV160/4</f>
        <v>0</v>
      </c>
      <c r="BS160" s="1080">
        <v>0</v>
      </c>
      <c r="BT160" s="993"/>
      <c r="BU160" s="961">
        <f>BY160/4</f>
        <v>0</v>
      </c>
      <c r="BV160" s="961">
        <f>BZ160/4</f>
        <v>0</v>
      </c>
      <c r="BW160" s="961">
        <f>CA160/4</f>
        <v>0</v>
      </c>
      <c r="BX160" s="961">
        <f>CB160/4</f>
        <v>0</v>
      </c>
      <c r="BY160" s="1080">
        <v>0</v>
      </c>
      <c r="BZ160" s="993"/>
      <c r="CA160" s="961">
        <f>CE160/4</f>
        <v>0</v>
      </c>
      <c r="CB160" s="961">
        <f>CF160/4</f>
        <v>0</v>
      </c>
      <c r="CC160" s="961">
        <f>CG160/4</f>
        <v>0</v>
      </c>
      <c r="CD160" s="961">
        <f>CH160/4</f>
        <v>0</v>
      </c>
      <c r="CE160" s="1080">
        <v>0</v>
      </c>
      <c r="CF160" s="993"/>
      <c r="CG160" s="961">
        <f>CK160/4</f>
        <v>0</v>
      </c>
      <c r="CH160" s="961">
        <f>CL160/4</f>
        <v>0</v>
      </c>
      <c r="CI160" s="961">
        <f>CM160/4</f>
        <v>0</v>
      </c>
      <c r="CJ160" s="961">
        <f>CN160/4</f>
        <v>0</v>
      </c>
      <c r="CK160" s="1080">
        <v>0</v>
      </c>
      <c r="CL160" s="993"/>
      <c r="CM160" s="961">
        <f>CQ160/4</f>
        <v>0</v>
      </c>
      <c r="CN160" s="961">
        <f>CQ160/4</f>
        <v>0</v>
      </c>
      <c r="CO160" s="961">
        <f>CQ160/4</f>
        <v>0</v>
      </c>
      <c r="CP160" s="961">
        <f>CT160/4</f>
        <v>0</v>
      </c>
      <c r="CQ160" s="1080">
        <v>0</v>
      </c>
      <c r="CR160" s="993"/>
      <c r="CS160" s="961">
        <f>CW160/4</f>
        <v>0</v>
      </c>
      <c r="CT160" s="961">
        <f>CW160/4</f>
        <v>0</v>
      </c>
      <c r="CU160" s="961">
        <f>CW160/4</f>
        <v>0</v>
      </c>
      <c r="CV160" s="961">
        <f>CW160-CU160-CT160-CS160</f>
        <v>0</v>
      </c>
      <c r="CW160" s="1080">
        <v>0</v>
      </c>
      <c r="CX160" s="993"/>
      <c r="CY160" s="961">
        <f>DC160/4</f>
        <v>0</v>
      </c>
      <c r="CZ160" s="961">
        <f>(DC160-CY160)/3</f>
        <v>0</v>
      </c>
      <c r="DA160" s="961">
        <f>(DC160-CY160-CZ160)/2</f>
        <v>0</v>
      </c>
      <c r="DB160" s="961">
        <f>DC160-DA160-CZ160-CY160</f>
        <v>0</v>
      </c>
      <c r="DC160" s="1080">
        <v>0</v>
      </c>
      <c r="DD160" s="993"/>
      <c r="DE160" s="961">
        <f>DI160/4</f>
        <v>0</v>
      </c>
      <c r="DF160" s="961">
        <f>(DI160-DE160)/3</f>
        <v>0</v>
      </c>
      <c r="DG160" s="961">
        <f>(DI160-DE160-DF160)/2</f>
        <v>0</v>
      </c>
      <c r="DH160" s="961">
        <f>DI160-DG160-DF160-DE160</f>
        <v>0</v>
      </c>
      <c r="DI160" s="1080">
        <v>0</v>
      </c>
      <c r="DJ160" s="993"/>
      <c r="DK160" s="961">
        <f>DO160/4</f>
        <v>0</v>
      </c>
      <c r="DL160" s="961">
        <f>(DO160-DK160)/3</f>
        <v>0</v>
      </c>
      <c r="DM160" s="961">
        <f>(DO160-DK160-DL160)/2</f>
        <v>0</v>
      </c>
      <c r="DN160" s="961">
        <f>DO160-DM160-DL160-DK160</f>
        <v>0</v>
      </c>
      <c r="DO160" s="1080">
        <v>0</v>
      </c>
      <c r="DP160" s="961"/>
      <c r="DQ160" s="966"/>
    </row>
    <row r="161" spans="1:121" ht="12.75" hidden="1" customHeight="1" outlineLevel="1">
      <c r="A161" s="1108" t="s">
        <v>667</v>
      </c>
      <c r="B161" s="966"/>
      <c r="C161" s="966"/>
      <c r="D161" s="966"/>
      <c r="E161" s="966"/>
      <c r="F161" s="966"/>
      <c r="G161" s="966"/>
      <c r="H161" s="966"/>
      <c r="I161" s="966"/>
      <c r="J161" s="966"/>
      <c r="K161" s="966"/>
      <c r="L161" s="966"/>
      <c r="M161" s="1087">
        <f>M141</f>
        <v>1.73</v>
      </c>
      <c r="N161" s="1087">
        <f>N141</f>
        <v>1.73</v>
      </c>
      <c r="O161" s="1087">
        <f>O141</f>
        <v>1.73</v>
      </c>
      <c r="P161" s="1087">
        <f>P141</f>
        <v>5.6</v>
      </c>
      <c r="Q161" s="1087">
        <f>IF(ISERROR(SUMPRODUCT(M160:P160,M161:P161)/Q160),0,(SUMPRODUCT(M160:P160,M161:P161)/Q160))</f>
        <v>0</v>
      </c>
      <c r="R161" s="993"/>
      <c r="S161" s="1087">
        <f>S141</f>
        <v>5.6</v>
      </c>
      <c r="T161" s="1087">
        <f>T141</f>
        <v>6</v>
      </c>
      <c r="U161" s="1087">
        <f>U141</f>
        <v>6.5</v>
      </c>
      <c r="V161" s="1087">
        <f>V141</f>
        <v>7</v>
      </c>
      <c r="W161" s="1087">
        <f>IF(ISERROR(SUMPRODUCT(S160:V160,S161:V161)/W160),0,(SUMPRODUCT(S160:V160,S161:V161)/W160))</f>
        <v>0</v>
      </c>
      <c r="X161" s="993"/>
      <c r="Y161" s="1087">
        <f>Y141</f>
        <v>8</v>
      </c>
      <c r="Z161" s="1087">
        <f>Z141</f>
        <v>10</v>
      </c>
      <c r="AA161" s="1087">
        <f>AA141</f>
        <v>12</v>
      </c>
      <c r="AB161" s="1087">
        <f>AB141</f>
        <v>14</v>
      </c>
      <c r="AC161" s="1078">
        <f>IF(ISERROR(SUMPRODUCT(Y160:AB160,Y161:AB161)/AC160),0,(SUMPRODUCT(Y160:AB160,Y161:AB161)/AC160))</f>
        <v>0</v>
      </c>
      <c r="AD161" s="993"/>
      <c r="AE161" s="1087">
        <f>AE141</f>
        <v>16</v>
      </c>
      <c r="AF161" s="1087">
        <f>AF141</f>
        <v>18</v>
      </c>
      <c r="AG161" s="1087">
        <f>AG141</f>
        <v>20</v>
      </c>
      <c r="AH161" s="1087">
        <f>AH141</f>
        <v>22</v>
      </c>
      <c r="AI161" s="1078">
        <f>IF(ISERROR(SUMPRODUCT(AE160:AH160,AE161:AH161)/AI160),0,(SUMPRODUCT(AE160:AH160,AE161:AH161)/AI160))</f>
        <v>0</v>
      </c>
      <c r="AJ161" s="993"/>
      <c r="AK161" s="1087">
        <f>AK141</f>
        <v>0</v>
      </c>
      <c r="AL161" s="1087">
        <f>AL141</f>
        <v>0</v>
      </c>
      <c r="AM161" s="1087">
        <f>AM141</f>
        <v>0</v>
      </c>
      <c r="AN161" s="1087">
        <f>AN141</f>
        <v>0</v>
      </c>
      <c r="AO161" s="1078">
        <f>IF(ISERROR(SUMPRODUCT(AK160:AN160,AK161:AN161)/AO160),0,(SUMPRODUCT(AK160:AN160,AK161:AN161)/AO160))</f>
        <v>0</v>
      </c>
      <c r="AP161" s="993"/>
      <c r="AQ161" s="1087">
        <f>AQ141</f>
        <v>0</v>
      </c>
      <c r="AR161" s="1087">
        <f>AR141</f>
        <v>0</v>
      </c>
      <c r="AS161" s="1087">
        <f>AS141</f>
        <v>0</v>
      </c>
      <c r="AT161" s="1087">
        <f>AT141</f>
        <v>0</v>
      </c>
      <c r="AU161" s="1078">
        <f>IF(ISERROR(SUMPRODUCT(AQ160:AT160,AQ161:AT161)/AU160),0,(SUMPRODUCT(AQ160:AT160,AQ161:AT161)/AU160))</f>
        <v>0</v>
      </c>
      <c r="AV161" s="993"/>
      <c r="AW161" s="1087">
        <f>AW141</f>
        <v>0</v>
      </c>
      <c r="AX161" s="1087">
        <f>AX141</f>
        <v>0</v>
      </c>
      <c r="AY161" s="1087">
        <f>AY141</f>
        <v>0</v>
      </c>
      <c r="AZ161" s="1087">
        <f>AZ141</f>
        <v>0</v>
      </c>
      <c r="BA161" s="1078">
        <f>IF(ISERROR(SUMPRODUCT(AW160:AZ160,AW161:AZ161)/BA160),0,(SUMPRODUCT(AW160:AZ160,AW161:AZ161)/BA160))</f>
        <v>0</v>
      </c>
      <c r="BB161" s="993"/>
      <c r="BC161" s="1087">
        <f>BC141</f>
        <v>0</v>
      </c>
      <c r="BD161" s="1087">
        <f>BD141</f>
        <v>0</v>
      </c>
      <c r="BE161" s="1087">
        <f>BE141</f>
        <v>0</v>
      </c>
      <c r="BF161" s="1087">
        <f>BF141</f>
        <v>0</v>
      </c>
      <c r="BG161" s="1078">
        <f>IF(ISERROR(SUMPRODUCT(BC160:BF160,BC161:BF161)/BG160),0,(SUMPRODUCT(BC160:BF160,BC161:BF161)/BG160))</f>
        <v>0</v>
      </c>
      <c r="BH161" s="993"/>
      <c r="BI161" s="1087">
        <f>BI141</f>
        <v>0</v>
      </c>
      <c r="BJ161" s="1087">
        <f>BJ141</f>
        <v>0</v>
      </c>
      <c r="BK161" s="1087">
        <f>BK141</f>
        <v>0</v>
      </c>
      <c r="BL161" s="1087">
        <f>BL141</f>
        <v>0</v>
      </c>
      <c r="BM161" s="1078">
        <f>IF(ISERROR(SUMPRODUCT(BI160:BL160,BI161:BL161)/BM160),0,(SUMPRODUCT(BI160:BL160,BI161:BL161)/BM160))</f>
        <v>0</v>
      </c>
      <c r="BN161" s="993"/>
      <c r="BO161" s="1087">
        <f>BO141</f>
        <v>0</v>
      </c>
      <c r="BP161" s="1087">
        <f>BP141</f>
        <v>0</v>
      </c>
      <c r="BQ161" s="1087">
        <f>BQ141</f>
        <v>0</v>
      </c>
      <c r="BR161" s="1087">
        <f>BR141</f>
        <v>0</v>
      </c>
      <c r="BS161" s="1078">
        <f>IF(ISERROR(SUMPRODUCT(BO160:BR160,BO161:BR161)/BS160),0,(SUMPRODUCT(BO160:BR160,BO161:BR161)/BS160))</f>
        <v>0</v>
      </c>
      <c r="BT161" s="993"/>
      <c r="BU161" s="1087">
        <f>BU141</f>
        <v>0</v>
      </c>
      <c r="BV161" s="1087">
        <f>BV141</f>
        <v>0</v>
      </c>
      <c r="BW161" s="1087">
        <f>BW141</f>
        <v>0</v>
      </c>
      <c r="BX161" s="1087">
        <f>BX141</f>
        <v>0</v>
      </c>
      <c r="BY161" s="1078">
        <f>IF(ISERROR(SUMPRODUCT(BU160:BX160,BU161:BX161)/BY160),0,(SUMPRODUCT(BU160:BX160,BU161:BX161)/BY160))</f>
        <v>0</v>
      </c>
      <c r="BZ161" s="993"/>
      <c r="CA161" s="1087">
        <f>CA141</f>
        <v>0</v>
      </c>
      <c r="CB161" s="1087">
        <f>CB141</f>
        <v>0</v>
      </c>
      <c r="CC161" s="1087">
        <f>CC141</f>
        <v>0</v>
      </c>
      <c r="CD161" s="1087">
        <f>CD141</f>
        <v>0</v>
      </c>
      <c r="CE161" s="1078">
        <f>IF(ISERROR(SUMPRODUCT(CA160:CD160,CA161:CD161)/CE160),0,(SUMPRODUCT(CA160:CD160,CA161:CD161)/CE160))</f>
        <v>0</v>
      </c>
      <c r="CF161" s="993"/>
      <c r="CG161" s="1087">
        <f>CG141</f>
        <v>0</v>
      </c>
      <c r="CH161" s="1087">
        <f>CH141</f>
        <v>0</v>
      </c>
      <c r="CI161" s="1087">
        <f>CI141</f>
        <v>0</v>
      </c>
      <c r="CJ161" s="1087">
        <f>CJ141</f>
        <v>0</v>
      </c>
      <c r="CK161" s="1078">
        <f>IF(ISERROR(SUMPRODUCT(CG160:CJ160,CG161:CJ161)/CK160),0,(SUMPRODUCT(CG160:CJ160,CG161:CJ161)/CK160))</f>
        <v>0</v>
      </c>
      <c r="CL161" s="993"/>
      <c r="CM161" s="1087">
        <f>CM141</f>
        <v>0</v>
      </c>
      <c r="CN161" s="1087">
        <f>CN141</f>
        <v>0</v>
      </c>
      <c r="CO161" s="1087">
        <f>CO141</f>
        <v>0</v>
      </c>
      <c r="CP161" s="1087">
        <f>CP141</f>
        <v>0</v>
      </c>
      <c r="CQ161" s="1078">
        <f>IF(ISERROR(SUMPRODUCT(CM160:CP160,CM161:CP161)/CQ160),0,(SUMPRODUCT(CM160:CP160,CM161:CP161)/CQ160))</f>
        <v>0</v>
      </c>
      <c r="CR161" s="993"/>
      <c r="CS161" s="1087">
        <f>CS141</f>
        <v>0</v>
      </c>
      <c r="CT161" s="1087">
        <f>CT141</f>
        <v>0</v>
      </c>
      <c r="CU161" s="1087">
        <f>CU141</f>
        <v>0</v>
      </c>
      <c r="CV161" s="1087">
        <f>CV141</f>
        <v>0</v>
      </c>
      <c r="CW161" s="1078">
        <f>IF(ISERROR(SUMPRODUCT(CS160:CV160,CS161:CV161)/CW160),0,(SUMPRODUCT(CS160:CV160,CS161:CV161)/CW160))</f>
        <v>0</v>
      </c>
      <c r="CX161" s="993"/>
      <c r="CY161" s="1087">
        <f>CY141</f>
        <v>0</v>
      </c>
      <c r="CZ161" s="1087">
        <f>CZ141</f>
        <v>0</v>
      </c>
      <c r="DA161" s="1087">
        <f>DA141</f>
        <v>0</v>
      </c>
      <c r="DB161" s="1087">
        <f>DB141</f>
        <v>0</v>
      </c>
      <c r="DC161" s="1078">
        <f>IF(ISERROR(SUMPRODUCT(CY160:DB160,CY161:DB161)/DC160),0,(SUMPRODUCT(CY160:DB160,CY161:DB161)/DC160))</f>
        <v>0</v>
      </c>
      <c r="DD161" s="993"/>
      <c r="DE161" s="1087">
        <f>DE141</f>
        <v>0</v>
      </c>
      <c r="DF161" s="1087">
        <f>DF141</f>
        <v>0</v>
      </c>
      <c r="DG161" s="1087">
        <f>DG141</f>
        <v>0</v>
      </c>
      <c r="DH161" s="1087">
        <f>DH141</f>
        <v>0</v>
      </c>
      <c r="DI161" s="1078">
        <f>IF(ISERROR(SUMPRODUCT(DE160:DH160,DE161:DH161)/DI160),0,(SUMPRODUCT(DE160:DH160,DE161:DH161)/DI160))</f>
        <v>0</v>
      </c>
      <c r="DJ161" s="993"/>
      <c r="DK161" s="1087">
        <f>DK141</f>
        <v>0</v>
      </c>
      <c r="DL161" s="1087">
        <f>DL141</f>
        <v>0</v>
      </c>
      <c r="DM161" s="1087">
        <f>DM141</f>
        <v>0</v>
      </c>
      <c r="DN161" s="1087">
        <f>DN141</f>
        <v>0</v>
      </c>
      <c r="DO161" s="1078">
        <f>IF(ISERROR(SUMPRODUCT(DK160:DN160,DK161:DN161)/DO160),0,(SUMPRODUCT(DK160:DN160,DK161:DN161)/DO160))</f>
        <v>0</v>
      </c>
      <c r="DP161" s="1694"/>
      <c r="DQ161" s="966"/>
    </row>
    <row r="162" spans="1:121" ht="12.75" hidden="1" customHeight="1" outlineLevel="1">
      <c r="A162" s="1108" t="s">
        <v>973</v>
      </c>
      <c r="B162" s="966"/>
      <c r="C162" s="966"/>
      <c r="D162" s="966"/>
      <c r="E162" s="966"/>
      <c r="F162" s="966"/>
      <c r="G162" s="966"/>
      <c r="H162" s="966"/>
      <c r="I162" s="966"/>
      <c r="J162" s="966"/>
      <c r="K162" s="966"/>
      <c r="L162" s="966"/>
      <c r="M162" s="993">
        <f>ROUND(M160*M161,3)</f>
        <v>0</v>
      </c>
      <c r="N162" s="993">
        <f>ROUND(N160*N161,3)</f>
        <v>0</v>
      </c>
      <c r="O162" s="993">
        <f>ROUND(O160*O161,3)</f>
        <v>0</v>
      </c>
      <c r="P162" s="993">
        <f>ROUND(P160*P161,3)</f>
        <v>0</v>
      </c>
      <c r="Q162" s="993">
        <f>SUM(M162:P162)</f>
        <v>0</v>
      </c>
      <c r="R162" s="993"/>
      <c r="S162" s="993">
        <f>ROUND(S160*S161,3)</f>
        <v>0</v>
      </c>
      <c r="T162" s="993">
        <f>ROUND(T160*T161,3)</f>
        <v>0</v>
      </c>
      <c r="U162" s="993">
        <f>ROUND(U160*U161,3)</f>
        <v>0</v>
      </c>
      <c r="V162" s="993">
        <f>ROUND(V160*V161,3)</f>
        <v>0</v>
      </c>
      <c r="W162" s="993">
        <f>SUM(S162:V162)</f>
        <v>0</v>
      </c>
      <c r="X162" s="993"/>
      <c r="Y162" s="993">
        <f>ROUND(Y160*Y161,3)</f>
        <v>0</v>
      </c>
      <c r="Z162" s="993">
        <f>ROUND(Z160*Z161,3)</f>
        <v>0</v>
      </c>
      <c r="AA162" s="993">
        <f>ROUND(AA160*AA161,3)</f>
        <v>0</v>
      </c>
      <c r="AB162" s="993">
        <f>ROUND(AB160*AB161,3)</f>
        <v>0</v>
      </c>
      <c r="AC162" s="996">
        <f>SUM(Y162:AB162)</f>
        <v>0</v>
      </c>
      <c r="AD162" s="993"/>
      <c r="AE162" s="993">
        <f>ROUND(AE160*AE161,3)</f>
        <v>0</v>
      </c>
      <c r="AF162" s="993">
        <f>ROUND(AF160*AF161,3)</f>
        <v>0</v>
      </c>
      <c r="AG162" s="993">
        <f>ROUND(AG160*AG161,3)</f>
        <v>0</v>
      </c>
      <c r="AH162" s="993">
        <f>ROUND(AH160*AH161,3)</f>
        <v>0</v>
      </c>
      <c r="AI162" s="996">
        <f>SUM(AE162:AH162)</f>
        <v>0</v>
      </c>
      <c r="AJ162" s="993"/>
      <c r="AK162" s="993">
        <f>ROUND(AK160*AK161,3)</f>
        <v>0</v>
      </c>
      <c r="AL162" s="993">
        <f>ROUND(AL160*AL161,3)</f>
        <v>0</v>
      </c>
      <c r="AM162" s="993">
        <f>ROUND(AM160*AM161,3)</f>
        <v>0</v>
      </c>
      <c r="AN162" s="993">
        <f>ROUND(AN160*AN161,3)</f>
        <v>0</v>
      </c>
      <c r="AO162" s="996">
        <f>SUM(AK162:AN162)</f>
        <v>0</v>
      </c>
      <c r="AP162" s="993"/>
      <c r="AQ162" s="993">
        <f>ROUND(AQ160*AQ161,3)</f>
        <v>0</v>
      </c>
      <c r="AR162" s="993">
        <f>ROUND(AR160*AR161,3)</f>
        <v>0</v>
      </c>
      <c r="AS162" s="993">
        <f>ROUND(AS160*AS161,3)</f>
        <v>0</v>
      </c>
      <c r="AT162" s="993">
        <f>ROUND(AT160*AT161,3)</f>
        <v>0</v>
      </c>
      <c r="AU162" s="996">
        <f>SUM(AQ162:AT162)</f>
        <v>0</v>
      </c>
      <c r="AV162" s="993"/>
      <c r="AW162" s="993">
        <f>ROUND(AW160*AW161,3)</f>
        <v>0</v>
      </c>
      <c r="AX162" s="993">
        <f>ROUND(AX160*AX161,3)</f>
        <v>0</v>
      </c>
      <c r="AY162" s="993">
        <f>ROUND(AY160*AY161,3)</f>
        <v>0</v>
      </c>
      <c r="AZ162" s="993">
        <f>ROUND(AZ160*AZ161,3)</f>
        <v>0</v>
      </c>
      <c r="BA162" s="996">
        <f>SUM(AW162:AZ162)</f>
        <v>0</v>
      </c>
      <c r="BB162" s="993"/>
      <c r="BC162" s="993">
        <f>ROUND(BC160*BC161,3)</f>
        <v>0</v>
      </c>
      <c r="BD162" s="993">
        <f>ROUND(BD160*BD161,3)</f>
        <v>0</v>
      </c>
      <c r="BE162" s="993">
        <f>ROUND(BE160*BE161,3)</f>
        <v>0</v>
      </c>
      <c r="BF162" s="993">
        <f>ROUND(BF160*BF161,3)</f>
        <v>0</v>
      </c>
      <c r="BG162" s="996">
        <f>SUM(BC162:BF162)</f>
        <v>0</v>
      </c>
      <c r="BH162" s="993"/>
      <c r="BI162" s="993">
        <f>ROUND(BI160*BI161,3)</f>
        <v>0</v>
      </c>
      <c r="BJ162" s="993">
        <f>ROUND(BJ160*BJ161,3)</f>
        <v>0</v>
      </c>
      <c r="BK162" s="993">
        <f>ROUND(BK160*BK161,3)</f>
        <v>0</v>
      </c>
      <c r="BL162" s="993">
        <f>ROUND(BL160*BL161,3)</f>
        <v>0</v>
      </c>
      <c r="BM162" s="996">
        <f>SUM(BI162:BL162)</f>
        <v>0</v>
      </c>
      <c r="BN162" s="993"/>
      <c r="BO162" s="993">
        <f>ROUND(BO160*BO161,3)</f>
        <v>0</v>
      </c>
      <c r="BP162" s="993">
        <f>ROUND(BP160*BP161,3)</f>
        <v>0</v>
      </c>
      <c r="BQ162" s="993">
        <f>ROUND(BQ160*BQ161,3)</f>
        <v>0</v>
      </c>
      <c r="BR162" s="993">
        <f>ROUND(BR160*BR161,3)</f>
        <v>0</v>
      </c>
      <c r="BS162" s="996">
        <f>SUM(BO162:BR162)</f>
        <v>0</v>
      </c>
      <c r="BT162" s="993"/>
      <c r="BU162" s="993">
        <f>ROUND(BU160*BU161,3)</f>
        <v>0</v>
      </c>
      <c r="BV162" s="993">
        <f>ROUND(BV160*BV161,3)</f>
        <v>0</v>
      </c>
      <c r="BW162" s="993">
        <f>ROUND(BW160*BW161,3)</f>
        <v>0</v>
      </c>
      <c r="BX162" s="993">
        <f>ROUND(BX160*BX161,3)</f>
        <v>0</v>
      </c>
      <c r="BY162" s="996">
        <f>SUM(BU162:BX162)</f>
        <v>0</v>
      </c>
      <c r="BZ162" s="993"/>
      <c r="CA162" s="993">
        <f>ROUND(CA160*CA161,3)</f>
        <v>0</v>
      </c>
      <c r="CB162" s="993">
        <f>ROUND(CB160*CB161,3)</f>
        <v>0</v>
      </c>
      <c r="CC162" s="993">
        <f>ROUND(CC160*CC161,3)</f>
        <v>0</v>
      </c>
      <c r="CD162" s="993">
        <f>ROUND(CD160*CD161,3)</f>
        <v>0</v>
      </c>
      <c r="CE162" s="996">
        <f>SUM(CA162:CD162)</f>
        <v>0</v>
      </c>
      <c r="CF162" s="993"/>
      <c r="CG162" s="993">
        <f>ROUND(CG160*CG161,3)</f>
        <v>0</v>
      </c>
      <c r="CH162" s="993">
        <f>ROUND(CH160*CH161,3)</f>
        <v>0</v>
      </c>
      <c r="CI162" s="993">
        <f>ROUND(CI160*CI161,3)</f>
        <v>0</v>
      </c>
      <c r="CJ162" s="993">
        <f>ROUND(CJ160*CJ161,3)</f>
        <v>0</v>
      </c>
      <c r="CK162" s="996">
        <f>SUM(CG162:CJ162)</f>
        <v>0</v>
      </c>
      <c r="CL162" s="993"/>
      <c r="CM162" s="993">
        <f>ROUND(CM160*CM161,3)</f>
        <v>0</v>
      </c>
      <c r="CN162" s="993">
        <f>ROUND(CN160*CN161,3)</f>
        <v>0</v>
      </c>
      <c r="CO162" s="993">
        <f>ROUND(CO160*CO161,3)</f>
        <v>0</v>
      </c>
      <c r="CP162" s="993">
        <f>ROUND(CP160*CP161,3)</f>
        <v>0</v>
      </c>
      <c r="CQ162" s="996">
        <f>SUM(CM162:CP162)</f>
        <v>0</v>
      </c>
      <c r="CR162" s="993"/>
      <c r="CS162" s="993">
        <f>ROUND(CS160*CS161,3)</f>
        <v>0</v>
      </c>
      <c r="CT162" s="993">
        <f>ROUND(CT160*CT161,3)</f>
        <v>0</v>
      </c>
      <c r="CU162" s="993">
        <f>ROUND(CU160*CU161,3)</f>
        <v>0</v>
      </c>
      <c r="CV162" s="993">
        <f>ROUND(CV160*CV161,3)</f>
        <v>0</v>
      </c>
      <c r="CW162" s="996">
        <f>SUM(CS162:CV162)</f>
        <v>0</v>
      </c>
      <c r="CX162" s="993"/>
      <c r="CY162" s="993">
        <f>ROUND(CY160*CY161,3)</f>
        <v>0</v>
      </c>
      <c r="CZ162" s="993">
        <f>ROUND(CZ160*CZ161,3)</f>
        <v>0</v>
      </c>
      <c r="DA162" s="993">
        <f>ROUND(DA160*DA161,3)</f>
        <v>0</v>
      </c>
      <c r="DB162" s="993">
        <f>ROUND(DB160*DB161,3)</f>
        <v>0</v>
      </c>
      <c r="DC162" s="996">
        <f>SUM(CY162:DB162)</f>
        <v>0</v>
      </c>
      <c r="DD162" s="993"/>
      <c r="DE162" s="993">
        <f>ROUND(DE160*DE161,3)</f>
        <v>0</v>
      </c>
      <c r="DF162" s="993">
        <f>ROUND(DF160*DF161,3)</f>
        <v>0</v>
      </c>
      <c r="DG162" s="993">
        <f>ROUND(DG160*DG161,3)</f>
        <v>0</v>
      </c>
      <c r="DH162" s="993">
        <f>ROUND(DH160*DH161,3)</f>
        <v>0</v>
      </c>
      <c r="DI162" s="996">
        <f>SUM(DE162:DH162)</f>
        <v>0</v>
      </c>
      <c r="DJ162" s="993"/>
      <c r="DK162" s="993">
        <f>ROUND(DK160*DK161,3)</f>
        <v>0</v>
      </c>
      <c r="DL162" s="993">
        <f>ROUND(DL160*DL161,3)</f>
        <v>0</v>
      </c>
      <c r="DM162" s="993">
        <f>ROUND(DM160*DM161,3)</f>
        <v>0</v>
      </c>
      <c r="DN162" s="993">
        <f>ROUND(DN160*DN161,3)</f>
        <v>0</v>
      </c>
      <c r="DO162" s="996">
        <f>SUM(DK162:DN162)</f>
        <v>0</v>
      </c>
      <c r="DP162" s="1062"/>
      <c r="DQ162" s="966"/>
    </row>
    <row r="163" spans="1:121" ht="6" hidden="1" customHeight="1" outlineLevel="1">
      <c r="A163" s="1122"/>
      <c r="B163" s="966"/>
      <c r="C163" s="966"/>
      <c r="D163" s="966"/>
      <c r="E163" s="966"/>
      <c r="F163" s="966"/>
      <c r="G163" s="966"/>
      <c r="H163" s="966"/>
      <c r="I163" s="966"/>
      <c r="J163" s="966"/>
      <c r="K163" s="966"/>
      <c r="L163" s="966"/>
      <c r="M163" s="1079"/>
      <c r="N163" s="1079"/>
      <c r="O163" s="1079"/>
      <c r="P163" s="1090"/>
      <c r="Q163" s="1242"/>
      <c r="R163" s="993"/>
      <c r="S163" s="1079"/>
      <c r="T163" s="1079"/>
      <c r="U163" s="1079"/>
      <c r="V163" s="1090"/>
      <c r="W163" s="1242"/>
      <c r="X163" s="993"/>
      <c r="Y163" s="1079"/>
      <c r="Z163" s="1079"/>
      <c r="AA163" s="1079"/>
      <c r="AB163" s="1090"/>
      <c r="AC163" s="1091"/>
      <c r="AD163" s="993"/>
      <c r="AE163" s="1079"/>
      <c r="AF163" s="1079"/>
      <c r="AG163" s="1079"/>
      <c r="AH163" s="1090"/>
      <c r="AI163" s="1091"/>
      <c r="AJ163" s="993"/>
      <c r="AK163" s="1079"/>
      <c r="AL163" s="1079"/>
      <c r="AM163" s="1079"/>
      <c r="AN163" s="1090"/>
      <c r="AO163" s="1091"/>
      <c r="AP163" s="993"/>
      <c r="AQ163" s="1079"/>
      <c r="AR163" s="1079"/>
      <c r="AS163" s="1079"/>
      <c r="AT163" s="1079"/>
      <c r="AU163" s="1091"/>
      <c r="AV163" s="993"/>
      <c r="AW163" s="1079"/>
      <c r="AX163" s="1079"/>
      <c r="AY163" s="1079"/>
      <c r="AZ163" s="1079"/>
      <c r="BA163" s="1091"/>
      <c r="BB163" s="993"/>
      <c r="BC163" s="1079"/>
      <c r="BD163" s="1079"/>
      <c r="BE163" s="1079"/>
      <c r="BF163" s="1079"/>
      <c r="BG163" s="1091"/>
      <c r="BH163" s="993"/>
      <c r="BI163" s="1079"/>
      <c r="BJ163" s="1079"/>
      <c r="BK163" s="1079"/>
      <c r="BL163" s="1079"/>
      <c r="BM163" s="1091"/>
      <c r="BN163" s="993"/>
      <c r="BO163" s="1079"/>
      <c r="BP163" s="1079"/>
      <c r="BQ163" s="1079"/>
      <c r="BR163" s="1079"/>
      <c r="BS163" s="1091"/>
      <c r="BT163" s="993"/>
      <c r="BU163" s="1079"/>
      <c r="BV163" s="1079"/>
      <c r="BW163" s="1079"/>
      <c r="BX163" s="1079"/>
      <c r="BY163" s="1091"/>
      <c r="BZ163" s="993"/>
      <c r="CA163" s="1079"/>
      <c r="CB163" s="1079"/>
      <c r="CC163" s="1079"/>
      <c r="CD163" s="1079"/>
      <c r="CE163" s="1091"/>
      <c r="CF163" s="993"/>
      <c r="CG163" s="1079"/>
      <c r="CH163" s="1079"/>
      <c r="CI163" s="1079"/>
      <c r="CJ163" s="1079"/>
      <c r="CK163" s="1091"/>
      <c r="CL163" s="993"/>
      <c r="CM163" s="1079"/>
      <c r="CN163" s="1079"/>
      <c r="CO163" s="1079"/>
      <c r="CP163" s="1079"/>
      <c r="CQ163" s="1091"/>
      <c r="CR163" s="993"/>
      <c r="CS163" s="1079"/>
      <c r="CT163" s="1079"/>
      <c r="CU163" s="1079"/>
      <c r="CV163" s="1090"/>
      <c r="CW163" s="1091"/>
      <c r="CX163" s="993"/>
      <c r="CY163" s="1079"/>
      <c r="CZ163" s="1079"/>
      <c r="DA163" s="1079"/>
      <c r="DB163" s="1090"/>
      <c r="DC163" s="1091"/>
      <c r="DD163" s="993"/>
      <c r="DE163" s="1079"/>
      <c r="DF163" s="1079"/>
      <c r="DG163" s="1079"/>
      <c r="DH163" s="1090"/>
      <c r="DI163" s="1091"/>
      <c r="DJ163" s="993"/>
      <c r="DK163" s="1079"/>
      <c r="DL163" s="1079"/>
      <c r="DM163" s="1079"/>
      <c r="DN163" s="1090"/>
      <c r="DO163" s="1091"/>
      <c r="DP163" s="1242"/>
      <c r="DQ163" s="966"/>
    </row>
    <row r="164" spans="1:121" ht="12.75" hidden="1" customHeight="1" outlineLevel="1">
      <c r="A164" s="1117" t="s">
        <v>8</v>
      </c>
      <c r="B164" s="966"/>
      <c r="C164" s="966"/>
      <c r="D164" s="966"/>
      <c r="E164" s="966"/>
      <c r="F164" s="966"/>
      <c r="G164" s="966"/>
      <c r="H164" s="966"/>
      <c r="I164" s="966"/>
      <c r="J164" s="966"/>
      <c r="K164" s="966"/>
      <c r="L164" s="966"/>
      <c r="M164" s="1079"/>
      <c r="N164" s="1079"/>
      <c r="O164" s="1079"/>
      <c r="P164" s="961"/>
      <c r="Q164" s="961"/>
      <c r="R164" s="993"/>
      <c r="S164" s="1079"/>
      <c r="T164" s="1079"/>
      <c r="U164" s="1079"/>
      <c r="V164" s="961"/>
      <c r="W164" s="961"/>
      <c r="X164" s="993"/>
      <c r="Y164" s="1079"/>
      <c r="Z164" s="1079"/>
      <c r="AA164" s="1079"/>
      <c r="AB164" s="961"/>
      <c r="AC164" s="1080"/>
      <c r="AD164" s="993"/>
      <c r="AE164" s="1079"/>
      <c r="AF164" s="1079"/>
      <c r="AG164" s="1079"/>
      <c r="AH164" s="961"/>
      <c r="AI164" s="1080"/>
      <c r="AJ164" s="993"/>
      <c r="AK164" s="1079"/>
      <c r="AL164" s="1079"/>
      <c r="AM164" s="1079"/>
      <c r="AN164" s="961"/>
      <c r="AO164" s="1080"/>
      <c r="AP164" s="993"/>
      <c r="AQ164" s="1079"/>
      <c r="AR164" s="1079"/>
      <c r="AS164" s="1079"/>
      <c r="AT164" s="1079"/>
      <c r="AU164" s="1080"/>
      <c r="AV164" s="993"/>
      <c r="AW164" s="1079"/>
      <c r="AX164" s="1079"/>
      <c r="AY164" s="1079"/>
      <c r="AZ164" s="1079"/>
      <c r="BA164" s="1080"/>
      <c r="BB164" s="993"/>
      <c r="BC164" s="1079"/>
      <c r="BD164" s="1079"/>
      <c r="BE164" s="1079"/>
      <c r="BF164" s="1079"/>
      <c r="BG164" s="1080"/>
      <c r="BH164" s="993"/>
      <c r="BI164" s="1079"/>
      <c r="BJ164" s="1079"/>
      <c r="BK164" s="1079"/>
      <c r="BL164" s="1079"/>
      <c r="BM164" s="1080"/>
      <c r="BN164" s="993"/>
      <c r="BO164" s="1079"/>
      <c r="BP164" s="1079"/>
      <c r="BQ164" s="1079"/>
      <c r="BR164" s="1079"/>
      <c r="BS164" s="1080"/>
      <c r="BT164" s="993"/>
      <c r="BU164" s="1079"/>
      <c r="BV164" s="1079"/>
      <c r="BW164" s="1079"/>
      <c r="BX164" s="1079"/>
      <c r="BY164" s="1080"/>
      <c r="BZ164" s="993"/>
      <c r="CA164" s="1079"/>
      <c r="CB164" s="1079"/>
      <c r="CC164" s="1079"/>
      <c r="CD164" s="1079"/>
      <c r="CE164" s="1080"/>
      <c r="CF164" s="993"/>
      <c r="CG164" s="1079"/>
      <c r="CH164" s="1079"/>
      <c r="CI164" s="1079"/>
      <c r="CJ164" s="1079"/>
      <c r="CK164" s="1080"/>
      <c r="CL164" s="993"/>
      <c r="CM164" s="1079"/>
      <c r="CN164" s="1079"/>
      <c r="CO164" s="1079"/>
      <c r="CP164" s="1079"/>
      <c r="CQ164" s="1080"/>
      <c r="CR164" s="993"/>
      <c r="CS164" s="1079"/>
      <c r="CT164" s="1079"/>
      <c r="CU164" s="1079"/>
      <c r="CV164" s="961"/>
      <c r="CW164" s="1080"/>
      <c r="CX164" s="993"/>
      <c r="CY164" s="1079"/>
      <c r="CZ164" s="1079"/>
      <c r="DA164" s="1079"/>
      <c r="DB164" s="961"/>
      <c r="DC164" s="1080"/>
      <c r="DD164" s="993"/>
      <c r="DE164" s="1079"/>
      <c r="DF164" s="1079"/>
      <c r="DG164" s="1079"/>
      <c r="DH164" s="961"/>
      <c r="DI164" s="1080"/>
      <c r="DJ164" s="993"/>
      <c r="DK164" s="1079"/>
      <c r="DL164" s="1079"/>
      <c r="DM164" s="1079"/>
      <c r="DN164" s="961"/>
      <c r="DO164" s="1080"/>
      <c r="DP164" s="961"/>
      <c r="DQ164" s="966"/>
    </row>
    <row r="165" spans="1:121" ht="12.75" hidden="1" customHeight="1" outlineLevel="1">
      <c r="A165" s="1108" t="s">
        <v>973</v>
      </c>
      <c r="B165" s="966"/>
      <c r="C165" s="966"/>
      <c r="D165" s="966"/>
      <c r="E165" s="966"/>
      <c r="F165" s="966"/>
      <c r="G165" s="966"/>
      <c r="H165" s="966"/>
      <c r="I165" s="966"/>
      <c r="J165" s="966"/>
      <c r="K165" s="966"/>
      <c r="L165" s="966"/>
      <c r="M165" s="993">
        <f>-M182</f>
        <v>-0.33248635008029304</v>
      </c>
      <c r="N165" s="993">
        <f>-N182</f>
        <v>-0.3202174810736409</v>
      </c>
      <c r="O165" s="993">
        <f>-O182</f>
        <v>-0.30948222069281961</v>
      </c>
      <c r="P165" s="993">
        <f>-P182</f>
        <v>-0.3748139481532462</v>
      </c>
      <c r="Q165" s="993">
        <f>SUM(M165:P165)</f>
        <v>-1.3369999999999997</v>
      </c>
      <c r="R165" s="993"/>
      <c r="S165" s="993">
        <f>-S182</f>
        <v>-0.72499999999999964</v>
      </c>
      <c r="T165" s="993">
        <f>-T182</f>
        <v>0.56099999999999994</v>
      </c>
      <c r="U165" s="993">
        <f>-U182</f>
        <v>-1.3529999999999998</v>
      </c>
      <c r="V165" s="993">
        <f>-V182</f>
        <v>-0.82599999999999962</v>
      </c>
      <c r="W165" s="993">
        <f>SUM(S165:V165)</f>
        <v>-2.3429999999999991</v>
      </c>
      <c r="X165" s="993"/>
      <c r="Y165" s="993">
        <f>-Y182</f>
        <v>-0.91300000000000026</v>
      </c>
      <c r="Z165" s="993">
        <f>-Z182</f>
        <v>-0.99900000000000011</v>
      </c>
      <c r="AA165" s="993">
        <f>-AA182</f>
        <v>-0.80200000000000005</v>
      </c>
      <c r="AB165" s="993">
        <f>-AB182</f>
        <v>-0.80200000000000005</v>
      </c>
      <c r="AC165" s="996">
        <f>SUM(Y165:AB165)</f>
        <v>-3.5160000000000005</v>
      </c>
      <c r="AD165" s="993"/>
      <c r="AE165" s="993">
        <f>-AE182</f>
        <v>-2.5310000000000001</v>
      </c>
      <c r="AF165" s="993">
        <f>-AF182</f>
        <v>0</v>
      </c>
      <c r="AG165" s="993">
        <f>-AG182</f>
        <v>0</v>
      </c>
      <c r="AH165" s="993">
        <f>-AH182</f>
        <v>0</v>
      </c>
      <c r="AI165" s="996">
        <f>SUM(AE165:AH165)</f>
        <v>-2.5310000000000001</v>
      </c>
      <c r="AJ165" s="993"/>
      <c r="AK165" s="993">
        <f>-AK182</f>
        <v>0</v>
      </c>
      <c r="AL165" s="993">
        <f>-AL182</f>
        <v>0</v>
      </c>
      <c r="AM165" s="993">
        <f>-AM182</f>
        <v>0</v>
      </c>
      <c r="AN165" s="993">
        <f>-AN182</f>
        <v>0</v>
      </c>
      <c r="AO165" s="996">
        <f>SUM(AK165:AN165)</f>
        <v>0</v>
      </c>
      <c r="AP165" s="993"/>
      <c r="AQ165" s="993">
        <f>-AQ182</f>
        <v>0</v>
      </c>
      <c r="AR165" s="993">
        <f>-AR182</f>
        <v>0</v>
      </c>
      <c r="AS165" s="993">
        <f>-AS182</f>
        <v>0</v>
      </c>
      <c r="AT165" s="993">
        <f>-AT182</f>
        <v>0</v>
      </c>
      <c r="AU165" s="996">
        <f>SUM(AQ165:AT165)</f>
        <v>0</v>
      </c>
      <c r="AV165" s="993"/>
      <c r="AW165" s="993">
        <f>-AW182</f>
        <v>0</v>
      </c>
      <c r="AX165" s="993">
        <f>-AX182</f>
        <v>0</v>
      </c>
      <c r="AY165" s="993">
        <f>-AY182</f>
        <v>0</v>
      </c>
      <c r="AZ165" s="993">
        <f>-AZ182</f>
        <v>0</v>
      </c>
      <c r="BA165" s="996">
        <f>SUM(AW165:AZ165)</f>
        <v>0</v>
      </c>
      <c r="BB165" s="993"/>
      <c r="BC165" s="993">
        <f>-BC182</f>
        <v>0</v>
      </c>
      <c r="BD165" s="993">
        <f>-BD182</f>
        <v>0</v>
      </c>
      <c r="BE165" s="993">
        <f>-BE182</f>
        <v>0</v>
      </c>
      <c r="BF165" s="993">
        <f>-BF182</f>
        <v>0</v>
      </c>
      <c r="BG165" s="996">
        <f>SUM(BC165:BF165)</f>
        <v>0</v>
      </c>
      <c r="BH165" s="993"/>
      <c r="BI165" s="993">
        <f>-BI182</f>
        <v>0</v>
      </c>
      <c r="BJ165" s="993">
        <f>-BJ182</f>
        <v>0</v>
      </c>
      <c r="BK165" s="993">
        <f>-BK182</f>
        <v>0</v>
      </c>
      <c r="BL165" s="993">
        <f>-BL182</f>
        <v>0</v>
      </c>
      <c r="BM165" s="996">
        <f>SUM(BI165:BL165)</f>
        <v>0</v>
      </c>
      <c r="BN165" s="993"/>
      <c r="BO165" s="993">
        <f>-BO182</f>
        <v>0</v>
      </c>
      <c r="BP165" s="993">
        <f>-BP182</f>
        <v>0</v>
      </c>
      <c r="BQ165" s="993">
        <f>-BQ182</f>
        <v>0</v>
      </c>
      <c r="BR165" s="993">
        <f>-BR182</f>
        <v>0</v>
      </c>
      <c r="BS165" s="996">
        <f>SUM(BO165:BR165)</f>
        <v>0</v>
      </c>
      <c r="BT165" s="993"/>
      <c r="BU165" s="993">
        <f>-BU182</f>
        <v>0</v>
      </c>
      <c r="BV165" s="993">
        <f>-BV182</f>
        <v>0</v>
      </c>
      <c r="BW165" s="993">
        <f>-BW182</f>
        <v>0</v>
      </c>
      <c r="BX165" s="993">
        <f>-BX182</f>
        <v>0</v>
      </c>
      <c r="BY165" s="996">
        <f>SUM(BU165:BX165)</f>
        <v>0</v>
      </c>
      <c r="BZ165" s="993"/>
      <c r="CA165" s="993">
        <f>-CA182</f>
        <v>0</v>
      </c>
      <c r="CB165" s="993">
        <f>-CB182</f>
        <v>0</v>
      </c>
      <c r="CC165" s="993">
        <f>-CC182</f>
        <v>0</v>
      </c>
      <c r="CD165" s="993">
        <f>-CD182</f>
        <v>0</v>
      </c>
      <c r="CE165" s="996">
        <f>SUM(CA165:CD165)</f>
        <v>0</v>
      </c>
      <c r="CF165" s="993"/>
      <c r="CG165" s="993">
        <f>-CG182</f>
        <v>0</v>
      </c>
      <c r="CH165" s="993">
        <f>-CH182</f>
        <v>0</v>
      </c>
      <c r="CI165" s="993">
        <f>-CI182</f>
        <v>0</v>
      </c>
      <c r="CJ165" s="993">
        <f>-CJ182</f>
        <v>0</v>
      </c>
      <c r="CK165" s="996">
        <f>SUM(CG165:CJ165)</f>
        <v>0</v>
      </c>
      <c r="CL165" s="993"/>
      <c r="CM165" s="993">
        <f>-CM182</f>
        <v>0</v>
      </c>
      <c r="CN165" s="993">
        <f>-CN182</f>
        <v>0</v>
      </c>
      <c r="CO165" s="993">
        <f>-CO182</f>
        <v>0</v>
      </c>
      <c r="CP165" s="993">
        <f>-CP182</f>
        <v>0</v>
      </c>
      <c r="CQ165" s="996">
        <f>SUM(CM165:CP165)</f>
        <v>0</v>
      </c>
      <c r="CR165" s="993"/>
      <c r="CS165" s="993">
        <f>-CS182</f>
        <v>0</v>
      </c>
      <c r="CT165" s="993">
        <f>-CT182</f>
        <v>0</v>
      </c>
      <c r="CU165" s="993">
        <f>-CU182</f>
        <v>0</v>
      </c>
      <c r="CV165" s="993">
        <f>-CV182</f>
        <v>0</v>
      </c>
      <c r="CW165" s="996">
        <f>SUM(CS165:CV165)</f>
        <v>0</v>
      </c>
      <c r="CX165" s="993"/>
      <c r="CY165" s="993">
        <f>-CY182</f>
        <v>0</v>
      </c>
      <c r="CZ165" s="993">
        <f>-CZ182</f>
        <v>0</v>
      </c>
      <c r="DA165" s="993">
        <f>-DA182</f>
        <v>0</v>
      </c>
      <c r="DB165" s="993">
        <f>-DB182</f>
        <v>0</v>
      </c>
      <c r="DC165" s="996">
        <f>SUM(CY165:DB165)</f>
        <v>0</v>
      </c>
      <c r="DD165" s="993"/>
      <c r="DE165" s="993">
        <f>-DE182</f>
        <v>0</v>
      </c>
      <c r="DF165" s="993">
        <f>-DF182</f>
        <v>0</v>
      </c>
      <c r="DG165" s="993">
        <f>-DG182</f>
        <v>0</v>
      </c>
      <c r="DH165" s="993">
        <f>-DH182</f>
        <v>0</v>
      </c>
      <c r="DI165" s="996">
        <f>SUM(DE165:DH165)</f>
        <v>0</v>
      </c>
      <c r="DJ165" s="993"/>
      <c r="DK165" s="993">
        <f>-DK182</f>
        <v>0</v>
      </c>
      <c r="DL165" s="993">
        <f>-DL182</f>
        <v>0</v>
      </c>
      <c r="DM165" s="993">
        <f>-DM182</f>
        <v>0</v>
      </c>
      <c r="DN165" s="993">
        <f>-DN182</f>
        <v>0</v>
      </c>
      <c r="DO165" s="996">
        <f>SUM(DK165:DN165)</f>
        <v>0</v>
      </c>
      <c r="DP165" s="1062"/>
      <c r="DQ165" s="966"/>
    </row>
    <row r="166" spans="1:121" ht="6" hidden="1" customHeight="1" outlineLevel="1">
      <c r="A166" s="1122"/>
      <c r="B166" s="966"/>
      <c r="C166" s="966"/>
      <c r="D166" s="966"/>
      <c r="E166" s="966"/>
      <c r="F166" s="966"/>
      <c r="G166" s="966"/>
      <c r="H166" s="966"/>
      <c r="I166" s="966"/>
      <c r="J166" s="966"/>
      <c r="K166" s="966"/>
      <c r="L166" s="966"/>
      <c r="M166" s="1079"/>
      <c r="N166" s="1079"/>
      <c r="O166" s="1079"/>
      <c r="P166" s="1090"/>
      <c r="Q166" s="1242"/>
      <c r="R166" s="993"/>
      <c r="S166" s="1079"/>
      <c r="T166" s="1079"/>
      <c r="U166" s="1079"/>
      <c r="V166" s="1090"/>
      <c r="W166" s="1242"/>
      <c r="X166" s="993"/>
      <c r="Y166" s="1079"/>
      <c r="Z166" s="1079"/>
      <c r="AA166" s="1079"/>
      <c r="AB166" s="1090"/>
      <c r="AC166" s="1091"/>
      <c r="AD166" s="993"/>
      <c r="AE166" s="1079"/>
      <c r="AF166" s="1079"/>
      <c r="AG166" s="1079"/>
      <c r="AH166" s="1079"/>
      <c r="AI166" s="1091"/>
      <c r="AJ166" s="993"/>
      <c r="AK166" s="1079"/>
      <c r="AL166" s="1079"/>
      <c r="AM166" s="1079"/>
      <c r="AN166" s="1090"/>
      <c r="AO166" s="1091"/>
      <c r="AP166" s="993"/>
      <c r="AQ166" s="1079"/>
      <c r="AR166" s="1079"/>
      <c r="AS166" s="1079"/>
      <c r="AT166" s="1079"/>
      <c r="AU166" s="1091"/>
      <c r="AV166" s="993"/>
      <c r="AW166" s="1079"/>
      <c r="AX166" s="1079"/>
      <c r="AY166" s="1079"/>
      <c r="AZ166" s="1079"/>
      <c r="BA166" s="1091"/>
      <c r="BB166" s="993"/>
      <c r="BC166" s="1079"/>
      <c r="BD166" s="1079"/>
      <c r="BE166" s="1079"/>
      <c r="BF166" s="1079"/>
      <c r="BG166" s="1091"/>
      <c r="BH166" s="993"/>
      <c r="BI166" s="1079"/>
      <c r="BJ166" s="1079"/>
      <c r="BK166" s="1079"/>
      <c r="BL166" s="1079"/>
      <c r="BM166" s="1091"/>
      <c r="BN166" s="993"/>
      <c r="BO166" s="1079"/>
      <c r="BP166" s="1079"/>
      <c r="BQ166" s="1079"/>
      <c r="BR166" s="1079"/>
      <c r="BS166" s="1091"/>
      <c r="BT166" s="993"/>
      <c r="BU166" s="1079"/>
      <c r="BV166" s="1079"/>
      <c r="BW166" s="1079"/>
      <c r="BX166" s="1079"/>
      <c r="BY166" s="1091"/>
      <c r="BZ166" s="993"/>
      <c r="CA166" s="1079"/>
      <c r="CB166" s="1079"/>
      <c r="CC166" s="1079"/>
      <c r="CD166" s="1079"/>
      <c r="CE166" s="1091"/>
      <c r="CF166" s="993"/>
      <c r="CG166" s="1079"/>
      <c r="CH166" s="1079"/>
      <c r="CI166" s="1079"/>
      <c r="CJ166" s="1079"/>
      <c r="CK166" s="1091"/>
      <c r="CL166" s="993"/>
      <c r="CM166" s="1079"/>
      <c r="CN166" s="1079"/>
      <c r="CO166" s="1079"/>
      <c r="CP166" s="1079"/>
      <c r="CQ166" s="1091"/>
      <c r="CR166" s="993"/>
      <c r="CS166" s="1079"/>
      <c r="CT166" s="1079"/>
      <c r="CU166" s="1079"/>
      <c r="CV166" s="1090"/>
      <c r="CW166" s="1091"/>
      <c r="CX166" s="993"/>
      <c r="CY166" s="1079"/>
      <c r="CZ166" s="1079"/>
      <c r="DA166" s="1079"/>
      <c r="DB166" s="1090"/>
      <c r="DC166" s="1091"/>
      <c r="DD166" s="993"/>
      <c r="DE166" s="1079"/>
      <c r="DF166" s="1079"/>
      <c r="DG166" s="1079"/>
      <c r="DH166" s="1090"/>
      <c r="DI166" s="1091"/>
      <c r="DJ166" s="993"/>
      <c r="DK166" s="1079"/>
      <c r="DL166" s="1079"/>
      <c r="DM166" s="1079"/>
      <c r="DN166" s="1090"/>
      <c r="DO166" s="1091"/>
      <c r="DP166" s="1242"/>
      <c r="DQ166" s="966"/>
    </row>
    <row r="167" spans="1:121" ht="12.75" hidden="1" customHeight="1" outlineLevel="1">
      <c r="A167" s="1117" t="s">
        <v>979</v>
      </c>
      <c r="B167" s="966"/>
      <c r="C167" s="966"/>
      <c r="D167" s="966"/>
      <c r="E167" s="966"/>
      <c r="F167" s="966"/>
      <c r="G167" s="966"/>
      <c r="H167" s="966"/>
      <c r="I167" s="966"/>
      <c r="J167" s="966"/>
      <c r="K167" s="966"/>
      <c r="L167" s="966"/>
      <c r="M167" s="969">
        <f>ROUND(N177-M178,3)</f>
        <v>0</v>
      </c>
      <c r="N167" s="969">
        <f>ROUND(O177-N178,3)</f>
        <v>0</v>
      </c>
      <c r="O167" s="969">
        <f>ROUND(P177-O178,3)</f>
        <v>0</v>
      </c>
      <c r="P167" s="969">
        <f>ROUND(S177-P178,3)</f>
        <v>0</v>
      </c>
      <c r="Q167" s="969">
        <f>SUM(M167:P167)</f>
        <v>0</v>
      </c>
      <c r="R167" s="993"/>
      <c r="S167" s="969">
        <f>ROUND(T177-S178,3)</f>
        <v>0</v>
      </c>
      <c r="T167" s="969">
        <f>ROUND(U177-T178,3)</f>
        <v>0</v>
      </c>
      <c r="U167" s="969">
        <f>ROUND(V177-U178,3)</f>
        <v>0</v>
      </c>
      <c r="V167" s="969">
        <f>ROUND(Y177-V178,3)</f>
        <v>0</v>
      </c>
      <c r="W167" s="969">
        <f>SUM(S167:V167)</f>
        <v>0</v>
      </c>
      <c r="X167" s="993"/>
      <c r="Y167" s="969">
        <f>ROUND(Z177-Y178,3)</f>
        <v>0</v>
      </c>
      <c r="Z167" s="969">
        <f>ROUND(AA177-Z178,3)</f>
        <v>0</v>
      </c>
      <c r="AA167" s="969">
        <f>ROUND(AB177-AA178,3)</f>
        <v>0</v>
      </c>
      <c r="AB167" s="969">
        <f>ROUND(AE177-AB178,3)</f>
        <v>0</v>
      </c>
      <c r="AC167" s="1092">
        <f>SUM(Y167:AB167)</f>
        <v>0</v>
      </c>
      <c r="AD167" s="993"/>
      <c r="AE167" s="969">
        <f>ROUND(AF177-AE178,3)</f>
        <v>0</v>
      </c>
      <c r="AF167" s="969">
        <f>ROUND(AG177-AF178,3)</f>
        <v>0</v>
      </c>
      <c r="AG167" s="969">
        <f>ROUND(AH177-AG178,3)</f>
        <v>0</v>
      </c>
      <c r="AH167" s="969">
        <f>ROUND(AK177-AH178,3)</f>
        <v>0</v>
      </c>
      <c r="AI167" s="1092"/>
      <c r="AJ167" s="993"/>
      <c r="AK167" s="969"/>
      <c r="AL167" s="969"/>
      <c r="AM167" s="969"/>
      <c r="AN167" s="969"/>
      <c r="AO167" s="1092"/>
      <c r="AP167" s="993"/>
      <c r="AQ167" s="969"/>
      <c r="AR167" s="969"/>
      <c r="AS167" s="969"/>
      <c r="AT167" s="969"/>
      <c r="AU167" s="1092"/>
      <c r="AV167" s="993"/>
      <c r="AW167" s="969"/>
      <c r="AX167" s="969"/>
      <c r="AY167" s="969"/>
      <c r="AZ167" s="969"/>
      <c r="BA167" s="1092"/>
      <c r="BB167" s="993"/>
      <c r="BC167" s="969"/>
      <c r="BD167" s="969"/>
      <c r="BE167" s="969"/>
      <c r="BF167" s="969"/>
      <c r="BG167" s="1092"/>
      <c r="BH167" s="993"/>
      <c r="BI167" s="969"/>
      <c r="BJ167" s="969"/>
      <c r="BK167" s="969"/>
      <c r="BL167" s="969"/>
      <c r="BM167" s="1092"/>
      <c r="BN167" s="993"/>
      <c r="BO167" s="969"/>
      <c r="BP167" s="969"/>
      <c r="BQ167" s="969"/>
      <c r="BR167" s="969"/>
      <c r="BS167" s="1092"/>
      <c r="BT167" s="993"/>
      <c r="BU167" s="969"/>
      <c r="BV167" s="969"/>
      <c r="BW167" s="969"/>
      <c r="BX167" s="969"/>
      <c r="BY167" s="1092"/>
      <c r="BZ167" s="993"/>
      <c r="CA167" s="969"/>
      <c r="CB167" s="969"/>
      <c r="CC167" s="969"/>
      <c r="CD167" s="969"/>
      <c r="CE167" s="1092"/>
      <c r="CF167" s="993"/>
      <c r="CG167" s="969"/>
      <c r="CH167" s="969"/>
      <c r="CI167" s="969"/>
      <c r="CJ167" s="969"/>
      <c r="CK167" s="1092"/>
      <c r="CL167" s="993"/>
      <c r="CM167" s="969"/>
      <c r="CN167" s="969"/>
      <c r="CO167" s="969"/>
      <c r="CP167" s="969"/>
      <c r="CQ167" s="1092"/>
      <c r="CR167" s="993"/>
      <c r="CS167" s="969"/>
      <c r="CT167" s="969"/>
      <c r="CU167" s="969"/>
      <c r="CV167" s="969"/>
      <c r="CW167" s="1092"/>
      <c r="CX167" s="993"/>
      <c r="CY167" s="969"/>
      <c r="CZ167" s="969"/>
      <c r="DA167" s="969"/>
      <c r="DB167" s="969"/>
      <c r="DC167" s="1092"/>
      <c r="DD167" s="993"/>
      <c r="DE167" s="969"/>
      <c r="DF167" s="969"/>
      <c r="DG167" s="969"/>
      <c r="DH167" s="969"/>
      <c r="DI167" s="1092"/>
      <c r="DJ167" s="993"/>
      <c r="DK167" s="969"/>
      <c r="DL167" s="969"/>
      <c r="DM167" s="969"/>
      <c r="DN167" s="969"/>
      <c r="DO167" s="1092"/>
      <c r="DP167" s="969"/>
      <c r="DQ167" s="966"/>
    </row>
    <row r="168" spans="1:121" ht="12.75" hidden="1" customHeight="1" outlineLevel="1">
      <c r="A168" s="1108" t="s">
        <v>668</v>
      </c>
      <c r="B168" s="966"/>
      <c r="C168" s="966"/>
      <c r="D168" s="966"/>
      <c r="E168" s="966"/>
      <c r="F168" s="966"/>
      <c r="G168" s="966"/>
      <c r="H168" s="966"/>
      <c r="I168" s="966"/>
      <c r="J168" s="966"/>
      <c r="K168" s="966"/>
      <c r="L168" s="966"/>
      <c r="M168" s="961">
        <v>1.6000000000000001E-3</v>
      </c>
      <c r="N168" s="961">
        <v>1.6000000000000001E-3</v>
      </c>
      <c r="O168" s="961">
        <v>2.0999999999999999E-3</v>
      </c>
      <c r="P168" s="961">
        <v>3.2000000000000002E-3</v>
      </c>
      <c r="Q168" s="961">
        <f>SUM(M168:P168)</f>
        <v>8.5000000000000006E-3</v>
      </c>
      <c r="R168" s="993"/>
      <c r="S168" s="961">
        <v>-8.0000000000000002E-3</v>
      </c>
      <c r="T168" s="961">
        <v>58.024344999999997</v>
      </c>
      <c r="U168" s="961">
        <v>0</v>
      </c>
      <c r="V168" s="961">
        <v>0</v>
      </c>
      <c r="W168" s="961">
        <f>SUM(S168:V168)</f>
        <v>58.016344999999994</v>
      </c>
      <c r="X168" s="993"/>
      <c r="Y168" s="961">
        <f>AC168/4</f>
        <v>0</v>
      </c>
      <c r="Z168" s="961">
        <f>(AC168-Y168)/3</f>
        <v>0</v>
      </c>
      <c r="AA168" s="961">
        <f>(AC168-Y168-Z168)/2</f>
        <v>0</v>
      </c>
      <c r="AB168" s="961">
        <f>AC168-AA168-Z168-Y168</f>
        <v>0</v>
      </c>
      <c r="AC168" s="1080">
        <v>0</v>
      </c>
      <c r="AD168" s="993"/>
      <c r="AE168" s="961">
        <f>AI168/4</f>
        <v>0</v>
      </c>
      <c r="AF168" s="961">
        <f>(AI168-AE168)/3</f>
        <v>0</v>
      </c>
      <c r="AG168" s="961">
        <f>(AJ168-AF168)/3</f>
        <v>0</v>
      </c>
      <c r="AH168" s="961">
        <f>(AK168-AG168)/3</f>
        <v>0</v>
      </c>
      <c r="AI168" s="1080">
        <v>0</v>
      </c>
      <c r="AJ168" s="993"/>
      <c r="AK168" s="961">
        <f>AO168/4</f>
        <v>0</v>
      </c>
      <c r="AL168" s="961">
        <f>(AO168-AK168)/3</f>
        <v>0</v>
      </c>
      <c r="AM168" s="961">
        <f>(AO168-AK168-AL168)/2</f>
        <v>0</v>
      </c>
      <c r="AN168" s="961">
        <f>AO168-AM168-AL168-AK168</f>
        <v>0</v>
      </c>
      <c r="AO168" s="1080">
        <v>0</v>
      </c>
      <c r="AP168" s="993"/>
      <c r="AQ168" s="961">
        <f>AU168/4</f>
        <v>0</v>
      </c>
      <c r="AR168" s="961">
        <f>AV168/4</f>
        <v>0</v>
      </c>
      <c r="AS168" s="961">
        <f>AW168/4</f>
        <v>0</v>
      </c>
      <c r="AT168" s="961">
        <f>AX168/4</f>
        <v>0</v>
      </c>
      <c r="AU168" s="1080">
        <v>0</v>
      </c>
      <c r="AV168" s="993"/>
      <c r="AW168" s="961">
        <f>BA168/4</f>
        <v>0</v>
      </c>
      <c r="AX168" s="961">
        <f>BB168/4</f>
        <v>0</v>
      </c>
      <c r="AY168" s="961">
        <f>(BA168-AW168-AX168)/2</f>
        <v>0</v>
      </c>
      <c r="AZ168" s="961">
        <f>(BB168-AX168-AY168)/2</f>
        <v>0</v>
      </c>
      <c r="BA168" s="1080">
        <v>0</v>
      </c>
      <c r="BB168" s="993"/>
      <c r="BC168" s="961">
        <f>$BG$168/4</f>
        <v>0</v>
      </c>
      <c r="BD168" s="961">
        <f>$BG$168/4</f>
        <v>0</v>
      </c>
      <c r="BE168" s="961">
        <f>$BG$168/4</f>
        <v>0</v>
      </c>
      <c r="BF168" s="961">
        <f>$BG$168/4</f>
        <v>0</v>
      </c>
      <c r="BG168" s="1080">
        <v>0</v>
      </c>
      <c r="BH168" s="993"/>
      <c r="BI168" s="961">
        <f>$BG$168/4</f>
        <v>0</v>
      </c>
      <c r="BJ168" s="961">
        <f>$BG$168/4</f>
        <v>0</v>
      </c>
      <c r="BK168" s="961">
        <f>$BG$168/4</f>
        <v>0</v>
      </c>
      <c r="BL168" s="961">
        <f>$BG$168/4</f>
        <v>0</v>
      </c>
      <c r="BM168" s="1080">
        <v>0</v>
      </c>
      <c r="BN168" s="993"/>
      <c r="BO168" s="961">
        <f>$BG$168/4</f>
        <v>0</v>
      </c>
      <c r="BP168" s="961">
        <f>$BG$168/4</f>
        <v>0</v>
      </c>
      <c r="BQ168" s="961">
        <f>$BG$168/4</f>
        <v>0</v>
      </c>
      <c r="BR168" s="961">
        <f>$BG$168/4</f>
        <v>0</v>
      </c>
      <c r="BS168" s="1080">
        <v>0</v>
      </c>
      <c r="BT168" s="993"/>
      <c r="BU168" s="961">
        <f>$BG$168/4</f>
        <v>0</v>
      </c>
      <c r="BV168" s="961">
        <f>$BG$168/4</f>
        <v>0</v>
      </c>
      <c r="BW168" s="961">
        <f>$BG$168/4</f>
        <v>0</v>
      </c>
      <c r="BX168" s="961">
        <f>$BG$168/4</f>
        <v>0</v>
      </c>
      <c r="BY168" s="1080">
        <v>0</v>
      </c>
      <c r="BZ168" s="993"/>
      <c r="CA168" s="961">
        <f>CE168/4</f>
        <v>0</v>
      </c>
      <c r="CB168" s="961">
        <f>$BG$168/4</f>
        <v>0</v>
      </c>
      <c r="CC168" s="961">
        <f>$BG$168/4</f>
        <v>0</v>
      </c>
      <c r="CD168" s="961">
        <f>$BG$168/4</f>
        <v>0</v>
      </c>
      <c r="CE168" s="1080">
        <v>0</v>
      </c>
      <c r="CF168" s="993"/>
      <c r="CG168" s="961">
        <f>CK168/4</f>
        <v>0</v>
      </c>
      <c r="CH168" s="961">
        <f>(CK168-CG168)/3</f>
        <v>0</v>
      </c>
      <c r="CI168" s="961">
        <f>(CL168-CH168)/3</f>
        <v>0</v>
      </c>
      <c r="CJ168" s="961">
        <f>(CM168-CI168)/3</f>
        <v>0</v>
      </c>
      <c r="CK168" s="1080">
        <v>0</v>
      </c>
      <c r="CL168" s="993"/>
      <c r="CM168" s="961">
        <f>CQ168/4</f>
        <v>0</v>
      </c>
      <c r="CN168" s="961">
        <f>CQ168/4</f>
        <v>0</v>
      </c>
      <c r="CO168" s="961">
        <f>(CQ168-CN168)/3</f>
        <v>0</v>
      </c>
      <c r="CP168" s="961">
        <f>(CS168-CO168)/3</f>
        <v>0</v>
      </c>
      <c r="CQ168" s="1080">
        <v>0</v>
      </c>
      <c r="CR168" s="993"/>
      <c r="CS168" s="961">
        <f>CW168/4</f>
        <v>0</v>
      </c>
      <c r="CT168" s="961">
        <f>CW168/4</f>
        <v>0</v>
      </c>
      <c r="CU168" s="961">
        <f>(CW168-CT168)/3</f>
        <v>0</v>
      </c>
      <c r="CV168" s="961">
        <f>CW168-CU168-CT168-CS168</f>
        <v>0</v>
      </c>
      <c r="CW168" s="1080">
        <v>0</v>
      </c>
      <c r="CX168" s="993"/>
      <c r="CY168" s="961">
        <f>DC168/4</f>
        <v>0</v>
      </c>
      <c r="CZ168" s="961">
        <f>(DC168-CY168)/3</f>
        <v>0</v>
      </c>
      <c r="DA168" s="961">
        <f>(DC168-CY168-CZ168)/2</f>
        <v>0</v>
      </c>
      <c r="DB168" s="961">
        <f>DC168-DA168-CZ168-CY168</f>
        <v>0</v>
      </c>
      <c r="DC168" s="1080">
        <v>0</v>
      </c>
      <c r="DD168" s="993"/>
      <c r="DE168" s="961">
        <f>DI168/4</f>
        <v>0</v>
      </c>
      <c r="DF168" s="961">
        <f>(DI168-DE168)/3</f>
        <v>0</v>
      </c>
      <c r="DG168" s="961">
        <f>(DI168-DE168-DF168)/2</f>
        <v>0</v>
      </c>
      <c r="DH168" s="961">
        <f>DI168-DG168-DF168-DE168</f>
        <v>0</v>
      </c>
      <c r="DI168" s="1080">
        <v>0</v>
      </c>
      <c r="DJ168" s="993"/>
      <c r="DK168" s="961">
        <f>DO168/4</f>
        <v>0</v>
      </c>
      <c r="DL168" s="961">
        <f>(DO168-DK168)/3</f>
        <v>0</v>
      </c>
      <c r="DM168" s="961">
        <f>(DO168-DK168-DL168)/2</f>
        <v>0</v>
      </c>
      <c r="DN168" s="961">
        <f>DO168-DM168-DL168-DK168</f>
        <v>0</v>
      </c>
      <c r="DO168" s="1080">
        <v>0</v>
      </c>
      <c r="DP168" s="961"/>
      <c r="DQ168" s="966"/>
    </row>
    <row r="169" spans="1:121" ht="12.75" hidden="1" customHeight="1" outlineLevel="1">
      <c r="A169" s="1108" t="s">
        <v>973</v>
      </c>
      <c r="B169" s="966"/>
      <c r="C169" s="966"/>
      <c r="D169" s="966"/>
      <c r="E169" s="966"/>
      <c r="F169" s="966"/>
      <c r="G169" s="966"/>
      <c r="H169" s="966"/>
      <c r="I169" s="966"/>
      <c r="J169" s="966"/>
      <c r="K169" s="966"/>
      <c r="L169" s="966"/>
      <c r="M169" s="993">
        <v>-5.1999999999999998E-2</v>
      </c>
      <c r="N169" s="993">
        <v>0.23599999999999999</v>
      </c>
      <c r="O169" s="993">
        <v>0.46500000000000002</v>
      </c>
      <c r="P169" s="993">
        <v>-0.36799999999999999</v>
      </c>
      <c r="Q169" s="993">
        <f>SUM(M169:P169)</f>
        <v>0.28100000000000003</v>
      </c>
      <c r="R169" s="993"/>
      <c r="S169" s="1010">
        <f>S139-S146-S151-S157-S162-S165</f>
        <v>-0.77299999999999236</v>
      </c>
      <c r="T169" s="1010">
        <f>T139-T146-T151-T157-T162-T165</f>
        <v>61.220999999999982</v>
      </c>
      <c r="U169" s="1010">
        <f>U139-U146-U151-U157-U162-U165</f>
        <v>0.22700000000002896</v>
      </c>
      <c r="V169" s="1010">
        <f>V139-V146-V151-V157-V162-V165</f>
        <v>1.5009999999999546</v>
      </c>
      <c r="W169" s="993">
        <f>SUM(S169:V169)</f>
        <v>62.175999999999981</v>
      </c>
      <c r="X169" s="993"/>
      <c r="Y169" s="1010">
        <f>Y139-Y146-Y151-Y157-Y162-Y165</f>
        <v>0.80700000000001537</v>
      </c>
      <c r="Z169" s="1010">
        <f>Z139-Z146-Z151-Z157-Z162-Z165</f>
        <v>1.9690000000000074</v>
      </c>
      <c r="AA169" s="1010">
        <f>AA139-AA146-AA151-AA157-AA162-AA165</f>
        <v>0.86600000000001343</v>
      </c>
      <c r="AB169" s="1010">
        <f>AB139-AB146-AB151-AB157-AB162-AB165</f>
        <v>1.1859999999999693</v>
      </c>
      <c r="AC169" s="996">
        <f>SUM(Y169:AB169)</f>
        <v>4.8280000000000056</v>
      </c>
      <c r="AD169" s="993"/>
      <c r="AE169" s="1010">
        <f>AE139-AE146-AE151-AE157-AE162-AE165</f>
        <v>2.7789999999999995</v>
      </c>
      <c r="AF169" s="1010">
        <f>AF139-AF146-AF151-AF157-AF162-AF165</f>
        <v>2.9080000000000616</v>
      </c>
      <c r="AG169" s="1010">
        <f>AG139-AG146-AG151-AG157-AG162-AG165</f>
        <v>5.1229999999999425</v>
      </c>
      <c r="AH169" s="1010">
        <f>AH139-AH146-AH151-AH157-AH162-AH165</f>
        <v>14.677400000000002</v>
      </c>
      <c r="AI169" s="996">
        <f>SUM(AE169:AH169)</f>
        <v>25.487400000000008</v>
      </c>
      <c r="AJ169" s="993"/>
      <c r="AK169" s="1010">
        <f>AK139-AK146-AK151-AK157-AK162-AK165</f>
        <v>6.6580000000000261</v>
      </c>
      <c r="AL169" s="1010">
        <f>AL139-AL146-AL151-AL157-AL162-AL165</f>
        <v>9.2109999999999914</v>
      </c>
      <c r="AM169" s="1010">
        <f>AM139-AM146-AM151-AM157-AM162-AM165</f>
        <v>9.9619999999999997</v>
      </c>
      <c r="AN169" s="1010">
        <f>AN139-AN146-AN151-AN157-AN162-AN165</f>
        <v>10.362000000000045</v>
      </c>
      <c r="AO169" s="996">
        <f>SUM(AK169:AN169)</f>
        <v>36.193000000000062</v>
      </c>
      <c r="AP169" s="993"/>
      <c r="AQ169" s="1010">
        <f>AQ139-AQ146-AQ151-AQ157-AQ162-AQ165</f>
        <v>13.269999999999936</v>
      </c>
      <c r="AR169" s="1010">
        <f>AR139-AR146-AR151-AR157-AR162-AR165</f>
        <v>12.048999999999975</v>
      </c>
      <c r="AS169" s="1010">
        <f>AS139-AS146-AS151-AS157-AS162-AS165</f>
        <v>19.820000000000029</v>
      </c>
      <c r="AT169" s="1010">
        <f>AT139-AT146-AT151-AT157-AT162-AT165</f>
        <v>11.110000000000106</v>
      </c>
      <c r="AU169" s="996">
        <f>SUM(AQ169:AT169)</f>
        <v>56.249000000000045</v>
      </c>
      <c r="AV169" s="993"/>
      <c r="AW169" s="1010">
        <f>AW139-AW146-AW151-AW157-AW162-AW165</f>
        <v>7.9489999999999732</v>
      </c>
      <c r="AX169" s="1010">
        <f>AX139-AX146-AX151-AX157-AX162-AX165</f>
        <v>6.1940000000000346</v>
      </c>
      <c r="AY169" s="1010">
        <f>AY139-AY146-AY151-AY157-AY162-AY165</f>
        <v>17.159999999999865</v>
      </c>
      <c r="AZ169" s="1010">
        <f>AZ139-AZ146-AZ151-AZ157-AZ162-AZ165</f>
        <v>75.772999999999968</v>
      </c>
      <c r="BA169" s="996">
        <f>SUM(AW169:AZ169)</f>
        <v>107.07599999999984</v>
      </c>
      <c r="BB169" s="993"/>
      <c r="BC169" s="1010">
        <f>BC139-BC146-BC151-BC157-BC162-BC165</f>
        <v>24.659000000000081</v>
      </c>
      <c r="BD169" s="1010">
        <f>BD139-BD146-BD151-BD157-BD162-BD165</f>
        <v>26.557999999999989</v>
      </c>
      <c r="BE169" s="1010">
        <f>BE139-BE146-BE151-BE157-BE162-BE165</f>
        <v>-111.51599999999981</v>
      </c>
      <c r="BF169" s="1010">
        <f>BF139-BF146-BF151-BF157-BF162-BF165</f>
        <v>23.971999999999895</v>
      </c>
      <c r="BG169" s="996">
        <f>SUM(BC169:BF169)</f>
        <v>-36.326999999999842</v>
      </c>
      <c r="BH169" s="993"/>
      <c r="BI169" s="1010">
        <f>BI139-BI146-BI151-BI157-BI162-BI165</f>
        <v>47.574999999999982</v>
      </c>
      <c r="BJ169" s="1010">
        <f>BJ139-BJ146-BJ151-BJ157-BJ162-BJ165</f>
        <v>109.37899999999985</v>
      </c>
      <c r="BK169" s="1010">
        <f>BK139-BK146-BK151-BK157-BK162-BK165</f>
        <v>58.57699999999992</v>
      </c>
      <c r="BL169" s="1010">
        <f>BL139-BL146-BL151-BL157-BL162-BL165</f>
        <v>57.104000000000099</v>
      </c>
      <c r="BM169" s="996">
        <f>SUM(BI169:BL169)</f>
        <v>272.63499999999988</v>
      </c>
      <c r="BN169" s="993"/>
      <c r="BO169" s="1010">
        <f>BO139-BO146-BO151-BO157-BO162-BO165</f>
        <v>61.018999999999913</v>
      </c>
      <c r="BP169" s="1010">
        <f>BP139-BP146-BP151-BP157-BP162-BP165</f>
        <v>100.67200000000008</v>
      </c>
      <c r="BQ169" s="1010">
        <f>BQ139-BQ146-BQ151-BQ157-BQ162-BQ165</f>
        <v>321.67799999999966</v>
      </c>
      <c r="BR169" s="1010">
        <f>BR139-BR146-BR151-BR157-BR162-BR165</f>
        <v>121.46700000000055</v>
      </c>
      <c r="BS169" s="996">
        <f>SUM(BO169:BR169)</f>
        <v>604.83600000000024</v>
      </c>
      <c r="BT169" s="993"/>
      <c r="BU169" s="1010">
        <f>BU139-BU146-BU151-BU157-BU162-BU165</f>
        <v>141.37299999999991</v>
      </c>
      <c r="BV169" s="1010">
        <f>BV139-BV146-BV151-BV157-BV162-BV165</f>
        <v>236.23899999999995</v>
      </c>
      <c r="BW169" s="1010">
        <f>BW139-BW146-BW151-BW157-BW162-BW165</f>
        <v>93.518000000000484</v>
      </c>
      <c r="BX169" s="1010">
        <f>BX139-BX146-BX151-BX157-BX162-BX165</f>
        <v>156.39699999999951</v>
      </c>
      <c r="BY169" s="996">
        <f>SUM(BU169:BX169)</f>
        <v>627.52699999999982</v>
      </c>
      <c r="BZ169" s="993"/>
      <c r="CA169" s="1010">
        <f>CA139-CA146-CA151-CA157-CA162-CA165</f>
        <v>93.099000000000402</v>
      </c>
      <c r="CB169" s="1010">
        <f>CB139-CB146-CB151-CB157-CB162-CB165</f>
        <v>175.49799999999965</v>
      </c>
      <c r="CC169" s="1010">
        <f>CC139-CC146-CC151-CC157-CC162-CC165</f>
        <v>444.5300000000002</v>
      </c>
      <c r="CD169" s="1010">
        <f>CD139-CD146-CD151-CD157-CD162-CD165</f>
        <v>184.59799999999933</v>
      </c>
      <c r="CE169" s="996">
        <f>SUM(CA169:CD169)</f>
        <v>897.72499999999945</v>
      </c>
      <c r="CF169" s="993"/>
      <c r="CG169" s="1010">
        <f>CG139-CG146-CG151-CG157-CG162-CG165</f>
        <v>100.93300000000049</v>
      </c>
      <c r="CH169" s="1010">
        <f>CH139-CH146-CH151-CH157-CH162-CH165</f>
        <v>186.57799999999966</v>
      </c>
      <c r="CI169" s="1010">
        <f>CI139-CI146-CI151-CI157-CI162-CI165</f>
        <v>101.86600000000053</v>
      </c>
      <c r="CJ169" s="1010">
        <f>CJ139-CJ146-CJ151-CJ157-CJ162-CJ165</f>
        <v>196.56600000000049</v>
      </c>
      <c r="CK169" s="996">
        <f>SUM(CG169:CJ169)</f>
        <v>585.94300000000112</v>
      </c>
      <c r="CL169" s="993"/>
      <c r="CM169" s="1010">
        <f>CM139-CM146-CM151-CM157-CM162-CM165</f>
        <v>423.42599999999908</v>
      </c>
      <c r="CN169" s="1010">
        <f>CN139-CN146-CN151-CN157-CN162-CN165</f>
        <v>167.45000000000044</v>
      </c>
      <c r="CO169" s="1010">
        <f>CO139-CO146-CO151-CO157-CO162-CO165</f>
        <v>669.65199999999959</v>
      </c>
      <c r="CP169" s="1010">
        <f>CP139-CP146-CP151-CP157-CP162-CP165</f>
        <v>672.8119999999999</v>
      </c>
      <c r="CQ169" s="996">
        <f>SUM(CM169:CP169)</f>
        <v>1933.339999999999</v>
      </c>
      <c r="CR169" s="993"/>
      <c r="CS169" s="1010">
        <f>CS139-CS146-CS151-CS157-CS162-CS165</f>
        <v>198.40699999999904</v>
      </c>
      <c r="CT169" s="1010">
        <f>CT139-CT146-CT151-CT157-CT162-CT165</f>
        <v>325.28200000000106</v>
      </c>
      <c r="CU169" s="1010">
        <f>CU139-CU146-CU151-CU157-CU162-CU165</f>
        <v>192.24700000000053</v>
      </c>
      <c r="CV169" s="1010">
        <f>CV139-CV146-CV151-CV157-CV162-CV165</f>
        <v>113.95399999999933</v>
      </c>
      <c r="CW169" s="996">
        <f>SUM(CS169:CV169)</f>
        <v>829.88999999999987</v>
      </c>
      <c r="CX169" s="993"/>
      <c r="CY169" s="993">
        <v>0</v>
      </c>
      <c r="CZ169" s="993">
        <v>0</v>
      </c>
      <c r="DA169" s="993">
        <v>0</v>
      </c>
      <c r="DB169" s="993">
        <v>0</v>
      </c>
      <c r="DC169" s="996">
        <f>SUM(CY169:DB169)</f>
        <v>0</v>
      </c>
      <c r="DD169" s="993"/>
      <c r="DE169" s="993">
        <v>0</v>
      </c>
      <c r="DF169" s="993">
        <v>0</v>
      </c>
      <c r="DG169" s="993">
        <v>0</v>
      </c>
      <c r="DH169" s="993">
        <v>0</v>
      </c>
      <c r="DI169" s="996">
        <f>SUM(DE169:DH169)</f>
        <v>0</v>
      </c>
      <c r="DJ169" s="993"/>
      <c r="DK169" s="993">
        <v>0</v>
      </c>
      <c r="DL169" s="993">
        <v>0</v>
      </c>
      <c r="DM169" s="993">
        <v>0</v>
      </c>
      <c r="DN169" s="993">
        <v>0</v>
      </c>
      <c r="DO169" s="996">
        <f>SUM(DK169:DN169)</f>
        <v>0</v>
      </c>
      <c r="DP169" s="1062"/>
      <c r="DQ169" s="966"/>
    </row>
    <row r="170" spans="1:121" ht="13.5" hidden="1" customHeight="1" outlineLevel="1" thickBot="1">
      <c r="A170" s="1243"/>
      <c r="B170" s="966"/>
      <c r="C170" s="966"/>
      <c r="D170" s="966"/>
      <c r="E170" s="966"/>
      <c r="F170" s="966"/>
      <c r="G170" s="966"/>
      <c r="H170" s="966"/>
      <c r="I170" s="966"/>
      <c r="J170" s="966"/>
      <c r="K170" s="966"/>
      <c r="L170" s="966"/>
      <c r="M170" s="1093"/>
      <c r="N170" s="1093"/>
      <c r="O170" s="1093"/>
      <c r="P170" s="1094"/>
      <c r="Q170" s="1093"/>
      <c r="R170" s="993"/>
      <c r="S170" s="1093"/>
      <c r="T170" s="1093"/>
      <c r="U170" s="1093"/>
      <c r="V170" s="1093"/>
      <c r="W170" s="1093"/>
      <c r="X170" s="993"/>
      <c r="Y170" s="1093"/>
      <c r="Z170" s="1093"/>
      <c r="AA170" s="1093"/>
      <c r="AB170" s="1094"/>
      <c r="AC170" s="1095"/>
      <c r="AD170" s="993"/>
      <c r="AE170" s="1093"/>
      <c r="AF170" s="1093"/>
      <c r="AG170" s="1093"/>
      <c r="AH170" s="1094"/>
      <c r="AI170" s="1095"/>
      <c r="AJ170" s="993"/>
      <c r="AK170" s="1093"/>
      <c r="AL170" s="1093"/>
      <c r="AM170" s="1093"/>
      <c r="AN170" s="1094"/>
      <c r="AO170" s="1095"/>
      <c r="AP170" s="993"/>
      <c r="AQ170" s="1093"/>
      <c r="AR170" s="1093"/>
      <c r="AS170" s="1093"/>
      <c r="AT170" s="1094"/>
      <c r="AU170" s="1095"/>
      <c r="AV170" s="993"/>
      <c r="AW170" s="1093"/>
      <c r="AX170" s="1093"/>
      <c r="AY170" s="1093"/>
      <c r="AZ170" s="1093"/>
      <c r="BA170" s="1095"/>
      <c r="BB170" s="993"/>
      <c r="BC170" s="1093"/>
      <c r="BD170" s="1093"/>
      <c r="BE170" s="1093"/>
      <c r="BF170" s="1094"/>
      <c r="BG170" s="1095"/>
      <c r="BH170" s="993"/>
      <c r="BI170" s="1093"/>
      <c r="BJ170" s="1093"/>
      <c r="BK170" s="1093"/>
      <c r="BL170" s="1094"/>
      <c r="BM170" s="1095"/>
      <c r="BN170" s="993"/>
      <c r="BO170" s="1093"/>
      <c r="BP170" s="1093"/>
      <c r="BQ170" s="1093"/>
      <c r="BR170" s="1094"/>
      <c r="BS170" s="1095"/>
      <c r="BT170" s="993"/>
      <c r="BU170" s="1093"/>
      <c r="BV170" s="1093"/>
      <c r="BW170" s="1093"/>
      <c r="BX170" s="1094"/>
      <c r="BY170" s="1095"/>
      <c r="BZ170" s="993"/>
      <c r="CA170" s="1093"/>
      <c r="CB170" s="1093"/>
      <c r="CC170" s="1093"/>
      <c r="CD170" s="1093"/>
      <c r="CE170" s="1095"/>
      <c r="CF170" s="993"/>
      <c r="CG170" s="1093"/>
      <c r="CH170" s="1093"/>
      <c r="CI170" s="1093"/>
      <c r="CJ170" s="1094"/>
      <c r="CK170" s="1095"/>
      <c r="CL170" s="993"/>
      <c r="CM170" s="1093"/>
      <c r="CN170" s="1093"/>
      <c r="CO170" s="1093"/>
      <c r="CP170" s="1094"/>
      <c r="CQ170" s="1095"/>
      <c r="CR170" s="993"/>
      <c r="CS170" s="1093"/>
      <c r="CT170" s="1093"/>
      <c r="CU170" s="1093"/>
      <c r="CV170" s="1094"/>
      <c r="CW170" s="1095"/>
      <c r="CX170" s="993"/>
      <c r="CY170" s="1093"/>
      <c r="CZ170" s="1093"/>
      <c r="DA170" s="1093"/>
      <c r="DB170" s="1094"/>
      <c r="DC170" s="1095"/>
      <c r="DD170" s="993"/>
      <c r="DE170" s="1093"/>
      <c r="DF170" s="1093"/>
      <c r="DG170" s="1093"/>
      <c r="DH170" s="1094"/>
      <c r="DI170" s="1095"/>
      <c r="DJ170" s="993"/>
      <c r="DK170" s="1093"/>
      <c r="DL170" s="1093"/>
      <c r="DM170" s="1093"/>
      <c r="DN170" s="1094"/>
      <c r="DO170" s="1095"/>
      <c r="DP170" s="969"/>
      <c r="DQ170" s="966"/>
    </row>
    <row r="171" spans="1:121" ht="12.75" hidden="1" customHeight="1" outlineLevel="1" thickTop="1">
      <c r="A171" s="1108" t="s">
        <v>944</v>
      </c>
      <c r="B171" s="966"/>
      <c r="C171" s="966"/>
      <c r="D171" s="966"/>
      <c r="E171" s="966"/>
      <c r="F171" s="966"/>
      <c r="G171" s="966"/>
      <c r="H171" s="966"/>
      <c r="I171" s="966"/>
      <c r="J171" s="966"/>
      <c r="K171" s="966"/>
      <c r="L171" s="966"/>
      <c r="M171" s="993">
        <f>SUM(M144,M155,-M160,M168)</f>
        <v>4.5599999999999995E-2</v>
      </c>
      <c r="N171" s="993">
        <f>SUM(N144,N155,-N160,N168)</f>
        <v>8.3600000000000008E-2</v>
      </c>
      <c r="O171" s="993">
        <f>SUM(O144,O155,-O160,O168)</f>
        <v>0.45910000000000001</v>
      </c>
      <c r="P171" s="993">
        <f>SUM(P144,P155,-P160,P168)</f>
        <v>0.46133099999999999</v>
      </c>
      <c r="Q171" s="961">
        <f>SUM(M171:P171)</f>
        <v>1.049631</v>
      </c>
      <c r="R171" s="993"/>
      <c r="S171" s="993">
        <f>SUM(S144,S155,-S160,S168)</f>
        <v>1.702</v>
      </c>
      <c r="T171" s="993">
        <f>SUM(T144,T155,-T160,T168)</f>
        <v>69.559344999999993</v>
      </c>
      <c r="U171" s="993">
        <f>SUM(U144,U155,-U160,U168)</f>
        <v>0.31114400000000031</v>
      </c>
      <c r="V171" s="993">
        <f>SUM(V144,V155,-V160,V168)</f>
        <v>2.0707009999999997</v>
      </c>
      <c r="W171" s="961">
        <f>SUM(S171:V171)</f>
        <v>73.64318999999999</v>
      </c>
      <c r="X171" s="993"/>
      <c r="Y171" s="993">
        <f>SUM(Y144,Y155,-Y160,Y168)</f>
        <v>0.94450100000000003</v>
      </c>
      <c r="Z171" s="993">
        <f>SUM(Z144,Z155,-Z160,Z168)</f>
        <v>-1253.2310600000001</v>
      </c>
      <c r="AA171" s="993">
        <f>SUM(AA144,AA155,-AA160,AA168)</f>
        <v>2.8000000000000114</v>
      </c>
      <c r="AB171" s="993">
        <f>SUM(AB144,AB155,-AB160,AB168)</f>
        <v>1254.3186540000002</v>
      </c>
      <c r="AC171" s="1080">
        <f>SUM(Y171:AB171)</f>
        <v>4.8320949999999812</v>
      </c>
      <c r="AD171" s="993"/>
      <c r="AE171" s="993">
        <f>SUM(AE144,AE155,-AE160,AE168)</f>
        <v>0.94450100000000003</v>
      </c>
      <c r="AF171" s="993">
        <f>SUM(AF144,AF155,-AF160,AF168)</f>
        <v>-1315.778004</v>
      </c>
      <c r="AG171" s="993">
        <f>SUM(AG144,AG155,-AG160,AG168)</f>
        <v>6</v>
      </c>
      <c r="AH171" s="993">
        <f>SUM(AH144,AH155,-AH160,AH168)</f>
        <v>6</v>
      </c>
      <c r="AI171" s="1080">
        <f>SUM(AE171:AH171)</f>
        <v>-1302.8335030000001</v>
      </c>
      <c r="AJ171" s="993"/>
      <c r="AK171" s="993">
        <f>SUM(AK144,AK155,-AK160,AK168)</f>
        <v>2</v>
      </c>
      <c r="AL171" s="993">
        <f>SUM(AL144,AL155,-AL160,AL168)</f>
        <v>5.1999999999999886</v>
      </c>
      <c r="AM171" s="993">
        <f>SUM(AM144,AM155,-AM160,AM168)</f>
        <v>5.1999999999999886</v>
      </c>
      <c r="AN171" s="993">
        <f>SUM(AN144,AN155,-AN160,AN168)</f>
        <v>4.8000000000000114</v>
      </c>
      <c r="AO171" s="1080">
        <f>SUM(AK171:AN171)</f>
        <v>17.199999999999989</v>
      </c>
      <c r="AP171" s="993"/>
      <c r="AQ171" s="993">
        <f>SUM(AQ144,AQ155,-AQ160,AQ168)</f>
        <v>3.1999999999999886</v>
      </c>
      <c r="AR171" s="993">
        <f>SUM(AR144,AR155,-AR160,AR168)</f>
        <v>3.6000000000000227</v>
      </c>
      <c r="AS171" s="993">
        <f>SUM(AS144,AS155,-AS160,AS168)</f>
        <v>4</v>
      </c>
      <c r="AT171" s="993">
        <f>SUM(AT144,AT155,-AT160,AT168)</f>
        <v>3.6000000000000227</v>
      </c>
      <c r="AU171" s="1080">
        <f>SUM(AQ171:AT171)</f>
        <v>14.400000000000034</v>
      </c>
      <c r="AV171" s="993"/>
      <c r="AW171" s="993">
        <f>SUM(AW144,AW155,-AW160,AW168)</f>
        <v>2.3999999999999773</v>
      </c>
      <c r="AX171" s="993">
        <f>SUM(AX144,AX155,-AX160,AX168)</f>
        <v>3.6000000000000227</v>
      </c>
      <c r="AY171" s="993">
        <f>SUM(AY144,AY155,-AY160,AY168)</f>
        <v>5.1999999999999886</v>
      </c>
      <c r="AZ171" s="993">
        <f>SUM(AZ144,AZ155,-AZ160,AZ168)</f>
        <v>8</v>
      </c>
      <c r="BA171" s="1080">
        <f>SUM(AW171:AZ171)</f>
        <v>19.199999999999989</v>
      </c>
      <c r="BB171" s="993"/>
      <c r="BC171" s="993">
        <f>SUM(BC144,BC155,-BC160,BC168)</f>
        <v>1.3280000000000314</v>
      </c>
      <c r="BD171" s="993">
        <f>SUM(BD144,BD155,-BD160,BD168)</f>
        <v>5.8719999999999573</v>
      </c>
      <c r="BE171" s="993">
        <f>SUM(BE144,BE155,-BE160,BE168)</f>
        <v>5.5520000000000209</v>
      </c>
      <c r="BF171" s="993">
        <f>SUM(BF144,BF155,-BF160,BF168)</f>
        <v>5.8239999999999554</v>
      </c>
      <c r="BG171" s="1080">
        <f>SUM(BC171:BF171)</f>
        <v>18.575999999999965</v>
      </c>
      <c r="BH171" s="993"/>
      <c r="BI171" s="993">
        <f>SUM(BI144,BI155,-BI160,BI168)</f>
        <v>4.4400000000000546</v>
      </c>
      <c r="BJ171" s="993">
        <f>SUM(BJ144,BJ155,-BJ160,BJ168)</f>
        <v>6.5559999999999263</v>
      </c>
      <c r="BK171" s="993">
        <f>SUM(BK144,BK155,-BK160,BK168)</f>
        <v>3.0160000000000764</v>
      </c>
      <c r="BL171" s="993">
        <f>SUM(BL144,BL155,-BL160,BL168)</f>
        <v>4.6119999999999663</v>
      </c>
      <c r="BM171" s="1000">
        <f>SUM(BI171:BL171)</f>
        <v>18.624000000000024</v>
      </c>
      <c r="BN171" s="993"/>
      <c r="BO171" s="993">
        <f>SUM(BO144,BO155,-BO160,BO168)</f>
        <v>4</v>
      </c>
      <c r="BP171" s="993">
        <f>SUM(BP144,BP155,-BP160,BP168)</f>
        <v>4</v>
      </c>
      <c r="BQ171" s="993">
        <f>SUM(BQ144,BQ155,-BQ160,BQ168)</f>
        <v>12</v>
      </c>
      <c r="BR171" s="993">
        <f>SUM(BR144,BR155,-BR160,BR168)</f>
        <v>17.624000000000024</v>
      </c>
      <c r="BS171" s="1080">
        <f>SUM(BO171:BR171)</f>
        <v>37.624000000000024</v>
      </c>
      <c r="BT171" s="993"/>
      <c r="BU171" s="993">
        <f>SUM(BU144,BU155,-BU160,BU168)</f>
        <v>7.3759999999999764</v>
      </c>
      <c r="BV171" s="993">
        <f>SUM(BV144,BV155,-BV160,BV168)</f>
        <v>3</v>
      </c>
      <c r="BW171" s="993">
        <f>SUM(BW144,BW155,-BW160,BW168)</f>
        <v>9</v>
      </c>
      <c r="BX171" s="993">
        <f>SUM(BX144,BX155,-BX160,BX168)</f>
        <v>5.1430000000000291</v>
      </c>
      <c r="BY171" s="1080">
        <f>SUM(BU171:BX171)</f>
        <v>24.519000000000005</v>
      </c>
      <c r="BZ171" s="993"/>
      <c r="CA171" s="993">
        <f>SUM(CA144,CA155,-CA160,CA168)</f>
        <v>7.8569999999999709</v>
      </c>
      <c r="CB171" s="993">
        <f>SUM(CB144,CB155,-CB160,CB168)</f>
        <v>10</v>
      </c>
      <c r="CC171" s="993">
        <f>SUM(CC144,CC155,-CC160,CC168)</f>
        <v>3</v>
      </c>
      <c r="CD171" s="993">
        <f>SUM(CD144,CD155,-CD160,CD168)</f>
        <v>19.596000000000004</v>
      </c>
      <c r="CE171" s="1080">
        <f>SUM(CA171:CD171)</f>
        <v>40.452999999999975</v>
      </c>
      <c r="CF171" s="993"/>
      <c r="CG171" s="993">
        <f>SUM(CG144,CG155,-CG160,CG168)</f>
        <v>3.2129999999999654</v>
      </c>
      <c r="CH171" s="993">
        <f>SUM(CH144,CH155,-CH160,CH168)</f>
        <v>5.5570000000000164</v>
      </c>
      <c r="CI171" s="993">
        <f>SUM(CI144,CI155,-CI160,CI168)</f>
        <v>4.7649999999999864</v>
      </c>
      <c r="CJ171" s="993">
        <f>SUM(CJ144,CJ155,-CJ160,CJ168)</f>
        <v>4.8940000000000055</v>
      </c>
      <c r="CK171" s="1080">
        <f>SUM(CG171:CJ171)</f>
        <v>18.428999999999974</v>
      </c>
      <c r="CL171" s="993"/>
      <c r="CM171" s="993">
        <f>SUM(CM144,CM155,-CM160,CM168)</f>
        <v>14</v>
      </c>
      <c r="CN171" s="993">
        <f>SUM(CN144,CN155,-CN160,CN168)</f>
        <v>7.5</v>
      </c>
      <c r="CO171" s="993">
        <f>SUM(CO144,CO155,-CO160,CO168)</f>
        <v>11.475000000000023</v>
      </c>
      <c r="CP171" s="993">
        <f>SUM(CP144,CP155,-CP160,CP168)</f>
        <v>0</v>
      </c>
      <c r="CQ171" s="1080">
        <f>SUM(CM171:CP171)</f>
        <v>32.975000000000023</v>
      </c>
      <c r="CR171" s="993"/>
      <c r="CS171" s="993">
        <f>SUM(CS144,CS155,-CS160,CS168)</f>
        <v>11.299999999999955</v>
      </c>
      <c r="CT171" s="993">
        <f>SUM(CT144,CT155,-CT160,CT168)</f>
        <v>1.7000000000000455</v>
      </c>
      <c r="CU171" s="993">
        <f>SUM(CU144,CU155,-CU160,CU168)</f>
        <v>5</v>
      </c>
      <c r="CV171" s="993">
        <f>SUM(CV144,CV155,-CV160,CV168)</f>
        <v>14</v>
      </c>
      <c r="CW171" s="1080">
        <f>SUM(CS171:CV171)</f>
        <v>32</v>
      </c>
      <c r="CX171" s="993"/>
      <c r="CY171" s="993">
        <f>SUM(CY144,CY155,-CY160,CY168)</f>
        <v>13</v>
      </c>
      <c r="CZ171" s="993">
        <f>SUM(CZ144,CZ155,-CZ160,CZ168)</f>
        <v>1.5</v>
      </c>
      <c r="DA171" s="993">
        <f>SUM(DA144,DA155,-DA160,DA168)</f>
        <v>1.5</v>
      </c>
      <c r="DB171" s="993">
        <f>SUM(DB144,DB155,-DB160,DB168)</f>
        <v>1.5</v>
      </c>
      <c r="DC171" s="1080">
        <f>SUM(CY171:DB171)</f>
        <v>17.5</v>
      </c>
      <c r="DD171" s="993"/>
      <c r="DE171" s="993">
        <f>SUM(DE144,DE155,-DE160,DE168)</f>
        <v>7.5</v>
      </c>
      <c r="DF171" s="993">
        <f>SUM(DF144,DF155,-DF160,DF168)</f>
        <v>7.5</v>
      </c>
      <c r="DG171" s="993">
        <f>SUM(DG144,DG155,-DG160,DG168)</f>
        <v>7.5</v>
      </c>
      <c r="DH171" s="993">
        <f>SUM(DH144,DH155,-DH160,DH168)</f>
        <v>7.5</v>
      </c>
      <c r="DI171" s="1080">
        <v>15</v>
      </c>
      <c r="DJ171" s="993"/>
      <c r="DK171" s="993">
        <f>SUM(DK144,DK155,-DK160,DK168)</f>
        <v>7.5</v>
      </c>
      <c r="DL171" s="993">
        <f>SUM(DL144,DL155,-DL160,DL168)</f>
        <v>7.5</v>
      </c>
      <c r="DM171" s="993">
        <f>SUM(DM144,DM155,-DM160,DM168)</f>
        <v>7.5</v>
      </c>
      <c r="DN171" s="993">
        <f>SUM(DN144,DN155,-DN160,DN168)</f>
        <v>7.5</v>
      </c>
      <c r="DO171" s="1080">
        <v>15</v>
      </c>
      <c r="DP171" s="961"/>
      <c r="DQ171" s="966"/>
    </row>
    <row r="172" spans="1:121" ht="12.75" hidden="1" customHeight="1" outlineLevel="1">
      <c r="A172" s="1108" t="s">
        <v>669</v>
      </c>
      <c r="B172" s="966"/>
      <c r="C172" s="966"/>
      <c r="D172" s="966"/>
      <c r="E172" s="966"/>
      <c r="F172" s="966"/>
      <c r="G172" s="966"/>
      <c r="H172" s="966"/>
      <c r="I172" s="966"/>
      <c r="J172" s="966"/>
      <c r="K172" s="966">
        <v>1.58</v>
      </c>
      <c r="L172" s="966"/>
      <c r="M172" s="993">
        <f>SUM(M146,M151,M157,-M162,M165,M169)</f>
        <v>0.76051364991970694</v>
      </c>
      <c r="N172" s="993">
        <f>SUM(N146,N151,N157,-N162,N165,N169)</f>
        <v>1.0737825189263592</v>
      </c>
      <c r="O172" s="993">
        <f>SUM(O146,O151,O157,-O162,O165,O169)</f>
        <v>1.8045177793071805</v>
      </c>
      <c r="P172" s="993">
        <f>SUM(P146,P151,P157,-P162,P165,P169)</f>
        <v>1.1441860518467539</v>
      </c>
      <c r="Q172" s="961">
        <f>SUM(M172:P172)</f>
        <v>4.7830000000000004</v>
      </c>
      <c r="R172" s="993"/>
      <c r="S172" s="993">
        <f>SUM(S146,S151,S157,-S162,S165,S169)</f>
        <v>1.0210000000000081</v>
      </c>
      <c r="T172" s="993">
        <f>SUM(T146,T151,T157,-T162,T165,T169)</f>
        <v>176.74199999999999</v>
      </c>
      <c r="U172" s="993">
        <f>SUM(U146,U151,U157,-U162,U165,U169)</f>
        <v>0.52400000000002933</v>
      </c>
      <c r="V172" s="993">
        <f>SUM(V146,V151,V157,-V162,V165,V169)</f>
        <v>4.4009999999999536</v>
      </c>
      <c r="W172" s="961">
        <f>SUM(S172:V172)</f>
        <v>182.68799999999999</v>
      </c>
      <c r="X172" s="993"/>
      <c r="Y172" s="993">
        <f>SUM(Y146,Y151,Y157,-Y162,Y165,Y169)</f>
        <v>2.9020000000000152</v>
      </c>
      <c r="Z172" s="993">
        <f>SUM(Z146,Z151,Z157,-Z162,Z165,Z169)</f>
        <v>7.1980000000000066</v>
      </c>
      <c r="AA172" s="993">
        <f>SUM(AA146,AA151,AA157,-AA162,AA165,AA169)</f>
        <v>3.0980000000000132</v>
      </c>
      <c r="AB172" s="993">
        <f>SUM(AB146,AB151,AB157,-AB162,AB165,AB169)</f>
        <v>7.2969999999999686</v>
      </c>
      <c r="AC172" s="1080">
        <f>SUM(Y172:AB172)</f>
        <v>20.495000000000005</v>
      </c>
      <c r="AD172" s="993"/>
      <c r="AE172" s="993">
        <f>SUM(AE146,AE151,AE157,-AE162,AE165,AE169)</f>
        <v>13.356999999999999</v>
      </c>
      <c r="AF172" s="993">
        <f>SUM(AF146,AF151,AF157,-AF162,AF165,AF169)</f>
        <v>18.489000000000061</v>
      </c>
      <c r="AG172" s="993">
        <f>SUM(AG146,AG151,AG157,-AG162,AG165,AG169)</f>
        <v>25.511999999999944</v>
      </c>
      <c r="AH172" s="993">
        <f>SUM(AH146,AH151,AH157,-AH162,AH165,AH169,AH149)</f>
        <v>25.132000000000005</v>
      </c>
      <c r="AI172" s="1080">
        <f>SUM(AE172:AH172)</f>
        <v>82.490000000000009</v>
      </c>
      <c r="AJ172" s="993"/>
      <c r="AK172" s="993">
        <f>SUM(AK146,AK151,AK157,-AK162,AK165,AK169,AK149)</f>
        <v>26.970000000000027</v>
      </c>
      <c r="AL172" s="993">
        <f>SUM(AL146,AL151,AL157,-AL162,AL165,AL169,AL149)</f>
        <v>38.045999999999992</v>
      </c>
      <c r="AM172" s="993">
        <f>SUM(AM146,AM151,AM157,-AM162,AM165,AM169,AM149)</f>
        <v>44.725999999999999</v>
      </c>
      <c r="AN172" s="993">
        <f>SUM(AN146,AN151,AN157,-AN162,AN165,AN169,AN149)</f>
        <v>42.56800000000004</v>
      </c>
      <c r="AO172" s="1080">
        <f>SUM(AK172:AN172)</f>
        <v>152.31000000000006</v>
      </c>
      <c r="AP172" s="993"/>
      <c r="AQ172" s="993">
        <f>SUM(AQ146,AQ151,AQ157,-AQ162,AQ165,AQ169,AQ149)</f>
        <v>42.819999999999936</v>
      </c>
      <c r="AR172" s="993">
        <f>SUM(AR146,AR151,AR157,-AR162,AR165,AR169,AR149)</f>
        <v>53.45799999999997</v>
      </c>
      <c r="AS172" s="993">
        <f>SUM(AS146,AS151,AS157,-AS162,AS165,AS169,AS149)</f>
        <v>45.691000000000031</v>
      </c>
      <c r="AT172" s="993">
        <f>SUM(AT146,AT151,AT157,-AT162,AT165,AT169,AT149)</f>
        <v>34.957000000000107</v>
      </c>
      <c r="AU172" s="1080">
        <f>SUM(AQ172:AT172)</f>
        <v>176.92600000000004</v>
      </c>
      <c r="AV172" s="993"/>
      <c r="AW172" s="993">
        <f>SUM(AW146,AW151,AW157,-AW162,AW165,AW169,AW149)</f>
        <v>38.779999999999973</v>
      </c>
      <c r="AX172" s="993">
        <f>SUM(AX146,AX151,AX157,-AX162,AX165,AX169,AX149)</f>
        <v>32.210000000000036</v>
      </c>
      <c r="AY172" s="993">
        <f>SUM(AY146,AY151,AY157,-AY162,AY165,AY169,AY149)</f>
        <v>56.125999999999863</v>
      </c>
      <c r="AZ172" s="993">
        <f>SUM(AZ146,AZ151,AZ157,-AZ162,AZ165,AZ169,AZ149)</f>
        <v>162.70799999999997</v>
      </c>
      <c r="BA172" s="1080">
        <f>SUM(AW172:AZ172)</f>
        <v>289.82399999999984</v>
      </c>
      <c r="BB172" s="993"/>
      <c r="BC172" s="993">
        <f>SUM(BC146,BC151,BC157,-BC162,BC165,BC169,BC149)</f>
        <v>71.463000000000079</v>
      </c>
      <c r="BD172" s="993">
        <f>SUM(BD146,BD151,BD157,-BD162,BD165,BD169,BD149)</f>
        <v>83.586999999999989</v>
      </c>
      <c r="BE172" s="993">
        <f>SUM(BE146,BE151,BE157,-BE162,BE165,BE169,BE149)</f>
        <v>-52.584999999999809</v>
      </c>
      <c r="BF172" s="993">
        <f>SUM(BF146,BF151,BF157,-BF162,BF165,BF169,BF149)</f>
        <v>57.600999999999885</v>
      </c>
      <c r="BG172" s="1080">
        <f>SUM(BC172:BF172)</f>
        <v>160.06600000000014</v>
      </c>
      <c r="BH172" s="993"/>
      <c r="BI172" s="993">
        <f>SUM(BI146,BI151,BI157,-BI162,BI165,BI169,BI149)</f>
        <v>81.894999999999982</v>
      </c>
      <c r="BJ172" s="993">
        <f>SUM(BJ146,BJ151,BJ157,-BJ162,BJ165,BJ169,BJ149)</f>
        <v>153.74699999999984</v>
      </c>
      <c r="BK172" s="993">
        <f>SUM(BK146,BK151,BK157,-BK162,BK165,BK169,BK149)</f>
        <v>81.26299999999992</v>
      </c>
      <c r="BL172" s="993">
        <f>SUM(BL146,BL151,BL157,-BL162,BL165,BL169,BL149)</f>
        <v>78.313000000000102</v>
      </c>
      <c r="BM172" s="1080">
        <f>SUM(BI172:BL172)</f>
        <v>395.21799999999985</v>
      </c>
      <c r="BN172" s="993"/>
      <c r="BO172" s="993">
        <f>SUM(BO146,BO151,BO157,-BO162,BO165,BO169,BO149)</f>
        <v>165.62899999999991</v>
      </c>
      <c r="BP172" s="993">
        <f>SUM(BP146,BP151,BP157,-BP162,BP165,BP169,BP149)</f>
        <v>149.19800000000009</v>
      </c>
      <c r="BQ172" s="993">
        <f>SUM(BQ146,BQ151,BQ157,-BQ162,BQ165,BQ169,BQ149)</f>
        <v>401.32099999999963</v>
      </c>
      <c r="BR172" s="993">
        <f>SUM(BR146,BR151,BR157,-BR162,BR165,BR169,BR149)</f>
        <v>254.98700000000053</v>
      </c>
      <c r="BS172" s="1080">
        <f>SUM(BO172:BR172)</f>
        <v>971.13500000000022</v>
      </c>
      <c r="BT172" s="993"/>
      <c r="BU172" s="993">
        <f>SUM(BU146,BU151,BU157,-BU162,BU165,BU169,BU149)</f>
        <v>209.76299999999992</v>
      </c>
      <c r="BV172" s="993">
        <f>SUM(BV146,BV151,BV157,-BV162,BV165,BV169,BV149)</f>
        <v>275.15599999999995</v>
      </c>
      <c r="BW172" s="993">
        <f>SUM(BW146,BW151,BW157,-BW162,BW165,BW169,BW149)</f>
        <v>205.80600000000049</v>
      </c>
      <c r="BX172" s="993">
        <f>SUM(BX146,BX151,BX157,-BX162,BX165,BX169,BX149)</f>
        <v>234.8769999999995</v>
      </c>
      <c r="BY172" s="1080">
        <f>SUM(BU172:BX172)</f>
        <v>925.60199999999986</v>
      </c>
      <c r="BZ172" s="993"/>
      <c r="CA172" s="993">
        <f>SUM(CA146,CA151,CA157,-CA162,CA165,CA169,CA149)</f>
        <v>175.9350000000004</v>
      </c>
      <c r="CB172" s="993">
        <f>SUM(CB146,CB151,CB157,-CB162,CB165,CB169,CB149)</f>
        <v>230.11199999999963</v>
      </c>
      <c r="CC172" s="993">
        <f>SUM(CC146,CC151,CC157,-CC162,CC165,CC169,CC149)</f>
        <v>537.08800000000019</v>
      </c>
      <c r="CD172" s="993">
        <f>SUM(CD146,CD151,CD157,-CD162,CD165,CD169,CD149)</f>
        <v>271.30899999999929</v>
      </c>
      <c r="CE172" s="1080">
        <f>SUM(CA172:CD172)</f>
        <v>1214.4439999999995</v>
      </c>
      <c r="CF172" s="993"/>
      <c r="CG172" s="993">
        <f>SUM(CG146,CG151,CG157,-CG162,CG165,CG169,CG149)</f>
        <v>260.17200000000048</v>
      </c>
      <c r="CH172" s="993">
        <f>SUM(CH146,CH151,CH157,-CH162,CH165,CH169,CH149)</f>
        <v>301.24399999999969</v>
      </c>
      <c r="CI172" s="993">
        <f>SUM(CI146,CI151,CI157,-CI162,CI165,CI169,CI149)</f>
        <v>244.48900000000049</v>
      </c>
      <c r="CJ172" s="993">
        <f>SUM(CJ146,CJ151,CJ157,-CJ162,CJ165,CJ169,CJ149)</f>
        <v>295.01600000000053</v>
      </c>
      <c r="CK172" s="1080">
        <f>SUM(CG172:CJ172)</f>
        <v>1100.9210000000012</v>
      </c>
      <c r="CL172" s="993"/>
      <c r="CM172" s="993">
        <f>SUM(CM146,CM151,CM157,-CM162,CM165,CM169,CM149)</f>
        <v>512.5669999999991</v>
      </c>
      <c r="CN172" s="993">
        <f>SUM(CN146,CN151,CN157,-CN162,CN165,CN169,CN149)</f>
        <v>301.32800000000043</v>
      </c>
      <c r="CO172" s="993">
        <f>SUM(CO146,CO151,CO157,-CO162,CO165,CO169,CO149)</f>
        <v>762.49799999999959</v>
      </c>
      <c r="CP172" s="993">
        <f>SUM(CP146,CP151,CP157,-CP162,CP165,CP169,CP149)</f>
        <v>758.42799999999988</v>
      </c>
      <c r="CQ172" s="1080">
        <f>SUM(CM172:CP172)</f>
        <v>2334.820999999999</v>
      </c>
      <c r="CR172" s="993"/>
      <c r="CS172" s="993">
        <f>SUM(CS146,CS151,CS157,-CS162,CS165,CS169,CS149)</f>
        <v>358.21399999999903</v>
      </c>
      <c r="CT172" s="993">
        <f>SUM(CT146,CT151,CT157,-CT162,CT165,CT169,CT149)</f>
        <v>508.29100000000108</v>
      </c>
      <c r="CU172" s="993">
        <f>SUM(CU146,CU151,CU157,-CU162,CU165,CU169,CU149)</f>
        <v>334.21700000000055</v>
      </c>
      <c r="CV172" s="993">
        <f>SUM(CV146,CV151,CV157,-CV162,CV165,CV169,CV149)</f>
        <v>511.46999999999935</v>
      </c>
      <c r="CW172" s="1080">
        <f>SUM(CS172:CV172)</f>
        <v>1712.192</v>
      </c>
      <c r="CX172" s="993"/>
      <c r="CY172" s="993">
        <f>SUM(CY146,CY151,CY157,-CY162,CY165,CY169,CY149)</f>
        <v>329.14744999999999</v>
      </c>
      <c r="CZ172" s="993">
        <f>SUM(CZ146,CZ151,CZ157,-CZ162,CZ165,CZ169,CZ149)</f>
        <v>289.63350000000003</v>
      </c>
      <c r="DA172" s="993">
        <f>SUM(DA146,DA151,DA157,-DA162,DA165,DA169,DA149)</f>
        <v>283.90469999999999</v>
      </c>
      <c r="DB172" s="993">
        <f>SUM(DB146,DB151,DB157,-DB162,DB165,DB169,DB149)</f>
        <v>268.9502</v>
      </c>
      <c r="DC172" s="1080">
        <f>SUM(CY172:DB172)</f>
        <v>1171.6358500000001</v>
      </c>
      <c r="DD172" s="993"/>
      <c r="DE172" s="993">
        <f>SUM(DE146,DE151,DE157,-DE162,DE165,DE169,DE149)</f>
        <v>314.85482250000001</v>
      </c>
      <c r="DF172" s="993">
        <f>SUM(DF146,DF151,DF157,-DF162,DF165,DF169,DF149)</f>
        <v>333.74017500000002</v>
      </c>
      <c r="DG172" s="993">
        <f>SUM(DG146,DG151,DG157,-DG162,DG165,DG169,DG149)</f>
        <v>327.72493500000002</v>
      </c>
      <c r="DH172" s="993">
        <f>SUM(DH146,DH151,DH157,-DH162,DH165,DH169,DH149)</f>
        <v>312.02271000000002</v>
      </c>
      <c r="DI172" s="1080">
        <f>SUM(DE172:DH172)</f>
        <v>1288.3426425</v>
      </c>
      <c r="DJ172" s="993"/>
      <c r="DK172" s="993">
        <f>SUM(DK146,DK151,DK157,-DK162,DK165,DK169,DK149)</f>
        <v>328.72256362500002</v>
      </c>
      <c r="DL172" s="993">
        <f>SUM(DL146,DL151,DL157,-DL162,DL165,DL169,DL149)</f>
        <v>348.55218375000004</v>
      </c>
      <c r="DM172" s="993">
        <f>SUM(DM146,DM151,DM157,-DM162,DM165,DM169,DM149)</f>
        <v>342.23618175000001</v>
      </c>
      <c r="DN172" s="993">
        <f>SUM(DN146,DN151,DN157,-DN162,DN165,DN169,DN149)</f>
        <v>325.74884550000002</v>
      </c>
      <c r="DO172" s="1080">
        <f>SUM(DK172:DN172)</f>
        <v>1345.2597746250001</v>
      </c>
      <c r="DP172" s="961"/>
      <c r="DQ172" s="966"/>
    </row>
    <row r="173" spans="1:121" ht="6" hidden="1" customHeight="1" outlineLevel="1">
      <c r="A173" s="1122"/>
      <c r="B173" s="966"/>
      <c r="C173" s="966"/>
      <c r="D173" s="966"/>
      <c r="E173" s="966"/>
      <c r="F173" s="966"/>
      <c r="G173" s="966"/>
      <c r="H173" s="966"/>
      <c r="I173" s="966"/>
      <c r="J173" s="966"/>
      <c r="K173" s="966"/>
      <c r="L173" s="966"/>
      <c r="M173" s="1079"/>
      <c r="N173" s="1079"/>
      <c r="O173" s="1079"/>
      <c r="P173" s="1090"/>
      <c r="Q173" s="1242"/>
      <c r="R173" s="993"/>
      <c r="S173" s="1079"/>
      <c r="T173" s="1079"/>
      <c r="U173" s="1079"/>
      <c r="V173" s="1090"/>
      <c r="W173" s="1242"/>
      <c r="X173" s="993"/>
      <c r="Y173" s="1079"/>
      <c r="Z173" s="1079"/>
      <c r="AA173" s="1079"/>
      <c r="AB173" s="1090"/>
      <c r="AC173" s="1091"/>
      <c r="AD173" s="993"/>
      <c r="AE173" s="1079"/>
      <c r="AF173" s="1079"/>
      <c r="AG173" s="1079"/>
      <c r="AH173" s="1090"/>
      <c r="AI173" s="1091"/>
      <c r="AJ173" s="993"/>
      <c r="AK173" s="1079"/>
      <c r="AL173" s="1079"/>
      <c r="AM173" s="1079"/>
      <c r="AN173" s="1090"/>
      <c r="AO173" s="1091"/>
      <c r="AP173" s="993"/>
      <c r="AQ173" s="1079"/>
      <c r="AR173" s="1079"/>
      <c r="AS173" s="1079"/>
      <c r="AT173" s="1090"/>
      <c r="AU173" s="1091"/>
      <c r="AV173" s="993"/>
      <c r="AW173" s="1079"/>
      <c r="AX173" s="1079"/>
      <c r="AY173" s="1079"/>
      <c r="AZ173" s="1079"/>
      <c r="BA173" s="1091"/>
      <c r="BB173" s="993"/>
      <c r="BC173" s="1079"/>
      <c r="BD173" s="1079"/>
      <c r="BE173" s="1079"/>
      <c r="BF173" s="1079"/>
      <c r="BG173" s="1091"/>
      <c r="BH173" s="993"/>
      <c r="BI173" s="1079"/>
      <c r="BJ173" s="1079"/>
      <c r="BK173" s="1079"/>
      <c r="BL173" s="1079"/>
      <c r="BM173" s="1091"/>
      <c r="BN173" s="993"/>
      <c r="BO173" s="1079"/>
      <c r="BP173" s="1079"/>
      <c r="BQ173" s="1079"/>
      <c r="BR173" s="1079"/>
      <c r="BS173" s="1091"/>
      <c r="BT173" s="993"/>
      <c r="BU173" s="1079"/>
      <c r="BV173" s="1079"/>
      <c r="BW173" s="1079"/>
      <c r="BX173" s="1079"/>
      <c r="BY173" s="1091"/>
      <c r="BZ173" s="993"/>
      <c r="CA173" s="1079"/>
      <c r="CB173" s="1079"/>
      <c r="CC173" s="1079"/>
      <c r="CD173" s="1079"/>
      <c r="CE173" s="1091"/>
      <c r="CF173" s="993"/>
      <c r="CG173" s="1079"/>
      <c r="CH173" s="1079"/>
      <c r="CI173" s="1079"/>
      <c r="CJ173" s="1079"/>
      <c r="CK173" s="1091"/>
      <c r="CL173" s="993"/>
      <c r="CM173" s="1079"/>
      <c r="CN173" s="1079"/>
      <c r="CO173" s="1079"/>
      <c r="CP173" s="1079"/>
      <c r="CQ173" s="1091"/>
      <c r="CR173" s="993"/>
      <c r="CS173" s="1079"/>
      <c r="CT173" s="1079"/>
      <c r="CU173" s="1079"/>
      <c r="CV173" s="1090"/>
      <c r="CW173" s="1091"/>
      <c r="CX173" s="993"/>
      <c r="CY173" s="1079"/>
      <c r="CZ173" s="1079"/>
      <c r="DA173" s="1079"/>
      <c r="DB173" s="1090"/>
      <c r="DC173" s="1091"/>
      <c r="DD173" s="993"/>
      <c r="DE173" s="1079"/>
      <c r="DF173" s="1079"/>
      <c r="DG173" s="1079"/>
      <c r="DH173" s="1090"/>
      <c r="DI173" s="1091"/>
      <c r="DJ173" s="993"/>
      <c r="DK173" s="1079"/>
      <c r="DL173" s="1079"/>
      <c r="DM173" s="1079"/>
      <c r="DN173" s="1090"/>
      <c r="DO173" s="1091"/>
      <c r="DP173" s="1242"/>
      <c r="DQ173" s="966"/>
    </row>
    <row r="174" spans="1:121" ht="12.75" hidden="1" customHeight="1" outlineLevel="1">
      <c r="A174" s="1122" t="s">
        <v>644</v>
      </c>
      <c r="B174" s="966"/>
      <c r="C174" s="966"/>
      <c r="D174" s="966"/>
      <c r="E174" s="966"/>
      <c r="F174" s="966"/>
      <c r="G174" s="966"/>
      <c r="H174" s="966"/>
      <c r="I174" s="966"/>
      <c r="J174" s="966"/>
      <c r="K174" s="966"/>
      <c r="L174" s="966"/>
      <c r="M174" s="993">
        <f>Model!J114</f>
        <v>30.480962000000002</v>
      </c>
      <c r="N174" s="993">
        <f>Model!M114</f>
        <v>30.526595</v>
      </c>
      <c r="O174" s="993">
        <f>Model!N114</f>
        <v>30.610227999999999</v>
      </c>
      <c r="P174" s="993">
        <f>Model!O114</f>
        <v>31.069361000000001</v>
      </c>
      <c r="Q174" s="993">
        <f>Model!J114</f>
        <v>30.480962000000002</v>
      </c>
      <c r="R174" s="993"/>
      <c r="S174" s="993">
        <f>Model!P114</f>
        <v>31.530626000000002</v>
      </c>
      <c r="T174" s="993">
        <f>Model!S114</f>
        <v>132.93013999999999</v>
      </c>
      <c r="U174" s="993">
        <f>Model!T114</f>
        <v>202.489485</v>
      </c>
      <c r="V174" s="993">
        <f>Model!U114</f>
        <v>202.80062900000001</v>
      </c>
      <c r="W174" s="993">
        <f>Model!P114</f>
        <v>31.530626000000002</v>
      </c>
      <c r="X174" s="993"/>
      <c r="Y174" s="993">
        <f>Model!V114</f>
        <v>419.96326399999998</v>
      </c>
      <c r="Z174" s="993">
        <f>Model!Y114</f>
        <v>1683.6310599999999</v>
      </c>
      <c r="AA174" s="993">
        <f>Model!Z114</f>
        <v>430.4</v>
      </c>
      <c r="AB174" s="993">
        <f>Model!AA114</f>
        <v>433.2</v>
      </c>
      <c r="AC174" s="996">
        <f>Model!V114</f>
        <v>419.96326399999998</v>
      </c>
      <c r="AD174" s="993"/>
      <c r="AE174" s="993">
        <f>Model!AB114</f>
        <v>440</v>
      </c>
      <c r="AF174" s="993">
        <f>Model!AE114</f>
        <v>1763.778004</v>
      </c>
      <c r="AG174" s="993">
        <f>Model!AF114</f>
        <v>448</v>
      </c>
      <c r="AH174" s="993">
        <f>Model!AG114</f>
        <v>454</v>
      </c>
      <c r="AI174" s="996">
        <f>Model!AB114</f>
        <v>440</v>
      </c>
      <c r="AJ174" s="993"/>
      <c r="AK174" s="993">
        <f>Model!AH114</f>
        <v>460</v>
      </c>
      <c r="AL174" s="993">
        <f>Model!AK114</f>
        <v>462</v>
      </c>
      <c r="AM174" s="993">
        <f>Model!AL114</f>
        <v>467.2</v>
      </c>
      <c r="AN174" s="993">
        <f>Model!AM114</f>
        <v>472.4</v>
      </c>
      <c r="AO174" s="996">
        <f>Model!AH114</f>
        <v>460</v>
      </c>
      <c r="AP174" s="993"/>
      <c r="AQ174" s="993">
        <f>Model!AN114</f>
        <v>477.2</v>
      </c>
      <c r="AR174" s="993">
        <f>Model!AQ114</f>
        <v>480.4</v>
      </c>
      <c r="AS174" s="993">
        <f>Model!AR114</f>
        <v>484</v>
      </c>
      <c r="AT174" s="993">
        <f>Model!AS114</f>
        <v>488</v>
      </c>
      <c r="AU174" s="996">
        <f>Model!AN114</f>
        <v>477.2</v>
      </c>
      <c r="AV174" s="993"/>
      <c r="AW174" s="993">
        <f>Model!AT114</f>
        <v>491.6</v>
      </c>
      <c r="AX174" s="993">
        <f>Model!AW114</f>
        <v>494</v>
      </c>
      <c r="AY174" s="993">
        <f>Model!AX114</f>
        <v>497.6</v>
      </c>
      <c r="AZ174" s="993">
        <f>Model!AY114</f>
        <v>502.8</v>
      </c>
      <c r="BA174" s="996">
        <f>Model!AT114</f>
        <v>491.6</v>
      </c>
      <c r="BB174" s="993"/>
      <c r="BC174" s="993">
        <f>Model!AZ114</f>
        <v>510.8</v>
      </c>
      <c r="BD174" s="993">
        <f>Model!BC114</f>
        <v>512.12800000000004</v>
      </c>
      <c r="BE174" s="993">
        <f>Model!BD114</f>
        <v>518</v>
      </c>
      <c r="BF174" s="993">
        <f>Model!BE114</f>
        <v>523.55200000000002</v>
      </c>
      <c r="BG174" s="996">
        <f>Model!AZ114</f>
        <v>510.8</v>
      </c>
      <c r="BH174" s="993"/>
      <c r="BI174" s="993">
        <f>Model!BF114</f>
        <v>529.37599999999998</v>
      </c>
      <c r="BJ174" s="993">
        <f>Model!BI114</f>
        <v>533.81600000000003</v>
      </c>
      <c r="BK174" s="993">
        <f>Model!BJ114</f>
        <v>540.37199999999996</v>
      </c>
      <c r="BL174" s="993">
        <f>Model!BK114</f>
        <v>543.38800000000003</v>
      </c>
      <c r="BM174" s="996">
        <f>Model!BF114</f>
        <v>529.37599999999998</v>
      </c>
      <c r="BN174" s="993"/>
      <c r="BO174" s="993">
        <f>Model!BL114</f>
        <v>548</v>
      </c>
      <c r="BP174" s="993">
        <f>Model!BO114</f>
        <v>552</v>
      </c>
      <c r="BQ174" s="993">
        <f>Model!BP114</f>
        <v>556</v>
      </c>
      <c r="BR174" s="993">
        <f>Model!BQ114</f>
        <v>568</v>
      </c>
      <c r="BS174" s="996">
        <f>Model!BL114</f>
        <v>548</v>
      </c>
      <c r="BT174" s="993"/>
      <c r="BU174" s="993">
        <f>Model!BR114</f>
        <v>585.62400000000002</v>
      </c>
      <c r="BV174" s="993">
        <f>Model!BU114</f>
        <v>593</v>
      </c>
      <c r="BW174" s="993">
        <f>Model!BV114</f>
        <v>596</v>
      </c>
      <c r="BX174" s="993">
        <f>Model!BW114</f>
        <v>605</v>
      </c>
      <c r="BY174" s="996">
        <f>Model!BR114</f>
        <v>585.62400000000002</v>
      </c>
      <c r="BZ174" s="993"/>
      <c r="CA174" s="993">
        <f>Model!BX114</f>
        <v>610.14300000000003</v>
      </c>
      <c r="CB174" s="993">
        <f>Model!CA114</f>
        <v>618</v>
      </c>
      <c r="CC174" s="993">
        <f>Model!CB114</f>
        <v>628</v>
      </c>
      <c r="CD174" s="993">
        <f>Model!CC114</f>
        <v>631</v>
      </c>
      <c r="CE174" s="996">
        <f>Model!BX114</f>
        <v>610.14300000000003</v>
      </c>
      <c r="CF174" s="993"/>
      <c r="CG174" s="993">
        <f>Model!CD114</f>
        <v>650.596</v>
      </c>
      <c r="CH174" s="993">
        <f>Model!CG114</f>
        <v>653.80899999999997</v>
      </c>
      <c r="CI174" s="993">
        <f>Model!CH114</f>
        <v>659.36599999999999</v>
      </c>
      <c r="CJ174" s="993">
        <f>Model!CI114</f>
        <v>664.13099999999997</v>
      </c>
      <c r="CK174" s="996">
        <f>Model!CD114</f>
        <v>650.596</v>
      </c>
      <c r="CL174" s="993"/>
      <c r="CM174" s="993">
        <f>Model!CJ114</f>
        <v>669.02499999999998</v>
      </c>
      <c r="CN174" s="993">
        <f>Model!CM114</f>
        <v>683.02499999999998</v>
      </c>
      <c r="CO174" s="993">
        <f>Model!CN114</f>
        <v>690.52499999999998</v>
      </c>
      <c r="CP174" s="993">
        <f>Model!CO114</f>
        <v>702</v>
      </c>
      <c r="CQ174" s="996">
        <f>Model!CJ114</f>
        <v>669.02499999999998</v>
      </c>
      <c r="CR174" s="993"/>
      <c r="CS174" s="993">
        <f>Model!CP114</f>
        <v>702</v>
      </c>
      <c r="CT174" s="993">
        <f>Model!CS114</f>
        <v>713.3</v>
      </c>
      <c r="CU174" s="993">
        <f>Model!CT114</f>
        <v>715</v>
      </c>
      <c r="CV174" s="993">
        <f>Model!CU114</f>
        <v>720</v>
      </c>
      <c r="CW174" s="996">
        <f>Model!CP114</f>
        <v>702</v>
      </c>
      <c r="CX174" s="993"/>
      <c r="CY174" s="993">
        <f>Model!CV114</f>
        <v>725</v>
      </c>
      <c r="CZ174" s="993">
        <f>Model!CY114</f>
        <v>738</v>
      </c>
      <c r="DA174" s="993">
        <f>Model!CZ114</f>
        <v>739.5</v>
      </c>
      <c r="DB174" s="993">
        <f>Model!DA114</f>
        <v>741</v>
      </c>
      <c r="DC174" s="996">
        <f>Model!CV114</f>
        <v>725</v>
      </c>
      <c r="DD174" s="993"/>
      <c r="DE174" s="993">
        <f>Model!DB114</f>
        <v>742.5</v>
      </c>
      <c r="DF174" s="993">
        <f>Model!DE114</f>
        <v>750</v>
      </c>
      <c r="DG174" s="993">
        <f>Model!DF114</f>
        <v>757.5</v>
      </c>
      <c r="DH174" s="993">
        <f>Model!DG114</f>
        <v>765</v>
      </c>
      <c r="DI174" s="996">
        <f>Model!DB114</f>
        <v>742.5</v>
      </c>
      <c r="DJ174" s="993"/>
      <c r="DK174" s="993">
        <f>Model!DH114</f>
        <v>772.5</v>
      </c>
      <c r="DL174" s="993">
        <f>Model!DK114</f>
        <v>780</v>
      </c>
      <c r="DM174" s="993">
        <f>Model!DL114</f>
        <v>787.5</v>
      </c>
      <c r="DN174" s="993">
        <f>Model!DM114</f>
        <v>795</v>
      </c>
      <c r="DO174" s="996">
        <f>Model!DH114</f>
        <v>772.5</v>
      </c>
      <c r="DP174" s="1062"/>
      <c r="DQ174" s="966"/>
    </row>
    <row r="175" spans="1:121" ht="12.75" hidden="1" customHeight="1" outlineLevel="1">
      <c r="A175" s="1122" t="s">
        <v>645</v>
      </c>
      <c r="B175" s="966"/>
      <c r="C175" s="966"/>
      <c r="D175" s="966"/>
      <c r="E175" s="966"/>
      <c r="F175" s="966"/>
      <c r="G175" s="966"/>
      <c r="H175" s="966"/>
      <c r="I175" s="966"/>
      <c r="J175" s="966"/>
      <c r="K175" s="966"/>
      <c r="L175" s="966"/>
      <c r="M175" s="993">
        <f>M174+M171</f>
        <v>30.526562000000002</v>
      </c>
      <c r="N175" s="993">
        <f>N174+N171</f>
        <v>30.610195000000001</v>
      </c>
      <c r="O175" s="993">
        <f>O174+O171</f>
        <v>31.069327999999999</v>
      </c>
      <c r="P175" s="993">
        <f>P174+P171</f>
        <v>31.530692000000002</v>
      </c>
      <c r="Q175" s="993">
        <f>Q174+Q171</f>
        <v>31.530593000000003</v>
      </c>
      <c r="R175" s="993"/>
      <c r="S175" s="993">
        <f>S174+S171</f>
        <v>33.232626000000003</v>
      </c>
      <c r="T175" s="993">
        <f>T174+T171</f>
        <v>202.489485</v>
      </c>
      <c r="U175" s="993">
        <f>U174+U171</f>
        <v>202.80062900000001</v>
      </c>
      <c r="V175" s="993">
        <f>V174+V171</f>
        <v>204.87133</v>
      </c>
      <c r="W175" s="993">
        <f>W174+W171</f>
        <v>105.17381599999999</v>
      </c>
      <c r="X175" s="993"/>
      <c r="Y175" s="993">
        <f>Y174+Y171</f>
        <v>420.90776499999998</v>
      </c>
      <c r="Z175" s="993">
        <f>Z174+Z171</f>
        <v>430.39999999999986</v>
      </c>
      <c r="AA175" s="993">
        <f>AA174+AA171</f>
        <v>433.2</v>
      </c>
      <c r="AB175" s="993">
        <f>AB174+AB171</f>
        <v>1687.5186540000002</v>
      </c>
      <c r="AC175" s="996">
        <f>AC174+AC171</f>
        <v>424.79535899999996</v>
      </c>
      <c r="AD175" s="993"/>
      <c r="AE175" s="993">
        <f>AE174+AE171</f>
        <v>440.944501</v>
      </c>
      <c r="AF175" s="993">
        <f>AF174+AF171</f>
        <v>448</v>
      </c>
      <c r="AG175" s="993">
        <f>AG174+AG171</f>
        <v>454</v>
      </c>
      <c r="AH175" s="993">
        <f>AH174+AH171</f>
        <v>460</v>
      </c>
      <c r="AI175" s="996">
        <f>AI174+AI171</f>
        <v>-862.83350300000006</v>
      </c>
      <c r="AJ175" s="993"/>
      <c r="AK175" s="993">
        <f>AK174+AK171</f>
        <v>462</v>
      </c>
      <c r="AL175" s="993">
        <f>AL174+AL171</f>
        <v>467.2</v>
      </c>
      <c r="AM175" s="993">
        <f>AM174+AM171</f>
        <v>472.4</v>
      </c>
      <c r="AN175" s="993">
        <f>AN174+AN171</f>
        <v>477.2</v>
      </c>
      <c r="AO175" s="996">
        <f>AO174+AO171</f>
        <v>477.2</v>
      </c>
      <c r="AP175" s="993"/>
      <c r="AQ175" s="993">
        <f>AQ174+AQ171</f>
        <v>480.4</v>
      </c>
      <c r="AR175" s="993">
        <f>AR174+AR171</f>
        <v>484</v>
      </c>
      <c r="AS175" s="993">
        <f>AS174+AS171</f>
        <v>488</v>
      </c>
      <c r="AT175" s="993">
        <f>AT174+AT171</f>
        <v>491.6</v>
      </c>
      <c r="AU175" s="996">
        <f>AU174+AU171</f>
        <v>491.6</v>
      </c>
      <c r="AV175" s="993"/>
      <c r="AW175" s="993">
        <f>AW174+AW171</f>
        <v>494</v>
      </c>
      <c r="AX175" s="993">
        <f>AX174+AX171</f>
        <v>497.6</v>
      </c>
      <c r="AY175" s="993">
        <f>AY174+AY171</f>
        <v>502.8</v>
      </c>
      <c r="AZ175" s="993">
        <f>AZ174+AZ171</f>
        <v>510.8</v>
      </c>
      <c r="BA175" s="996">
        <f>BA174+BA171</f>
        <v>510.8</v>
      </c>
      <c r="BB175" s="993"/>
      <c r="BC175" s="993">
        <f>BC174+BC171</f>
        <v>512.12800000000004</v>
      </c>
      <c r="BD175" s="993">
        <f>BD174+BD171</f>
        <v>518</v>
      </c>
      <c r="BE175" s="993">
        <f>BE174+BE171</f>
        <v>523.55200000000002</v>
      </c>
      <c r="BF175" s="993">
        <f>BF174+BF171</f>
        <v>529.37599999999998</v>
      </c>
      <c r="BG175" s="996">
        <f>BG174+BG171</f>
        <v>529.37599999999998</v>
      </c>
      <c r="BH175" s="993"/>
      <c r="BI175" s="993">
        <f>BI174+BI171</f>
        <v>533.81600000000003</v>
      </c>
      <c r="BJ175" s="993">
        <f>BJ174+BJ171</f>
        <v>540.37199999999996</v>
      </c>
      <c r="BK175" s="993">
        <f>BK174+BK171</f>
        <v>543.38800000000003</v>
      </c>
      <c r="BL175" s="993">
        <f>BL174+BL171</f>
        <v>548</v>
      </c>
      <c r="BM175" s="996">
        <f>BM174+BM171</f>
        <v>548</v>
      </c>
      <c r="BN175" s="993"/>
      <c r="BO175" s="993">
        <f>BO174+BO171</f>
        <v>552</v>
      </c>
      <c r="BP175" s="993">
        <f>BP174+BP171</f>
        <v>556</v>
      </c>
      <c r="BQ175" s="993">
        <f>BQ174+BQ171</f>
        <v>568</v>
      </c>
      <c r="BR175" s="993">
        <f>BR174+BR171</f>
        <v>585.62400000000002</v>
      </c>
      <c r="BS175" s="996">
        <f>BS174+BS171</f>
        <v>585.62400000000002</v>
      </c>
      <c r="BT175" s="993"/>
      <c r="BU175" s="993">
        <f>BU174+BU171</f>
        <v>593</v>
      </c>
      <c r="BV175" s="993">
        <f>BV174+BV171</f>
        <v>596</v>
      </c>
      <c r="BW175" s="993">
        <f>BW174+BW171</f>
        <v>605</v>
      </c>
      <c r="BX175" s="993">
        <f>BX174+BX171</f>
        <v>610.14300000000003</v>
      </c>
      <c r="BY175" s="996">
        <f>BY174+BY171</f>
        <v>610.14300000000003</v>
      </c>
      <c r="BZ175" s="993"/>
      <c r="CA175" s="993">
        <f>CA174+CA171</f>
        <v>618</v>
      </c>
      <c r="CB175" s="993">
        <f>CB174+CB171</f>
        <v>628</v>
      </c>
      <c r="CC175" s="993">
        <f>CC174+CC171</f>
        <v>631</v>
      </c>
      <c r="CD175" s="993">
        <f>CD174+CD171</f>
        <v>650.596</v>
      </c>
      <c r="CE175" s="996">
        <f>CE174+CE171</f>
        <v>650.596</v>
      </c>
      <c r="CF175" s="993"/>
      <c r="CG175" s="993">
        <f>CG174+CG171</f>
        <v>653.80899999999997</v>
      </c>
      <c r="CH175" s="993">
        <f>CH174+CH171</f>
        <v>659.36599999999999</v>
      </c>
      <c r="CI175" s="993">
        <f>CI174+CI171</f>
        <v>664.13099999999997</v>
      </c>
      <c r="CJ175" s="993">
        <f>CJ174+CJ171</f>
        <v>669.02499999999998</v>
      </c>
      <c r="CK175" s="996">
        <f>CK174+CK171</f>
        <v>669.02499999999998</v>
      </c>
      <c r="CL175" s="993"/>
      <c r="CM175" s="993">
        <f>CM174+CM171</f>
        <v>683.02499999999998</v>
      </c>
      <c r="CN175" s="993">
        <f>CN174+CN171</f>
        <v>690.52499999999998</v>
      </c>
      <c r="CO175" s="993">
        <f>CO174+CO171</f>
        <v>702</v>
      </c>
      <c r="CP175" s="993">
        <f>CP174+CP171</f>
        <v>702</v>
      </c>
      <c r="CQ175" s="996">
        <f>CQ174+CQ171</f>
        <v>702</v>
      </c>
      <c r="CR175" s="993"/>
      <c r="CS175" s="993">
        <f>CS174+CS171</f>
        <v>713.3</v>
      </c>
      <c r="CT175" s="993">
        <f>CT174+CT171</f>
        <v>715</v>
      </c>
      <c r="CU175" s="993">
        <f>CU174+CU171</f>
        <v>720</v>
      </c>
      <c r="CV175" s="993">
        <f>CV174+CV171</f>
        <v>734</v>
      </c>
      <c r="CW175" s="996">
        <f>CW174+CW171</f>
        <v>734</v>
      </c>
      <c r="CX175" s="993"/>
      <c r="CY175" s="993">
        <f>CY174+CY171</f>
        <v>738</v>
      </c>
      <c r="CZ175" s="993">
        <f>CZ174+CZ171</f>
        <v>739.5</v>
      </c>
      <c r="DA175" s="993">
        <f>DA174+DA171</f>
        <v>741</v>
      </c>
      <c r="DB175" s="993">
        <f>DB174+DB171</f>
        <v>742.5</v>
      </c>
      <c r="DC175" s="996">
        <f>DC174+DC171</f>
        <v>742.5</v>
      </c>
      <c r="DD175" s="993"/>
      <c r="DE175" s="993">
        <f>DE174+DE171</f>
        <v>750</v>
      </c>
      <c r="DF175" s="993">
        <f>DF174+DF171</f>
        <v>757.5</v>
      </c>
      <c r="DG175" s="993">
        <f>DG174+DG171</f>
        <v>765</v>
      </c>
      <c r="DH175" s="993">
        <f>DH174+DH171</f>
        <v>772.5</v>
      </c>
      <c r="DI175" s="996">
        <f>DI174+DI171</f>
        <v>757.5</v>
      </c>
      <c r="DJ175" s="993"/>
      <c r="DK175" s="993">
        <f>DK174+DK171</f>
        <v>780</v>
      </c>
      <c r="DL175" s="993">
        <f>DL174+DL171</f>
        <v>787.5</v>
      </c>
      <c r="DM175" s="993">
        <f>DM174+DM171</f>
        <v>795</v>
      </c>
      <c r="DN175" s="993">
        <f>DN174+DN171</f>
        <v>802.5</v>
      </c>
      <c r="DO175" s="996">
        <f>DO174+DO171</f>
        <v>787.5</v>
      </c>
      <c r="DP175" s="1062"/>
      <c r="DQ175" s="966"/>
    </row>
    <row r="176" spans="1:121" ht="6" hidden="1" customHeight="1" outlineLevel="1">
      <c r="A176" s="1122"/>
      <c r="B176" s="966"/>
      <c r="C176" s="966"/>
      <c r="D176" s="966"/>
      <c r="E176" s="966"/>
      <c r="F176" s="966"/>
      <c r="G176" s="966"/>
      <c r="H176" s="966"/>
      <c r="I176" s="966"/>
      <c r="J176" s="966"/>
      <c r="K176" s="966"/>
      <c r="L176" s="966"/>
      <c r="M176" s="1079"/>
      <c r="N176" s="1079"/>
      <c r="O176" s="1079"/>
      <c r="P176" s="1090"/>
      <c r="Q176" s="1242"/>
      <c r="R176" s="993"/>
      <c r="S176" s="1079"/>
      <c r="T176" s="1079"/>
      <c r="U176" s="1079"/>
      <c r="V176" s="1090"/>
      <c r="W176" s="1242"/>
      <c r="X176" s="993"/>
      <c r="Y176" s="1079"/>
      <c r="Z176" s="1079"/>
      <c r="AA176" s="1079"/>
      <c r="AB176" s="1090"/>
      <c r="AC176" s="1091"/>
      <c r="AD176" s="993"/>
      <c r="AE176" s="1079"/>
      <c r="AF176" s="1079"/>
      <c r="AG176" s="1079"/>
      <c r="AH176" s="1090"/>
      <c r="AI176" s="1091"/>
      <c r="AJ176" s="993"/>
      <c r="AK176" s="1079"/>
      <c r="AL176" s="1079"/>
      <c r="AM176" s="1079"/>
      <c r="AN176" s="1090"/>
      <c r="AO176" s="1091"/>
      <c r="AP176" s="993"/>
      <c r="AQ176" s="1079"/>
      <c r="AR176" s="1079"/>
      <c r="AS176" s="1079"/>
      <c r="AT176" s="1090"/>
      <c r="AU176" s="1091"/>
      <c r="AV176" s="993"/>
      <c r="AW176" s="1079"/>
      <c r="AX176" s="1079"/>
      <c r="AY176" s="1079"/>
      <c r="AZ176" s="1079"/>
      <c r="BA176" s="1091"/>
      <c r="BB176" s="993"/>
      <c r="BC176" s="1079"/>
      <c r="BD176" s="1079"/>
      <c r="BE176" s="1079"/>
      <c r="BF176" s="1079"/>
      <c r="BG176" s="1091"/>
      <c r="BH176" s="993"/>
      <c r="BI176" s="1079"/>
      <c r="BJ176" s="1079"/>
      <c r="BK176" s="1079"/>
      <c r="BL176" s="1079"/>
      <c r="BM176" s="1091"/>
      <c r="BN176" s="993"/>
      <c r="BO176" s="1079"/>
      <c r="BP176" s="1079"/>
      <c r="BQ176" s="1079"/>
      <c r="BR176" s="1079"/>
      <c r="BS176" s="1091"/>
      <c r="BT176" s="993"/>
      <c r="BU176" s="1079"/>
      <c r="BV176" s="1079"/>
      <c r="BW176" s="1079"/>
      <c r="BX176" s="1079"/>
      <c r="BY176" s="1091"/>
      <c r="BZ176" s="993"/>
      <c r="CA176" s="1079"/>
      <c r="CB176" s="1079"/>
      <c r="CC176" s="1079"/>
      <c r="CD176" s="1079"/>
      <c r="CE176" s="1091"/>
      <c r="CF176" s="993"/>
      <c r="CG176" s="1079"/>
      <c r="CH176" s="1079"/>
      <c r="CI176" s="1079"/>
      <c r="CJ176" s="1079"/>
      <c r="CK176" s="1091"/>
      <c r="CL176" s="993"/>
      <c r="CM176" s="1079"/>
      <c r="CN176" s="1079"/>
      <c r="CO176" s="1079"/>
      <c r="CP176" s="1079"/>
      <c r="CQ176" s="1091"/>
      <c r="CR176" s="993"/>
      <c r="CS176" s="1079"/>
      <c r="CT176" s="1079"/>
      <c r="CU176" s="1079"/>
      <c r="CV176" s="1090"/>
      <c r="CW176" s="1091"/>
      <c r="CX176" s="993"/>
      <c r="CY176" s="1079"/>
      <c r="CZ176" s="1079"/>
      <c r="DA176" s="1079"/>
      <c r="DB176" s="1090"/>
      <c r="DC176" s="1091"/>
      <c r="DD176" s="993"/>
      <c r="DE176" s="1079"/>
      <c r="DF176" s="1079"/>
      <c r="DG176" s="1079"/>
      <c r="DH176" s="1090"/>
      <c r="DI176" s="1091"/>
      <c r="DJ176" s="993"/>
      <c r="DK176" s="1079"/>
      <c r="DL176" s="1079"/>
      <c r="DM176" s="1079"/>
      <c r="DN176" s="1090"/>
      <c r="DO176" s="1091"/>
      <c r="DP176" s="1242"/>
      <c r="DQ176" s="966"/>
    </row>
    <row r="177" spans="1:121" ht="12.75" hidden="1" customHeight="1" outlineLevel="1">
      <c r="A177" s="1122" t="s">
        <v>30</v>
      </c>
      <c r="B177" s="966"/>
      <c r="C177" s="966"/>
      <c r="D177" s="966"/>
      <c r="E177" s="966"/>
      <c r="F177" s="966"/>
      <c r="G177" s="966"/>
      <c r="H177" s="966"/>
      <c r="I177" s="966"/>
      <c r="J177" s="966"/>
      <c r="K177" s="966"/>
      <c r="L177" s="966"/>
      <c r="M177" s="993">
        <f>J51+J50+J53</f>
        <v>29.154999999999998</v>
      </c>
      <c r="N177" s="993">
        <f>M51+M50+M53</f>
        <v>29.91551364991971</v>
      </c>
      <c r="O177" s="993">
        <f>N51+N50+N53</f>
        <v>30.989296168846071</v>
      </c>
      <c r="P177" s="993">
        <f>O51+O50+O53</f>
        <v>32.793813948153243</v>
      </c>
      <c r="Q177" s="993">
        <f>K51+K50+K53</f>
        <v>29.154999999999998</v>
      </c>
      <c r="R177" s="993"/>
      <c r="S177" s="993">
        <f>P51+P50+P53</f>
        <v>33.937999999999995</v>
      </c>
      <c r="T177" s="993">
        <f>S51+S50+S53</f>
        <v>34.959000000000003</v>
      </c>
      <c r="U177" s="993">
        <f>T51+T50+T53</f>
        <v>211.70099999999999</v>
      </c>
      <c r="V177" s="993">
        <f>U51+U50+U53</f>
        <v>212.22500000000002</v>
      </c>
      <c r="W177" s="993">
        <f>Q51+Q50+Q53</f>
        <v>33.937999999999995</v>
      </c>
      <c r="X177" s="993"/>
      <c r="Y177" s="993">
        <f>V51+V50+V53</f>
        <v>216.62599999999998</v>
      </c>
      <c r="Z177" s="993">
        <f>Y51+Y50+Y53</f>
        <v>219.52799999999999</v>
      </c>
      <c r="AA177" s="993">
        <f>Z51+Z50+Z53</f>
        <v>226.726</v>
      </c>
      <c r="AB177" s="993">
        <f>AA51+AA50+AA53</f>
        <v>229.82400000000001</v>
      </c>
      <c r="AC177" s="996">
        <f>W51+W50+W53</f>
        <v>216.62599999999998</v>
      </c>
      <c r="AD177" s="993"/>
      <c r="AE177" s="993">
        <f>AB51+AB50+AB53</f>
        <v>237.12099999999998</v>
      </c>
      <c r="AF177" s="993">
        <f>AE51+AE50+AE53</f>
        <v>250.47799999999998</v>
      </c>
      <c r="AG177" s="993">
        <f>AF51+AF50+AF53</f>
        <v>268.96700000000004</v>
      </c>
      <c r="AH177" s="993">
        <f>AG51+AG50+AG53</f>
        <v>294.47899999999998</v>
      </c>
      <c r="AI177" s="996">
        <f>AC51+AC50+AC53</f>
        <v>237.12099999999998</v>
      </c>
      <c r="AJ177" s="993"/>
      <c r="AK177" s="993">
        <f>AH51+AH50+AH53</f>
        <v>319.61099999999999</v>
      </c>
      <c r="AL177" s="993">
        <f>AK51+AK50+AK53</f>
        <v>346.58100000000002</v>
      </c>
      <c r="AM177" s="993">
        <f>AL51+AL50+AL53</f>
        <v>384.62700000000001</v>
      </c>
      <c r="AN177" s="993">
        <f>AM51+AM50+AM53</f>
        <v>429.35300000000001</v>
      </c>
      <c r="AO177" s="996">
        <f>AI51+AI50+AI53</f>
        <v>319.61099999999999</v>
      </c>
      <c r="AP177" s="993"/>
      <c r="AQ177" s="993">
        <f>AN51+AN50+AN53</f>
        <v>471.92100000000005</v>
      </c>
      <c r="AR177" s="993">
        <f>AQ51+AQ50+AQ53</f>
        <v>514.74099999999999</v>
      </c>
      <c r="AS177" s="993">
        <f>AR51+AR50+AR53</f>
        <v>568.19899999999996</v>
      </c>
      <c r="AT177" s="993">
        <f>AS51+AS50+AS53</f>
        <v>613.89</v>
      </c>
      <c r="AU177" s="996">
        <f>AO51+AO50+AO53</f>
        <v>471.92100000000005</v>
      </c>
      <c r="AV177" s="993"/>
      <c r="AW177" s="993">
        <f>AT51+AT50+AT53</f>
        <v>648.84700000000009</v>
      </c>
      <c r="AX177" s="993">
        <f>AW51+AW50+AW53</f>
        <v>687.62700000000007</v>
      </c>
      <c r="AY177" s="993">
        <f>AX51+AX50+AX53</f>
        <v>719.8370000000001</v>
      </c>
      <c r="AZ177" s="993">
        <f>AY51+AY50+AY53</f>
        <v>775.96299999999997</v>
      </c>
      <c r="BA177" s="996">
        <f>AU51+AU50+AU53</f>
        <v>648.84700000000009</v>
      </c>
      <c r="BB177" s="993"/>
      <c r="BC177" s="993">
        <f>AZ51+AZ50+AZ53</f>
        <v>938.67099999999994</v>
      </c>
      <c r="BD177" s="993">
        <f>BC51+BC50+BC53</f>
        <v>1010.134</v>
      </c>
      <c r="BE177" s="993">
        <f>BD51+BD50+BD53</f>
        <v>1093.721</v>
      </c>
      <c r="BF177" s="993">
        <f>BE51+BE50+BE53</f>
        <v>1041.1360000000002</v>
      </c>
      <c r="BG177" s="996">
        <f>BA51+BA50+BA53</f>
        <v>938.67099999999994</v>
      </c>
      <c r="BH177" s="993"/>
      <c r="BI177" s="993">
        <f>BF51+BF50+BF53</f>
        <v>1098.7370000000001</v>
      </c>
      <c r="BJ177" s="993">
        <f>BI51+BI50+BI53</f>
        <v>1180.6320000000001</v>
      </c>
      <c r="BK177" s="993">
        <f>BJ51+BJ50+BJ53</f>
        <v>1334.3789999999999</v>
      </c>
      <c r="BL177" s="993">
        <f>BK51+BK50+BK53</f>
        <v>1415.6419999999998</v>
      </c>
      <c r="BM177" s="996">
        <f>BG51+BG50+BG53</f>
        <v>1098.7370000000001</v>
      </c>
      <c r="BN177" s="993"/>
      <c r="BO177" s="993">
        <f>BL51+BL50+BL53</f>
        <v>1493.9549999999999</v>
      </c>
      <c r="BP177" s="993">
        <f>BO51+BO50+BO53</f>
        <v>1659.5839999999998</v>
      </c>
      <c r="BQ177" s="993">
        <f>BP51+BP50+BP53</f>
        <v>1808.7819999999999</v>
      </c>
      <c r="BR177" s="993">
        <f>BQ51+BQ50+BQ53</f>
        <v>2210.1029999999996</v>
      </c>
      <c r="BS177" s="996">
        <f>BM51+BM50+BM53</f>
        <v>1493.9549999999999</v>
      </c>
      <c r="BT177" s="993"/>
      <c r="BU177" s="993">
        <f>BR51+BR50+BR53</f>
        <v>2465.09</v>
      </c>
      <c r="BV177" s="993">
        <f>BU51+BU50+BU53</f>
        <v>2674.8530000000001</v>
      </c>
      <c r="BW177" s="993">
        <f>BV51+BV50+BV53</f>
        <v>2950.009</v>
      </c>
      <c r="BX177" s="993">
        <f>BW51+BW50+BW53</f>
        <v>3155.8150000000005</v>
      </c>
      <c r="BY177" s="996">
        <f>BS51+BS50+BS53</f>
        <v>2465.09</v>
      </c>
      <c r="BZ177" s="993"/>
      <c r="CA177" s="993">
        <f>BX51+BX50+BX53</f>
        <v>3390.692</v>
      </c>
      <c r="CB177" s="993">
        <f>CA51+CA50+CA53</f>
        <v>3566.6270000000004</v>
      </c>
      <c r="CC177" s="993">
        <f>CB51+CB50+CB53</f>
        <v>3796.739</v>
      </c>
      <c r="CD177" s="993">
        <f>CC51+CC50+CC53</f>
        <v>4333.8270000000002</v>
      </c>
      <c r="CE177" s="996">
        <f>BY51+BY50+BY53</f>
        <v>3390.692</v>
      </c>
      <c r="CF177" s="993"/>
      <c r="CG177" s="993">
        <f>CD51+CD50+CD53</f>
        <v>4605.1359999999995</v>
      </c>
      <c r="CH177" s="993">
        <f>CG51+CG50+CG53</f>
        <v>4865.308</v>
      </c>
      <c r="CI177" s="993">
        <f>CH51+CH50+CH53</f>
        <v>5166.5519999999997</v>
      </c>
      <c r="CJ177" s="993">
        <f>CI51+CI50+CI53</f>
        <v>5411.0410000000002</v>
      </c>
      <c r="CK177" s="996">
        <f>CE51+CE50+CE53</f>
        <v>4605.1359999999995</v>
      </c>
      <c r="CL177" s="993"/>
      <c r="CM177" s="993">
        <f>CJ51+CJ50+CJ53</f>
        <v>5706.0570000000007</v>
      </c>
      <c r="CN177" s="993">
        <f>CM51+CM50+CM53</f>
        <v>6218.6239999999998</v>
      </c>
      <c r="CO177" s="993">
        <f>CN51+CN50+CN53</f>
        <v>6519.9520000000002</v>
      </c>
      <c r="CP177" s="993">
        <f>CO51+CO50+CO53</f>
        <v>7282.45</v>
      </c>
      <c r="CQ177" s="996">
        <f>CK51+CK50+CK53</f>
        <v>5706.0570000000007</v>
      </c>
      <c r="CR177" s="993"/>
      <c r="CS177" s="993">
        <f>CP51+CP50+CP53</f>
        <v>8040.8779999999997</v>
      </c>
      <c r="CT177" s="993">
        <f>CS51+CS50+CS53</f>
        <v>8399.0919999999987</v>
      </c>
      <c r="CU177" s="993">
        <f>CT51+CT50+CT53</f>
        <v>8907.3829999999998</v>
      </c>
      <c r="CV177" s="993">
        <f>CU51+CU50+CU53</f>
        <v>9241.6</v>
      </c>
      <c r="CW177" s="996">
        <f>CQ51+CQ50+CQ53</f>
        <v>8040.8779999999997</v>
      </c>
      <c r="CX177" s="993"/>
      <c r="CY177" s="993">
        <f>CV51+CV50+CV53</f>
        <v>9753.07</v>
      </c>
      <c r="CZ177" s="993">
        <f>CY51+CY50+CY53</f>
        <v>10082.21745</v>
      </c>
      <c r="DA177" s="993">
        <f>CZ51+CZ50+CZ53</f>
        <v>10371.85095</v>
      </c>
      <c r="DB177" s="993">
        <f>DA51+DA50+DA53</f>
        <v>10655.755649999999</v>
      </c>
      <c r="DC177" s="996">
        <f>CW51+CW50+CW53</f>
        <v>9753.07</v>
      </c>
      <c r="DD177" s="993"/>
      <c r="DE177" s="993">
        <f>DB51+DB50+DB53</f>
        <v>10924.705849999998</v>
      </c>
      <c r="DF177" s="993">
        <f>DE51+DE50+DE53</f>
        <v>11239.560672499998</v>
      </c>
      <c r="DG177" s="993">
        <f>DF51+DF50+DF53</f>
        <v>11573.300847499999</v>
      </c>
      <c r="DH177" s="993">
        <f>DG51+DG50+DG53</f>
        <v>11901.025782499999</v>
      </c>
      <c r="DI177" s="996">
        <f>DC51+DC50+DC53</f>
        <v>10924.705849999998</v>
      </c>
      <c r="DJ177" s="993"/>
      <c r="DK177" s="993">
        <f>DH51+DH50+DH53</f>
        <v>12213.048492499998</v>
      </c>
      <c r="DL177" s="993">
        <f>DK51+DK50+DK53</f>
        <v>12541.771056124999</v>
      </c>
      <c r="DM177" s="993">
        <f>DL51+DL50+DL53</f>
        <v>12890.323239874999</v>
      </c>
      <c r="DN177" s="993">
        <f>DM51+DM50+DM53</f>
        <v>13232.559421624999</v>
      </c>
      <c r="DO177" s="996">
        <f>DI51+DI50+DI53</f>
        <v>12213.048492499998</v>
      </c>
      <c r="DP177" s="1062"/>
      <c r="DQ177" s="966"/>
    </row>
    <row r="178" spans="1:121" ht="12.75" hidden="1" customHeight="1" outlineLevel="1">
      <c r="A178" s="1122" t="s">
        <v>643</v>
      </c>
      <c r="B178" s="966"/>
      <c r="C178" s="966"/>
      <c r="D178" s="966"/>
      <c r="E178" s="966"/>
      <c r="F178" s="966"/>
      <c r="G178" s="966"/>
      <c r="H178" s="966"/>
      <c r="I178" s="966"/>
      <c r="J178" s="966"/>
      <c r="K178" s="966"/>
      <c r="L178" s="966"/>
      <c r="M178" s="993">
        <f>M177+M172</f>
        <v>29.915513649919703</v>
      </c>
      <c r="N178" s="993">
        <f>N177+N172</f>
        <v>30.989296168846067</v>
      </c>
      <c r="O178" s="993">
        <f>O177+O172</f>
        <v>32.79381394815325</v>
      </c>
      <c r="P178" s="993">
        <f>P177+P172</f>
        <v>33.937999999999995</v>
      </c>
      <c r="Q178" s="993">
        <f>Q177+Q172</f>
        <v>33.937999999999995</v>
      </c>
      <c r="R178" s="993"/>
      <c r="S178" s="993">
        <f>S177+S172</f>
        <v>34.959000000000003</v>
      </c>
      <c r="T178" s="993">
        <f>T177+T172</f>
        <v>211.70099999999999</v>
      </c>
      <c r="U178" s="993">
        <f>U177+U172</f>
        <v>212.22500000000002</v>
      </c>
      <c r="V178" s="993">
        <f>V177+V172</f>
        <v>216.62599999999998</v>
      </c>
      <c r="W178" s="993">
        <f>W177+W172</f>
        <v>216.62599999999998</v>
      </c>
      <c r="X178" s="993"/>
      <c r="Y178" s="993">
        <f>Y177+Y172</f>
        <v>219.52799999999999</v>
      </c>
      <c r="Z178" s="993">
        <f>Z177+Z172</f>
        <v>226.726</v>
      </c>
      <c r="AA178" s="993">
        <f>AA177+AA172</f>
        <v>229.82400000000001</v>
      </c>
      <c r="AB178" s="993">
        <f>AB177+AB172</f>
        <v>237.12099999999998</v>
      </c>
      <c r="AC178" s="996">
        <f>AC177+AC172</f>
        <v>237.12099999999998</v>
      </c>
      <c r="AD178" s="993"/>
      <c r="AE178" s="993">
        <f>AE177+AE172</f>
        <v>250.47799999999998</v>
      </c>
      <c r="AF178" s="993">
        <f>AF177+AF172</f>
        <v>268.96700000000004</v>
      </c>
      <c r="AG178" s="993">
        <f>AG177+AG172</f>
        <v>294.47899999999998</v>
      </c>
      <c r="AH178" s="993">
        <f>AH177+AH172</f>
        <v>319.61099999999999</v>
      </c>
      <c r="AI178" s="996">
        <f>AI177+AI172</f>
        <v>319.61099999999999</v>
      </c>
      <c r="AJ178" s="993"/>
      <c r="AK178" s="993">
        <f>AK177+AK172</f>
        <v>346.58100000000002</v>
      </c>
      <c r="AL178" s="993">
        <f>AL177+AL172</f>
        <v>384.62700000000001</v>
      </c>
      <c r="AM178" s="993">
        <f>AM177+AM172</f>
        <v>429.35300000000001</v>
      </c>
      <c r="AN178" s="993">
        <f>AN177+AN172</f>
        <v>471.92100000000005</v>
      </c>
      <c r="AO178" s="996">
        <f>AO177+AO172</f>
        <v>471.92100000000005</v>
      </c>
      <c r="AP178" s="993"/>
      <c r="AQ178" s="993">
        <f>AQ177+AQ172</f>
        <v>514.74099999999999</v>
      </c>
      <c r="AR178" s="993">
        <f>AR177+AR172</f>
        <v>568.19899999999996</v>
      </c>
      <c r="AS178" s="993">
        <f>AS177+AS172</f>
        <v>613.89</v>
      </c>
      <c r="AT178" s="993">
        <f>AT177+AT172</f>
        <v>648.84700000000009</v>
      </c>
      <c r="AU178" s="996">
        <f>AU177+AU172</f>
        <v>648.84700000000009</v>
      </c>
      <c r="AV178" s="993"/>
      <c r="AW178" s="993">
        <f>AW177+AW172</f>
        <v>687.62700000000007</v>
      </c>
      <c r="AX178" s="993">
        <f>AX177+AX172</f>
        <v>719.8370000000001</v>
      </c>
      <c r="AY178" s="993">
        <f>AY177+AY172</f>
        <v>775.96299999999997</v>
      </c>
      <c r="AZ178" s="993">
        <f>AZ177+AZ172</f>
        <v>938.67099999999994</v>
      </c>
      <c r="BA178" s="996">
        <f>BA177+BA172</f>
        <v>938.67099999999994</v>
      </c>
      <c r="BB178" s="993"/>
      <c r="BC178" s="993">
        <f>BC177+BC172</f>
        <v>1010.134</v>
      </c>
      <c r="BD178" s="993">
        <f>BD177+BD172</f>
        <v>1093.721</v>
      </c>
      <c r="BE178" s="993">
        <f>BE177+BE172</f>
        <v>1041.1360000000002</v>
      </c>
      <c r="BF178" s="993">
        <f>BF177+BF172</f>
        <v>1098.7370000000001</v>
      </c>
      <c r="BG178" s="996">
        <f>BG177+BG172</f>
        <v>1098.7370000000001</v>
      </c>
      <c r="BH178" s="993"/>
      <c r="BI178" s="993">
        <f>BI177+BI172</f>
        <v>1180.6320000000001</v>
      </c>
      <c r="BJ178" s="993">
        <f>BJ177+BJ172</f>
        <v>1334.3789999999999</v>
      </c>
      <c r="BK178" s="993">
        <f>BK177+BK172</f>
        <v>1415.6419999999998</v>
      </c>
      <c r="BL178" s="993">
        <f>BL177+BL172</f>
        <v>1493.9549999999999</v>
      </c>
      <c r="BM178" s="996">
        <f>BM177+BM172</f>
        <v>1493.9549999999999</v>
      </c>
      <c r="BN178" s="993"/>
      <c r="BO178" s="993">
        <f>BO177+BO172</f>
        <v>1659.5839999999998</v>
      </c>
      <c r="BP178" s="993">
        <f>BP177+BP172</f>
        <v>1808.7819999999999</v>
      </c>
      <c r="BQ178" s="993">
        <f>BQ177+BQ172</f>
        <v>2210.1029999999996</v>
      </c>
      <c r="BR178" s="993">
        <f>BR177+BR172</f>
        <v>2465.09</v>
      </c>
      <c r="BS178" s="996">
        <f>BS177+BS172</f>
        <v>2465.09</v>
      </c>
      <c r="BT178" s="993"/>
      <c r="BU178" s="993">
        <f>BU177+BU172</f>
        <v>2674.8530000000001</v>
      </c>
      <c r="BV178" s="993">
        <f>BV177+BV172</f>
        <v>2950.009</v>
      </c>
      <c r="BW178" s="993">
        <f>BW177+BW172</f>
        <v>3155.8150000000005</v>
      </c>
      <c r="BX178" s="993">
        <f>BX177+BX172</f>
        <v>3390.692</v>
      </c>
      <c r="BY178" s="996">
        <f>BY177+BY172</f>
        <v>3390.692</v>
      </c>
      <c r="BZ178" s="993"/>
      <c r="CA178" s="993">
        <f>CA177+CA172</f>
        <v>3566.6270000000004</v>
      </c>
      <c r="CB178" s="993">
        <f>CB177+CB172</f>
        <v>3796.739</v>
      </c>
      <c r="CC178" s="993">
        <f>CC177+CC172</f>
        <v>4333.8270000000002</v>
      </c>
      <c r="CD178" s="993">
        <f>CD177+CD172</f>
        <v>4605.1359999999995</v>
      </c>
      <c r="CE178" s="996">
        <f>CE177+CE172</f>
        <v>4605.1359999999995</v>
      </c>
      <c r="CF178" s="993"/>
      <c r="CG178" s="993">
        <f>CG177+CG172</f>
        <v>4865.308</v>
      </c>
      <c r="CH178" s="993">
        <f>CH177+CH172</f>
        <v>5166.5519999999997</v>
      </c>
      <c r="CI178" s="993">
        <f>CI177+CI172</f>
        <v>5411.0410000000002</v>
      </c>
      <c r="CJ178" s="993">
        <f>CJ177+CJ172</f>
        <v>5706.0570000000007</v>
      </c>
      <c r="CK178" s="996">
        <f>CK177+CK172</f>
        <v>5706.0570000000007</v>
      </c>
      <c r="CL178" s="993"/>
      <c r="CM178" s="993">
        <f>CM177+CM172</f>
        <v>6218.6239999999998</v>
      </c>
      <c r="CN178" s="993">
        <f>CN177+CN172</f>
        <v>6519.9520000000002</v>
      </c>
      <c r="CO178" s="993">
        <f>CO177+CO172</f>
        <v>7282.45</v>
      </c>
      <c r="CP178" s="993">
        <f>CP177+CP172</f>
        <v>8040.8779999999997</v>
      </c>
      <c r="CQ178" s="996">
        <f>CQ177+CQ172</f>
        <v>8040.8779999999997</v>
      </c>
      <c r="CR178" s="993"/>
      <c r="CS178" s="993">
        <f>CS177+CS172</f>
        <v>8399.0919999999987</v>
      </c>
      <c r="CT178" s="993">
        <f>CT177+CT172</f>
        <v>8907.3829999999998</v>
      </c>
      <c r="CU178" s="993">
        <f>CU177+CU172</f>
        <v>9241.6</v>
      </c>
      <c r="CV178" s="993">
        <f>CV177+CV172</f>
        <v>9753.07</v>
      </c>
      <c r="CW178" s="996">
        <f>CW177+CW172</f>
        <v>9753.07</v>
      </c>
      <c r="CX178" s="993"/>
      <c r="CY178" s="993">
        <f>CY177+CY172</f>
        <v>10082.21745</v>
      </c>
      <c r="CZ178" s="993">
        <f>CZ177+CZ172</f>
        <v>10371.85095</v>
      </c>
      <c r="DA178" s="993">
        <f>DA177+DA172</f>
        <v>10655.755649999999</v>
      </c>
      <c r="DB178" s="993">
        <f>DB177+DB172</f>
        <v>10924.705849999998</v>
      </c>
      <c r="DC178" s="996">
        <f>DC177+DC172</f>
        <v>10924.70585</v>
      </c>
      <c r="DD178" s="993"/>
      <c r="DE178" s="993">
        <f>DE177+DE172</f>
        <v>11239.560672499998</v>
      </c>
      <c r="DF178" s="993">
        <f>DF177+DF172</f>
        <v>11573.300847499999</v>
      </c>
      <c r="DG178" s="993">
        <f>DG177+DG172</f>
        <v>11901.025782499999</v>
      </c>
      <c r="DH178" s="993">
        <f>DH177+DH172</f>
        <v>12213.048492499998</v>
      </c>
      <c r="DI178" s="996">
        <f>DI177+DI172</f>
        <v>12213.048492499998</v>
      </c>
      <c r="DJ178" s="993"/>
      <c r="DK178" s="993">
        <f>DK177+DK172</f>
        <v>12541.771056124999</v>
      </c>
      <c r="DL178" s="993">
        <f>DL177+DL172</f>
        <v>12890.323239874999</v>
      </c>
      <c r="DM178" s="993">
        <f>DM177+DM172</f>
        <v>13232.559421624999</v>
      </c>
      <c r="DN178" s="993">
        <f>DN177+DN172</f>
        <v>13558.308267124999</v>
      </c>
      <c r="DO178" s="996">
        <f>DO177+DO172</f>
        <v>13558.308267124998</v>
      </c>
      <c r="DP178" s="1062"/>
      <c r="DQ178" s="966"/>
    </row>
    <row r="179" spans="1:121" ht="12.75" hidden="1" customHeight="1" outlineLevel="1">
      <c r="A179" s="1122"/>
      <c r="B179" s="966"/>
      <c r="C179" s="966"/>
      <c r="D179" s="966"/>
      <c r="E179" s="966"/>
      <c r="F179" s="966"/>
      <c r="G179" s="966"/>
      <c r="H179" s="966"/>
      <c r="I179" s="966"/>
      <c r="J179" s="966"/>
      <c r="K179" s="966"/>
      <c r="L179" s="966"/>
      <c r="M179" s="1096" t="str">
        <f>IF(M178=(M50+M51+M53),"cool","problem")</f>
        <v>cool</v>
      </c>
      <c r="N179" s="1096" t="str">
        <f>IF(N178=(N50+N51+N53),"cool","problem")</f>
        <v>cool</v>
      </c>
      <c r="O179" s="1096" t="str">
        <f>IF(O178=(O50+O51+O53),"cool","problem")</f>
        <v>problem</v>
      </c>
      <c r="P179" s="1096" t="str">
        <f>IF(P178=(P50+P51+P53),"cool","problem")</f>
        <v>cool</v>
      </c>
      <c r="Q179" s="1096" t="str">
        <f>IF(Q178=(Q50+Q51+Q53),"cool","problem")</f>
        <v>cool</v>
      </c>
      <c r="R179" s="966"/>
      <c r="S179" s="1096" t="str">
        <f>IF(S178=(S50+S51+S53),"cool","problem")</f>
        <v>cool</v>
      </c>
      <c r="T179" s="1096" t="str">
        <f>IF(T178=(T50+T51+T53),"cool","problem")</f>
        <v>cool</v>
      </c>
      <c r="U179" s="1096" t="str">
        <f>IF(U178=(U50+U51+U53),"cool","problem")</f>
        <v>cool</v>
      </c>
      <c r="V179" s="1096" t="str">
        <f>IF(V178=(V50+V51+V53),"cool","problem")</f>
        <v>cool</v>
      </c>
      <c r="W179" s="1096" t="str">
        <f>IF(W178=(W50+W51+W53),"cool","problem")</f>
        <v>cool</v>
      </c>
      <c r="X179" s="966"/>
      <c r="Y179" s="1096" t="str">
        <f>IF(Y178=(Y50+Y51+Y53),"cool","problem")</f>
        <v>cool</v>
      </c>
      <c r="Z179" s="1096" t="str">
        <f>IF(Z178=(Z50+Z51+Z53),"cool","problem")</f>
        <v>cool</v>
      </c>
      <c r="AA179" s="1096" t="str">
        <f>IF(AA178=(AA50+AA51+AA53),"cool","problem")</f>
        <v>cool</v>
      </c>
      <c r="AB179" s="1096" t="str">
        <f>IF(AB178=(AB50+AB51+AB53),"cool","problem")</f>
        <v>cool</v>
      </c>
      <c r="AC179" s="1097" t="str">
        <f>IF(AC178=(AC50+AC51+AC53),"cool","problem")</f>
        <v>cool</v>
      </c>
      <c r="AD179" s="966"/>
      <c r="AE179" s="1096" t="str">
        <f>IF(AE178=(AE50+AE51+AE53),"cool","problem")</f>
        <v>cool</v>
      </c>
      <c r="AF179" s="1096" t="str">
        <f>IF(AF178=(AF50+AF51+AF53),"cool","problem")</f>
        <v>cool</v>
      </c>
      <c r="AG179" s="1096" t="str">
        <f>IF(AG178=(AG50+AG51+AG53),"cool","problem")</f>
        <v>cool</v>
      </c>
      <c r="AH179" s="1096" t="str">
        <f>IF(AH178=(AH50+AH51+AH53),"cool","problem")</f>
        <v>cool</v>
      </c>
      <c r="AI179" s="1097" t="str">
        <f>IF(AI178=(AI50+AI51+AI53),"cool","problem")</f>
        <v>cool</v>
      </c>
      <c r="AJ179" s="966"/>
      <c r="AK179" s="1096" t="str">
        <f>IF(AK178=(AK50+AK51+AK53),"cool","problem")</f>
        <v>cool</v>
      </c>
      <c r="AL179" s="1096" t="str">
        <f>IF(AL178=(AL50+AL51+AL53),"cool","problem")</f>
        <v>cool</v>
      </c>
      <c r="AM179" s="1096" t="str">
        <f>IF(AM178=(AM50+AM51+AM53),"cool","problem")</f>
        <v>cool</v>
      </c>
      <c r="AN179" s="1096" t="str">
        <f>IF(AN178=(AN50+AN51+AN53),"cool","problem")</f>
        <v>cool</v>
      </c>
      <c r="AO179" s="1097" t="str">
        <f>IF(AO178=(AO50+AO51+AO53),"cool","problem")</f>
        <v>cool</v>
      </c>
      <c r="AP179" s="966"/>
      <c r="AQ179" s="1096" t="str">
        <f>IF(AQ178=(AQ50+AQ51+AQ53),"cool","problem")</f>
        <v>cool</v>
      </c>
      <c r="AR179" s="1096" t="str">
        <f>IF(AR178=(AR50+AR51+AR53),"cool","problem")</f>
        <v>cool</v>
      </c>
      <c r="AS179" s="1096" t="str">
        <f>IF(AS178=(AS50+AS51+AS53),"cool","problem")</f>
        <v>cool</v>
      </c>
      <c r="AT179" s="1096" t="str">
        <f>IF(AT178=(AT50+AT51+AT53),"cool","problem")</f>
        <v>cool</v>
      </c>
      <c r="AU179" s="1097" t="str">
        <f>IF(AU178=(AU50+AU51+AU53),"cool","problem")</f>
        <v>cool</v>
      </c>
      <c r="AV179" s="966"/>
      <c r="AW179" s="1096" t="str">
        <f>IF(AW178=(AW50+AW51+AW53),"cool","problem")</f>
        <v>cool</v>
      </c>
      <c r="AX179" s="1096" t="str">
        <f>IF(AX178=(AX50+AX51+AX53),"cool","problem")</f>
        <v>cool</v>
      </c>
      <c r="AY179" s="1096" t="str">
        <f>IF(AY178=(AY50+AY51+AY53),"cool","problem")</f>
        <v>cool</v>
      </c>
      <c r="AZ179" s="1096" t="str">
        <f>IF(AZ178=(AZ50+AZ51+AZ53),"cool","problem")</f>
        <v>cool</v>
      </c>
      <c r="BA179" s="1097" t="str">
        <f>IF(BA178=(BA50+BA51+BA53),"cool","problem")</f>
        <v>cool</v>
      </c>
      <c r="BB179" s="966"/>
      <c r="BC179" s="1096" t="str">
        <f>IF(BC178=(BC50+BC51+BC53),"cool","problem")</f>
        <v>cool</v>
      </c>
      <c r="BD179" s="1096" t="str">
        <f>IF(BD178=(BD50+BD51+BD53),"cool","problem")</f>
        <v>cool</v>
      </c>
      <c r="BE179" s="1096" t="str">
        <f>IF(BE178=(BE50+BE51+BE53),"cool","problem")</f>
        <v>cool</v>
      </c>
      <c r="BF179" s="1096" t="str">
        <f>IF(BF178=(BF50+BF51+BF53),"cool","problem")</f>
        <v>cool</v>
      </c>
      <c r="BG179" s="1097" t="str">
        <f>IF(BG178=(BG50+BG51+BG53),"cool","problem")</f>
        <v>cool</v>
      </c>
      <c r="BH179" s="966"/>
      <c r="BI179" s="1096" t="str">
        <f>IF(BI178=(BI50+BI51+BI53),"cool","problem")</f>
        <v>cool</v>
      </c>
      <c r="BJ179" s="1096" t="str">
        <f>IF(BJ178=(BJ50+BJ51+BJ53),"cool","problem")</f>
        <v>cool</v>
      </c>
      <c r="BK179" s="1096" t="str">
        <f>IF(BK178=(BK50+BK51+BK53),"cool","problem")</f>
        <v>cool</v>
      </c>
      <c r="BL179" s="1096" t="str">
        <f>IF(BL178=(BL50+BL51+BL53),"cool","problem")</f>
        <v>cool</v>
      </c>
      <c r="BM179" s="1097" t="str">
        <f>IF(BM178=(BM50+BM51+BM53),"cool","problem")</f>
        <v>cool</v>
      </c>
      <c r="BN179" s="966"/>
      <c r="BO179" s="1096" t="str">
        <f>IF(BO178=(BO50+BO51+BO53),"cool","problem")</f>
        <v>cool</v>
      </c>
      <c r="BP179" s="1096" t="str">
        <f>IF(BP178=(BP50+BP51+BP53),"cool","problem")</f>
        <v>cool</v>
      </c>
      <c r="BQ179" s="1096" t="str">
        <f>IF(BQ178=(BQ50+BQ51+BQ53),"cool","problem")</f>
        <v>cool</v>
      </c>
      <c r="BR179" s="1096" t="str">
        <f>IF(BR178=(BR50+BR51+BR53),"cool","problem")</f>
        <v>cool</v>
      </c>
      <c r="BS179" s="1097" t="str">
        <f>IF(BS178=(BS50+BS51+BS53),"cool","problem")</f>
        <v>cool</v>
      </c>
      <c r="BT179" s="966"/>
      <c r="BU179" s="1096" t="str">
        <f>IF(BU178=(BU50+BU51+BU53),"cool","problem")</f>
        <v>cool</v>
      </c>
      <c r="BV179" s="1096" t="str">
        <f>IF(BV178=(BV50+BV51+BV53),"cool","problem")</f>
        <v>cool</v>
      </c>
      <c r="BW179" s="1096" t="str">
        <f>IF(BW178=(BW50+BW51+BW53),"cool","problem")</f>
        <v>cool</v>
      </c>
      <c r="BX179" s="1096" t="str">
        <f>IF(BX178=(BX50+BX51+BX53),"cool","problem")</f>
        <v>cool</v>
      </c>
      <c r="BY179" s="1097" t="str">
        <f>IF(BY178=(BY50+BY51+BY53),"cool","problem")</f>
        <v>cool</v>
      </c>
      <c r="BZ179" s="966"/>
      <c r="CA179" s="1096" t="str">
        <f>IF(CA178=(CA50+CA51+CA53),"cool","problem")</f>
        <v>cool</v>
      </c>
      <c r="CB179" s="1096" t="str">
        <f>IF(CB178=(CB50+CB51+CB53),"cool","problem")</f>
        <v>cool</v>
      </c>
      <c r="CC179" s="1096" t="str">
        <f>IF(CC178=(CC50+CC51+CC53),"cool","problem")</f>
        <v>cool</v>
      </c>
      <c r="CD179" s="1096" t="str">
        <f>IF(CD178=(CD50+CD51+CD53),"cool","problem")</f>
        <v>cool</v>
      </c>
      <c r="CE179" s="1097" t="str">
        <f>IF(CE178=(CE50+CE51+CE53),"cool","problem")</f>
        <v>cool</v>
      </c>
      <c r="CF179" s="966"/>
      <c r="CG179" s="1096" t="str">
        <f>IF(CG178=(CG50+CG51+CG53),"cool","problem")</f>
        <v>cool</v>
      </c>
      <c r="CH179" s="1096" t="str">
        <f>IF(CH178=(CH50+CH51+CH53),"cool","problem")</f>
        <v>cool</v>
      </c>
      <c r="CI179" s="1096" t="str">
        <f>IF(CI178=(CI50+CI51+CI53),"cool","problem")</f>
        <v>cool</v>
      </c>
      <c r="CJ179" s="1096" t="str">
        <f>IF(CJ178=(CJ50+CJ51+CJ53),"cool","problem")</f>
        <v>cool</v>
      </c>
      <c r="CK179" s="1097" t="str">
        <f>IF(CK178=(CK50+CK51+CK53),"cool","problem")</f>
        <v>cool</v>
      </c>
      <c r="CL179" s="966"/>
      <c r="CM179" s="1096" t="str">
        <f>IF(CM178=(CM50+CM51+CM53),"cool","problem")</f>
        <v>cool</v>
      </c>
      <c r="CN179" s="1096" t="str">
        <f>IF(CN178=(CN50+CN51+CN53),"cool","problem")</f>
        <v>cool</v>
      </c>
      <c r="CO179" s="1096" t="str">
        <f>IF(CO178=(CO50+CO51+CO53),"cool","problem")</f>
        <v>cool</v>
      </c>
      <c r="CP179" s="1096" t="str">
        <f>IF(CP178=(CP50+CP51+CP53),"cool","problem")</f>
        <v>cool</v>
      </c>
      <c r="CQ179" s="1097" t="str">
        <f>IF(CQ178=(CQ50+CQ51+CQ53),"cool","problem")</f>
        <v>cool</v>
      </c>
      <c r="CR179" s="966"/>
      <c r="CS179" s="1096" t="str">
        <f>IF(CS178=(CS50+CS51+CS53),"cool","problem")</f>
        <v>cool</v>
      </c>
      <c r="CT179" s="1096" t="str">
        <f>IF(CT178=(CT50+CT51+CT53),"cool","problem")</f>
        <v>cool</v>
      </c>
      <c r="CU179" s="1096" t="str">
        <f>IF(CU178=(CU50+CU51+CU53),"cool","problem")</f>
        <v>cool</v>
      </c>
      <c r="CV179" s="1096" t="str">
        <f>IF(CV178=(CV50+CV51+CV53),"cool","problem")</f>
        <v>cool</v>
      </c>
      <c r="CW179" s="1097" t="str">
        <f>IF(CW178=(CW50+CW51+CW53),"cool","problem")</f>
        <v>cool</v>
      </c>
      <c r="CX179" s="966"/>
      <c r="CY179" s="1096" t="str">
        <f>IF(CY178=(CY50+CY51+CY53),"cool","problem")</f>
        <v>cool</v>
      </c>
      <c r="CZ179" s="1096" t="str">
        <f>IF(CZ178=(CZ50+CZ51+CZ53),"cool","problem")</f>
        <v>cool</v>
      </c>
      <c r="DA179" s="1096" t="str">
        <f>IF(DA178=(DA50+DA51+DA53),"cool","problem")</f>
        <v>cool</v>
      </c>
      <c r="DB179" s="1096" t="str">
        <f>IF(DB178=(DB50+DB51+DB53),"cool","problem")</f>
        <v>cool</v>
      </c>
      <c r="DC179" s="1097" t="str">
        <f>IF(DC178=(DC50+DC51+DC53),"cool","problem")</f>
        <v>cool</v>
      </c>
      <c r="DD179" s="966"/>
      <c r="DE179" s="1096" t="str">
        <f>IF(DE178=(DE50+DE51+DE53),"cool","problem")</f>
        <v>cool</v>
      </c>
      <c r="DF179" s="1096" t="str">
        <f>IF(DF178=(DF50+DF51+DF53),"cool","problem")</f>
        <v>cool</v>
      </c>
      <c r="DG179" s="1096" t="str">
        <f>IF(DG178=(DG50+DG51+DG53),"cool","problem")</f>
        <v>cool</v>
      </c>
      <c r="DH179" s="1096" t="str">
        <f>IF(DH178=(DH50+DH51+DH53),"cool","problem")</f>
        <v>cool</v>
      </c>
      <c r="DI179" s="1097" t="str">
        <f>IF(DI178=(DI50+DI51+DI53),"cool","problem")</f>
        <v>cool</v>
      </c>
      <c r="DJ179" s="966"/>
      <c r="DK179" s="1096" t="str">
        <f>IF(DK178=(DK50+DK51+DK53),"cool","problem")</f>
        <v>cool</v>
      </c>
      <c r="DL179" s="1096" t="str">
        <f>IF(DL178=(DL50+DL51+DL53),"cool","problem")</f>
        <v>cool</v>
      </c>
      <c r="DM179" s="1096" t="str">
        <f>IF(DM178=(DM50+DM51+DM53),"cool","problem")</f>
        <v>cool</v>
      </c>
      <c r="DN179" s="1096" t="str">
        <f>IF(DN178=(DN50+DN51+DN53),"cool","problem")</f>
        <v>cool</v>
      </c>
      <c r="DO179" s="1097" t="str">
        <f>IF(DO178=(DO50+DO51+DO53),"cool","problem")</f>
        <v>cool</v>
      </c>
      <c r="DP179" s="1096"/>
      <c r="DQ179" s="966"/>
    </row>
    <row r="180" spans="1:121" ht="12.75" hidden="1" customHeight="1" outlineLevel="1">
      <c r="A180" s="1122"/>
      <c r="B180" s="966"/>
      <c r="C180" s="966"/>
      <c r="D180" s="966"/>
      <c r="E180" s="966"/>
      <c r="F180" s="966"/>
      <c r="G180" s="966"/>
      <c r="H180" s="966"/>
      <c r="I180" s="966"/>
      <c r="J180" s="966"/>
      <c r="K180" s="966"/>
      <c r="L180" s="966"/>
      <c r="M180" s="1098"/>
      <c r="N180" s="1098"/>
      <c r="O180" s="1098"/>
      <c r="P180" s="1098"/>
      <c r="Q180" s="1098"/>
      <c r="R180" s="966"/>
      <c r="S180" s="1098"/>
      <c r="T180" s="1098"/>
      <c r="U180" s="1098"/>
      <c r="V180" s="1098"/>
      <c r="W180" s="1098"/>
      <c r="X180" s="966"/>
      <c r="Y180" s="1096"/>
      <c r="Z180" s="1096"/>
      <c r="AA180" s="1096"/>
      <c r="AB180" s="1096"/>
      <c r="AC180" s="1097"/>
      <c r="AD180" s="966"/>
      <c r="AE180" s="1096"/>
      <c r="AF180" s="1096"/>
      <c r="AG180" s="1096"/>
      <c r="AH180" s="1096"/>
      <c r="AI180" s="1097"/>
      <c r="AJ180" s="966"/>
      <c r="AK180" s="1096"/>
      <c r="AL180" s="1096"/>
      <c r="AM180" s="1096"/>
      <c r="AN180" s="1096"/>
      <c r="AO180" s="1097"/>
      <c r="AP180" s="966"/>
      <c r="AQ180" s="1096"/>
      <c r="AR180" s="1096"/>
      <c r="AS180" s="1096"/>
      <c r="AT180" s="1096"/>
      <c r="AU180" s="1097"/>
      <c r="AV180" s="966"/>
      <c r="AW180" s="1096"/>
      <c r="AX180" s="1096"/>
      <c r="AY180" s="1096"/>
      <c r="AZ180" s="1096"/>
      <c r="BA180" s="1097"/>
      <c r="BB180" s="966"/>
      <c r="BC180" s="1096"/>
      <c r="BD180" s="1096"/>
      <c r="BE180" s="1096"/>
      <c r="BF180" s="1096"/>
      <c r="BG180" s="1097"/>
      <c r="BH180" s="966"/>
      <c r="BI180" s="1096"/>
      <c r="BJ180" s="1096"/>
      <c r="BK180" s="1096"/>
      <c r="BL180" s="1096"/>
      <c r="BM180" s="1097"/>
      <c r="BN180" s="966"/>
      <c r="BO180" s="1096"/>
      <c r="BP180" s="1096"/>
      <c r="BQ180" s="1096"/>
      <c r="BR180" s="1096"/>
      <c r="BS180" s="1097"/>
      <c r="BT180" s="966"/>
      <c r="BU180" s="1096"/>
      <c r="BV180" s="1096"/>
      <c r="BW180" s="1096"/>
      <c r="BX180" s="1096"/>
      <c r="BY180" s="1097"/>
      <c r="BZ180" s="966"/>
      <c r="CA180" s="1096"/>
      <c r="CB180" s="1096"/>
      <c r="CC180" s="1096"/>
      <c r="CD180" s="1096"/>
      <c r="CE180" s="1097"/>
      <c r="CF180" s="966"/>
      <c r="CG180" s="1096"/>
      <c r="CH180" s="1096"/>
      <c r="CI180" s="1096"/>
      <c r="CJ180" s="1096"/>
      <c r="CK180" s="1097"/>
      <c r="CL180" s="966"/>
      <c r="CM180" s="1096"/>
      <c r="CN180" s="1096"/>
      <c r="CO180" s="1096"/>
      <c r="CP180" s="1096"/>
      <c r="CQ180" s="1097"/>
      <c r="CR180" s="966"/>
      <c r="CS180" s="1096"/>
      <c r="CT180" s="1096"/>
      <c r="CU180" s="1096"/>
      <c r="CV180" s="1096"/>
      <c r="CW180" s="1097"/>
      <c r="CX180" s="966"/>
      <c r="CY180" s="1096"/>
      <c r="CZ180" s="1096"/>
      <c r="DA180" s="1096"/>
      <c r="DB180" s="1096"/>
      <c r="DC180" s="1097"/>
      <c r="DD180" s="966"/>
      <c r="DE180" s="1096"/>
      <c r="DF180" s="1096"/>
      <c r="DG180" s="1096"/>
      <c r="DH180" s="1096"/>
      <c r="DI180" s="1097"/>
      <c r="DJ180" s="966"/>
      <c r="DK180" s="1096"/>
      <c r="DL180" s="1096"/>
      <c r="DM180" s="1096"/>
      <c r="DN180" s="1096"/>
      <c r="DO180" s="1097"/>
      <c r="DP180" s="1096"/>
      <c r="DQ180" s="966"/>
    </row>
    <row r="181" spans="1:121" ht="12.75" hidden="1" customHeight="1" outlineLevel="1">
      <c r="A181" s="1108" t="s">
        <v>157</v>
      </c>
      <c r="B181" s="966"/>
      <c r="C181" s="966"/>
      <c r="D181" s="966"/>
      <c r="E181" s="966"/>
      <c r="F181" s="966"/>
      <c r="G181" s="966"/>
      <c r="H181" s="966"/>
      <c r="I181" s="966"/>
      <c r="J181" s="966"/>
      <c r="K181" s="966"/>
      <c r="L181" s="966"/>
      <c r="M181" s="1098">
        <f>M151+M157+-M162+M169</f>
        <v>1.032</v>
      </c>
      <c r="N181" s="1098">
        <f>N151+N157+-N162+N169</f>
        <v>1.28</v>
      </c>
      <c r="O181" s="1098">
        <f>O151+O157+-O162+O169</f>
        <v>1.474</v>
      </c>
      <c r="P181" s="1098">
        <f>P151+P157+-P162+P169</f>
        <v>0.85399999999999998</v>
      </c>
      <c r="Q181" s="1098">
        <f>SUM(M181:P181)</f>
        <v>4.6400000000000006</v>
      </c>
      <c r="R181" s="966"/>
      <c r="S181" s="1098">
        <f>S151+S157+-S162+S169</f>
        <v>0.10400000000000764</v>
      </c>
      <c r="T181" s="1098">
        <f>T151+T157+-T162+T169+T146</f>
        <v>176.18099999999998</v>
      </c>
      <c r="U181" s="1098">
        <f>U151+U157+-U162+U169</f>
        <v>1.418000000000029</v>
      </c>
      <c r="V181" s="1098">
        <f>V151+V157+-V162+V169</f>
        <v>1.9469999999999543</v>
      </c>
      <c r="W181" s="1098">
        <f>SUM(S181:V181)</f>
        <v>179.64999999999998</v>
      </c>
      <c r="X181" s="966"/>
      <c r="Y181" s="1098">
        <f>Y151+Y157+-Y162+Y169</f>
        <v>1.6630000000000154</v>
      </c>
      <c r="Z181" s="1098">
        <f>Z151+Z157+-Z162+Z169</f>
        <v>2.9070000000000076</v>
      </c>
      <c r="AA181" s="1098">
        <f>AA151+AA157+-AA162+AA169</f>
        <v>1.6910000000000136</v>
      </c>
      <c r="AB181" s="1098">
        <f>AB151+AB157+-AB162+AB169</f>
        <v>2.014999999999969</v>
      </c>
      <c r="AC181" s="1099">
        <f>SUM(Y181:AB181)</f>
        <v>8.2760000000000051</v>
      </c>
      <c r="AD181" s="966"/>
      <c r="AE181" s="1098">
        <f>AE151+AE157+-AE162+AE169</f>
        <v>10.385</v>
      </c>
      <c r="AF181" s="1098">
        <f>AF151+AF157+-AF162+AF169</f>
        <v>13.101000000000061</v>
      </c>
      <c r="AG181" s="1098">
        <f>AG151+AG157+-AG162+AG169</f>
        <v>15.362999999999944</v>
      </c>
      <c r="AH181" s="1098">
        <f>AH151+AH157+-AH162+AH169</f>
        <v>17.090000000000003</v>
      </c>
      <c r="AI181" s="1099">
        <f>SUM(AE181:AH181)</f>
        <v>55.939000000000007</v>
      </c>
      <c r="AJ181" s="966"/>
      <c r="AK181" s="1098">
        <f>AK151+AK157+-AK162+AK169</f>
        <v>18.670000000000027</v>
      </c>
      <c r="AL181" s="1098">
        <f>AL151+AL157+-AL162+AL169</f>
        <v>22.641999999999992</v>
      </c>
      <c r="AM181" s="1098">
        <f>AM151+AM157+-AM162+AM169</f>
        <v>24.14</v>
      </c>
      <c r="AN181" s="1098">
        <f>AN151+AN157+-AN162+AN169</f>
        <v>25.948000000000043</v>
      </c>
      <c r="AO181" s="1099">
        <f>SUM(AK181:AN181)</f>
        <v>91.400000000000063</v>
      </c>
      <c r="AP181" s="966"/>
      <c r="AQ181" s="1098">
        <f>AQ151+AQ157+-AQ162+AQ169</f>
        <v>31.334999999999937</v>
      </c>
      <c r="AR181" s="1098">
        <f>AR151+AR157+-AR162+AR169</f>
        <v>30.932999999999971</v>
      </c>
      <c r="AS181" s="1098">
        <f>AS151+AS157+-AS162+AS169</f>
        <v>39.096000000000032</v>
      </c>
      <c r="AT181" s="1098">
        <f>AT151+AT157+-AT162+AT169</f>
        <v>32.251000000000104</v>
      </c>
      <c r="AU181" s="1099">
        <f>SUM(AQ181:AT181)</f>
        <v>133.61500000000007</v>
      </c>
      <c r="AV181" s="966"/>
      <c r="AW181" s="1098">
        <f>AW151+AW157+-AW162+AW169</f>
        <v>29.611999999999973</v>
      </c>
      <c r="AX181" s="1098">
        <f>AX151+AX157+-AX162+AX169</f>
        <v>27.071000000000033</v>
      </c>
      <c r="AY181" s="1098">
        <f>AY151+AY157+-AY162+AY169</f>
        <v>37.566999999999865</v>
      </c>
      <c r="AZ181" s="1098">
        <f>AZ151+AZ157+-AZ162+AZ169</f>
        <v>101.71799999999996</v>
      </c>
      <c r="BA181" s="1099">
        <f>SUM(AW181:AZ181)</f>
        <v>195.96799999999985</v>
      </c>
      <c r="BB181" s="966"/>
      <c r="BC181" s="1098">
        <f>BC151+BC157+-BC162+BC169</f>
        <v>33.947000000000081</v>
      </c>
      <c r="BD181" s="1098">
        <f>BD151+BD157+-BD162+BD169</f>
        <v>49.459999999999987</v>
      </c>
      <c r="BE181" s="1098">
        <f>BE151+BE157+-BE162+BE169</f>
        <v>-96.937999999999803</v>
      </c>
      <c r="BF181" s="1098">
        <f>BF151+BF157+-BF162+BF169</f>
        <v>13.194999999999894</v>
      </c>
      <c r="BG181" s="1099">
        <f>SUM(BC181:BF181)</f>
        <v>-0.3359999999998422</v>
      </c>
      <c r="BH181" s="966"/>
      <c r="BI181" s="1098">
        <f>BI151+BI157+-BI162+BI169</f>
        <v>49.60899999999998</v>
      </c>
      <c r="BJ181" s="1098">
        <f>BJ151+BJ157+-BJ162+BJ169</f>
        <v>111.46499999999985</v>
      </c>
      <c r="BK181" s="1098">
        <f>BK151+BK157+-BK162+BK169</f>
        <v>65.468999999999923</v>
      </c>
      <c r="BL181" s="1098">
        <f>BL151+BL157+-BL162+BL169</f>
        <v>52.110000000000099</v>
      </c>
      <c r="BM181" s="1099">
        <f>SUM(BI181:BL181)</f>
        <v>278.65299999999991</v>
      </c>
      <c r="BN181" s="966"/>
      <c r="BO181" s="1098">
        <f>BO151+BO157+-BO162+BO169</f>
        <v>72.061999999999912</v>
      </c>
      <c r="BP181" s="1098">
        <f>BP151+BP157+-BP162+BP169</f>
        <v>115.37400000000008</v>
      </c>
      <c r="BQ181" s="1098">
        <f>BQ151+BQ157+-BQ162+BQ169</f>
        <v>324.83799999999968</v>
      </c>
      <c r="BR181" s="1098">
        <f>BR151+BR157+-BR162+BR169</f>
        <v>107.49500000000054</v>
      </c>
      <c r="BS181" s="1099">
        <f>SUM(BO181:BR181)</f>
        <v>619.76900000000023</v>
      </c>
      <c r="BT181" s="966"/>
      <c r="BU181" s="1098">
        <f>BU151+BU157+-BU162+BU169</f>
        <v>143.23899999999992</v>
      </c>
      <c r="BV181" s="1098">
        <f>BV151+BV157+-BV162+BV169</f>
        <v>234.96099999999996</v>
      </c>
      <c r="BW181" s="1098">
        <f>BW151+BW157+-BW162+BW169</f>
        <v>95.096000000000487</v>
      </c>
      <c r="BX181" s="1098">
        <f>BX151+BX157+-BX162+BX169</f>
        <v>162.37499999999952</v>
      </c>
      <c r="BY181" s="1099">
        <f>SUM(BU181:BX181)</f>
        <v>635.67099999999994</v>
      </c>
      <c r="BZ181" s="966"/>
      <c r="CA181" s="1098">
        <f>CA151+CA157+-CA162+CA169</f>
        <v>102.1400000000004</v>
      </c>
      <c r="CB181" s="1098">
        <f>CB151+CB157+-CB162+CB169</f>
        <v>168.68299999999965</v>
      </c>
      <c r="CC181" s="1098">
        <f>CC151+CC157+-CC162+CC169</f>
        <v>445.7510000000002</v>
      </c>
      <c r="CD181" s="1098">
        <f>CD151+CD157+-CD162+CD169</f>
        <v>188.88099999999932</v>
      </c>
      <c r="CE181" s="1099">
        <f>SUM(CA181:CD181)</f>
        <v>905.45499999999959</v>
      </c>
      <c r="CF181" s="966"/>
      <c r="CG181" s="1098">
        <f>CG151+CG157+-CG162+CG169</f>
        <v>105.15700000000049</v>
      </c>
      <c r="CH181" s="1098">
        <f>CH151+CH157+-CH162+CH169</f>
        <v>186.44499999999965</v>
      </c>
      <c r="CI181" s="1098">
        <f>CI151+CI157+-CI162+CI169</f>
        <v>146.47300000000052</v>
      </c>
      <c r="CJ181" s="1098">
        <f>CJ151+CJ157+-CJ162+CJ169</f>
        <v>207.36400000000049</v>
      </c>
      <c r="CK181" s="1099">
        <f>SUM(CG181:CJ181)</f>
        <v>645.43900000000122</v>
      </c>
      <c r="CL181" s="966"/>
      <c r="CM181" s="1098">
        <f>CM151+CM157+-CM162+CM169</f>
        <v>423.42599999999908</v>
      </c>
      <c r="CN181" s="1098">
        <f>CN151+CN157+-CN162+CN169</f>
        <v>167.45000000000044</v>
      </c>
      <c r="CO181" s="1098">
        <f>CO151+CO157+-CO162+CO169</f>
        <v>669.65199999999959</v>
      </c>
      <c r="CP181" s="1098">
        <f>CP151+CP157+-CP162+CP169</f>
        <v>672.8119999999999</v>
      </c>
      <c r="CQ181" s="1099">
        <f>SUM(CM181:CP181)</f>
        <v>1933.339999999999</v>
      </c>
      <c r="CR181" s="966"/>
      <c r="CS181" s="1098">
        <f>CS151+CS157+-CS162+CS169</f>
        <v>198.40699999999904</v>
      </c>
      <c r="CT181" s="1098">
        <f>CT151+CT157+-CT162+CT169</f>
        <v>325.28200000000106</v>
      </c>
      <c r="CU181" s="1098">
        <f>CU151+CU157+-CU162+CU169</f>
        <v>192.24700000000053</v>
      </c>
      <c r="CV181" s="1098">
        <f>CV151+CV157+-CV162+CV169</f>
        <v>113.95399999999933</v>
      </c>
      <c r="CW181" s="1099">
        <f>SUM(CS181:CV181)</f>
        <v>829.88999999999987</v>
      </c>
      <c r="CX181" s="966"/>
      <c r="CY181" s="1098">
        <f>CY151+CY157+-CY162+CY169</f>
        <v>264.14744999999999</v>
      </c>
      <c r="CZ181" s="1098">
        <f>CZ151+CZ157+-CZ162+CZ169</f>
        <v>282.13350000000003</v>
      </c>
      <c r="DA181" s="1098">
        <f>DA151+DA157+-DA162+DA169</f>
        <v>276.40469999999999</v>
      </c>
      <c r="DB181" s="1098">
        <f>DB151+DB157+-DB162+DB169</f>
        <v>261.4502</v>
      </c>
      <c r="DC181" s="1099">
        <f>SUM(CY181:DB181)</f>
        <v>1084.1358500000001</v>
      </c>
      <c r="DD181" s="966"/>
      <c r="DE181" s="1098">
        <f>DE151+DE157+-DE162+DE169</f>
        <v>277.35482250000001</v>
      </c>
      <c r="DF181" s="1098">
        <f>DF151+DF157+-DF162+DF169</f>
        <v>296.24017500000002</v>
      </c>
      <c r="DG181" s="1098">
        <f>DG151+DG157+-DG162+DG169</f>
        <v>290.22493500000002</v>
      </c>
      <c r="DH181" s="1098">
        <f>DH151+DH157+-DH162+DH169</f>
        <v>274.52271000000002</v>
      </c>
      <c r="DI181" s="1099">
        <f>SUM(DE181:DH181)</f>
        <v>1138.3426425</v>
      </c>
      <c r="DJ181" s="966"/>
      <c r="DK181" s="1098">
        <f>DK151+DK157+-DK162+DK169</f>
        <v>291.22256362500002</v>
      </c>
      <c r="DL181" s="1098">
        <f>DL151+DL157+-DL162+DL169</f>
        <v>311.05218375000004</v>
      </c>
      <c r="DM181" s="1098">
        <f>DM151+DM157+-DM162+DM169</f>
        <v>304.73618175000001</v>
      </c>
      <c r="DN181" s="1098">
        <f>DN151+DN157+-DN162+DN169</f>
        <v>288.24884550000002</v>
      </c>
      <c r="DO181" s="1099">
        <f>SUM(DK181:DN181)</f>
        <v>1195.2597746250001</v>
      </c>
      <c r="DP181" s="1161"/>
      <c r="DQ181" s="966"/>
    </row>
    <row r="182" spans="1:121" ht="12.75" hidden="1" customHeight="1" outlineLevel="1">
      <c r="A182" s="1108" t="s">
        <v>370</v>
      </c>
      <c r="B182" s="966"/>
      <c r="C182" s="966"/>
      <c r="D182" s="966"/>
      <c r="E182" s="966"/>
      <c r="F182" s="966"/>
      <c r="G182" s="966"/>
      <c r="H182" s="966"/>
      <c r="I182" s="966"/>
      <c r="J182" s="966"/>
      <c r="K182" s="966"/>
      <c r="L182" s="966"/>
      <c r="M182" s="1100">
        <f>M52-J52</f>
        <v>0.33248635008029304</v>
      </c>
      <c r="N182" s="1100">
        <f>N52-M52</f>
        <v>0.3202174810736409</v>
      </c>
      <c r="O182" s="1100">
        <f>O52-N52</f>
        <v>0.30948222069281961</v>
      </c>
      <c r="P182" s="1100">
        <f>P52-O52</f>
        <v>0.3748139481532462</v>
      </c>
      <c r="Q182" s="1220">
        <f>SUM(M182:P182)</f>
        <v>1.3369999999999997</v>
      </c>
      <c r="R182" s="1098"/>
      <c r="S182" s="1100">
        <f>S52-P52</f>
        <v>0.72499999999999964</v>
      </c>
      <c r="T182" s="1100">
        <f>T52-S52</f>
        <v>-0.56099999999999994</v>
      </c>
      <c r="U182" s="1100">
        <f>U52-T52</f>
        <v>1.3529999999999998</v>
      </c>
      <c r="V182" s="1100">
        <f>V52-U52</f>
        <v>0.82599999999999962</v>
      </c>
      <c r="W182" s="1220">
        <f>SUM(S182:V182)</f>
        <v>2.3429999999999991</v>
      </c>
      <c r="X182" s="1244"/>
      <c r="Y182" s="1100">
        <f>Y52-V52</f>
        <v>0.91300000000000026</v>
      </c>
      <c r="Z182" s="1100">
        <f>Z52-Y52</f>
        <v>0.99900000000000011</v>
      </c>
      <c r="AA182" s="1100">
        <f>AA52-Z52</f>
        <v>0.80200000000000005</v>
      </c>
      <c r="AB182" s="1100">
        <f>AA182</f>
        <v>0.80200000000000005</v>
      </c>
      <c r="AC182" s="1101">
        <f>SUM(Y182:AB182)</f>
        <v>3.5160000000000005</v>
      </c>
      <c r="AD182" s="1098"/>
      <c r="AE182" s="1100">
        <f>AE52-AB52</f>
        <v>2.5310000000000001</v>
      </c>
      <c r="AF182" s="1100">
        <f>AF52-AE52</f>
        <v>0</v>
      </c>
      <c r="AG182" s="1100">
        <f>AF182</f>
        <v>0</v>
      </c>
      <c r="AH182" s="1100">
        <f>AG182</f>
        <v>0</v>
      </c>
      <c r="AI182" s="1101">
        <f>SUM(AE182:AH182)</f>
        <v>2.5310000000000001</v>
      </c>
      <c r="AJ182" s="1098"/>
      <c r="AK182" s="1100">
        <f>AK52-AH52</f>
        <v>0</v>
      </c>
      <c r="AL182" s="1100">
        <f>AL52-AK52</f>
        <v>0</v>
      </c>
      <c r="AM182" s="1100">
        <f>AL182</f>
        <v>0</v>
      </c>
      <c r="AN182" s="1100">
        <f>AM182</f>
        <v>0</v>
      </c>
      <c r="AO182" s="1101">
        <f>SUM(AK182:AN182)</f>
        <v>0</v>
      </c>
      <c r="AP182" s="1098"/>
      <c r="AQ182" s="1100">
        <f>-AN52/12</f>
        <v>0</v>
      </c>
      <c r="AR182" s="1100">
        <f>AQ182</f>
        <v>0</v>
      </c>
      <c r="AS182" s="1100">
        <f>AR182</f>
        <v>0</v>
      </c>
      <c r="AT182" s="1100">
        <f>AS182</f>
        <v>0</v>
      </c>
      <c r="AU182" s="1101">
        <f>SUM(AQ182:AT182)</f>
        <v>0</v>
      </c>
      <c r="AV182" s="1098"/>
      <c r="AW182" s="1100">
        <f>-AT52/12</f>
        <v>0</v>
      </c>
      <c r="AX182" s="1100">
        <f>AW182</f>
        <v>0</v>
      </c>
      <c r="AY182" s="1100">
        <f>AX182</f>
        <v>0</v>
      </c>
      <c r="AZ182" s="1100">
        <f>AY182</f>
        <v>0</v>
      </c>
      <c r="BA182" s="1101">
        <f>SUM(AW182:AZ182)</f>
        <v>0</v>
      </c>
      <c r="BB182" s="1098"/>
      <c r="BC182" s="1100">
        <f>-AZ52/12</f>
        <v>0</v>
      </c>
      <c r="BD182" s="1100">
        <f>BC182</f>
        <v>0</v>
      </c>
      <c r="BE182" s="1100">
        <f>BD182</f>
        <v>0</v>
      </c>
      <c r="BF182" s="1100">
        <f>BE182</f>
        <v>0</v>
      </c>
      <c r="BG182" s="1101">
        <f>SUM(BC182:BF182)</f>
        <v>0</v>
      </c>
      <c r="BH182" s="1098"/>
      <c r="BI182" s="1100">
        <f>-BF52/12</f>
        <v>0</v>
      </c>
      <c r="BJ182" s="1100">
        <f>BI182</f>
        <v>0</v>
      </c>
      <c r="BK182" s="1100">
        <f>BJ182</f>
        <v>0</v>
      </c>
      <c r="BL182" s="1100">
        <f>BK182</f>
        <v>0</v>
      </c>
      <c r="BM182" s="1101">
        <f>SUM(BI182:BL182)</f>
        <v>0</v>
      </c>
      <c r="BN182" s="1098"/>
      <c r="BO182" s="1100">
        <f>-BL52/12</f>
        <v>0</v>
      </c>
      <c r="BP182" s="1100">
        <f>BO182</f>
        <v>0</v>
      </c>
      <c r="BQ182" s="1100">
        <f>BP182</f>
        <v>0</v>
      </c>
      <c r="BR182" s="1100">
        <f>BQ182</f>
        <v>0</v>
      </c>
      <c r="BS182" s="1101">
        <f>SUM(BO182:BR182)</f>
        <v>0</v>
      </c>
      <c r="BT182" s="1098"/>
      <c r="BU182" s="1100">
        <f>-BR52/12</f>
        <v>0</v>
      </c>
      <c r="BV182" s="1100">
        <f>BU182</f>
        <v>0</v>
      </c>
      <c r="BW182" s="1100">
        <f>BV182</f>
        <v>0</v>
      </c>
      <c r="BX182" s="1100">
        <f>BW182</f>
        <v>0</v>
      </c>
      <c r="BY182" s="1101">
        <f>SUM(BU182:BX182)</f>
        <v>0</v>
      </c>
      <c r="BZ182" s="1098"/>
      <c r="CA182" s="1100">
        <f>-BX52/12</f>
        <v>0</v>
      </c>
      <c r="CB182" s="1100">
        <f>CA182</f>
        <v>0</v>
      </c>
      <c r="CC182" s="1100">
        <f>CB182</f>
        <v>0</v>
      </c>
      <c r="CD182" s="1100">
        <f>CC182</f>
        <v>0</v>
      </c>
      <c r="CE182" s="1101">
        <f>SUM(CA182:CD182)</f>
        <v>0</v>
      </c>
      <c r="CF182" s="1098"/>
      <c r="CG182" s="1100">
        <f>-CD52/12</f>
        <v>0</v>
      </c>
      <c r="CH182" s="1100">
        <f>CG182</f>
        <v>0</v>
      </c>
      <c r="CI182" s="1100">
        <f>CH182</f>
        <v>0</v>
      </c>
      <c r="CJ182" s="1100">
        <f>CI182</f>
        <v>0</v>
      </c>
      <c r="CK182" s="1101">
        <f>SUM(CG182:CJ182)</f>
        <v>0</v>
      </c>
      <c r="CL182" s="1098"/>
      <c r="CM182" s="1100">
        <f>-CJ52/12</f>
        <v>0</v>
      </c>
      <c r="CN182" s="1100">
        <f>CM182</f>
        <v>0</v>
      </c>
      <c r="CO182" s="1100">
        <f>CN182</f>
        <v>0</v>
      </c>
      <c r="CP182" s="1100">
        <f>CO182</f>
        <v>0</v>
      </c>
      <c r="CQ182" s="1101">
        <f>SUM(CM182:CP182)</f>
        <v>0</v>
      </c>
      <c r="CR182" s="1098"/>
      <c r="CS182" s="1100">
        <f>-CP52/12</f>
        <v>0</v>
      </c>
      <c r="CT182" s="1100">
        <f>CS182</f>
        <v>0</v>
      </c>
      <c r="CU182" s="1100">
        <f>CT182</f>
        <v>0</v>
      </c>
      <c r="CV182" s="1100">
        <f>CU182</f>
        <v>0</v>
      </c>
      <c r="CW182" s="1101">
        <f>SUM(CS182:CV182)</f>
        <v>0</v>
      </c>
      <c r="CX182" s="1098"/>
      <c r="CY182" s="1100">
        <f>-CV52/12</f>
        <v>0</v>
      </c>
      <c r="CZ182" s="1100">
        <f>CY182</f>
        <v>0</v>
      </c>
      <c r="DA182" s="1100">
        <f>CZ182</f>
        <v>0</v>
      </c>
      <c r="DB182" s="1100">
        <f>DA182</f>
        <v>0</v>
      </c>
      <c r="DC182" s="1101">
        <f>SUM(CY182:DB182)</f>
        <v>0</v>
      </c>
      <c r="DD182" s="1098"/>
      <c r="DE182" s="1100">
        <f>-DB52/12</f>
        <v>0</v>
      </c>
      <c r="DF182" s="1100">
        <f>DE182</f>
        <v>0</v>
      </c>
      <c r="DG182" s="1100">
        <f>DF182</f>
        <v>0</v>
      </c>
      <c r="DH182" s="1100">
        <f>DG182</f>
        <v>0</v>
      </c>
      <c r="DI182" s="1101">
        <f>SUM(DE182:DH182)</f>
        <v>0</v>
      </c>
      <c r="DJ182" s="1098"/>
      <c r="DK182" s="1100">
        <f>-DH52/12</f>
        <v>0</v>
      </c>
      <c r="DL182" s="1100">
        <f>DK182</f>
        <v>0</v>
      </c>
      <c r="DM182" s="1100">
        <f>DL182</f>
        <v>0</v>
      </c>
      <c r="DN182" s="1100">
        <f>DM182</f>
        <v>0</v>
      </c>
      <c r="DO182" s="1101">
        <f>SUM(DK182:DN182)</f>
        <v>0</v>
      </c>
      <c r="DP182" s="1220"/>
      <c r="DQ182" s="966"/>
    </row>
    <row r="183" spans="1:121" ht="12.75" hidden="1" customHeight="1" outlineLevel="1">
      <c r="A183" s="1122"/>
      <c r="B183" s="966"/>
      <c r="C183" s="966"/>
      <c r="D183" s="966"/>
      <c r="E183" s="966"/>
      <c r="F183" s="966"/>
      <c r="G183" s="966"/>
      <c r="H183" s="966"/>
      <c r="I183" s="966"/>
      <c r="J183" s="966"/>
      <c r="K183" s="966"/>
      <c r="L183" s="966"/>
      <c r="M183" s="1245"/>
      <c r="N183" s="1245"/>
      <c r="O183" s="1245"/>
      <c r="P183" s="1245"/>
      <c r="Q183" s="1245"/>
      <c r="R183" s="966"/>
      <c r="S183" s="1245"/>
      <c r="T183" s="965"/>
      <c r="U183" s="1246"/>
      <c r="V183" s="965"/>
      <c r="W183" s="965"/>
      <c r="X183" s="966"/>
      <c r="Y183" s="1246"/>
      <c r="Z183" s="965" t="s">
        <v>38</v>
      </c>
      <c r="AA183" s="965"/>
      <c r="AB183" s="965"/>
      <c r="AC183" s="1020"/>
      <c r="AD183" s="966"/>
      <c r="AE183" s="966"/>
      <c r="AF183" s="966"/>
      <c r="AG183" s="966"/>
      <c r="AH183" s="966"/>
      <c r="AI183" s="1022"/>
      <c r="AJ183" s="966"/>
      <c r="AK183" s="966"/>
      <c r="AL183" s="966"/>
      <c r="AM183" s="966"/>
      <c r="AN183" s="966"/>
      <c r="AO183" s="1022"/>
      <c r="AP183" s="966"/>
      <c r="AQ183" s="966"/>
      <c r="AR183" s="966"/>
      <c r="AS183" s="966"/>
      <c r="AT183" s="966"/>
      <c r="AU183" s="1022"/>
      <c r="AV183" s="966"/>
      <c r="AW183" s="966"/>
      <c r="AX183" s="966"/>
      <c r="AY183" s="966"/>
      <c r="AZ183" s="966"/>
      <c r="BA183" s="1022"/>
      <c r="BB183" s="966"/>
      <c r="BC183" s="966"/>
      <c r="BD183" s="966"/>
      <c r="BE183" s="966"/>
      <c r="BF183" s="966"/>
      <c r="BG183" s="1022"/>
      <c r="BH183" s="966"/>
      <c r="BI183" s="966"/>
      <c r="BJ183" s="966"/>
      <c r="BK183" s="966"/>
      <c r="BL183" s="966"/>
      <c r="BM183" s="1022"/>
      <c r="BN183" s="966"/>
      <c r="BO183" s="966"/>
      <c r="BP183" s="966"/>
      <c r="BQ183" s="966"/>
      <c r="BR183" s="966"/>
      <c r="BS183" s="1022"/>
      <c r="BT183" s="966"/>
      <c r="BU183" s="966"/>
      <c r="BV183" s="966"/>
      <c r="BW183" s="966"/>
      <c r="BX183" s="966"/>
      <c r="BY183" s="1022"/>
      <c r="BZ183" s="966"/>
      <c r="CA183" s="966"/>
      <c r="CB183" s="966"/>
      <c r="CC183" s="966"/>
      <c r="CD183" s="966"/>
      <c r="CE183" s="1022"/>
      <c r="CF183" s="966"/>
      <c r="CG183" s="966"/>
      <c r="CH183" s="966"/>
      <c r="CI183" s="966"/>
      <c r="CJ183" s="966"/>
      <c r="CK183" s="1022"/>
      <c r="CL183" s="966"/>
      <c r="CM183" s="966"/>
      <c r="CN183" s="966"/>
      <c r="CO183" s="966"/>
      <c r="CP183" s="966"/>
      <c r="CQ183" s="1022"/>
      <c r="CR183" s="966"/>
      <c r="CS183" s="966"/>
      <c r="CT183" s="966"/>
      <c r="CU183" s="966"/>
      <c r="CV183" s="966"/>
      <c r="CW183" s="1022"/>
      <c r="CX183" s="966"/>
      <c r="CY183" s="966"/>
      <c r="CZ183" s="966"/>
      <c r="DA183" s="966"/>
      <c r="DB183" s="966"/>
      <c r="DC183" s="1022"/>
      <c r="DD183" s="966"/>
      <c r="DE183" s="966"/>
      <c r="DF183" s="966"/>
      <c r="DG183" s="966"/>
      <c r="DH183" s="966"/>
      <c r="DI183" s="1022"/>
      <c r="DJ183" s="966"/>
      <c r="DK183" s="966"/>
      <c r="DL183" s="966"/>
      <c r="DM183" s="966"/>
      <c r="DN183" s="966"/>
      <c r="DO183" s="1022"/>
      <c r="DP183" s="1692"/>
      <c r="DQ183" s="966"/>
    </row>
    <row r="184" spans="1:121" ht="12.75" hidden="1" customHeight="1" outlineLevel="1">
      <c r="A184" s="1117" t="s">
        <v>986</v>
      </c>
      <c r="B184" s="966"/>
      <c r="C184" s="966"/>
      <c r="D184" s="966"/>
      <c r="E184" s="966"/>
      <c r="F184" s="966"/>
      <c r="G184" s="966"/>
      <c r="H184" s="966"/>
      <c r="I184" s="966"/>
      <c r="J184" s="988">
        <f>J54</f>
        <v>6.0000000000000001E-3</v>
      </c>
      <c r="K184" s="988">
        <f>K54</f>
        <v>6.0000000000000001E-3</v>
      </c>
      <c r="L184" s="966"/>
      <c r="M184" s="988">
        <f>M54</f>
        <v>7.0000000000000001E-3</v>
      </c>
      <c r="N184" s="988">
        <f>N54</f>
        <v>8.0000000000000002E-3</v>
      </c>
      <c r="O184" s="988">
        <f>O54</f>
        <v>8.9999999999999993E-3</v>
      </c>
      <c r="P184" s="988">
        <f>P54</f>
        <v>0.01</v>
      </c>
      <c r="Q184" s="988">
        <f>Q54</f>
        <v>0.01</v>
      </c>
      <c r="R184" s="966"/>
      <c r="S184" s="988">
        <f>S54</f>
        <v>8.0000000000000002E-3</v>
      </c>
      <c r="T184" s="988">
        <f>T54</f>
        <v>-0.1</v>
      </c>
      <c r="U184" s="988">
        <f>U54</f>
        <v>3.7999999999999999E-2</v>
      </c>
      <c r="V184" s="988">
        <f>V54</f>
        <v>-0.999</v>
      </c>
      <c r="W184" s="988">
        <f>W54</f>
        <v>-0.999</v>
      </c>
      <c r="X184" s="966"/>
      <c r="Y184" s="988">
        <f>Y54</f>
        <v>-1.327</v>
      </c>
      <c r="Z184" s="988">
        <f>Z54</f>
        <v>-2.16</v>
      </c>
      <c r="AA184" s="988">
        <f>AA54</f>
        <v>-2.58</v>
      </c>
      <c r="AB184" s="988">
        <f>AA184+AB186</f>
        <v>-2.1050000000000324</v>
      </c>
      <c r="AC184" s="1057">
        <f>AC54</f>
        <v>-2.105</v>
      </c>
      <c r="AD184" s="966"/>
      <c r="AE184" s="988">
        <f>AB184+AE186</f>
        <v>-2.2579999999999387</v>
      </c>
      <c r="AF184" s="988">
        <f>AE184+AF186</f>
        <v>-2.3600000000000918</v>
      </c>
      <c r="AG184" s="988">
        <f>AF184+AG186</f>
        <v>-1.9489999999998417</v>
      </c>
      <c r="AH184" s="988">
        <f>AG184+AH186</f>
        <v>-2.1870000000000474</v>
      </c>
      <c r="AI184" s="1057">
        <f>AI54</f>
        <v>-2.1869999999999998</v>
      </c>
      <c r="AJ184" s="966"/>
      <c r="AK184" s="988">
        <f>AH184+AK186</f>
        <v>-2.0869999999999749</v>
      </c>
      <c r="AL184" s="988">
        <f>AK184+AL186</f>
        <v>-2.0940000000000829</v>
      </c>
      <c r="AM184" s="988">
        <f>AL184+AM186</f>
        <v>-3.0929999999999929</v>
      </c>
      <c r="AN184" s="988">
        <f>AM184+AN186</f>
        <v>-2.2760000000001952</v>
      </c>
      <c r="AO184" s="1057">
        <f>AO54</f>
        <v>-2.2759999999999998</v>
      </c>
      <c r="AP184" s="966"/>
      <c r="AQ184" s="988">
        <f>AN184+AQ186</f>
        <v>-3.643000000000205</v>
      </c>
      <c r="AR184" s="988">
        <f>AQ184+AR186</f>
        <v>-4.1879999999998425</v>
      </c>
      <c r="AS184" s="988">
        <f>AR184+AS186</f>
        <v>-7.5919999999997021</v>
      </c>
      <c r="AT184" s="988">
        <f>AS184+AT186</f>
        <v>-2.9049999999997596</v>
      </c>
      <c r="AU184" s="1057">
        <f>AU54</f>
        <v>-2.9049999999999998</v>
      </c>
      <c r="AV184" s="966"/>
      <c r="AW184" s="988">
        <f>AT184+AW186</f>
        <v>-4.0500000000001606</v>
      </c>
      <c r="AX184" s="988">
        <f>AW184+AX186</f>
        <v>5.8040000000000589</v>
      </c>
      <c r="AY184" s="988">
        <f>AX184+AY186</f>
        <v>-3.0830000000002826</v>
      </c>
      <c r="AZ184" s="988">
        <f>AY184+AZ186</f>
        <v>-1.4300000000000352</v>
      </c>
      <c r="BA184" s="1057">
        <f>BA54</f>
        <v>-1.43</v>
      </c>
      <c r="BB184" s="966"/>
      <c r="BC184" s="988">
        <f>AZ184+BC186</f>
        <v>7.0000000000547402E-2</v>
      </c>
      <c r="BD184" s="988">
        <f>BC184+BD186</f>
        <v>7.8550000000004161</v>
      </c>
      <c r="BE184" s="988">
        <f>BD184+BE186</f>
        <v>9.0300000000000296</v>
      </c>
      <c r="BF184" s="988">
        <f>BE184+BF186</f>
        <v>6.7190000000001362</v>
      </c>
      <c r="BG184" s="1057">
        <f>BG54</f>
        <v>6.7190000000000003</v>
      </c>
      <c r="BH184" s="966"/>
      <c r="BI184" s="988">
        <f>BF184+BI186</f>
        <v>7.5999999999851298E-2</v>
      </c>
      <c r="BJ184" s="988">
        <f>BI184+BJ186</f>
        <v>7.2190000000005341</v>
      </c>
      <c r="BK184" s="988">
        <f>BJ184+BK186</f>
        <v>3.977000000000487</v>
      </c>
      <c r="BL184" s="988">
        <f>BK184+BL186</f>
        <v>12.682999999999737</v>
      </c>
      <c r="BM184" s="1057">
        <f>BM54</f>
        <v>12.683</v>
      </c>
      <c r="BN184" s="966"/>
      <c r="BO184" s="988">
        <f>BL184+BO186</f>
        <v>10.196999999999491</v>
      </c>
      <c r="BP184" s="988">
        <f>BO184+BP186</f>
        <v>19.729999999999905</v>
      </c>
      <c r="BQ184" s="988">
        <f>BP184+BQ186</f>
        <v>23.649000000000427</v>
      </c>
      <c r="BR184" s="988">
        <f>BQ184+BR186</f>
        <v>17.137000000000199</v>
      </c>
      <c r="BS184" s="1057">
        <f>BS54</f>
        <v>17.137</v>
      </c>
      <c r="BT184" s="966"/>
      <c r="BU184" s="988">
        <f>BR184+BU186</f>
        <v>13.726000000001051</v>
      </c>
      <c r="BV184" s="988">
        <f>BU184+BV186</f>
        <v>11.239000000001028</v>
      </c>
      <c r="BW184" s="988">
        <f>BV184+BW186</f>
        <v>16.805999999999926</v>
      </c>
      <c r="BX184" s="988">
        <f>BW184+BX186</f>
        <v>17.680000000000121</v>
      </c>
      <c r="BY184" s="1057">
        <f>BY54</f>
        <v>17.68</v>
      </c>
      <c r="BZ184" s="966"/>
      <c r="CA184" s="988">
        <f>BX184+CA186</f>
        <v>15.297999999999547</v>
      </c>
      <c r="CB184" s="988">
        <f>CA184+CB186</f>
        <v>11.162999999999158</v>
      </c>
      <c r="CC184" s="988">
        <f>CB184+CC186</f>
        <v>-1.2509999999996353</v>
      </c>
      <c r="CD184" s="988">
        <f>CC184+CD186</f>
        <v>-24.108000000000402</v>
      </c>
      <c r="CE184" s="1057">
        <f>CE54</f>
        <v>-24.108000000000001</v>
      </c>
      <c r="CF184" s="966"/>
      <c r="CG184" s="988">
        <f>CD184+CG186</f>
        <v>-28.351999999998611</v>
      </c>
      <c r="CH184" s="988">
        <f>CG184+CH186</f>
        <v>-28.144000000001597</v>
      </c>
      <c r="CI184" s="988">
        <f>CH184+CI186</f>
        <v>-33.324999999998681</v>
      </c>
      <c r="CJ184" s="988">
        <f>CI184+CJ186</f>
        <v>-49.917000000002872</v>
      </c>
      <c r="CK184" s="1057">
        <f>CK54</f>
        <v>-49.917000000000002</v>
      </c>
      <c r="CL184" s="966"/>
      <c r="CM184" s="988">
        <f>CJ184+CM186</f>
        <v>-28.576999999998748</v>
      </c>
      <c r="CN184" s="988">
        <f>CM184+CN186</f>
        <v>-11.214999999997474</v>
      </c>
      <c r="CO184" s="988">
        <f>CN184+CO186</f>
        <v>-62.943000000001348</v>
      </c>
      <c r="CP184" s="988">
        <f>CO184+CP186</f>
        <v>-75.841000000001088</v>
      </c>
      <c r="CQ184" s="1057">
        <f>CQ54</f>
        <v>-75.840999999999994</v>
      </c>
      <c r="CR184" s="966"/>
      <c r="CS184" s="988">
        <f>CP184+CS186</f>
        <v>9.5130000000015684</v>
      </c>
      <c r="CT184" s="988">
        <f>CS184+CT186</f>
        <v>17.534999999998547</v>
      </c>
      <c r="CU184" s="988">
        <f>CT184+CU186</f>
        <v>3.5540000000013947</v>
      </c>
      <c r="CV184" s="988">
        <f>CU184+CV186</f>
        <v>-23.274999999998499</v>
      </c>
      <c r="CW184" s="1057">
        <f>CW54</f>
        <v>-23.274999999999999</v>
      </c>
      <c r="CX184" s="966"/>
      <c r="CY184" s="988">
        <f>CV184+CY186</f>
        <v>-23.274999999998499</v>
      </c>
      <c r="CZ184" s="988">
        <f>CY184+CZ186</f>
        <v>-23.274999999998499</v>
      </c>
      <c r="DA184" s="988">
        <f>CZ184+DA186</f>
        <v>-23.274999999998499</v>
      </c>
      <c r="DB184" s="988">
        <f>DA184+DB186</f>
        <v>-23.274999999998499</v>
      </c>
      <c r="DC184" s="1057">
        <f>DC54</f>
        <v>-23.274999999998499</v>
      </c>
      <c r="DD184" s="966"/>
      <c r="DE184" s="988">
        <f>DB184+DE186</f>
        <v>-23.274999999998499</v>
      </c>
      <c r="DF184" s="988">
        <f>DE184+DF186</f>
        <v>-23.274999999998499</v>
      </c>
      <c r="DG184" s="988">
        <f>DF184+DG186</f>
        <v>-23.274999999998499</v>
      </c>
      <c r="DH184" s="988">
        <f>DG184+DH186</f>
        <v>-23.274999999998499</v>
      </c>
      <c r="DI184" s="1057">
        <f>DI54</f>
        <v>-23.274999999998499</v>
      </c>
      <c r="DJ184" s="966"/>
      <c r="DK184" s="988">
        <f>DH184+DK186</f>
        <v>-23.274999999998499</v>
      </c>
      <c r="DL184" s="988">
        <f>DK184+DL186</f>
        <v>-23.274999999998499</v>
      </c>
      <c r="DM184" s="988">
        <f>DL184+DM186</f>
        <v>-23.274999999998499</v>
      </c>
      <c r="DN184" s="988">
        <f>DM184+DN186</f>
        <v>-23.274999999998499</v>
      </c>
      <c r="DO184" s="1057">
        <f>DO54</f>
        <v>-23.274999999998499</v>
      </c>
      <c r="DP184" s="988"/>
      <c r="DQ184" s="966"/>
    </row>
    <row r="185" spans="1:121" ht="12.75" hidden="1" customHeight="1" outlineLevel="1">
      <c r="A185" s="1122" t="s">
        <v>987</v>
      </c>
      <c r="B185" s="966"/>
      <c r="C185" s="966"/>
      <c r="D185" s="966"/>
      <c r="E185" s="966"/>
      <c r="F185" s="966"/>
      <c r="G185" s="966"/>
      <c r="H185" s="966"/>
      <c r="I185" s="966"/>
      <c r="J185" s="966"/>
      <c r="K185" s="966"/>
      <c r="L185" s="966"/>
      <c r="M185" s="1102" t="str">
        <f>IF(ROUND((M184-M186-M187-J184),3)=0,"cool","problem")</f>
        <v>cool</v>
      </c>
      <c r="N185" s="1102" t="str">
        <f>IF(ROUND((N184-N186-N187-M184),3)=0,"cool","problem")</f>
        <v>cool</v>
      </c>
      <c r="O185" s="1102" t="str">
        <f>IF(ROUND((O184-O186-O187-N184),3)=0,"cool","problem")</f>
        <v>cool</v>
      </c>
      <c r="P185" s="1102" t="str">
        <f>IF(ROUND((P184-P186-P187-O184),3)=0,"cool","problem")</f>
        <v>cool</v>
      </c>
      <c r="Q185" s="1247" t="str">
        <f>IF(ROUND((Q184-Q186-Q187-K184),3)=0,"cool","problem")</f>
        <v>cool</v>
      </c>
      <c r="R185" s="966"/>
      <c r="S185" s="1102" t="str">
        <f>IF(ROUND((S184-S186-S187-P184),3)=0,"cool","problem")</f>
        <v>cool</v>
      </c>
      <c r="T185" s="1102" t="str">
        <f>IF(ROUND((T184-T186-T187-S184),3)=0,"cool","problem")</f>
        <v>cool</v>
      </c>
      <c r="U185" s="1102" t="str">
        <f>IF(ROUND((U184-U186-U187-T184),3)=0,"cool","problem")</f>
        <v>cool</v>
      </c>
      <c r="V185" s="1102" t="str">
        <f>IF(ROUND((V184-V186-V187-U184),3)=0,"cool","problem")</f>
        <v>cool</v>
      </c>
      <c r="W185" s="1247" t="str">
        <f>IF(ROUND((W184-W186-W187-Q184),3)=0,"cool","problem")</f>
        <v>cool</v>
      </c>
      <c r="X185" s="966"/>
      <c r="Y185" s="1102" t="str">
        <f>IF(ROUND((Y184-Y186-Y187-V184),3)=0,"cool","problem")</f>
        <v>cool</v>
      </c>
      <c r="Z185" s="1102" t="str">
        <f>IF(ROUND((Z184-Z186-Z187-Y184),3)=0,"cool","problem")</f>
        <v>cool</v>
      </c>
      <c r="AA185" s="1102" t="str">
        <f>IF(ROUND((AA184-AA186-AA187-Z184),3)=0,"cool","problem")</f>
        <v>cool</v>
      </c>
      <c r="AB185" s="1102" t="str">
        <f>IF(ROUND((AB184-AB186-AB187-AA184),3)=0,"cool","problem")</f>
        <v>cool</v>
      </c>
      <c r="AC185" s="1103" t="str">
        <f>IF(ROUND((AC184-AC186-AC187-W184),3)=0,"cool","problem")</f>
        <v>cool</v>
      </c>
      <c r="AD185" s="966"/>
      <c r="AE185" s="1102" t="str">
        <f>IF(ROUND((AE184-AE186-AE187-AB184),3)=0,"cool","problem")</f>
        <v>cool</v>
      </c>
      <c r="AF185" s="1102" t="str">
        <f>IF(ROUND((AF184-AF186-AF187-AE184),3)=0,"cool","problem")</f>
        <v>cool</v>
      </c>
      <c r="AG185" s="1102" t="str">
        <f>IF(ROUND((AG184-AG186-AG187-AF184),3)=0,"cool","problem")</f>
        <v>cool</v>
      </c>
      <c r="AH185" s="1102" t="str">
        <f>IF(ROUND((AH184-AH186-AH187-AG184),3)=0,"cool","problem")</f>
        <v>cool</v>
      </c>
      <c r="AI185" s="1103" t="str">
        <f>IF(ROUND((AI184-AI186-AI187-AC184),3)=0,"cool","problem")</f>
        <v>cool</v>
      </c>
      <c r="AJ185" s="966"/>
      <c r="AK185" s="1102" t="str">
        <f>IF(ROUND((AK184-AK186-AK187-AH184),3)=0,"cool","problem")</f>
        <v>cool</v>
      </c>
      <c r="AL185" s="1102" t="str">
        <f>IF(ROUND((AL184-AL186-AL187-AK184),3)=0,"cool","problem")</f>
        <v>cool</v>
      </c>
      <c r="AM185" s="1102" t="str">
        <f>IF(ROUND((AM184-AM186-AM187-AL184),3)=0,"cool","problem")</f>
        <v>cool</v>
      </c>
      <c r="AN185" s="1102" t="str">
        <f>IF(ROUND((AN184-AN186-AN187-AM184),3)=0,"cool","problem")</f>
        <v>cool</v>
      </c>
      <c r="AO185" s="1103" t="str">
        <f>IF(ROUND((AO184-AO186-AO187-AI184),3)=0,"cool","problem")</f>
        <v>cool</v>
      </c>
      <c r="AP185" s="966"/>
      <c r="AQ185" s="1102" t="str">
        <f>IF(ROUND((AQ184-AQ186-AQ187-AN184),3)=0,"cool","problem")</f>
        <v>cool</v>
      </c>
      <c r="AR185" s="1102" t="str">
        <f>IF(ROUND((AR184-AR186-AR187-AQ184),3)=0,"cool","problem")</f>
        <v>cool</v>
      </c>
      <c r="AS185" s="1102" t="str">
        <f>IF(ROUND((AS184-AS186-AS187-AR184),3)=0,"cool","problem")</f>
        <v>cool</v>
      </c>
      <c r="AT185" s="1102" t="str">
        <f>IF(ROUND((AT184-AT186-AT187-AS184),3)=0,"cool","problem")</f>
        <v>cool</v>
      </c>
      <c r="AU185" s="1103" t="str">
        <f>IF(ROUND((AU184-AU186-AU187-AO184),3)=0,"cool","problem")</f>
        <v>cool</v>
      </c>
      <c r="AV185" s="966"/>
      <c r="AW185" s="1102" t="str">
        <f>IF(ROUND((AW184-AW186-AW187-AT184),3)=0,"cool","problem")</f>
        <v>cool</v>
      </c>
      <c r="AX185" s="1102" t="str">
        <f>IF(ROUND((AX184-AX186-AX187-AW184),3)=0,"cool","problem")</f>
        <v>cool</v>
      </c>
      <c r="AY185" s="1102" t="str">
        <f>IF(ROUND((AY184-AY186-AY187-AX184),3)=0,"cool","problem")</f>
        <v>cool</v>
      </c>
      <c r="AZ185" s="1102" t="str">
        <f>IF(ROUND((AZ184-AZ186-AZ187-AY184),3)=0,"cool","problem")</f>
        <v>cool</v>
      </c>
      <c r="BA185" s="1103" t="str">
        <f>IF(ROUND((BA184-BA186-BA187-AU184),3)=0,"cool","problem")</f>
        <v>cool</v>
      </c>
      <c r="BB185" s="966"/>
      <c r="BC185" s="1102" t="str">
        <f>IF(ROUND((BC184-BC186-BC187-AZ184),3)=0,"cool","problem")</f>
        <v>cool</v>
      </c>
      <c r="BD185" s="1102" t="str">
        <f>IF(ROUND((BD184-BD186-BD187-BC184),3)=0,"cool","problem")</f>
        <v>cool</v>
      </c>
      <c r="BE185" s="1102" t="str">
        <f>IF(ROUND((BE184-BE186-BE187-BD184),3)=0,"cool","problem")</f>
        <v>cool</v>
      </c>
      <c r="BF185" s="1102" t="str">
        <f>IF(ROUND((BF184-BF186-BF187-BE184),3)=0,"cool","problem")</f>
        <v>cool</v>
      </c>
      <c r="BG185" s="1103" t="str">
        <f>IF(ROUND((BG184-BG186-BG187-BA184),3)=0,"cool","problem")</f>
        <v>cool</v>
      </c>
      <c r="BH185" s="966"/>
      <c r="BI185" s="1102" t="str">
        <f>IF(ROUND((BI184-BI186-BI187-BF184),3)=0,"cool","problem")</f>
        <v>cool</v>
      </c>
      <c r="BJ185" s="1102" t="str">
        <f>IF(ROUND((BJ184-BJ186-BJ187-BI184),3)=0,"cool","problem")</f>
        <v>cool</v>
      </c>
      <c r="BK185" s="1102" t="str">
        <f>IF(ROUND((BK184-BK186-BK187-BJ184),3)=0,"cool","problem")</f>
        <v>cool</v>
      </c>
      <c r="BL185" s="1102" t="str">
        <f>IF(ROUND((BL184-BL186-BL187-BK184),3)=0,"cool","problem")</f>
        <v>cool</v>
      </c>
      <c r="BM185" s="1103" t="str">
        <f>IF(ROUND((BM184-BM186-BM187-BG184),3)=0,"cool","problem")</f>
        <v>cool</v>
      </c>
      <c r="BN185" s="966"/>
      <c r="BO185" s="1102" t="str">
        <f>IF(ROUND((BO184-BO186-BO187-BL184),3)=0,"cool","problem")</f>
        <v>cool</v>
      </c>
      <c r="BP185" s="1102" t="str">
        <f>IF(ROUND((BP184-BP186-BP187-BO184),3)=0,"cool","problem")</f>
        <v>cool</v>
      </c>
      <c r="BQ185" s="1102" t="str">
        <f>IF(ROUND((BQ184-BQ186-BQ187-BP184),3)=0,"cool","problem")</f>
        <v>cool</v>
      </c>
      <c r="BR185" s="1102" t="str">
        <f>IF(ROUND((BR184-BR186-BR187-BQ184),3)=0,"cool","problem")</f>
        <v>cool</v>
      </c>
      <c r="BS185" s="1103" t="str">
        <f>IF(ROUND((BS184-BS186-BS187-BM184),3)=0,"cool","problem")</f>
        <v>cool</v>
      </c>
      <c r="BT185" s="966"/>
      <c r="BU185" s="1102" t="str">
        <f>IF(ROUND((BU184-BU186-BU187-BR184),3)=0,"cool","problem")</f>
        <v>cool</v>
      </c>
      <c r="BV185" s="1102" t="str">
        <f>IF(ROUND((BV184-BV186-BV187-BU184),3)=0,"cool","problem")</f>
        <v>cool</v>
      </c>
      <c r="BW185" s="1102" t="str">
        <f>IF(ROUND((BW184-BW186-BW187-BV184),3)=0,"cool","problem")</f>
        <v>cool</v>
      </c>
      <c r="BX185" s="1102" t="str">
        <f>IF(ROUND((BX184-BX186-BX187-BW184),3)=0,"cool","problem")</f>
        <v>cool</v>
      </c>
      <c r="BY185" s="1103" t="str">
        <f>IF(ROUND((BY184-BY186-BY187-BS184),3)=0,"cool","problem")</f>
        <v>cool</v>
      </c>
      <c r="BZ185" s="966"/>
      <c r="CA185" s="1102" t="str">
        <f>IF(ROUND((CA184-CA186-CA187-BX184),3)=0,"cool","problem")</f>
        <v>cool</v>
      </c>
      <c r="CB185" s="1102" t="str">
        <f>IF(ROUND((CB184-CB186-CB187-CA184),3)=0,"cool","problem")</f>
        <v>cool</v>
      </c>
      <c r="CC185" s="1102" t="str">
        <f>IF(ROUND((CC184-CC186-CC187-CB184),3)=0,"cool","problem")</f>
        <v>cool</v>
      </c>
      <c r="CD185" s="1102" t="str">
        <f>IF(ROUND((CD184-CD186-CD187-CC184),3)=0,"cool","problem")</f>
        <v>cool</v>
      </c>
      <c r="CE185" s="1103" t="str">
        <f>IF(ROUND((CE184-CE186-CE187-BY184),3)=0,"cool","problem")</f>
        <v>cool</v>
      </c>
      <c r="CF185" s="966"/>
      <c r="CG185" s="1102" t="str">
        <f>IF(ROUND((CG184-CG186-CG187-CD184),3)=0,"cool","problem")</f>
        <v>cool</v>
      </c>
      <c r="CH185" s="1102" t="str">
        <f>IF(ROUND((CH184-CH186-CH187-CG184),3)=0,"cool","problem")</f>
        <v>cool</v>
      </c>
      <c r="CI185" s="1102" t="str">
        <f>IF(ROUND((CI184-CI186-CI187-CH184),3)=0,"cool","problem")</f>
        <v>cool</v>
      </c>
      <c r="CJ185" s="1102" t="str">
        <f>IF(ROUND((CJ184-CJ186-CJ187-CI184),3)=0,"cool","problem")</f>
        <v>cool</v>
      </c>
      <c r="CK185" s="1103" t="str">
        <f>IF(ROUND((CK184-CK186-CK187-CE184),3)=0,"cool","problem")</f>
        <v>cool</v>
      </c>
      <c r="CL185" s="966"/>
      <c r="CM185" s="1102" t="str">
        <f>IF(ROUND((CM184-CM186-CM187-CJ184),3)=0,"cool","problem")</f>
        <v>cool</v>
      </c>
      <c r="CN185" s="1102" t="str">
        <f>IF(ROUND((CN184-CN186-CN187-CM184),3)=0,"cool","problem")</f>
        <v>cool</v>
      </c>
      <c r="CO185" s="1102" t="str">
        <f>IF(ROUND((CO184-CO186-CO187-CN184),3)=0,"cool","problem")</f>
        <v>cool</v>
      </c>
      <c r="CP185" s="1102" t="str">
        <f>IF(ROUND((CP184-CP186-CP187-CO184),3)=0,"cool","problem")</f>
        <v>cool</v>
      </c>
      <c r="CQ185" s="1103" t="str">
        <f>IF(ROUND((CQ184-CQ186-CQ187-CK184),3)=0,"cool","problem")</f>
        <v>cool</v>
      </c>
      <c r="CR185" s="966"/>
      <c r="CS185" s="1102" t="str">
        <f>IF(ROUND((CS184-CS186-CS187-CP184),3)=0,"cool","problem")</f>
        <v>cool</v>
      </c>
      <c r="CT185" s="1102" t="str">
        <f>IF(ROUND((CT184-CT186-CT187-CS184),3)=0,"cool","problem")</f>
        <v>cool</v>
      </c>
      <c r="CU185" s="1102" t="str">
        <f>IF(ROUND((CU184-CU186-CU187-CT184),3)=0,"cool","problem")</f>
        <v>cool</v>
      </c>
      <c r="CV185" s="1102" t="str">
        <f>IF(ROUND((CV184-CV186-CV187-CU184),3)=0,"cool","problem")</f>
        <v>cool</v>
      </c>
      <c r="CW185" s="1103" t="str">
        <f>IF(ROUND((CW184-CW186-CW187-CQ184),3)=0,"cool","problem")</f>
        <v>cool</v>
      </c>
      <c r="CX185" s="966"/>
      <c r="CY185" s="1102" t="str">
        <f>IF(ROUND((CY184-CY186-CY187-CV184),3)=0,"cool","problem")</f>
        <v>cool</v>
      </c>
      <c r="CZ185" s="1102" t="str">
        <f>IF(ROUND((CZ184-CZ186-CZ187-CY184),3)=0,"cool","problem")</f>
        <v>cool</v>
      </c>
      <c r="DA185" s="1102" t="str">
        <f>IF(ROUND((DA184-DA186-DA187-CZ184),3)=0,"cool","problem")</f>
        <v>cool</v>
      </c>
      <c r="DB185" s="1102" t="str">
        <f>IF(ROUND((DB184-DB186-DB187-DA184),3)=0,"cool","problem")</f>
        <v>cool</v>
      </c>
      <c r="DC185" s="1103" t="str">
        <f>IF(ROUND((DC184-DC186-DC187-CW184),3)=0,"cool","problem")</f>
        <v>cool</v>
      </c>
      <c r="DD185" s="966"/>
      <c r="DE185" s="1102" t="str">
        <f>IF(ROUND((DE184-DE186-DE187-DB184),3)=0,"cool","problem")</f>
        <v>cool</v>
      </c>
      <c r="DF185" s="1102" t="str">
        <f>IF(ROUND((DF184-DF186-DF187-DE184),3)=0,"cool","problem")</f>
        <v>cool</v>
      </c>
      <c r="DG185" s="1102" t="str">
        <f>IF(ROUND((DG184-DG186-DG187-DF184),3)=0,"cool","problem")</f>
        <v>cool</v>
      </c>
      <c r="DH185" s="1102" t="str">
        <f>IF(ROUND((DH184-DH186-DH187-DG184),3)=0,"cool","problem")</f>
        <v>cool</v>
      </c>
      <c r="DI185" s="1103" t="str">
        <f>IF(ROUND((DI184-DI186-DI187-DC184),3)=0,"cool","problem")</f>
        <v>cool</v>
      </c>
      <c r="DJ185" s="966"/>
      <c r="DK185" s="1102" t="str">
        <f>IF(ROUND((DK184-DK186-DK187-DH184),3)=0,"cool","problem")</f>
        <v>cool</v>
      </c>
      <c r="DL185" s="1102" t="str">
        <f>IF(ROUND((DL184-DL186-DL187-DK184),3)=0,"cool","problem")</f>
        <v>cool</v>
      </c>
      <c r="DM185" s="1102" t="str">
        <f>IF(ROUND((DM184-DM186-DM187-DL184),3)=0,"cool","problem")</f>
        <v>cool</v>
      </c>
      <c r="DN185" s="1102" t="str">
        <f>IF(ROUND((DN184-DN186-DN187-DM184),3)=0,"cool","problem")</f>
        <v>cool</v>
      </c>
      <c r="DO185" s="1103" t="str">
        <f>IF(ROUND((DO184-DO186-DO187-DI184),3)=0,"cool","problem")</f>
        <v>cool</v>
      </c>
      <c r="DP185" s="1247"/>
      <c r="DQ185" s="966"/>
    </row>
    <row r="186" spans="1:121" ht="12.75" hidden="1" customHeight="1" outlineLevel="1">
      <c r="A186" s="1108" t="s">
        <v>988</v>
      </c>
      <c r="B186" s="966"/>
      <c r="C186" s="966"/>
      <c r="D186" s="966"/>
      <c r="E186" s="966"/>
      <c r="F186" s="966"/>
      <c r="G186" s="966"/>
      <c r="H186" s="966"/>
      <c r="I186" s="966"/>
      <c r="J186" s="966"/>
      <c r="K186" s="966"/>
      <c r="L186" s="966"/>
      <c r="M186" s="988">
        <f>M184-J184</f>
        <v>1E-3</v>
      </c>
      <c r="N186" s="988">
        <f>N184-M184</f>
        <v>1E-3</v>
      </c>
      <c r="O186" s="988">
        <f>O184-N184</f>
        <v>9.9999999999999915E-4</v>
      </c>
      <c r="P186" s="988">
        <f>P184-O184</f>
        <v>1.0000000000000009E-3</v>
      </c>
      <c r="Q186" s="988">
        <f>SUM(M186:P186)</f>
        <v>4.0000000000000001E-3</v>
      </c>
      <c r="R186" s="966"/>
      <c r="S186" s="988">
        <f>S184-P184</f>
        <v>-2E-3</v>
      </c>
      <c r="T186" s="988">
        <f>T184-S184</f>
        <v>-0.10800000000000001</v>
      </c>
      <c r="U186" s="988">
        <f>U184-T184</f>
        <v>0.13800000000000001</v>
      </c>
      <c r="V186" s="988">
        <f>V184-U184</f>
        <v>-1.0369999999999999</v>
      </c>
      <c r="W186" s="988">
        <f>SUM(S186:V186)</f>
        <v>-1.0089999999999999</v>
      </c>
      <c r="X186" s="966"/>
      <c r="Y186" s="986">
        <f>Y184-V184</f>
        <v>-0.32799999999999996</v>
      </c>
      <c r="Z186" s="988">
        <f>Z184-Y184</f>
        <v>-0.83300000000000018</v>
      </c>
      <c r="AA186" s="988">
        <f>AA184-Z184</f>
        <v>-0.41999999999999993</v>
      </c>
      <c r="AB186" s="988">
        <f>AB27-AB46-AB48-AB50-AB51-AB52-AB53-AB55-AA184</f>
        <v>0.47499999999996767</v>
      </c>
      <c r="AC186" s="1057">
        <f>SUM(Y186:AB186)</f>
        <v>-1.1060000000000323</v>
      </c>
      <c r="AD186" s="966"/>
      <c r="AE186" s="988">
        <f>AE27-AE46-AE48-AE50-AE51-AE52-AE53-AE55-AB184</f>
        <v>-0.15299999999990632</v>
      </c>
      <c r="AF186" s="988">
        <f>AF27-AF46-AF48-AF50-AF51-AF52-AF53-AF55-AE184</f>
        <v>-0.10200000000015308</v>
      </c>
      <c r="AG186" s="988">
        <f>AG27-AG46-AG48-AG50-AG51-AG52-AG53-AG55-AF184</f>
        <v>0.41100000000025005</v>
      </c>
      <c r="AH186" s="988">
        <f>AH27-AH46-AH48-AH50-AH51-AH52-AH53-AH55-AG184</f>
        <v>-0.2380000000002056</v>
      </c>
      <c r="AI186" s="1057">
        <f>SUM(AE186:AH186)</f>
        <v>-8.200000000001495E-2</v>
      </c>
      <c r="AJ186" s="966"/>
      <c r="AK186" s="988">
        <f>AK27-AK46-AK48-AK50-AK51-AK52-AK53-AK55-AH184</f>
        <v>0.10000000000007248</v>
      </c>
      <c r="AL186" s="988">
        <f>AL27-AL46-AL48-AL50-AL51-AL52-AL53-AL55-AK184</f>
        <v>-7.0000000001080309E-3</v>
      </c>
      <c r="AM186" s="988">
        <f>AM27-AM46-AM48-AM50-AM51-AM52-AM53-AM55-AL184</f>
        <v>-0.99899999999990996</v>
      </c>
      <c r="AN186" s="988">
        <f>AN27-AN46-AN48-AN50-AN51-AN52-AN53-AN55-AM184</f>
        <v>0.81699999999979767</v>
      </c>
      <c r="AO186" s="1057">
        <f>SUM(AK186:AN186)</f>
        <v>-8.900000000014785E-2</v>
      </c>
      <c r="AP186" s="966"/>
      <c r="AQ186" s="988">
        <f>AQ27-AQ46-AQ48-AQ50-AQ51-AQ52-AQ53-AQ55-AN184</f>
        <v>-1.3670000000000098</v>
      </c>
      <c r="AR186" s="988">
        <f>AR27-AR46-AR48-AR50-AR51-AR52-AR53-AR55-AQ184</f>
        <v>-0.54499999999963755</v>
      </c>
      <c r="AS186" s="988">
        <f>AS27-AS46-AS48-AS50-AS51-AS52-AS53-AS55-AR184</f>
        <v>-3.4039999999998596</v>
      </c>
      <c r="AT186" s="988">
        <f>AT27-AT46-AT48-AT50-AT51-AT52-AT53-AT55-AS184</f>
        <v>4.6869999999999425</v>
      </c>
      <c r="AU186" s="1057">
        <f>SUM(AQ186:AT186)</f>
        <v>-0.62899999999956435</v>
      </c>
      <c r="AV186" s="966"/>
      <c r="AW186" s="988">
        <f>AW27-AW46-AW48-AW50-AW51-AW52-AW53-AW55-AT184</f>
        <v>-1.145000000000401</v>
      </c>
      <c r="AX186" s="988">
        <f>AX27-AX46-AX48-AX50-AX51-AX52-AX53-AX55-AW184</f>
        <v>9.8540000000002195</v>
      </c>
      <c r="AY186" s="988">
        <f>AY27-AY46-AY48-AY50-AY51-AY52-AY53-AY55-AX184</f>
        <v>-8.8870000000003415</v>
      </c>
      <c r="AZ186" s="988">
        <f>AZ27-AZ46-AZ48-AZ50-AZ51-AZ52-AZ53-AZ55-AY184</f>
        <v>1.6530000000002474</v>
      </c>
      <c r="BA186" s="1057">
        <f>SUM(AW186:AZ186)</f>
        <v>1.4749999999997243</v>
      </c>
      <c r="BB186" s="966"/>
      <c r="BC186" s="988">
        <f>BC27-BC46-BC48-BC50-BC51-BC52-BC53-BC55-AZ184</f>
        <v>1.5000000000005826</v>
      </c>
      <c r="BD186" s="988">
        <f>BD27-BD46-BD48-BD50-BD51-BD52-BD53-BD55-BC184</f>
        <v>7.7849999999998687</v>
      </c>
      <c r="BE186" s="988">
        <f>BE27-BE46-BE48-BE50-BE51-BE52-BE53-BE55-BD184</f>
        <v>1.1749999999996135</v>
      </c>
      <c r="BF186" s="988">
        <f>BF27-BF46-BF48-BF50-BF51-BF52-BF53-BF55-BE184</f>
        <v>-2.3109999999998934</v>
      </c>
      <c r="BG186" s="1057">
        <f>SUM(BC186:BF186)</f>
        <v>8.1490000000001714</v>
      </c>
      <c r="BH186" s="966"/>
      <c r="BI186" s="988">
        <f>BI27-BI46-BI48-BI50-BI51-BI52-BI53-BI55-BF184</f>
        <v>-6.6430000000002849</v>
      </c>
      <c r="BJ186" s="988">
        <f>BJ27-BJ46-BJ48-BJ50-BJ51-BJ52-BJ53-BJ55-BI184</f>
        <v>7.1430000000006828</v>
      </c>
      <c r="BK186" s="988">
        <f>BK27-BK46-BK48-BK50-BK51-BK52-BK53-BK55-BJ184</f>
        <v>-3.2420000000000471</v>
      </c>
      <c r="BL186" s="988">
        <f>BL27-BL46-BL48-BL50-BL51-BL52-BL53-BL55-BK184</f>
        <v>8.7059999999992499</v>
      </c>
      <c r="BM186" s="1057">
        <f>SUM(BI186:BL186)</f>
        <v>5.9639999999996007</v>
      </c>
      <c r="BN186" s="966"/>
      <c r="BO186" s="988">
        <f>BO27-BO46-BO48-BO50-BO51-BO52-BO53-BO55-BL184</f>
        <v>-2.4860000000002458</v>
      </c>
      <c r="BP186" s="988">
        <f>BP27-BP46-BP48-BP50-BP51-BP52-BP53-BP55-BO184</f>
        <v>9.5330000000004134</v>
      </c>
      <c r="BQ186" s="988">
        <f>BQ27-BQ46-BQ48-BQ50-BQ51-BQ52-BQ53-BQ55-BP184</f>
        <v>3.9190000000005227</v>
      </c>
      <c r="BR186" s="988">
        <f>BR27-BR46-BR48-BR50-BR51-BR52-BR53-BR55-BQ184</f>
        <v>-6.5120000000002278</v>
      </c>
      <c r="BS186" s="1057">
        <f>SUM(BO186:BR186)</f>
        <v>4.4540000000004625</v>
      </c>
      <c r="BT186" s="966"/>
      <c r="BU186" s="988">
        <f>BU27-BU46-BU48-BU50-BU51-BU52-BU53-BU55-BR184</f>
        <v>-3.4109999999991487</v>
      </c>
      <c r="BV186" s="988">
        <f>BV27-BV46-BV48-BV50-BV51-BV52-BV53-BV55-BU184</f>
        <v>-2.4870000000000232</v>
      </c>
      <c r="BW186" s="988">
        <f>BW27-BW46-BW48-BW50-BW51-BW52-BW53-BW55-BV184</f>
        <v>5.5669999999988988</v>
      </c>
      <c r="BX186" s="988">
        <f>BX27-BX46-BX48-BX50-BX51-BX52-BX53-BX55-BW184</f>
        <v>0.87400000000019418</v>
      </c>
      <c r="BY186" s="1057">
        <f>SUM(BU186:BX186)</f>
        <v>0.5429999999999211</v>
      </c>
      <c r="BZ186" s="966"/>
      <c r="CA186" s="988">
        <f>CA27-CA46-CA48-CA50-CA51-CA52-CA53-CA55-BX184</f>
        <v>-2.3820000000005734</v>
      </c>
      <c r="CB186" s="988">
        <f>CB27-CB46-CB48-CB50-CB51-CB52-CB53-CB55-CA184</f>
        <v>-4.1350000000003888</v>
      </c>
      <c r="CC186" s="988">
        <f>CC27-CC46-CC48-CC50-CC51-CC52-CC53-CC55-CB184</f>
        <v>-12.413999999998794</v>
      </c>
      <c r="CD186" s="988">
        <f>CD27-CD46-CD48-CD50-CD51-CD52-CD53-CD55-CC184</f>
        <v>-22.857000000000767</v>
      </c>
      <c r="CE186" s="1057">
        <f>SUM(CA186:CD186)</f>
        <v>-41.788000000000523</v>
      </c>
      <c r="CF186" s="966"/>
      <c r="CG186" s="988">
        <f>CG27-CG46-CG48-CG50-CG51-CG52-CG53-CG55-CD184</f>
        <v>-4.2439999999982092</v>
      </c>
      <c r="CH186" s="988">
        <f>CH27-CH46-CH48-CH50-CH51-CH52-CH53-CH55-CG184</f>
        <v>0.20799999999701413</v>
      </c>
      <c r="CI186" s="988">
        <f>CI27-CI46-CI48-CI50-CI51-CI52-CI53-CI55-CH184</f>
        <v>-5.1809999999970842</v>
      </c>
      <c r="CJ186" s="988">
        <f>CJ27-CJ46-CJ48-CJ50-CJ51-CJ52-CJ53-CJ55-CI184</f>
        <v>-16.592000000004191</v>
      </c>
      <c r="CK186" s="1057">
        <f>SUM(CG186:CJ186)</f>
        <v>-25.80900000000247</v>
      </c>
      <c r="CL186" s="966"/>
      <c r="CM186" s="988">
        <f>CM27-CM46-CM48-CM50-CM51-CM52-CM53-CM55-CJ184</f>
        <v>21.340000000004125</v>
      </c>
      <c r="CN186" s="988">
        <f>CN27-CN46-CN48-CN50-CN51-CN52-CN53-CN55-CM184</f>
        <v>17.362000000001274</v>
      </c>
      <c r="CO186" s="988">
        <f>CO27-CO46-CO48-CO50-CO51-CO52-CO53-CO55-CN184</f>
        <v>-51.728000000003874</v>
      </c>
      <c r="CP186" s="988">
        <f>CP27-CP46-CP48-CP50-CP51-CP52-CP53-CP55-CO184</f>
        <v>-12.89799999999974</v>
      </c>
      <c r="CQ186" s="1057">
        <f>SUM(CM186:CP186)</f>
        <v>-25.923999999998216</v>
      </c>
      <c r="CR186" s="966"/>
      <c r="CS186" s="988">
        <f>CS27-CS46-CS48-CS50-CS51-CS52-CS53-CS55-CP184</f>
        <v>85.354000000002657</v>
      </c>
      <c r="CT186" s="988">
        <f>CT27-CT46-CT48-CT50-CT51-CT52-CT53-CT55-CS184</f>
        <v>8.0219999999969787</v>
      </c>
      <c r="CU186" s="988">
        <f>CU27-CU46-CU48-CU50-CU51-CU52-CU53-CU55-CT184</f>
        <v>-13.980999999997152</v>
      </c>
      <c r="CV186" s="988">
        <f>CV27-CV46-CV48-CV50-CV51-CV52-CV53-CV55-CU184</f>
        <v>-26.828999999999894</v>
      </c>
      <c r="CW186" s="1057">
        <f>SUM(CS186:CV186)</f>
        <v>52.566000000002589</v>
      </c>
      <c r="CX186" s="966"/>
      <c r="CY186" s="988">
        <v>0</v>
      </c>
      <c r="CZ186" s="988">
        <v>0</v>
      </c>
      <c r="DA186" s="988">
        <v>0</v>
      </c>
      <c r="DB186" s="988">
        <v>0</v>
      </c>
      <c r="DC186" s="1057">
        <f>SUM(CY186:DB186)</f>
        <v>0</v>
      </c>
      <c r="DD186" s="966"/>
      <c r="DE186" s="988">
        <v>0</v>
      </c>
      <c r="DF186" s="988">
        <v>0</v>
      </c>
      <c r="DG186" s="988">
        <v>0</v>
      </c>
      <c r="DH186" s="988">
        <v>0</v>
      </c>
      <c r="DI186" s="1057">
        <f>SUM(DE186:DH186)</f>
        <v>0</v>
      </c>
      <c r="DJ186" s="966"/>
      <c r="DK186" s="988">
        <v>0</v>
      </c>
      <c r="DL186" s="988">
        <v>0</v>
      </c>
      <c r="DM186" s="988">
        <v>0</v>
      </c>
      <c r="DN186" s="988">
        <v>0</v>
      </c>
      <c r="DO186" s="1057">
        <f>SUM(DK186:DN186)</f>
        <v>0</v>
      </c>
      <c r="DP186" s="988"/>
      <c r="DQ186" s="966"/>
    </row>
    <row r="187" spans="1:121" ht="12.75" hidden="1" customHeight="1" outlineLevel="1">
      <c r="A187" s="1108" t="s">
        <v>989</v>
      </c>
      <c r="B187" s="966"/>
      <c r="C187" s="966"/>
      <c r="D187" s="966"/>
      <c r="E187" s="966"/>
      <c r="F187" s="966"/>
      <c r="G187" s="966"/>
      <c r="H187" s="966"/>
      <c r="I187" s="966"/>
      <c r="J187" s="966"/>
      <c r="K187" s="966"/>
      <c r="L187" s="966"/>
      <c r="M187" s="988">
        <v>0</v>
      </c>
      <c r="N187" s="988">
        <v>0</v>
      </c>
      <c r="O187" s="988">
        <v>0</v>
      </c>
      <c r="P187" s="988">
        <v>0</v>
      </c>
      <c r="Q187" s="988">
        <f>SUM(M187:P187)</f>
        <v>0</v>
      </c>
      <c r="R187" s="966"/>
      <c r="S187" s="988">
        <v>0</v>
      </c>
      <c r="T187" s="988">
        <v>0</v>
      </c>
      <c r="U187" s="988">
        <v>0</v>
      </c>
      <c r="V187" s="988">
        <v>0</v>
      </c>
      <c r="W187" s="988">
        <f>SUM(S187:V187)</f>
        <v>0</v>
      </c>
      <c r="X187" s="966"/>
      <c r="Y187" s="988">
        <v>0</v>
      </c>
      <c r="Z187" s="988">
        <v>0</v>
      </c>
      <c r="AA187" s="988">
        <v>0</v>
      </c>
      <c r="AB187" s="988">
        <v>0</v>
      </c>
      <c r="AC187" s="1057">
        <f>SUM(Y187:AB187)</f>
        <v>0</v>
      </c>
      <c r="AD187" s="966"/>
      <c r="AE187" s="988">
        <v>0</v>
      </c>
      <c r="AF187" s="988">
        <v>0</v>
      </c>
      <c r="AG187" s="988">
        <v>0</v>
      </c>
      <c r="AH187" s="988">
        <v>0</v>
      </c>
      <c r="AI187" s="1057">
        <f>SUM(AE187:AH187)</f>
        <v>0</v>
      </c>
      <c r="AJ187" s="966"/>
      <c r="AK187" s="988">
        <v>0</v>
      </c>
      <c r="AL187" s="988">
        <v>0</v>
      </c>
      <c r="AM187" s="988">
        <v>0</v>
      </c>
      <c r="AN187" s="988">
        <v>0</v>
      </c>
      <c r="AO187" s="1057">
        <f>SUM(AK187:AN187)</f>
        <v>0</v>
      </c>
      <c r="AP187" s="966"/>
      <c r="AQ187" s="988">
        <v>0</v>
      </c>
      <c r="AR187" s="988">
        <v>0</v>
      </c>
      <c r="AS187" s="988">
        <v>0</v>
      </c>
      <c r="AT187" s="988">
        <v>0</v>
      </c>
      <c r="AU187" s="1057">
        <f>SUM(AQ187:AT187)</f>
        <v>0</v>
      </c>
      <c r="AV187" s="966"/>
      <c r="AW187" s="988">
        <v>0</v>
      </c>
      <c r="AX187" s="988">
        <v>0</v>
      </c>
      <c r="AY187" s="988">
        <v>0</v>
      </c>
      <c r="AZ187" s="988">
        <v>0</v>
      </c>
      <c r="BA187" s="1057">
        <f>SUM(AW187:AZ187)</f>
        <v>0</v>
      </c>
      <c r="BB187" s="966"/>
      <c r="BC187" s="988">
        <v>0</v>
      </c>
      <c r="BD187" s="988">
        <v>0</v>
      </c>
      <c r="BE187" s="988">
        <v>0</v>
      </c>
      <c r="BF187" s="988">
        <v>0</v>
      </c>
      <c r="BG187" s="1057">
        <f>SUM(BC187:BF187)</f>
        <v>0</v>
      </c>
      <c r="BH187" s="966"/>
      <c r="BI187" s="988">
        <v>0</v>
      </c>
      <c r="BJ187" s="988">
        <v>0</v>
      </c>
      <c r="BK187" s="988">
        <v>0</v>
      </c>
      <c r="BL187" s="988">
        <v>0</v>
      </c>
      <c r="BM187" s="1057">
        <f>SUM(BI187:BL187)</f>
        <v>0</v>
      </c>
      <c r="BN187" s="966"/>
      <c r="BO187" s="988">
        <v>0</v>
      </c>
      <c r="BP187" s="988">
        <v>0</v>
      </c>
      <c r="BQ187" s="988">
        <v>0</v>
      </c>
      <c r="BR187" s="988">
        <v>0</v>
      </c>
      <c r="BS187" s="1057">
        <f>SUM(BO187:BR187)</f>
        <v>0</v>
      </c>
      <c r="BT187" s="966"/>
      <c r="BU187" s="988">
        <v>0</v>
      </c>
      <c r="BV187" s="988">
        <v>0</v>
      </c>
      <c r="BW187" s="988">
        <v>0</v>
      </c>
      <c r="BX187" s="988">
        <v>0</v>
      </c>
      <c r="BY187" s="1057">
        <f>SUM(BU187:BX187)</f>
        <v>0</v>
      </c>
      <c r="BZ187" s="966"/>
      <c r="CA187" s="988">
        <v>0</v>
      </c>
      <c r="CB187" s="988">
        <v>0</v>
      </c>
      <c r="CC187" s="988">
        <v>0</v>
      </c>
      <c r="CD187" s="988">
        <v>0</v>
      </c>
      <c r="CE187" s="1057">
        <f>SUM(CA187:CD187)</f>
        <v>0</v>
      </c>
      <c r="CF187" s="966"/>
      <c r="CG187" s="988">
        <v>0</v>
      </c>
      <c r="CH187" s="988">
        <v>0</v>
      </c>
      <c r="CI187" s="988">
        <v>0</v>
      </c>
      <c r="CJ187" s="988">
        <v>0</v>
      </c>
      <c r="CK187" s="1057">
        <f>SUM(CG187:CJ187)</f>
        <v>0</v>
      </c>
      <c r="CL187" s="966"/>
      <c r="CM187" s="988">
        <v>0</v>
      </c>
      <c r="CN187" s="988">
        <v>0</v>
      </c>
      <c r="CO187" s="988">
        <v>0</v>
      </c>
      <c r="CP187" s="988">
        <v>0</v>
      </c>
      <c r="CQ187" s="1057">
        <f>SUM(CM187:CP187)</f>
        <v>0</v>
      </c>
      <c r="CR187" s="966"/>
      <c r="CS187" s="988">
        <v>0</v>
      </c>
      <c r="CT187" s="988">
        <v>0</v>
      </c>
      <c r="CU187" s="988">
        <v>0</v>
      </c>
      <c r="CV187" s="988">
        <v>0</v>
      </c>
      <c r="CW187" s="1057">
        <f>SUM(CS187:CV187)</f>
        <v>0</v>
      </c>
      <c r="CX187" s="966"/>
      <c r="CY187" s="988">
        <v>0</v>
      </c>
      <c r="CZ187" s="988">
        <v>0</v>
      </c>
      <c r="DA187" s="988">
        <v>0</v>
      </c>
      <c r="DB187" s="988">
        <v>0</v>
      </c>
      <c r="DC187" s="1057">
        <f>SUM(CY187:DB187)</f>
        <v>0</v>
      </c>
      <c r="DD187" s="966"/>
      <c r="DE187" s="988">
        <v>0</v>
      </c>
      <c r="DF187" s="988">
        <v>0</v>
      </c>
      <c r="DG187" s="988">
        <v>0</v>
      </c>
      <c r="DH187" s="988">
        <v>0</v>
      </c>
      <c r="DI187" s="1057">
        <f>SUM(DE187:DH187)</f>
        <v>0</v>
      </c>
      <c r="DJ187" s="966"/>
      <c r="DK187" s="988">
        <v>0</v>
      </c>
      <c r="DL187" s="988">
        <v>0</v>
      </c>
      <c r="DM187" s="988">
        <v>0</v>
      </c>
      <c r="DN187" s="988">
        <v>0</v>
      </c>
      <c r="DO187" s="1057">
        <f>SUM(DK187:DN187)</f>
        <v>0</v>
      </c>
      <c r="DP187" s="988"/>
      <c r="DQ187" s="966"/>
    </row>
    <row r="188" spans="1:121" ht="12.75" hidden="1" customHeight="1" outlineLevel="1">
      <c r="A188" s="1108"/>
      <c r="B188" s="966"/>
      <c r="C188" s="966"/>
      <c r="D188" s="966"/>
      <c r="E188" s="966"/>
      <c r="F188" s="966"/>
      <c r="G188" s="966"/>
      <c r="H188" s="966"/>
      <c r="I188" s="966"/>
      <c r="J188" s="966"/>
      <c r="K188" s="966"/>
      <c r="L188" s="966"/>
      <c r="M188" s="1248"/>
      <c r="N188" s="1248"/>
      <c r="O188" s="1248"/>
      <c r="P188" s="1248"/>
      <c r="Q188" s="1248"/>
      <c r="R188" s="966"/>
      <c r="S188" s="1248"/>
      <c r="T188" s="1248"/>
      <c r="U188" s="1248"/>
      <c r="V188" s="1248"/>
      <c r="W188" s="1248"/>
      <c r="X188" s="966"/>
      <c r="Y188" s="1248"/>
      <c r="Z188" s="1248"/>
      <c r="AA188" s="1248"/>
      <c r="AB188" s="1248"/>
      <c r="AC188" s="1249"/>
      <c r="AD188" s="966"/>
      <c r="AE188" s="966"/>
      <c r="AF188" s="966"/>
      <c r="AG188" s="966"/>
      <c r="AH188" s="966"/>
      <c r="AI188" s="1104"/>
      <c r="AJ188" s="966"/>
      <c r="AK188" s="966"/>
      <c r="AL188" s="966"/>
      <c r="AM188" s="966"/>
      <c r="AN188" s="966"/>
      <c r="AO188" s="1104"/>
      <c r="AP188" s="966"/>
      <c r="AQ188" s="966"/>
      <c r="AR188" s="966"/>
      <c r="AS188" s="966"/>
      <c r="AT188" s="966"/>
      <c r="AU188" s="1104"/>
      <c r="AV188" s="966"/>
      <c r="AW188" s="966"/>
      <c r="AX188" s="966"/>
      <c r="AY188" s="966"/>
      <c r="AZ188" s="966"/>
      <c r="BA188" s="1104"/>
      <c r="BB188" s="966"/>
      <c r="BC188" s="966"/>
      <c r="BD188" s="966"/>
      <c r="BE188" s="966"/>
      <c r="BF188" s="966"/>
      <c r="BG188" s="1104"/>
      <c r="BH188" s="966"/>
      <c r="BI188" s="966"/>
      <c r="BJ188" s="966"/>
      <c r="BK188" s="966"/>
      <c r="BL188" s="966"/>
      <c r="BM188" s="1104"/>
      <c r="BN188" s="966"/>
      <c r="BO188" s="966"/>
      <c r="BP188" s="966"/>
      <c r="BQ188" s="966"/>
      <c r="BR188" s="966"/>
      <c r="BS188" s="1104"/>
      <c r="BT188" s="966"/>
      <c r="BU188" s="966"/>
      <c r="BV188" s="966"/>
      <c r="BW188" s="966"/>
      <c r="BX188" s="966"/>
      <c r="BY188" s="1104"/>
      <c r="BZ188" s="966"/>
      <c r="CA188" s="966"/>
      <c r="CB188" s="966"/>
      <c r="CC188" s="966"/>
      <c r="CD188" s="966"/>
      <c r="CE188" s="1104"/>
      <c r="CF188" s="966"/>
      <c r="CG188" s="966"/>
      <c r="CH188" s="966"/>
      <c r="CI188" s="966"/>
      <c r="CJ188" s="966"/>
      <c r="CK188" s="1104"/>
      <c r="CL188" s="966"/>
      <c r="CM188" s="966"/>
      <c r="CN188" s="966"/>
      <c r="CO188" s="966"/>
      <c r="CP188" s="966"/>
      <c r="CQ188" s="1104"/>
      <c r="CR188" s="966"/>
      <c r="CS188" s="966"/>
      <c r="CT188" s="966"/>
      <c r="CU188" s="966"/>
      <c r="CV188" s="966"/>
      <c r="CW188" s="1104"/>
      <c r="CX188" s="966"/>
      <c r="CY188" s="966"/>
      <c r="CZ188" s="966"/>
      <c r="DA188" s="966"/>
      <c r="DB188" s="966"/>
      <c r="DC188" s="1104"/>
      <c r="DD188" s="966"/>
      <c r="DE188" s="966"/>
      <c r="DF188" s="966"/>
      <c r="DG188" s="966"/>
      <c r="DH188" s="966"/>
      <c r="DI188" s="1104"/>
      <c r="DJ188" s="966"/>
      <c r="DK188" s="966"/>
      <c r="DL188" s="966"/>
      <c r="DM188" s="966"/>
      <c r="DN188" s="966"/>
      <c r="DO188" s="1104"/>
      <c r="DP188" s="1692"/>
      <c r="DQ188" s="966"/>
    </row>
    <row r="189" spans="1:121" collapsed="1">
      <c r="A189" s="966"/>
      <c r="B189" s="966"/>
      <c r="C189" s="966"/>
      <c r="D189" s="966"/>
      <c r="E189" s="966"/>
      <c r="F189" s="966"/>
      <c r="G189" s="966"/>
      <c r="H189" s="966"/>
      <c r="I189" s="966"/>
      <c r="J189" s="966"/>
      <c r="K189" s="966"/>
      <c r="L189" s="966"/>
      <c r="M189" s="966"/>
      <c r="N189" s="966"/>
      <c r="O189" s="966"/>
      <c r="P189" s="966"/>
      <c r="Q189" s="966"/>
      <c r="R189" s="966"/>
      <c r="S189" s="966"/>
      <c r="T189" s="966"/>
      <c r="U189" s="966"/>
      <c r="V189" s="966"/>
      <c r="W189" s="966"/>
      <c r="X189" s="966"/>
      <c r="Y189" s="966"/>
      <c r="Z189" s="966"/>
      <c r="AA189" s="966"/>
      <c r="AB189" s="966"/>
      <c r="AC189" s="966"/>
      <c r="AD189" s="966"/>
      <c r="AE189" s="966"/>
      <c r="AF189" s="966"/>
      <c r="AG189" s="966"/>
      <c r="AH189" s="966"/>
      <c r="AI189" s="966"/>
      <c r="AJ189" s="966"/>
      <c r="AK189" s="966"/>
      <c r="AL189" s="966"/>
      <c r="AM189" s="966"/>
      <c r="AN189" s="966"/>
      <c r="AO189" s="966"/>
      <c r="AP189" s="966"/>
      <c r="AQ189" s="966"/>
      <c r="AR189" s="966"/>
      <c r="AS189" s="966"/>
      <c r="AT189" s="966"/>
      <c r="AU189" s="966"/>
      <c r="AV189" s="966"/>
      <c r="AW189" s="966"/>
      <c r="AX189" s="966"/>
      <c r="AY189" s="966"/>
      <c r="AZ189" s="966"/>
      <c r="BA189" s="966"/>
      <c r="BB189" s="966"/>
      <c r="BC189" s="966"/>
      <c r="BD189" s="966"/>
      <c r="BE189" s="966"/>
      <c r="BF189" s="966"/>
      <c r="BG189" s="966"/>
      <c r="BH189" s="966"/>
      <c r="BI189" s="966"/>
      <c r="BJ189" s="966"/>
      <c r="BK189" s="966"/>
      <c r="BL189" s="966"/>
      <c r="BM189" s="966"/>
      <c r="BN189" s="966"/>
      <c r="BO189" s="966"/>
      <c r="BP189" s="966"/>
      <c r="BQ189" s="966"/>
      <c r="BR189" s="966"/>
      <c r="BS189" s="966"/>
      <c r="BT189" s="966"/>
      <c r="BU189" s="966"/>
      <c r="BV189" s="966"/>
      <c r="BW189" s="966"/>
      <c r="BX189" s="966"/>
      <c r="BY189" s="966"/>
      <c r="BZ189" s="966"/>
      <c r="CA189" s="966"/>
      <c r="CB189" s="966"/>
      <c r="CC189" s="966"/>
      <c r="CD189" s="966"/>
      <c r="CE189" s="966"/>
      <c r="CF189" s="966"/>
      <c r="CG189" s="966"/>
      <c r="CH189" s="966"/>
      <c r="CI189" s="966"/>
      <c r="CJ189" s="966"/>
      <c r="CK189" s="966"/>
      <c r="CL189" s="966"/>
      <c r="CM189" s="966"/>
      <c r="CN189" s="966"/>
      <c r="CO189" s="966"/>
      <c r="CP189" s="966"/>
      <c r="CQ189" s="966"/>
      <c r="CR189" s="966"/>
      <c r="CS189" s="966"/>
      <c r="CT189" s="966"/>
      <c r="CU189" s="966"/>
      <c r="CV189" s="966"/>
      <c r="CW189" s="966"/>
      <c r="CX189" s="966"/>
      <c r="CY189" s="966"/>
      <c r="CZ189" s="966"/>
      <c r="DA189" s="966"/>
      <c r="DB189" s="966"/>
      <c r="DC189" s="966"/>
      <c r="DD189" s="966"/>
      <c r="DE189" s="966"/>
      <c r="DF189" s="966"/>
      <c r="DG189" s="966"/>
      <c r="DH189" s="966"/>
      <c r="DI189" s="966"/>
      <c r="DJ189" s="966"/>
      <c r="DK189" s="966"/>
      <c r="DL189" s="966"/>
      <c r="DM189" s="966"/>
      <c r="DN189" s="966"/>
      <c r="DO189" s="966"/>
      <c r="DP189" s="966"/>
      <c r="DQ189" s="966"/>
    </row>
    <row r="190" spans="1:121" ht="18.75">
      <c r="A190" s="1250" t="s">
        <v>830</v>
      </c>
      <c r="B190" s="973"/>
      <c r="C190" s="973"/>
      <c r="D190" s="973"/>
      <c r="E190" s="973"/>
      <c r="F190" s="973"/>
      <c r="G190" s="973"/>
      <c r="H190" s="973"/>
      <c r="I190" s="973"/>
      <c r="J190" s="973"/>
      <c r="K190" s="973"/>
      <c r="L190" s="973"/>
      <c r="M190" s="973"/>
      <c r="N190" s="973"/>
      <c r="O190" s="973"/>
      <c r="P190" s="973"/>
      <c r="Q190" s="973"/>
      <c r="R190" s="973"/>
      <c r="S190" s="973"/>
      <c r="T190" s="973"/>
      <c r="U190" s="973"/>
      <c r="V190" s="973"/>
      <c r="W190" s="973"/>
      <c r="X190" s="973"/>
      <c r="Y190" s="973"/>
      <c r="Z190" s="973"/>
      <c r="AA190" s="973"/>
      <c r="AB190" s="973"/>
      <c r="AC190" s="973"/>
      <c r="AD190" s="973"/>
      <c r="AE190" s="973"/>
      <c r="AF190" s="973"/>
      <c r="AG190" s="973"/>
      <c r="AH190" s="973"/>
      <c r="AI190" s="973"/>
      <c r="AJ190" s="973"/>
      <c r="AK190" s="973"/>
      <c r="AL190" s="973"/>
      <c r="AM190" s="973"/>
      <c r="AN190" s="973"/>
      <c r="AO190" s="973"/>
      <c r="AP190" s="973"/>
      <c r="AQ190" s="973"/>
      <c r="AR190" s="973"/>
      <c r="AS190" s="973"/>
      <c r="AT190" s="973"/>
      <c r="AU190" s="973"/>
      <c r="AV190" s="973"/>
      <c r="AW190" s="973"/>
      <c r="AX190" s="973"/>
      <c r="AY190" s="973"/>
      <c r="AZ190" s="973"/>
      <c r="BA190" s="973"/>
      <c r="BB190" s="973"/>
      <c r="BC190" s="973"/>
      <c r="BD190" s="973"/>
      <c r="BE190" s="973"/>
      <c r="BF190" s="973"/>
      <c r="BG190" s="973"/>
      <c r="BH190" s="973"/>
      <c r="BI190" s="973"/>
      <c r="BJ190" s="973"/>
      <c r="BK190" s="973"/>
      <c r="BL190" s="973"/>
      <c r="BM190" s="973"/>
      <c r="BN190" s="973"/>
      <c r="BO190" s="973"/>
      <c r="BP190" s="973"/>
      <c r="BQ190" s="973"/>
      <c r="BR190" s="973"/>
      <c r="BS190" s="973"/>
      <c r="BT190" s="973"/>
      <c r="BU190" s="973"/>
      <c r="BV190" s="973"/>
      <c r="BW190" s="973"/>
      <c r="BX190" s="973"/>
      <c r="BY190" s="973"/>
      <c r="BZ190" s="973"/>
      <c r="CA190" s="973"/>
      <c r="CB190" s="973"/>
      <c r="CC190" s="973"/>
      <c r="CD190" s="973"/>
      <c r="CE190" s="973"/>
      <c r="CF190" s="973"/>
      <c r="CG190" s="973"/>
      <c r="CH190" s="973"/>
      <c r="CI190" s="973"/>
      <c r="CJ190" s="973"/>
      <c r="CK190" s="973"/>
      <c r="CL190" s="973"/>
      <c r="CM190" s="973"/>
      <c r="CN190" s="973"/>
      <c r="CO190" s="973"/>
      <c r="CP190" s="973"/>
      <c r="CQ190" s="973"/>
      <c r="CR190" s="973"/>
      <c r="CS190" s="973"/>
      <c r="CT190" s="973"/>
      <c r="CU190" s="973"/>
      <c r="CV190" s="973"/>
      <c r="CW190" s="973"/>
      <c r="CX190" s="973"/>
      <c r="CY190" s="973"/>
      <c r="CZ190" s="973"/>
      <c r="DA190" s="973"/>
      <c r="DB190" s="973"/>
      <c r="DC190" s="973"/>
      <c r="DD190" s="973"/>
      <c r="DE190" s="973"/>
      <c r="DF190" s="973"/>
      <c r="DG190" s="973"/>
      <c r="DH190" s="973"/>
      <c r="DI190" s="973"/>
      <c r="DJ190" s="973"/>
      <c r="DK190" s="973"/>
      <c r="DL190" s="973"/>
      <c r="DM190" s="973"/>
      <c r="DN190" s="973"/>
      <c r="DO190" s="973"/>
      <c r="DP190" s="973"/>
      <c r="DQ190" s="973"/>
    </row>
    <row r="191" spans="1:121" ht="12.75" hidden="1" customHeight="1" outlineLevel="1">
      <c r="A191" s="966"/>
      <c r="B191" s="966"/>
      <c r="C191" s="966"/>
      <c r="D191" s="966"/>
      <c r="E191" s="966"/>
      <c r="F191" s="966"/>
      <c r="G191" s="966"/>
      <c r="H191" s="966"/>
      <c r="I191" s="966"/>
      <c r="J191" s="966"/>
      <c r="K191" s="966"/>
      <c r="L191" s="966"/>
      <c r="M191" s="966"/>
      <c r="N191" s="966"/>
      <c r="O191" s="966"/>
      <c r="P191" s="966"/>
      <c r="Q191" s="966"/>
      <c r="R191" s="966"/>
      <c r="S191" s="966"/>
      <c r="T191" s="966"/>
      <c r="U191" s="966"/>
      <c r="V191" s="966"/>
      <c r="W191" s="966"/>
      <c r="X191" s="966"/>
      <c r="Y191" s="966"/>
      <c r="Z191" s="966"/>
      <c r="AA191" s="966"/>
      <c r="AB191" s="966"/>
      <c r="AC191" s="966"/>
      <c r="AD191" s="966"/>
      <c r="AE191" s="966"/>
      <c r="AF191" s="966"/>
      <c r="AG191" s="966"/>
      <c r="AH191" s="966"/>
      <c r="AI191" s="966"/>
      <c r="AJ191" s="966"/>
      <c r="AK191" s="966"/>
      <c r="AL191" s="966"/>
      <c r="AM191" s="966"/>
      <c r="AN191" s="966"/>
      <c r="AO191" s="966"/>
      <c r="AP191" s="966"/>
      <c r="AQ191" s="966"/>
      <c r="AR191" s="966"/>
      <c r="AS191" s="966"/>
      <c r="AT191" s="966"/>
      <c r="AU191" s="966"/>
      <c r="AV191" s="966"/>
      <c r="AW191" s="966"/>
      <c r="AX191" s="966"/>
      <c r="AY191" s="966"/>
      <c r="AZ191" s="966"/>
      <c r="BA191" s="966"/>
      <c r="BB191" s="966"/>
      <c r="BC191" s="966"/>
      <c r="BD191" s="966"/>
      <c r="BE191" s="966"/>
      <c r="BF191" s="966"/>
      <c r="BG191" s="966"/>
      <c r="BH191" s="966"/>
      <c r="BI191" s="966"/>
      <c r="BJ191" s="966"/>
      <c r="BK191" s="966"/>
      <c r="BL191" s="966"/>
      <c r="BM191" s="966"/>
      <c r="BN191" s="966"/>
      <c r="BO191" s="966"/>
      <c r="BP191" s="966"/>
      <c r="BQ191" s="966"/>
      <c r="BR191" s="966"/>
      <c r="BS191" s="966"/>
      <c r="BT191" s="966"/>
      <c r="BU191" s="966"/>
      <c r="BV191" s="966"/>
      <c r="BW191" s="966"/>
      <c r="BX191" s="966"/>
      <c r="BY191" s="966"/>
      <c r="BZ191" s="966"/>
      <c r="CA191" s="966"/>
      <c r="CB191" s="966"/>
      <c r="CC191" s="966"/>
      <c r="CD191" s="966"/>
      <c r="CE191" s="966"/>
      <c r="CF191" s="966"/>
      <c r="CG191" s="966"/>
      <c r="CH191" s="966"/>
      <c r="CI191" s="966"/>
      <c r="CJ191" s="966"/>
      <c r="CK191" s="966"/>
      <c r="CL191" s="966"/>
      <c r="CM191" s="966"/>
      <c r="CN191" s="966"/>
      <c r="CO191" s="966"/>
      <c r="CP191" s="966"/>
      <c r="CQ191" s="966"/>
      <c r="CR191" s="966"/>
      <c r="CS191" s="966"/>
      <c r="CT191" s="966"/>
      <c r="CU191" s="966"/>
      <c r="CV191" s="966"/>
      <c r="CW191" s="966"/>
      <c r="CX191" s="966"/>
      <c r="CY191" s="966"/>
      <c r="CZ191" s="966"/>
      <c r="DA191" s="966"/>
      <c r="DB191" s="966"/>
      <c r="DC191" s="966"/>
      <c r="DD191" s="966"/>
      <c r="DE191" s="966"/>
      <c r="DF191" s="966"/>
      <c r="DG191" s="966"/>
      <c r="DH191" s="966"/>
      <c r="DI191" s="966"/>
      <c r="DJ191" s="966"/>
      <c r="DK191" s="966"/>
      <c r="DL191" s="966"/>
      <c r="DM191" s="966"/>
      <c r="DN191" s="966"/>
      <c r="DO191" s="966"/>
      <c r="DP191" s="966"/>
      <c r="DQ191" s="966"/>
    </row>
    <row r="192" spans="1:121" ht="12.75" hidden="1" customHeight="1" outlineLevel="1">
      <c r="A192" s="966" t="s">
        <v>714</v>
      </c>
      <c r="B192" s="966"/>
      <c r="C192" s="966"/>
      <c r="D192" s="966"/>
      <c r="E192" s="966">
        <f>Model!E84</f>
        <v>-20.952000000000002</v>
      </c>
      <c r="F192" s="966"/>
      <c r="G192" s="966"/>
      <c r="H192" s="966"/>
      <c r="I192" s="966"/>
      <c r="J192" s="966"/>
      <c r="K192" s="966">
        <f>Model!K84</f>
        <v>-9.7160000000000011</v>
      </c>
      <c r="L192" s="966"/>
      <c r="M192" s="1098">
        <f>Model!M84</f>
        <v>0.36800000000000127</v>
      </c>
      <c r="N192" s="1098">
        <f>Model!N84</f>
        <v>0.12200000000000036</v>
      </c>
      <c r="O192" s="1098">
        <f>Model!O84</f>
        <v>-9.9566444801471018E-2</v>
      </c>
      <c r="P192" s="1098">
        <f>Model!P84</f>
        <v>0.13199999999999867</v>
      </c>
      <c r="Q192" s="1098">
        <f>Model!Q84</f>
        <v>0.5224335551985293</v>
      </c>
      <c r="R192" s="966"/>
      <c r="S192" s="1098">
        <f>Model!S84</f>
        <v>0.43700000000000067</v>
      </c>
      <c r="T192" s="1098">
        <f>Model!T84</f>
        <v>1.1700000000000135</v>
      </c>
      <c r="U192" s="1098">
        <f>Model!U84</f>
        <v>2.1530000000000031</v>
      </c>
      <c r="V192" s="1098">
        <f>Model!V84</f>
        <v>3.5859999999999963</v>
      </c>
      <c r="W192" s="1098">
        <f>Model!W84</f>
        <v>7.3460000000000125</v>
      </c>
      <c r="X192" s="966"/>
      <c r="Y192" s="1023">
        <f>Model!Y84</f>
        <v>4.1519999999999992</v>
      </c>
      <c r="Z192" s="1023">
        <f>Model!Z84</f>
        <v>5.0399999999999974</v>
      </c>
      <c r="AA192" s="1023">
        <f>Model!AA84</f>
        <v>6.3279999999999852</v>
      </c>
      <c r="AB192" s="1023">
        <f>Model!AB84</f>
        <v>5.9569999999999803</v>
      </c>
      <c r="AC192" s="1023">
        <f>Model!AC84</f>
        <v>21.476999999999965</v>
      </c>
      <c r="AD192" s="966"/>
      <c r="AE192" s="966"/>
      <c r="AF192" s="966"/>
      <c r="AG192" s="966"/>
      <c r="AH192" s="966"/>
      <c r="AI192" s="966"/>
      <c r="AJ192" s="966"/>
      <c r="AK192" s="966"/>
      <c r="AL192" s="966"/>
      <c r="AM192" s="966"/>
      <c r="AN192" s="966"/>
      <c r="AO192" s="966"/>
      <c r="AP192" s="966"/>
      <c r="AQ192" s="966"/>
      <c r="AR192" s="966"/>
      <c r="AS192" s="966"/>
      <c r="AT192" s="966"/>
      <c r="AU192" s="966"/>
      <c r="AV192" s="966"/>
      <c r="AW192" s="966"/>
      <c r="AX192" s="966"/>
      <c r="AY192" s="966"/>
      <c r="AZ192" s="966"/>
      <c r="BA192" s="966"/>
      <c r="BB192" s="966"/>
      <c r="BC192" s="966"/>
      <c r="BD192" s="966"/>
      <c r="BE192" s="966"/>
      <c r="BF192" s="966"/>
      <c r="BG192" s="966"/>
      <c r="BH192" s="966"/>
      <c r="BI192" s="966"/>
      <c r="BJ192" s="966"/>
      <c r="BK192" s="966"/>
      <c r="BL192" s="966"/>
      <c r="BM192" s="966"/>
      <c r="BN192" s="966"/>
      <c r="BO192" s="966"/>
      <c r="BP192" s="966"/>
      <c r="BQ192" s="966"/>
      <c r="BR192" s="966"/>
      <c r="BS192" s="966"/>
      <c r="BT192" s="966"/>
      <c r="BU192" s="966"/>
      <c r="BV192" s="966"/>
      <c r="BW192" s="966"/>
      <c r="BX192" s="966"/>
      <c r="BY192" s="966"/>
      <c r="BZ192" s="966"/>
      <c r="CA192" s="966"/>
      <c r="CB192" s="966"/>
      <c r="CC192" s="966"/>
      <c r="CD192" s="966"/>
      <c r="CE192" s="966"/>
      <c r="CF192" s="966"/>
      <c r="CG192" s="966"/>
      <c r="CH192" s="966"/>
      <c r="CI192" s="966"/>
      <c r="CJ192" s="966"/>
      <c r="CK192" s="966"/>
      <c r="CL192" s="966"/>
      <c r="CM192" s="966"/>
      <c r="CN192" s="966"/>
      <c r="CO192" s="966"/>
      <c r="CP192" s="966"/>
      <c r="CQ192" s="966"/>
      <c r="CR192" s="966"/>
      <c r="CS192" s="966"/>
      <c r="CT192" s="966"/>
      <c r="CU192" s="966"/>
      <c r="CV192" s="966"/>
      <c r="CW192" s="966"/>
      <c r="CX192" s="966"/>
      <c r="CY192" s="966"/>
      <c r="CZ192" s="966"/>
      <c r="DA192" s="966"/>
      <c r="DB192" s="966"/>
      <c r="DC192" s="966"/>
      <c r="DD192" s="966"/>
      <c r="DE192" s="966"/>
      <c r="DF192" s="966"/>
      <c r="DG192" s="966"/>
      <c r="DH192" s="966"/>
      <c r="DI192" s="966"/>
      <c r="DJ192" s="966"/>
      <c r="DK192" s="966"/>
      <c r="DL192" s="966"/>
      <c r="DM192" s="966"/>
      <c r="DN192" s="966"/>
      <c r="DO192" s="966"/>
      <c r="DP192" s="966"/>
      <c r="DQ192" s="966"/>
    </row>
    <row r="193" spans="1:121" ht="12.75" hidden="1" customHeight="1" outlineLevel="1">
      <c r="A193" s="966" t="s">
        <v>398</v>
      </c>
      <c r="B193" s="966"/>
      <c r="C193" s="966"/>
      <c r="D193" s="966"/>
      <c r="E193" s="966">
        <f>Model!E106</f>
        <v>-28.609000000000002</v>
      </c>
      <c r="F193" s="966"/>
      <c r="G193" s="966"/>
      <c r="H193" s="966"/>
      <c r="I193" s="966"/>
      <c r="J193" s="966"/>
      <c r="K193" s="966">
        <f>Model!K106</f>
        <v>-9.7160000000000011</v>
      </c>
      <c r="L193" s="966"/>
      <c r="M193" s="1098">
        <f>Model!M106</f>
        <v>0.36800000000000127</v>
      </c>
      <c r="N193" s="1098">
        <f>Model!N106</f>
        <v>0.12200000000000036</v>
      </c>
      <c r="O193" s="1098">
        <f>Model!O106</f>
        <v>3.7889999999999975</v>
      </c>
      <c r="P193" s="1098">
        <f>Model!P106</f>
        <v>-0.76500000000000135</v>
      </c>
      <c r="Q193" s="1098">
        <f>Model!Q106</f>
        <v>3.5139999999999976</v>
      </c>
      <c r="R193" s="966"/>
      <c r="S193" s="1098">
        <f>Model!S106</f>
        <v>0.43700000000000067</v>
      </c>
      <c r="T193" s="1098">
        <f>Model!T106</f>
        <v>1.1700000000000135</v>
      </c>
      <c r="U193" s="1098">
        <f>Model!U106</f>
        <v>2.1530000000000031</v>
      </c>
      <c r="V193" s="1098">
        <f>Model!V106</f>
        <v>3.5859999999999963</v>
      </c>
      <c r="W193" s="1098">
        <f>Model!W106</f>
        <v>7.3460000000000143</v>
      </c>
      <c r="X193" s="966"/>
      <c r="Y193" s="1023">
        <f>Model!Y106</f>
        <v>4.38</v>
      </c>
      <c r="Z193" s="1023">
        <f>Model!Z106</f>
        <v>5.0399999999999974</v>
      </c>
      <c r="AA193" s="1023">
        <f>Model!AA106</f>
        <v>13.096999999999985</v>
      </c>
      <c r="AB193" s="1023">
        <f>Model!AB106</f>
        <v>5.9569999999999803</v>
      </c>
      <c r="AC193" s="1023">
        <f>Model!AC106</f>
        <v>28.473999999999961</v>
      </c>
      <c r="AD193" s="966"/>
      <c r="AE193" s="966"/>
      <c r="AF193" s="966"/>
      <c r="AG193" s="966"/>
      <c r="AH193" s="966"/>
      <c r="AI193" s="966"/>
      <c r="AJ193" s="966"/>
      <c r="AK193" s="966"/>
      <c r="AL193" s="966"/>
      <c r="AM193" s="966"/>
      <c r="AN193" s="966"/>
      <c r="AO193" s="966"/>
      <c r="AP193" s="966"/>
      <c r="AQ193" s="966"/>
      <c r="AR193" s="966"/>
      <c r="AS193" s="966"/>
      <c r="AT193" s="966"/>
      <c r="AU193" s="966"/>
      <c r="AV193" s="966"/>
      <c r="AW193" s="966"/>
      <c r="AX193" s="966"/>
      <c r="AY193" s="966"/>
      <c r="AZ193" s="966"/>
      <c r="BA193" s="966"/>
      <c r="BB193" s="966"/>
      <c r="BC193" s="966"/>
      <c r="BD193" s="966"/>
      <c r="BE193" s="966"/>
      <c r="BF193" s="966"/>
      <c r="BG193" s="966"/>
      <c r="BH193" s="966"/>
      <c r="BI193" s="966"/>
      <c r="BJ193" s="966"/>
      <c r="BK193" s="966"/>
      <c r="BL193" s="966"/>
      <c r="BM193" s="966"/>
      <c r="BN193" s="966"/>
      <c r="BO193" s="966"/>
      <c r="BP193" s="966"/>
      <c r="BQ193" s="966"/>
      <c r="BR193" s="966"/>
      <c r="BS193" s="966"/>
      <c r="BT193" s="966"/>
      <c r="BU193" s="966"/>
      <c r="BV193" s="966"/>
      <c r="BW193" s="966"/>
      <c r="BX193" s="966"/>
      <c r="BY193" s="966"/>
      <c r="BZ193" s="966"/>
      <c r="CA193" s="966"/>
      <c r="CB193" s="966"/>
      <c r="CC193" s="966"/>
      <c r="CD193" s="966"/>
      <c r="CE193" s="966"/>
      <c r="CF193" s="966"/>
      <c r="CG193" s="966"/>
      <c r="CH193" s="966"/>
      <c r="CI193" s="966"/>
      <c r="CJ193" s="966"/>
      <c r="CK193" s="966"/>
      <c r="CL193" s="966"/>
      <c r="CM193" s="966"/>
      <c r="CN193" s="966"/>
      <c r="CO193" s="966"/>
      <c r="CP193" s="966"/>
      <c r="CQ193" s="966"/>
      <c r="CR193" s="966"/>
      <c r="CS193" s="966"/>
      <c r="CT193" s="966"/>
      <c r="CU193" s="966"/>
      <c r="CV193" s="966"/>
      <c r="CW193" s="966"/>
      <c r="CX193" s="966"/>
      <c r="CY193" s="966"/>
      <c r="CZ193" s="966"/>
      <c r="DA193" s="966"/>
      <c r="DB193" s="966"/>
      <c r="DC193" s="966"/>
      <c r="DD193" s="966"/>
      <c r="DE193" s="966"/>
      <c r="DF193" s="966"/>
      <c r="DG193" s="966"/>
      <c r="DH193" s="966"/>
      <c r="DI193" s="966"/>
      <c r="DJ193" s="966"/>
      <c r="DK193" s="966"/>
      <c r="DL193" s="966"/>
      <c r="DM193" s="966"/>
      <c r="DN193" s="966"/>
      <c r="DO193" s="966"/>
      <c r="DP193" s="966"/>
      <c r="DQ193" s="966"/>
    </row>
    <row r="194" spans="1:121" ht="12.75" hidden="1" customHeight="1" outlineLevel="1">
      <c r="A194" s="966" t="s">
        <v>502</v>
      </c>
      <c r="B194" s="966"/>
      <c r="C194" s="966"/>
      <c r="D194" s="966"/>
      <c r="E194" s="966">
        <f>Model!E145</f>
        <v>-30.026000000000003</v>
      </c>
      <c r="F194" s="966"/>
      <c r="G194" s="966"/>
      <c r="H194" s="966"/>
      <c r="I194" s="966"/>
      <c r="J194" s="966"/>
      <c r="K194" s="966">
        <f>Model!K145</f>
        <v>-11.386000000000001</v>
      </c>
      <c r="L194" s="966"/>
      <c r="M194" s="1098">
        <f>Model!M145</f>
        <v>-0.15799999999999881</v>
      </c>
      <c r="N194" s="1098">
        <f>Model!N145</f>
        <v>-0.72699999999999942</v>
      </c>
      <c r="O194" s="1098">
        <f>Model!O145</f>
        <v>2.5419999999999976</v>
      </c>
      <c r="P194" s="1098">
        <f>Model!P145</f>
        <v>-2.2620000000000009</v>
      </c>
      <c r="Q194" s="1098">
        <f>Model!Q145</f>
        <v>-0.6050000000000022</v>
      </c>
      <c r="R194" s="966"/>
      <c r="S194" s="1098">
        <f>Model!S145</f>
        <v>-1.5879999999999994</v>
      </c>
      <c r="T194" s="1098">
        <f>Model!T145</f>
        <v>-1.4319999999999866</v>
      </c>
      <c r="U194" s="1098">
        <f>Model!U145</f>
        <v>-0.2669999999999968</v>
      </c>
      <c r="V194" s="1098">
        <f>Model!V145</f>
        <v>2.999999999999492E-2</v>
      </c>
      <c r="W194" s="1098">
        <f>Model!W145</f>
        <v>-3.2569999999999855</v>
      </c>
      <c r="X194" s="966"/>
      <c r="Y194" s="1023">
        <f>Model!Y145</f>
        <v>0.38199999999999967</v>
      </c>
      <c r="Z194" s="1023">
        <f>Model!Z145</f>
        <v>0.54599999999999671</v>
      </c>
      <c r="AA194" s="1023">
        <f>Model!AA145</f>
        <v>7.7069999999999856</v>
      </c>
      <c r="AB194" s="1023">
        <f>Model!AB145</f>
        <v>-4.5000000000018581E-2</v>
      </c>
      <c r="AC194" s="1023">
        <f>Model!AC145</f>
        <v>8.5899999999999608</v>
      </c>
      <c r="AD194" s="966"/>
      <c r="AE194" s="966"/>
      <c r="AF194" s="966"/>
      <c r="AG194" s="966"/>
      <c r="AH194" s="966"/>
      <c r="AI194" s="966"/>
      <c r="AJ194" s="966"/>
      <c r="AK194" s="966"/>
      <c r="AL194" s="966"/>
      <c r="AM194" s="966"/>
      <c r="AN194" s="966"/>
      <c r="AO194" s="966"/>
      <c r="AP194" s="966"/>
      <c r="AQ194" s="966"/>
      <c r="AR194" s="966"/>
      <c r="AS194" s="966"/>
      <c r="AT194" s="966"/>
      <c r="AU194" s="966"/>
      <c r="AV194" s="966"/>
      <c r="AW194" s="966"/>
      <c r="AX194" s="966"/>
      <c r="AY194" s="966"/>
      <c r="AZ194" s="966"/>
      <c r="BA194" s="966"/>
      <c r="BB194" s="966"/>
      <c r="BC194" s="966"/>
      <c r="BD194" s="966"/>
      <c r="BE194" s="966"/>
      <c r="BF194" s="966"/>
      <c r="BG194" s="966"/>
      <c r="BH194" s="966"/>
      <c r="BI194" s="966"/>
      <c r="BJ194" s="966"/>
      <c r="BK194" s="966"/>
      <c r="BL194" s="966"/>
      <c r="BM194" s="966"/>
      <c r="BN194" s="966"/>
      <c r="BO194" s="966"/>
      <c r="BP194" s="966"/>
      <c r="BQ194" s="966"/>
      <c r="BR194" s="966"/>
      <c r="BS194" s="966"/>
      <c r="BT194" s="966"/>
      <c r="BU194" s="966"/>
      <c r="BV194" s="966"/>
      <c r="BW194" s="966"/>
      <c r="BX194" s="966"/>
      <c r="BY194" s="966"/>
      <c r="BZ194" s="966"/>
      <c r="CA194" s="966"/>
      <c r="CB194" s="966"/>
      <c r="CC194" s="966"/>
      <c r="CD194" s="966"/>
      <c r="CE194" s="966"/>
      <c r="CF194" s="966"/>
      <c r="CG194" s="966"/>
      <c r="CH194" s="966"/>
      <c r="CI194" s="966"/>
      <c r="CJ194" s="966"/>
      <c r="CK194" s="966"/>
      <c r="CL194" s="966"/>
      <c r="CM194" s="966"/>
      <c r="CN194" s="966"/>
      <c r="CO194" s="966"/>
      <c r="CP194" s="966"/>
      <c r="CQ194" s="966"/>
      <c r="CR194" s="966"/>
      <c r="CS194" s="966"/>
      <c r="CT194" s="966"/>
      <c r="CU194" s="966"/>
      <c r="CV194" s="966"/>
      <c r="CW194" s="966"/>
      <c r="CX194" s="966"/>
      <c r="CY194" s="966"/>
      <c r="CZ194" s="966"/>
      <c r="DA194" s="966"/>
      <c r="DB194" s="966"/>
      <c r="DC194" s="966"/>
      <c r="DD194" s="966"/>
      <c r="DE194" s="966"/>
      <c r="DF194" s="966"/>
      <c r="DG194" s="966"/>
      <c r="DH194" s="966"/>
      <c r="DI194" s="966"/>
      <c r="DJ194" s="966"/>
      <c r="DK194" s="966"/>
      <c r="DL194" s="966"/>
      <c r="DM194" s="966"/>
      <c r="DN194" s="966"/>
      <c r="DO194" s="966"/>
      <c r="DP194" s="966"/>
      <c r="DQ194" s="966"/>
    </row>
    <row r="195" spans="1:121" ht="12.75" hidden="1" customHeight="1" outlineLevel="1">
      <c r="A195" s="1251" t="s">
        <v>129</v>
      </c>
      <c r="B195" s="966"/>
      <c r="C195" s="966"/>
      <c r="D195" s="966"/>
      <c r="E195" s="966">
        <f>E193-E194</f>
        <v>1.4170000000000016</v>
      </c>
      <c r="F195" s="966"/>
      <c r="G195" s="966"/>
      <c r="H195" s="966"/>
      <c r="I195" s="966"/>
      <c r="J195" s="966"/>
      <c r="K195" s="966">
        <f>K193-K194</f>
        <v>1.67</v>
      </c>
      <c r="L195" s="966"/>
      <c r="M195" s="1098">
        <f>M193-M194</f>
        <v>0.52600000000000002</v>
      </c>
      <c r="N195" s="1098">
        <f>N193-N194</f>
        <v>0.84899999999999975</v>
      </c>
      <c r="O195" s="1098">
        <f>O193-O194</f>
        <v>1.2469999999999999</v>
      </c>
      <c r="P195" s="1098">
        <f>P193-P194</f>
        <v>1.4969999999999994</v>
      </c>
      <c r="Q195" s="1098">
        <f>Q193-Q194</f>
        <v>4.1189999999999998</v>
      </c>
      <c r="R195" s="966"/>
      <c r="S195" s="1098">
        <f>S193-S194</f>
        <v>2.0249999999999999</v>
      </c>
      <c r="T195" s="1098">
        <f>T193-T194</f>
        <v>2.6020000000000003</v>
      </c>
      <c r="U195" s="1098">
        <f>U193-U194</f>
        <v>2.42</v>
      </c>
      <c r="V195" s="1098">
        <f>V193-V194</f>
        <v>3.5560000000000014</v>
      </c>
      <c r="W195" s="1098">
        <f>W193-W194</f>
        <v>10.603</v>
      </c>
      <c r="X195" s="966"/>
      <c r="Y195" s="1023">
        <f>Y193-Y194</f>
        <v>3.9980000000000002</v>
      </c>
      <c r="Z195" s="1023">
        <f>Z193-Z194</f>
        <v>4.4940000000000007</v>
      </c>
      <c r="AA195" s="1023">
        <f>AA193-AA194</f>
        <v>5.39</v>
      </c>
      <c r="AB195" s="1023">
        <f>AB193-AB194</f>
        <v>6.0019999999999989</v>
      </c>
      <c r="AC195" s="1023">
        <f>AC193-AC194</f>
        <v>19.884</v>
      </c>
      <c r="AD195" s="966"/>
      <c r="AE195" s="966"/>
      <c r="AF195" s="966"/>
      <c r="AG195" s="966"/>
      <c r="AH195" s="966"/>
      <c r="AI195" s="966"/>
      <c r="AJ195" s="966"/>
      <c r="AK195" s="966"/>
      <c r="AL195" s="966"/>
      <c r="AM195" s="966"/>
      <c r="AN195" s="966"/>
      <c r="AO195" s="966"/>
      <c r="AP195" s="966"/>
      <c r="AQ195" s="966"/>
      <c r="AR195" s="966"/>
      <c r="AS195" s="966"/>
      <c r="AT195" s="966"/>
      <c r="AU195" s="966"/>
      <c r="AV195" s="966"/>
      <c r="AW195" s="966"/>
      <c r="AX195" s="966"/>
      <c r="AY195" s="966"/>
      <c r="AZ195" s="966"/>
      <c r="BA195" s="966"/>
      <c r="BB195" s="966"/>
      <c r="BC195" s="966"/>
      <c r="BD195" s="966"/>
      <c r="BE195" s="966"/>
      <c r="BF195" s="966"/>
      <c r="BG195" s="966"/>
      <c r="BH195" s="966"/>
      <c r="BI195" s="966"/>
      <c r="BJ195" s="966"/>
      <c r="BK195" s="966"/>
      <c r="BL195" s="966"/>
      <c r="BM195" s="966"/>
      <c r="BN195" s="966"/>
      <c r="BO195" s="966"/>
      <c r="BP195" s="966"/>
      <c r="BQ195" s="966"/>
      <c r="BR195" s="966"/>
      <c r="BS195" s="966"/>
      <c r="BT195" s="966"/>
      <c r="BU195" s="966"/>
      <c r="BV195" s="966"/>
      <c r="BW195" s="966"/>
      <c r="BX195" s="966"/>
      <c r="BY195" s="966"/>
      <c r="BZ195" s="966"/>
      <c r="CA195" s="966"/>
      <c r="CB195" s="966"/>
      <c r="CC195" s="966"/>
      <c r="CD195" s="966"/>
      <c r="CE195" s="966"/>
      <c r="CF195" s="966"/>
      <c r="CG195" s="966"/>
      <c r="CH195" s="966"/>
      <c r="CI195" s="966"/>
      <c r="CJ195" s="966"/>
      <c r="CK195" s="966"/>
      <c r="CL195" s="966"/>
      <c r="CM195" s="966"/>
      <c r="CN195" s="966"/>
      <c r="CO195" s="966"/>
      <c r="CP195" s="966"/>
      <c r="CQ195" s="966"/>
      <c r="CR195" s="966"/>
      <c r="CS195" s="966"/>
      <c r="CT195" s="966"/>
      <c r="CU195" s="966"/>
      <c r="CV195" s="966"/>
      <c r="CW195" s="966"/>
      <c r="CX195" s="966"/>
      <c r="CY195" s="966"/>
      <c r="CZ195" s="966"/>
      <c r="DA195" s="966"/>
      <c r="DB195" s="966"/>
      <c r="DC195" s="966"/>
      <c r="DD195" s="966"/>
      <c r="DE195" s="966"/>
      <c r="DF195" s="966"/>
      <c r="DG195" s="966"/>
      <c r="DH195" s="966"/>
      <c r="DI195" s="966"/>
      <c r="DJ195" s="966"/>
      <c r="DK195" s="966"/>
      <c r="DL195" s="966"/>
      <c r="DM195" s="966"/>
      <c r="DN195" s="966"/>
      <c r="DO195" s="966"/>
      <c r="DP195" s="966"/>
      <c r="DQ195" s="966"/>
    </row>
    <row r="196" spans="1:121" ht="12.75" hidden="1" customHeight="1" outlineLevel="1">
      <c r="A196" s="966" t="s">
        <v>130</v>
      </c>
      <c r="B196" s="966"/>
      <c r="C196" s="966"/>
      <c r="D196" s="966"/>
      <c r="E196" s="966">
        <f>E192-E195</f>
        <v>-22.369000000000003</v>
      </c>
      <c r="F196" s="966"/>
      <c r="G196" s="966"/>
      <c r="H196" s="966"/>
      <c r="I196" s="966"/>
      <c r="J196" s="966"/>
      <c r="K196" s="966">
        <f>K192-K195</f>
        <v>-11.386000000000001</v>
      </c>
      <c r="L196" s="966"/>
      <c r="M196" s="1098">
        <f>M192-M195</f>
        <v>-0.15799999999999875</v>
      </c>
      <c r="N196" s="1098">
        <f>N192-N195</f>
        <v>-0.72699999999999942</v>
      </c>
      <c r="O196" s="1098">
        <f>O192-O195</f>
        <v>-1.3465664448014709</v>
      </c>
      <c r="P196" s="1098">
        <f>P192-P195</f>
        <v>-1.3650000000000007</v>
      </c>
      <c r="Q196" s="1098">
        <f>Q192-Q195</f>
        <v>-3.5965664448014705</v>
      </c>
      <c r="R196" s="966"/>
      <c r="S196" s="1098">
        <f>S192-S195</f>
        <v>-1.5879999999999992</v>
      </c>
      <c r="T196" s="1098">
        <f>T192-T195</f>
        <v>-1.4319999999999868</v>
      </c>
      <c r="U196" s="1098">
        <f>U192-U195</f>
        <v>-0.2669999999999968</v>
      </c>
      <c r="V196" s="1098">
        <f>V192-V195</f>
        <v>2.999999999999492E-2</v>
      </c>
      <c r="W196" s="1098">
        <f>W192-W195</f>
        <v>-3.2569999999999872</v>
      </c>
      <c r="X196" s="966"/>
      <c r="Y196" s="1023">
        <f>Y192-Y195</f>
        <v>0.15399999999999903</v>
      </c>
      <c r="Z196" s="1023">
        <f>Z192-Z195</f>
        <v>0.54599999999999671</v>
      </c>
      <c r="AA196" s="1023">
        <f>AA192-AA195</f>
        <v>0.93799999999998551</v>
      </c>
      <c r="AB196" s="1023">
        <f>AB192-AB195</f>
        <v>-4.5000000000018581E-2</v>
      </c>
      <c r="AC196" s="1023">
        <f>AC192-AC195</f>
        <v>1.5929999999999644</v>
      </c>
      <c r="AD196" s="966"/>
      <c r="AE196" s="966"/>
      <c r="AF196" s="966"/>
      <c r="AG196" s="966"/>
      <c r="AH196" s="966"/>
      <c r="AI196" s="966"/>
      <c r="AJ196" s="966"/>
      <c r="AK196" s="966"/>
      <c r="AL196" s="966"/>
      <c r="AM196" s="966"/>
      <c r="AN196" s="966"/>
      <c r="AO196" s="966"/>
      <c r="AP196" s="966"/>
      <c r="AQ196" s="966"/>
      <c r="AR196" s="966"/>
      <c r="AS196" s="966"/>
      <c r="AT196" s="966"/>
      <c r="AU196" s="966"/>
      <c r="AV196" s="966"/>
      <c r="AW196" s="966"/>
      <c r="AX196" s="966"/>
      <c r="AY196" s="966"/>
      <c r="AZ196" s="966"/>
      <c r="BA196" s="966"/>
      <c r="BB196" s="966"/>
      <c r="BC196" s="966"/>
      <c r="BD196" s="966"/>
      <c r="BE196" s="966"/>
      <c r="BF196" s="966"/>
      <c r="BG196" s="966"/>
      <c r="BH196" s="966"/>
      <c r="BI196" s="966"/>
      <c r="BJ196" s="966"/>
      <c r="BK196" s="966"/>
      <c r="BL196" s="966"/>
      <c r="BM196" s="966"/>
      <c r="BN196" s="966"/>
      <c r="BO196" s="966"/>
      <c r="BP196" s="966"/>
      <c r="BQ196" s="966"/>
      <c r="BR196" s="966"/>
      <c r="BS196" s="966"/>
      <c r="BT196" s="966"/>
      <c r="BU196" s="966"/>
      <c r="BV196" s="966"/>
      <c r="BW196" s="966"/>
      <c r="BX196" s="966"/>
      <c r="BY196" s="966"/>
      <c r="BZ196" s="966"/>
      <c r="CA196" s="966"/>
      <c r="CB196" s="966"/>
      <c r="CC196" s="966"/>
      <c r="CD196" s="966"/>
      <c r="CE196" s="966"/>
      <c r="CF196" s="966"/>
      <c r="CG196" s="966"/>
      <c r="CH196" s="966"/>
      <c r="CI196" s="966"/>
      <c r="CJ196" s="966"/>
      <c r="CK196" s="966"/>
      <c r="CL196" s="966"/>
      <c r="CM196" s="966"/>
      <c r="CN196" s="966"/>
      <c r="CO196" s="966"/>
      <c r="CP196" s="966"/>
      <c r="CQ196" s="966"/>
      <c r="CR196" s="966"/>
      <c r="CS196" s="966"/>
      <c r="CT196" s="966"/>
      <c r="CU196" s="966"/>
      <c r="CV196" s="966"/>
      <c r="CW196" s="966"/>
      <c r="CX196" s="966"/>
      <c r="CY196" s="966"/>
      <c r="CZ196" s="966"/>
      <c r="DA196" s="966"/>
      <c r="DB196" s="966"/>
      <c r="DC196" s="966"/>
      <c r="DD196" s="966"/>
      <c r="DE196" s="966"/>
      <c r="DF196" s="966"/>
      <c r="DG196" s="966"/>
      <c r="DH196" s="966"/>
      <c r="DI196" s="966"/>
      <c r="DJ196" s="966"/>
      <c r="DK196" s="966"/>
      <c r="DL196" s="966"/>
      <c r="DM196" s="966"/>
      <c r="DN196" s="966"/>
      <c r="DO196" s="966"/>
      <c r="DP196" s="966"/>
      <c r="DQ196" s="966"/>
    </row>
    <row r="197" spans="1:121" ht="12.75" hidden="1" customHeight="1" outlineLevel="1">
      <c r="A197" s="970" t="s">
        <v>131</v>
      </c>
      <c r="B197" s="966"/>
      <c r="C197" s="966"/>
      <c r="D197" s="966"/>
      <c r="E197" s="1013" t="s">
        <v>657</v>
      </c>
      <c r="F197" s="966"/>
      <c r="G197" s="1252"/>
      <c r="H197" s="1252"/>
      <c r="I197" s="1252"/>
      <c r="J197" s="1252"/>
      <c r="K197" s="1013" t="s">
        <v>657</v>
      </c>
      <c r="L197" s="966"/>
      <c r="M197" s="1252">
        <f>M195/M192</f>
        <v>1.4293478260869517</v>
      </c>
      <c r="N197" s="1252">
        <f>N195/N192</f>
        <v>6.9590163934426004</v>
      </c>
      <c r="O197" s="1013" t="s">
        <v>657</v>
      </c>
      <c r="P197" s="1252">
        <f>P195/P192</f>
        <v>11.3409090909092</v>
      </c>
      <c r="Q197" s="1252">
        <f>Q195/Q192</f>
        <v>7.8842562063892387</v>
      </c>
      <c r="R197" s="966"/>
      <c r="S197" s="1252">
        <f>S195/S192</f>
        <v>4.6338672768878642</v>
      </c>
      <c r="T197" s="1252">
        <f>T195/T192</f>
        <v>2.2239316239315987</v>
      </c>
      <c r="U197" s="1252">
        <f>U195/U192</f>
        <v>1.1240130051091484</v>
      </c>
      <c r="V197" s="1252">
        <f>V195/V192</f>
        <v>0.9916341327384286</v>
      </c>
      <c r="W197" s="1252">
        <f>W195/W192</f>
        <v>1.4433705417914486</v>
      </c>
      <c r="X197" s="966"/>
      <c r="Y197" s="1252">
        <f>Y195/Y192</f>
        <v>0.96290944123314093</v>
      </c>
      <c r="Z197" s="1252">
        <f>Z195/Z192</f>
        <v>0.89166666666666727</v>
      </c>
      <c r="AA197" s="1252">
        <f>AA195/AA192</f>
        <v>0.85176991150442671</v>
      </c>
      <c r="AB197" s="1252">
        <f>AB195/AB192</f>
        <v>1.0075541379889237</v>
      </c>
      <c r="AC197" s="1252">
        <f>AC195/AC192</f>
        <v>0.92582762955720221</v>
      </c>
      <c r="AD197" s="966"/>
      <c r="AE197" s="966"/>
      <c r="AF197" s="966"/>
      <c r="AG197" s="966"/>
      <c r="AH197" s="966"/>
      <c r="AI197" s="966"/>
      <c r="AJ197" s="966"/>
      <c r="AK197" s="966"/>
      <c r="AL197" s="966"/>
      <c r="AM197" s="966"/>
      <c r="AN197" s="966"/>
      <c r="AO197" s="966"/>
      <c r="AP197" s="966"/>
      <c r="AQ197" s="966"/>
      <c r="AR197" s="966"/>
      <c r="AS197" s="966"/>
      <c r="AT197" s="966"/>
      <c r="AU197" s="966"/>
      <c r="AV197" s="966"/>
      <c r="AW197" s="966"/>
      <c r="AX197" s="966"/>
      <c r="AY197" s="966"/>
      <c r="AZ197" s="966"/>
      <c r="BA197" s="966"/>
      <c r="BB197" s="966"/>
      <c r="BC197" s="966"/>
      <c r="BD197" s="966"/>
      <c r="BE197" s="966"/>
      <c r="BF197" s="966"/>
      <c r="BG197" s="966"/>
      <c r="BH197" s="966"/>
      <c r="BI197" s="966"/>
      <c r="BJ197" s="966"/>
      <c r="BK197" s="966"/>
      <c r="BL197" s="966"/>
      <c r="BM197" s="966"/>
      <c r="BN197" s="966"/>
      <c r="BO197" s="966"/>
      <c r="BP197" s="966"/>
      <c r="BQ197" s="966"/>
      <c r="BR197" s="966"/>
      <c r="BS197" s="966"/>
      <c r="BT197" s="966"/>
      <c r="BU197" s="966"/>
      <c r="BV197" s="966"/>
      <c r="BW197" s="966"/>
      <c r="BX197" s="966"/>
      <c r="BY197" s="966"/>
      <c r="BZ197" s="966"/>
      <c r="CA197" s="966"/>
      <c r="CB197" s="966"/>
      <c r="CC197" s="966"/>
      <c r="CD197" s="966"/>
      <c r="CE197" s="966"/>
      <c r="CF197" s="966"/>
      <c r="CG197" s="966"/>
      <c r="CH197" s="966"/>
      <c r="CI197" s="966"/>
      <c r="CJ197" s="966"/>
      <c r="CK197" s="966"/>
      <c r="CL197" s="966"/>
      <c r="CM197" s="966"/>
      <c r="CN197" s="966"/>
      <c r="CO197" s="966"/>
      <c r="CP197" s="966"/>
      <c r="CQ197" s="966"/>
      <c r="CR197" s="966"/>
      <c r="CS197" s="966"/>
      <c r="CT197" s="966"/>
      <c r="CU197" s="966"/>
      <c r="CV197" s="966"/>
      <c r="CW197" s="966"/>
      <c r="CX197" s="966"/>
      <c r="CY197" s="966"/>
      <c r="CZ197" s="966"/>
      <c r="DA197" s="966"/>
      <c r="DB197" s="966"/>
      <c r="DC197" s="966"/>
      <c r="DD197" s="966"/>
      <c r="DE197" s="966"/>
      <c r="DF197" s="966"/>
      <c r="DG197" s="966"/>
      <c r="DH197" s="966"/>
      <c r="DI197" s="966"/>
      <c r="DJ197" s="966"/>
      <c r="DK197" s="966"/>
      <c r="DL197" s="966"/>
      <c r="DM197" s="966"/>
      <c r="DN197" s="966"/>
      <c r="DO197" s="966"/>
      <c r="DP197" s="966"/>
      <c r="DQ197" s="966"/>
    </row>
    <row r="198" spans="1:121" ht="3" hidden="1" customHeight="1" outlineLevel="1">
      <c r="A198" s="966"/>
      <c r="B198" s="966"/>
      <c r="C198" s="966"/>
      <c r="D198" s="1098"/>
      <c r="E198" s="1098"/>
      <c r="F198" s="1098"/>
      <c r="G198" s="1098"/>
      <c r="H198" s="1098"/>
      <c r="I198" s="1098"/>
      <c r="J198" s="1098"/>
      <c r="K198" s="1098"/>
      <c r="L198" s="1098"/>
      <c r="M198" s="1098"/>
      <c r="N198" s="1098"/>
      <c r="O198" s="1098"/>
      <c r="P198" s="1098"/>
      <c r="Q198" s="1098"/>
      <c r="R198" s="1098"/>
      <c r="S198" s="1098"/>
      <c r="T198" s="1098"/>
      <c r="U198" s="1098"/>
      <c r="V198" s="1098"/>
      <c r="W198" s="1098"/>
      <c r="X198" s="966"/>
      <c r="Y198" s="1098"/>
      <c r="Z198" s="1098"/>
      <c r="AA198" s="1098"/>
      <c r="AB198" s="1098"/>
      <c r="AC198" s="1098"/>
      <c r="AD198" s="966"/>
      <c r="AE198" s="1098"/>
      <c r="AF198" s="1098"/>
      <c r="AG198" s="1098"/>
      <c r="AH198" s="1098"/>
      <c r="AI198" s="1098"/>
      <c r="AJ198" s="966"/>
      <c r="AK198" s="1098"/>
      <c r="AL198" s="1098"/>
      <c r="AM198" s="1098"/>
      <c r="AN198" s="1098"/>
      <c r="AO198" s="1098"/>
      <c r="AP198" s="966"/>
      <c r="AQ198" s="1098"/>
      <c r="AR198" s="1098"/>
      <c r="AS198" s="1098"/>
      <c r="AT198" s="1098"/>
      <c r="AU198" s="1098"/>
      <c r="AV198" s="966"/>
      <c r="AW198" s="1098"/>
      <c r="AX198" s="1098"/>
      <c r="AY198" s="1098"/>
      <c r="AZ198" s="1098"/>
      <c r="BA198" s="1098"/>
      <c r="BB198" s="966"/>
      <c r="BC198" s="1098"/>
      <c r="BD198" s="1098"/>
      <c r="BE198" s="1098"/>
      <c r="BF198" s="1098"/>
      <c r="BG198" s="1098"/>
      <c r="BH198" s="966"/>
      <c r="BI198" s="1098"/>
      <c r="BJ198" s="1098"/>
      <c r="BK198" s="1098"/>
      <c r="BL198" s="1098"/>
      <c r="BM198" s="1098"/>
      <c r="BN198" s="966"/>
      <c r="BO198" s="1098"/>
      <c r="BP198" s="1098"/>
      <c r="BQ198" s="1098"/>
      <c r="BR198" s="1098"/>
      <c r="BS198" s="1098"/>
      <c r="BT198" s="966"/>
      <c r="BU198" s="1098"/>
      <c r="BV198" s="1098"/>
      <c r="BW198" s="1098"/>
      <c r="BX198" s="1098"/>
      <c r="BY198" s="1098"/>
      <c r="BZ198" s="966"/>
      <c r="CA198" s="1098"/>
      <c r="CB198" s="1098"/>
      <c r="CC198" s="1098"/>
      <c r="CD198" s="1098"/>
      <c r="CE198" s="1098"/>
      <c r="CF198" s="966"/>
      <c r="CG198" s="1098"/>
      <c r="CH198" s="1098"/>
      <c r="CI198" s="1098"/>
      <c r="CJ198" s="1098"/>
      <c r="CK198" s="1098"/>
      <c r="CL198" s="966"/>
      <c r="CM198" s="1098"/>
      <c r="CN198" s="1098"/>
      <c r="CO198" s="1098"/>
      <c r="CP198" s="1098"/>
      <c r="CQ198" s="1098"/>
      <c r="CR198" s="966"/>
      <c r="CS198" s="1098"/>
      <c r="CT198" s="1098"/>
      <c r="CU198" s="1098"/>
      <c r="CV198" s="1098"/>
      <c r="CW198" s="1098"/>
      <c r="CX198" s="966"/>
      <c r="CY198" s="1098"/>
      <c r="CZ198" s="1098"/>
      <c r="DA198" s="1098"/>
      <c r="DB198" s="1098"/>
      <c r="DC198" s="1098"/>
      <c r="DD198" s="966"/>
      <c r="DE198" s="1098"/>
      <c r="DF198" s="1098"/>
      <c r="DG198" s="1098"/>
      <c r="DH198" s="1098"/>
      <c r="DI198" s="1098"/>
      <c r="DJ198" s="966"/>
      <c r="DK198" s="1098"/>
      <c r="DL198" s="1098"/>
      <c r="DM198" s="1098"/>
      <c r="DN198" s="1098"/>
      <c r="DO198" s="1098"/>
      <c r="DP198" s="1098"/>
      <c r="DQ198" s="966"/>
    </row>
    <row r="199" spans="1:121" ht="12.75" hidden="1" customHeight="1" outlineLevel="1">
      <c r="A199" s="1253" t="s">
        <v>132</v>
      </c>
      <c r="B199" s="966"/>
      <c r="C199" s="966"/>
      <c r="D199" s="966"/>
      <c r="E199" s="1252"/>
      <c r="F199" s="966"/>
      <c r="G199" s="1252"/>
      <c r="H199" s="1252"/>
      <c r="I199" s="1252"/>
      <c r="J199" s="1252"/>
      <c r="K199" s="1252"/>
      <c r="L199" s="966"/>
      <c r="M199" s="1252"/>
      <c r="N199" s="1252"/>
      <c r="O199" s="1252"/>
      <c r="P199" s="1252"/>
      <c r="Q199" s="1252"/>
      <c r="R199" s="966"/>
      <c r="S199" s="1252"/>
      <c r="T199" s="1252"/>
      <c r="U199" s="1252"/>
      <c r="V199" s="1252"/>
      <c r="W199" s="1252"/>
      <c r="X199" s="966"/>
      <c r="Y199" s="1252"/>
      <c r="Z199" s="966"/>
      <c r="AA199" s="966"/>
      <c r="AB199" s="966"/>
      <c r="AC199" s="966"/>
      <c r="AD199" s="966"/>
      <c r="AE199" s="966"/>
      <c r="AF199" s="966"/>
      <c r="AG199" s="966"/>
      <c r="AH199" s="966"/>
      <c r="AI199" s="966"/>
      <c r="AJ199" s="966"/>
      <c r="AK199" s="966"/>
      <c r="AL199" s="966"/>
      <c r="AM199" s="966"/>
      <c r="AN199" s="966"/>
      <c r="AO199" s="966"/>
      <c r="AP199" s="966"/>
      <c r="AQ199" s="966"/>
      <c r="AR199" s="966"/>
      <c r="AS199" s="966"/>
      <c r="AT199" s="966"/>
      <c r="AU199" s="966"/>
      <c r="AV199" s="966"/>
      <c r="AW199" s="966"/>
      <c r="AX199" s="966"/>
      <c r="AY199" s="966"/>
      <c r="AZ199" s="966"/>
      <c r="BA199" s="966"/>
      <c r="BB199" s="966"/>
      <c r="BC199" s="966"/>
      <c r="BD199" s="966"/>
      <c r="BE199" s="966"/>
      <c r="BF199" s="966"/>
      <c r="BG199" s="966"/>
      <c r="BH199" s="966"/>
      <c r="BI199" s="966"/>
      <c r="BJ199" s="966"/>
      <c r="BK199" s="966"/>
      <c r="BL199" s="966"/>
      <c r="BM199" s="966"/>
      <c r="BN199" s="966"/>
      <c r="BO199" s="966"/>
      <c r="BP199" s="966"/>
      <c r="BQ199" s="966"/>
      <c r="BR199" s="966"/>
      <c r="BS199" s="966"/>
      <c r="BT199" s="966"/>
      <c r="BU199" s="966"/>
      <c r="BV199" s="966"/>
      <c r="BW199" s="966"/>
      <c r="BX199" s="966"/>
      <c r="BY199" s="966"/>
      <c r="BZ199" s="966"/>
      <c r="CA199" s="966"/>
      <c r="CB199" s="966"/>
      <c r="CC199" s="966"/>
      <c r="CD199" s="966"/>
      <c r="CE199" s="966"/>
      <c r="CF199" s="966"/>
      <c r="CG199" s="966"/>
      <c r="CH199" s="966"/>
      <c r="CI199" s="966"/>
      <c r="CJ199" s="966"/>
      <c r="CK199" s="966"/>
      <c r="CL199" s="966"/>
      <c r="CM199" s="966"/>
      <c r="CN199" s="966"/>
      <c r="CO199" s="966"/>
      <c r="CP199" s="966"/>
      <c r="CQ199" s="966"/>
      <c r="CR199" s="966"/>
      <c r="CS199" s="966"/>
      <c r="CT199" s="966"/>
      <c r="CU199" s="966"/>
      <c r="CV199" s="966"/>
      <c r="CW199" s="966"/>
      <c r="CX199" s="966"/>
      <c r="CY199" s="966"/>
      <c r="CZ199" s="966"/>
      <c r="DA199" s="966"/>
      <c r="DB199" s="966"/>
      <c r="DC199" s="966"/>
      <c r="DD199" s="966"/>
      <c r="DE199" s="966"/>
      <c r="DF199" s="966"/>
      <c r="DG199" s="966"/>
      <c r="DH199" s="966"/>
      <c r="DI199" s="966"/>
      <c r="DJ199" s="966"/>
      <c r="DK199" s="966"/>
      <c r="DL199" s="966"/>
      <c r="DM199" s="966"/>
      <c r="DN199" s="966"/>
      <c r="DO199" s="966"/>
      <c r="DP199" s="966"/>
      <c r="DQ199" s="966"/>
    </row>
    <row r="200" spans="1:121" ht="12.75" hidden="1" customHeight="1" outlineLevel="1">
      <c r="A200" s="966" t="s">
        <v>133</v>
      </c>
      <c r="B200" s="966"/>
      <c r="C200" s="966"/>
      <c r="D200" s="966"/>
      <c r="E200" s="1254">
        <f>Model!E86</f>
        <v>-0.99586482247255104</v>
      </c>
      <c r="F200" s="1254"/>
      <c r="G200" s="1255"/>
      <c r="H200" s="1255"/>
      <c r="I200" s="1255"/>
      <c r="J200" s="1255"/>
      <c r="K200" s="1254">
        <f>Model!K86</f>
        <v>-0.3683826386979972</v>
      </c>
      <c r="L200" s="1254"/>
      <c r="M200" s="1254">
        <f>Model!M86</f>
        <v>4.0166779453819261E-3</v>
      </c>
      <c r="N200" s="1254">
        <f>Model!N86</f>
        <v>1.3264762484642271E-3</v>
      </c>
      <c r="O200" s="1254">
        <f>Model!O86</f>
        <v>-1.0423513656836823E-3</v>
      </c>
      <c r="P200" s="1254">
        <f>Model!P86</f>
        <v>1.3716850943552943E-3</v>
      </c>
      <c r="Q200" s="1254">
        <f>Model!Q86</f>
        <v>5.4757261390280688E-3</v>
      </c>
      <c r="R200" s="1254"/>
      <c r="S200" s="1254">
        <f>Model!S86</f>
        <v>1.0881690870336079E-3</v>
      </c>
      <c r="T200" s="1254">
        <f>Model!T86</f>
        <v>2.714642363270224E-3</v>
      </c>
      <c r="U200" s="1254">
        <f>Model!U86</f>
        <v>4.6330567414956687E-3</v>
      </c>
      <c r="V200" s="1254">
        <f>Model!V86</f>
        <v>7.6749880145195451E-3</v>
      </c>
      <c r="W200" s="1254">
        <f>Model!W86</f>
        <v>1.6563847250031596E-2</v>
      </c>
      <c r="X200" s="966"/>
      <c r="Y200" s="1254">
        <f>Model!Y86</f>
        <v>8.920054654670136E-3</v>
      </c>
      <c r="Z200" s="1254">
        <f>Model!Z86</f>
        <v>1.0680319392408492E-2</v>
      </c>
      <c r="AA200" s="1254">
        <f>Model!AA86</f>
        <v>1.3332771480342138E-2</v>
      </c>
      <c r="AB200" s="1254">
        <f>Model!AB86</f>
        <v>1.2309580684889571E-2</v>
      </c>
      <c r="AC200" s="1254">
        <f>Model!AC86</f>
        <v>4.521968720786268E-2</v>
      </c>
      <c r="AD200" s="966"/>
      <c r="AE200" s="966"/>
      <c r="AF200" s="966"/>
      <c r="AG200" s="966"/>
      <c r="AH200" s="966"/>
      <c r="AI200" s="966"/>
      <c r="AJ200" s="966"/>
      <c r="AK200" s="966"/>
      <c r="AL200" s="966"/>
      <c r="AM200" s="966"/>
      <c r="AN200" s="966"/>
      <c r="AO200" s="966"/>
      <c r="AP200" s="966"/>
      <c r="AQ200" s="966"/>
      <c r="AR200" s="966"/>
      <c r="AS200" s="966"/>
      <c r="AT200" s="966"/>
      <c r="AU200" s="966"/>
      <c r="AV200" s="966"/>
      <c r="AW200" s="966"/>
      <c r="AX200" s="966"/>
      <c r="AY200" s="966"/>
      <c r="AZ200" s="966"/>
      <c r="BA200" s="966"/>
      <c r="BB200" s="966"/>
      <c r="BC200" s="966"/>
      <c r="BD200" s="966"/>
      <c r="BE200" s="966"/>
      <c r="BF200" s="966"/>
      <c r="BG200" s="966"/>
      <c r="BH200" s="966"/>
      <c r="BI200" s="966"/>
      <c r="BJ200" s="966"/>
      <c r="BK200" s="966"/>
      <c r="BL200" s="966"/>
      <c r="BM200" s="966"/>
      <c r="BN200" s="966"/>
      <c r="BO200" s="966"/>
      <c r="BP200" s="966"/>
      <c r="BQ200" s="966"/>
      <c r="BR200" s="966"/>
      <c r="BS200" s="966"/>
      <c r="BT200" s="966"/>
      <c r="BU200" s="966"/>
      <c r="BV200" s="966"/>
      <c r="BW200" s="966"/>
      <c r="BX200" s="966"/>
      <c r="BY200" s="966"/>
      <c r="BZ200" s="966"/>
      <c r="CA200" s="966"/>
      <c r="CB200" s="966"/>
      <c r="CC200" s="966"/>
      <c r="CD200" s="966"/>
      <c r="CE200" s="966"/>
      <c r="CF200" s="966"/>
      <c r="CG200" s="966"/>
      <c r="CH200" s="966"/>
      <c r="CI200" s="966"/>
      <c r="CJ200" s="966"/>
      <c r="CK200" s="966"/>
      <c r="CL200" s="966"/>
      <c r="CM200" s="966"/>
      <c r="CN200" s="966"/>
      <c r="CO200" s="966"/>
      <c r="CP200" s="966"/>
      <c r="CQ200" s="966"/>
      <c r="CR200" s="966"/>
      <c r="CS200" s="966"/>
      <c r="CT200" s="966"/>
      <c r="CU200" s="966"/>
      <c r="CV200" s="966"/>
      <c r="CW200" s="966"/>
      <c r="CX200" s="966"/>
      <c r="CY200" s="966"/>
      <c r="CZ200" s="966"/>
      <c r="DA200" s="966"/>
      <c r="DB200" s="966"/>
      <c r="DC200" s="966"/>
      <c r="DD200" s="966"/>
      <c r="DE200" s="966"/>
      <c r="DF200" s="966"/>
      <c r="DG200" s="966"/>
      <c r="DH200" s="966"/>
      <c r="DI200" s="966"/>
      <c r="DJ200" s="966"/>
      <c r="DK200" s="966"/>
      <c r="DL200" s="966"/>
      <c r="DM200" s="966"/>
      <c r="DN200" s="966"/>
      <c r="DO200" s="966"/>
      <c r="DP200" s="966"/>
      <c r="DQ200" s="966"/>
    </row>
    <row r="201" spans="1:121" ht="12.75" hidden="1" customHeight="1" outlineLevel="1">
      <c r="A201" s="966" t="s">
        <v>134</v>
      </c>
      <c r="B201" s="966"/>
      <c r="C201" s="966"/>
      <c r="D201" s="966"/>
      <c r="E201" s="1254">
        <f>Model!E108</f>
        <v>-1.3598079756642425</v>
      </c>
      <c r="F201" s="1254"/>
      <c r="G201" s="1254"/>
      <c r="H201" s="1254"/>
      <c r="I201" s="1254"/>
      <c r="J201" s="1254"/>
      <c r="K201" s="1254">
        <f>Model!K108</f>
        <v>-0.3683826386979972</v>
      </c>
      <c r="L201" s="1254"/>
      <c r="M201" s="1254">
        <f>Model!M108</f>
        <v>4.0166779453819261E-3</v>
      </c>
      <c r="N201" s="1254">
        <f>Model!N108</f>
        <v>1.3264762484642271E-3</v>
      </c>
      <c r="O201" s="1254">
        <f>Model!O108</f>
        <v>3.9666670156300682E-2</v>
      </c>
      <c r="P201" s="1254">
        <f>Model!P108</f>
        <v>-7.9495386150137317E-3</v>
      </c>
      <c r="Q201" s="1254">
        <f>Model!Q108</f>
        <v>3.6830906937500608E-2</v>
      </c>
      <c r="R201" s="1254"/>
      <c r="S201" s="1254">
        <f>Model!S108</f>
        <v>1.0881690870336079E-3</v>
      </c>
      <c r="T201" s="1254">
        <f>Model!T108</f>
        <v>2.714642363270224E-3</v>
      </c>
      <c r="U201" s="1254">
        <f>Model!U108</f>
        <v>4.6330567414956687E-3</v>
      </c>
      <c r="V201" s="1254">
        <f>Model!V108</f>
        <v>7.6749880145195451E-3</v>
      </c>
      <c r="W201" s="1254">
        <f>Model!W108</f>
        <v>1.6563847250031599E-2</v>
      </c>
      <c r="X201" s="966"/>
      <c r="Y201" s="1254">
        <f>Model!Y108</f>
        <v>9.4098842455335261E-3</v>
      </c>
      <c r="Z201" s="1254">
        <f>Model!Z108</f>
        <v>1.0680319392408492E-2</v>
      </c>
      <c r="AA201" s="1254">
        <f>Model!AA108</f>
        <v>2.7594707344823197E-2</v>
      </c>
      <c r="AB201" s="1254">
        <f>Model!AB108</f>
        <v>1.2309580684889571E-2</v>
      </c>
      <c r="AC201" s="1254">
        <f>Model!AC108</f>
        <v>5.9951826305195438E-2</v>
      </c>
      <c r="AD201" s="966"/>
      <c r="AE201" s="966"/>
      <c r="AF201" s="966"/>
      <c r="AG201" s="966"/>
      <c r="AH201" s="966"/>
      <c r="AI201" s="966"/>
      <c r="AJ201" s="966"/>
      <c r="AK201" s="966"/>
      <c r="AL201" s="966"/>
      <c r="AM201" s="966"/>
      <c r="AN201" s="966"/>
      <c r="AO201" s="966"/>
      <c r="AP201" s="966"/>
      <c r="AQ201" s="966"/>
      <c r="AR201" s="966"/>
      <c r="AS201" s="966"/>
      <c r="AT201" s="966"/>
      <c r="AU201" s="966"/>
      <c r="AV201" s="966"/>
      <c r="AW201" s="966"/>
      <c r="AX201" s="966"/>
      <c r="AY201" s="966"/>
      <c r="AZ201" s="966"/>
      <c r="BA201" s="966"/>
      <c r="BB201" s="966"/>
      <c r="BC201" s="966"/>
      <c r="BD201" s="966"/>
      <c r="BE201" s="966"/>
      <c r="BF201" s="966"/>
      <c r="BG201" s="966"/>
      <c r="BH201" s="966"/>
      <c r="BI201" s="966"/>
      <c r="BJ201" s="966"/>
      <c r="BK201" s="966"/>
      <c r="BL201" s="966"/>
      <c r="BM201" s="966"/>
      <c r="BN201" s="966"/>
      <c r="BO201" s="966"/>
      <c r="BP201" s="966"/>
      <c r="BQ201" s="966"/>
      <c r="BR201" s="966"/>
      <c r="BS201" s="966"/>
      <c r="BT201" s="966"/>
      <c r="BU201" s="966"/>
      <c r="BV201" s="966"/>
      <c r="BW201" s="966"/>
      <c r="BX201" s="966"/>
      <c r="BY201" s="966"/>
      <c r="BZ201" s="966"/>
      <c r="CA201" s="966"/>
      <c r="CB201" s="966"/>
      <c r="CC201" s="966"/>
      <c r="CD201" s="966"/>
      <c r="CE201" s="966"/>
      <c r="CF201" s="966"/>
      <c r="CG201" s="966"/>
      <c r="CH201" s="966"/>
      <c r="CI201" s="966"/>
      <c r="CJ201" s="966"/>
      <c r="CK201" s="966"/>
      <c r="CL201" s="966"/>
      <c r="CM201" s="966"/>
      <c r="CN201" s="966"/>
      <c r="CO201" s="966"/>
      <c r="CP201" s="966"/>
      <c r="CQ201" s="966"/>
      <c r="CR201" s="966"/>
      <c r="CS201" s="966"/>
      <c r="CT201" s="966"/>
      <c r="CU201" s="966"/>
      <c r="CV201" s="966"/>
      <c r="CW201" s="966"/>
      <c r="CX201" s="966"/>
      <c r="CY201" s="966"/>
      <c r="CZ201" s="966"/>
      <c r="DA201" s="966"/>
      <c r="DB201" s="966"/>
      <c r="DC201" s="966"/>
      <c r="DD201" s="966"/>
      <c r="DE201" s="966"/>
      <c r="DF201" s="966"/>
      <c r="DG201" s="966"/>
      <c r="DH201" s="966"/>
      <c r="DI201" s="966"/>
      <c r="DJ201" s="966"/>
      <c r="DK201" s="966"/>
      <c r="DL201" s="966"/>
      <c r="DM201" s="966"/>
      <c r="DN201" s="966"/>
      <c r="DO201" s="966"/>
      <c r="DP201" s="966"/>
      <c r="DQ201" s="966"/>
    </row>
    <row r="202" spans="1:121" ht="12.75" hidden="1" customHeight="1" outlineLevel="1">
      <c r="A202" s="966" t="s">
        <v>135</v>
      </c>
      <c r="B202" s="966"/>
      <c r="C202" s="966"/>
      <c r="D202" s="966"/>
      <c r="E202" s="1254">
        <f>Model!E147</f>
        <v>-1.4271590855078664</v>
      </c>
      <c r="F202" s="1254"/>
      <c r="G202" s="1254"/>
      <c r="H202" s="1254"/>
      <c r="I202" s="1254"/>
      <c r="J202" s="1254"/>
      <c r="K202" s="1254">
        <f>Model!K147</f>
        <v>-0.43170077441492344</v>
      </c>
      <c r="L202" s="1254"/>
      <c r="M202" s="1254">
        <f>Model!M147</f>
        <v>-5.5129099790648568E-3</v>
      </c>
      <c r="N202" s="1254">
        <f>Model!N147</f>
        <v>-2.4859800300916408E-2</v>
      </c>
      <c r="O202" s="1254">
        <f>Model!O147</f>
        <v>2.6611949204886857E-2</v>
      </c>
      <c r="P202" s="1254">
        <f>Model!P147</f>
        <v>-7.3880523891955471E-2</v>
      </c>
      <c r="Q202" s="1254">
        <f>Model!Q147</f>
        <v>-2.0434529288084716E-2</v>
      </c>
      <c r="R202" s="1254"/>
      <c r="S202" s="1254">
        <f>Model!S147</f>
        <v>-1.2528401918707393E-2</v>
      </c>
      <c r="T202" s="1254">
        <f>Model!T147</f>
        <v>-5.5483231045811892E-3</v>
      </c>
      <c r="U202" s="1254">
        <f>Model!U147</f>
        <v>-6.5225675952978101E-4</v>
      </c>
      <c r="V202" s="1254">
        <f>Model!V147</f>
        <v>6.4207930963621748E-5</v>
      </c>
      <c r="W202" s="1254">
        <f>Model!W147</f>
        <v>-1.0784339695111405E-2</v>
      </c>
      <c r="X202" s="966"/>
      <c r="Y202" s="1254">
        <f>Model!Y147</f>
        <v>8.2067940223602839E-4</v>
      </c>
      <c r="Z202" s="1254">
        <f>Model!Z147</f>
        <v>1.1570346008442469E-3</v>
      </c>
      <c r="AA202" s="1254">
        <f>Model!AA147</f>
        <v>1.6238253760903428E-2</v>
      </c>
      <c r="AB202" s="1254">
        <f>Model!AB147</f>
        <v>-1.027819651912169E-4</v>
      </c>
      <c r="AC202" s="1254">
        <f>Model!AC147</f>
        <v>1.8086190488221788E-2</v>
      </c>
      <c r="AD202" s="966"/>
      <c r="AE202" s="966"/>
      <c r="AF202" s="966"/>
      <c r="AG202" s="966"/>
      <c r="AH202" s="966"/>
      <c r="AI202" s="966"/>
      <c r="AJ202" s="966"/>
      <c r="AK202" s="966"/>
      <c r="AL202" s="966"/>
      <c r="AM202" s="966"/>
      <c r="AN202" s="966"/>
      <c r="AO202" s="966"/>
      <c r="AP202" s="966"/>
      <c r="AQ202" s="966"/>
      <c r="AR202" s="966"/>
      <c r="AS202" s="966"/>
      <c r="AT202" s="966"/>
      <c r="AU202" s="966"/>
      <c r="AV202" s="966"/>
      <c r="AW202" s="966"/>
      <c r="AX202" s="966"/>
      <c r="AY202" s="966"/>
      <c r="AZ202" s="966"/>
      <c r="BA202" s="966"/>
      <c r="BB202" s="966"/>
      <c r="BC202" s="966"/>
      <c r="BD202" s="966"/>
      <c r="BE202" s="966"/>
      <c r="BF202" s="966"/>
      <c r="BG202" s="966"/>
      <c r="BH202" s="966"/>
      <c r="BI202" s="966"/>
      <c r="BJ202" s="966"/>
      <c r="BK202" s="966"/>
      <c r="BL202" s="966"/>
      <c r="BM202" s="966"/>
      <c r="BN202" s="966"/>
      <c r="BO202" s="966"/>
      <c r="BP202" s="966"/>
      <c r="BQ202" s="966"/>
      <c r="BR202" s="966"/>
      <c r="BS202" s="966"/>
      <c r="BT202" s="966"/>
      <c r="BU202" s="966"/>
      <c r="BV202" s="966"/>
      <c r="BW202" s="966"/>
      <c r="BX202" s="966"/>
      <c r="BY202" s="966"/>
      <c r="BZ202" s="966"/>
      <c r="CA202" s="966"/>
      <c r="CB202" s="966"/>
      <c r="CC202" s="966"/>
      <c r="CD202" s="966"/>
      <c r="CE202" s="966"/>
      <c r="CF202" s="966"/>
      <c r="CG202" s="966"/>
      <c r="CH202" s="966"/>
      <c r="CI202" s="966"/>
      <c r="CJ202" s="966"/>
      <c r="CK202" s="966"/>
      <c r="CL202" s="966"/>
      <c r="CM202" s="966"/>
      <c r="CN202" s="966"/>
      <c r="CO202" s="966"/>
      <c r="CP202" s="966"/>
      <c r="CQ202" s="966"/>
      <c r="CR202" s="966"/>
      <c r="CS202" s="966"/>
      <c r="CT202" s="966"/>
      <c r="CU202" s="966"/>
      <c r="CV202" s="966"/>
      <c r="CW202" s="966"/>
      <c r="CX202" s="966"/>
      <c r="CY202" s="966"/>
      <c r="CZ202" s="966"/>
      <c r="DA202" s="966"/>
      <c r="DB202" s="966"/>
      <c r="DC202" s="966"/>
      <c r="DD202" s="966"/>
      <c r="DE202" s="966"/>
      <c r="DF202" s="966"/>
      <c r="DG202" s="966"/>
      <c r="DH202" s="966"/>
      <c r="DI202" s="966"/>
      <c r="DJ202" s="966"/>
      <c r="DK202" s="966"/>
      <c r="DL202" s="966"/>
      <c r="DM202" s="966"/>
      <c r="DN202" s="966"/>
      <c r="DO202" s="966"/>
      <c r="DP202" s="966"/>
      <c r="DQ202" s="966"/>
    </row>
    <row r="203" spans="1:121" ht="12.75" hidden="1" customHeight="1" outlineLevel="1">
      <c r="A203" s="966" t="s">
        <v>238</v>
      </c>
      <c r="B203" s="966"/>
      <c r="C203" s="966"/>
      <c r="D203" s="966"/>
      <c r="E203" s="1254">
        <f>E200-(E201-E202)</f>
        <v>-1.0632159323161749</v>
      </c>
      <c r="F203" s="1254"/>
      <c r="G203" s="1254"/>
      <c r="H203" s="1254"/>
      <c r="I203" s="1254"/>
      <c r="J203" s="1254"/>
      <c r="K203" s="1254">
        <f>K200-(K201-K202)</f>
        <v>-0.43170077441492344</v>
      </c>
      <c r="L203" s="1254"/>
      <c r="M203" s="1254">
        <f t="shared" ref="M203:AA203" si="125">M200-(M201-M202)</f>
        <v>-5.512909979064856E-3</v>
      </c>
      <c r="N203" s="1254">
        <f t="shared" si="125"/>
        <v>-2.4859800300916408E-2</v>
      </c>
      <c r="O203" s="1254">
        <f t="shared" si="125"/>
        <v>-1.4097072317097507E-2</v>
      </c>
      <c r="P203" s="1254">
        <f t="shared" si="125"/>
        <v>-6.4559300182586446E-2</v>
      </c>
      <c r="Q203" s="1254">
        <f t="shared" si="125"/>
        <v>-5.1789710086557257E-2</v>
      </c>
      <c r="R203" s="1254"/>
      <c r="S203" s="1254">
        <f t="shared" si="125"/>
        <v>-1.2528401918707393E-2</v>
      </c>
      <c r="T203" s="1254">
        <f t="shared" si="125"/>
        <v>-5.5483231045811883E-3</v>
      </c>
      <c r="U203" s="1254">
        <f t="shared" si="125"/>
        <v>-6.5225675952978145E-4</v>
      </c>
      <c r="V203" s="1254">
        <f t="shared" si="125"/>
        <v>6.420793096362145E-5</v>
      </c>
      <c r="W203" s="1254">
        <f t="shared" si="125"/>
        <v>-1.0784339695111406E-2</v>
      </c>
      <c r="X203" s="966"/>
      <c r="Y203" s="1254">
        <f t="shared" si="125"/>
        <v>3.3084981137263859E-4</v>
      </c>
      <c r="Z203" s="1254">
        <f t="shared" si="125"/>
        <v>1.1570346008442471E-3</v>
      </c>
      <c r="AA203" s="1254">
        <f t="shared" si="125"/>
        <v>1.9763178964223686E-3</v>
      </c>
      <c r="AB203" s="1254">
        <f>AB200-(AB201-AB202)</f>
        <v>-1.0278196519121659E-4</v>
      </c>
      <c r="AC203" s="1254">
        <f>AC200-(AC201-AC202)</f>
        <v>3.3540513908890263E-3</v>
      </c>
      <c r="AD203" s="966"/>
      <c r="AE203" s="966"/>
      <c r="AF203" s="966"/>
      <c r="AG203" s="966"/>
      <c r="AH203" s="966"/>
      <c r="AI203" s="966"/>
      <c r="AJ203" s="966"/>
      <c r="AK203" s="966"/>
      <c r="AL203" s="966"/>
      <c r="AM203" s="966"/>
      <c r="AN203" s="966"/>
      <c r="AO203" s="966"/>
      <c r="AP203" s="966"/>
      <c r="AQ203" s="966"/>
      <c r="AR203" s="966"/>
      <c r="AS203" s="966"/>
      <c r="AT203" s="966"/>
      <c r="AU203" s="966"/>
      <c r="AV203" s="966"/>
      <c r="AW203" s="966"/>
      <c r="AX203" s="966"/>
      <c r="AY203" s="966"/>
      <c r="AZ203" s="966"/>
      <c r="BA203" s="966"/>
      <c r="BB203" s="966"/>
      <c r="BC203" s="966"/>
      <c r="BD203" s="966"/>
      <c r="BE203" s="966"/>
      <c r="BF203" s="966"/>
      <c r="BG203" s="966"/>
      <c r="BH203" s="966"/>
      <c r="BI203" s="966"/>
      <c r="BJ203" s="966"/>
      <c r="BK203" s="966"/>
      <c r="BL203" s="966"/>
      <c r="BM203" s="966"/>
      <c r="BN203" s="966"/>
      <c r="BO203" s="966"/>
      <c r="BP203" s="966"/>
      <c r="BQ203" s="966"/>
      <c r="BR203" s="966"/>
      <c r="BS203" s="966"/>
      <c r="BT203" s="966"/>
      <c r="BU203" s="966"/>
      <c r="BV203" s="966"/>
      <c r="BW203" s="966"/>
      <c r="BX203" s="966"/>
      <c r="BY203" s="966"/>
      <c r="BZ203" s="966"/>
      <c r="CA203" s="966"/>
      <c r="CB203" s="966"/>
      <c r="CC203" s="966"/>
      <c r="CD203" s="966"/>
      <c r="CE203" s="966"/>
      <c r="CF203" s="966"/>
      <c r="CG203" s="966"/>
      <c r="CH203" s="966"/>
      <c r="CI203" s="966"/>
      <c r="CJ203" s="966"/>
      <c r="CK203" s="966"/>
      <c r="CL203" s="966"/>
      <c r="CM203" s="966"/>
      <c r="CN203" s="966"/>
      <c r="CO203" s="966"/>
      <c r="CP203" s="966"/>
      <c r="CQ203" s="966"/>
      <c r="CR203" s="966"/>
      <c r="CS203" s="966"/>
      <c r="CT203" s="966"/>
      <c r="CU203" s="966"/>
      <c r="CV203" s="966"/>
      <c r="CW203" s="966"/>
      <c r="CX203" s="966"/>
      <c r="CY203" s="966"/>
      <c r="CZ203" s="966"/>
      <c r="DA203" s="966"/>
      <c r="DB203" s="966"/>
      <c r="DC203" s="966"/>
      <c r="DD203" s="966"/>
      <c r="DE203" s="966"/>
      <c r="DF203" s="966"/>
      <c r="DG203" s="966"/>
      <c r="DH203" s="966"/>
      <c r="DI203" s="966"/>
      <c r="DJ203" s="966"/>
      <c r="DK203" s="966"/>
      <c r="DL203" s="966"/>
      <c r="DM203" s="966"/>
      <c r="DN203" s="966"/>
      <c r="DO203" s="966"/>
      <c r="DP203" s="966"/>
      <c r="DQ203" s="966"/>
    </row>
    <row r="204" spans="1:121" ht="3" hidden="1" customHeight="1" outlineLevel="1">
      <c r="A204" s="966"/>
      <c r="B204" s="966"/>
      <c r="C204" s="966"/>
      <c r="D204" s="1098"/>
      <c r="E204" s="1098"/>
      <c r="F204" s="1098"/>
      <c r="G204" s="1098"/>
      <c r="H204" s="1098"/>
      <c r="I204" s="1098"/>
      <c r="J204" s="1098"/>
      <c r="K204" s="1098"/>
      <c r="L204" s="1098"/>
      <c r="M204" s="1098"/>
      <c r="N204" s="1098"/>
      <c r="O204" s="1098"/>
      <c r="P204" s="1098"/>
      <c r="Q204" s="1098"/>
      <c r="R204" s="1098"/>
      <c r="S204" s="1098"/>
      <c r="T204" s="1098"/>
      <c r="U204" s="1098"/>
      <c r="V204" s="1098"/>
      <c r="W204" s="1098"/>
      <c r="X204" s="966"/>
      <c r="Y204" s="1098"/>
      <c r="Z204" s="1098"/>
      <c r="AA204" s="1098"/>
      <c r="AB204" s="1098"/>
      <c r="AC204" s="1098"/>
      <c r="AD204" s="966"/>
      <c r="AE204" s="1098"/>
      <c r="AF204" s="1098"/>
      <c r="AG204" s="1098"/>
      <c r="AH204" s="1098"/>
      <c r="AI204" s="1098"/>
      <c r="AJ204" s="966"/>
      <c r="AK204" s="1098"/>
      <c r="AL204" s="1098"/>
      <c r="AM204" s="1098"/>
      <c r="AN204" s="1098"/>
      <c r="AO204" s="1098"/>
      <c r="AP204" s="966"/>
      <c r="AQ204" s="1098"/>
      <c r="AR204" s="1098"/>
      <c r="AS204" s="1098"/>
      <c r="AT204" s="1098"/>
      <c r="AU204" s="1098"/>
      <c r="AV204" s="966"/>
      <c r="AW204" s="1098"/>
      <c r="AX204" s="1098"/>
      <c r="AY204" s="1098"/>
      <c r="AZ204" s="1098"/>
      <c r="BA204" s="1098"/>
      <c r="BB204" s="966"/>
      <c r="BC204" s="1098"/>
      <c r="BD204" s="1098"/>
      <c r="BE204" s="1098"/>
      <c r="BF204" s="1098"/>
      <c r="BG204" s="1098"/>
      <c r="BH204" s="966"/>
      <c r="BI204" s="1098"/>
      <c r="BJ204" s="1098"/>
      <c r="BK204" s="1098"/>
      <c r="BL204" s="1098"/>
      <c r="BM204" s="1098"/>
      <c r="BN204" s="966"/>
      <c r="BO204" s="1098"/>
      <c r="BP204" s="1098"/>
      <c r="BQ204" s="1098"/>
      <c r="BR204" s="1098"/>
      <c r="BS204" s="1098"/>
      <c r="BT204" s="966"/>
      <c r="BU204" s="1098"/>
      <c r="BV204" s="1098"/>
      <c r="BW204" s="1098"/>
      <c r="BX204" s="1098"/>
      <c r="BY204" s="1098"/>
      <c r="BZ204" s="966"/>
      <c r="CA204" s="1098"/>
      <c r="CB204" s="1098"/>
      <c r="CC204" s="1098"/>
      <c r="CD204" s="1098"/>
      <c r="CE204" s="1098"/>
      <c r="CF204" s="966"/>
      <c r="CG204" s="1098"/>
      <c r="CH204" s="1098"/>
      <c r="CI204" s="1098"/>
      <c r="CJ204" s="1098"/>
      <c r="CK204" s="1098"/>
      <c r="CL204" s="966"/>
      <c r="CM204" s="1098"/>
      <c r="CN204" s="1098"/>
      <c r="CO204" s="1098"/>
      <c r="CP204" s="1098"/>
      <c r="CQ204" s="1098"/>
      <c r="CR204" s="966"/>
      <c r="CS204" s="1098"/>
      <c r="CT204" s="1098"/>
      <c r="CU204" s="1098"/>
      <c r="CV204" s="1098"/>
      <c r="CW204" s="1098"/>
      <c r="CX204" s="966"/>
      <c r="CY204" s="1098"/>
      <c r="CZ204" s="1098"/>
      <c r="DA204" s="1098"/>
      <c r="DB204" s="1098"/>
      <c r="DC204" s="1098"/>
      <c r="DD204" s="966"/>
      <c r="DE204" s="1098"/>
      <c r="DF204" s="1098"/>
      <c r="DG204" s="1098"/>
      <c r="DH204" s="1098"/>
      <c r="DI204" s="1098"/>
      <c r="DJ204" s="966"/>
      <c r="DK204" s="1098"/>
      <c r="DL204" s="1098"/>
      <c r="DM204" s="1098"/>
      <c r="DN204" s="1098"/>
      <c r="DO204" s="1098"/>
      <c r="DP204" s="1098"/>
      <c r="DQ204" s="966"/>
    </row>
    <row r="205" spans="1:121" ht="12.75" hidden="1" customHeight="1" outlineLevel="1">
      <c r="A205" s="1256" t="s">
        <v>222</v>
      </c>
      <c r="B205" s="966"/>
      <c r="C205" s="966"/>
      <c r="D205" s="966"/>
      <c r="E205" s="1098">
        <f>Model!E114</f>
        <v>29.254822000000001</v>
      </c>
      <c r="F205" s="966"/>
      <c r="G205" s="966"/>
      <c r="H205" s="966"/>
      <c r="I205" s="966"/>
      <c r="J205" s="966"/>
      <c r="K205" s="1098">
        <f>Model!K114</f>
        <v>30.480962000000002</v>
      </c>
      <c r="L205" s="966"/>
      <c r="M205" s="966"/>
      <c r="N205" s="966"/>
      <c r="O205" s="966"/>
      <c r="P205" s="966"/>
      <c r="Q205" s="1098">
        <f>Model!Q114</f>
        <v>31.530626000000002</v>
      </c>
      <c r="R205" s="966"/>
      <c r="S205" s="1098">
        <f>Model!S114</f>
        <v>132.93013999999999</v>
      </c>
      <c r="T205" s="1098">
        <f>Model!T114</f>
        <v>202.489485</v>
      </c>
      <c r="U205" s="1098">
        <f>Model!U114</f>
        <v>202.80062900000001</v>
      </c>
      <c r="V205" s="1098">
        <f>Model!V114</f>
        <v>419.96326399999998</v>
      </c>
      <c r="W205" s="1098">
        <f>Model!W114</f>
        <v>419.96326399999998</v>
      </c>
      <c r="X205" s="966"/>
      <c r="Y205" s="1098">
        <f>Model!Y114</f>
        <v>1683.6310599999999</v>
      </c>
      <c r="Z205" s="1098">
        <f>Model!Z114</f>
        <v>430.4</v>
      </c>
      <c r="AA205" s="1098">
        <f>Model!AA114</f>
        <v>433.2</v>
      </c>
      <c r="AB205" s="1098">
        <f>Model!AB114</f>
        <v>440</v>
      </c>
      <c r="AC205" s="1098">
        <f>Model!AC114</f>
        <v>440</v>
      </c>
      <c r="AD205" s="966"/>
      <c r="AE205" s="966"/>
      <c r="AF205" s="966"/>
      <c r="AG205" s="966"/>
      <c r="AH205" s="966"/>
      <c r="AI205" s="966"/>
      <c r="AJ205" s="966"/>
      <c r="AK205" s="966"/>
      <c r="AL205" s="966"/>
      <c r="AM205" s="966"/>
      <c r="AN205" s="1098">
        <f>Model!AN114</f>
        <v>477.2</v>
      </c>
      <c r="AO205" s="966"/>
      <c r="AP205" s="966"/>
      <c r="AQ205" s="1098">
        <f>Model!AQ114</f>
        <v>480.4</v>
      </c>
      <c r="AR205" s="966"/>
      <c r="AS205" s="966"/>
      <c r="AT205" s="966"/>
      <c r="AU205" s="966"/>
      <c r="AV205" s="966"/>
      <c r="AW205" s="966"/>
      <c r="AX205" s="966"/>
      <c r="AY205" s="966"/>
      <c r="AZ205" s="966"/>
      <c r="BA205" s="966"/>
      <c r="BB205" s="966"/>
      <c r="BC205" s="966"/>
      <c r="BD205" s="966"/>
      <c r="BE205" s="966"/>
      <c r="BF205" s="966"/>
      <c r="BG205" s="966"/>
      <c r="BH205" s="966"/>
      <c r="BI205" s="966"/>
      <c r="BJ205" s="966"/>
      <c r="BK205" s="966"/>
      <c r="BL205" s="966"/>
      <c r="BM205" s="966"/>
      <c r="BN205" s="966"/>
      <c r="BO205" s="966"/>
      <c r="BP205" s="966"/>
      <c r="BQ205" s="966"/>
      <c r="BR205" s="966"/>
      <c r="BS205" s="966"/>
      <c r="BT205" s="966"/>
      <c r="BU205" s="966"/>
      <c r="BV205" s="966"/>
      <c r="BW205" s="966"/>
      <c r="BX205" s="966"/>
      <c r="BY205" s="966"/>
      <c r="BZ205" s="966"/>
      <c r="CA205" s="966"/>
      <c r="CB205" s="966"/>
      <c r="CC205" s="966"/>
      <c r="CD205" s="966"/>
      <c r="CE205" s="966"/>
      <c r="CF205" s="966"/>
      <c r="CG205" s="966"/>
      <c r="CH205" s="966"/>
      <c r="CI205" s="966"/>
      <c r="CJ205" s="966"/>
      <c r="CK205" s="966"/>
      <c r="CL205" s="966"/>
      <c r="CM205" s="966"/>
      <c r="CN205" s="966"/>
      <c r="CO205" s="966"/>
      <c r="CP205" s="966"/>
      <c r="CQ205" s="966"/>
      <c r="CR205" s="966"/>
      <c r="CS205" s="966"/>
      <c r="CT205" s="966"/>
      <c r="CU205" s="966"/>
      <c r="CV205" s="966"/>
      <c r="CW205" s="966"/>
      <c r="CX205" s="966"/>
      <c r="CY205" s="966"/>
      <c r="CZ205" s="966"/>
      <c r="DA205" s="966"/>
      <c r="DB205" s="966"/>
      <c r="DC205" s="966"/>
      <c r="DD205" s="966"/>
      <c r="DE205" s="966"/>
      <c r="DF205" s="966"/>
      <c r="DG205" s="966"/>
      <c r="DH205" s="966"/>
      <c r="DI205" s="966"/>
      <c r="DJ205" s="966"/>
      <c r="DK205" s="966"/>
      <c r="DL205" s="966"/>
      <c r="DM205" s="966"/>
      <c r="DN205" s="966"/>
      <c r="DO205" s="966"/>
      <c r="DP205" s="966"/>
      <c r="DQ205" s="966"/>
    </row>
    <row r="206" spans="1:121" ht="12.75" hidden="1" customHeight="1" outlineLevel="1">
      <c r="A206" s="966" t="s">
        <v>496</v>
      </c>
      <c r="B206" s="966"/>
      <c r="C206" s="966"/>
      <c r="D206" s="966"/>
      <c r="E206" s="1098">
        <f>E230</f>
        <v>2.5370249999999999</v>
      </c>
      <c r="F206" s="966"/>
      <c r="G206" s="1098"/>
      <c r="H206" s="966"/>
      <c r="I206" s="966"/>
      <c r="J206" s="966"/>
      <c r="K206" s="1098">
        <f>K230</f>
        <v>8.8780000000000001</v>
      </c>
      <c r="L206" s="966"/>
      <c r="M206" s="1098"/>
      <c r="N206" s="966"/>
      <c r="O206" s="966"/>
      <c r="P206" s="966"/>
      <c r="Q206" s="1098">
        <f>Q230</f>
        <v>7.6375000000000002</v>
      </c>
      <c r="R206" s="966"/>
      <c r="S206" s="1098">
        <f>S230</f>
        <v>2.3315000000000001</v>
      </c>
      <c r="T206" s="1098">
        <f>T230</f>
        <v>1.1442269999999999</v>
      </c>
      <c r="U206" s="1098">
        <f>U230</f>
        <v>1.2018000000000002</v>
      </c>
      <c r="V206" s="1098">
        <f>V230</f>
        <v>1.8152399999999993</v>
      </c>
      <c r="W206" s="1098">
        <f>SUM(S206:V206)</f>
        <v>6.4927669999999997</v>
      </c>
      <c r="X206" s="966"/>
      <c r="Y206" s="1098">
        <f>Y230</f>
        <v>1.1196999999999999</v>
      </c>
      <c r="Z206" s="1098">
        <f>Z230</f>
        <v>1.5725500000000001</v>
      </c>
      <c r="AA206" s="1098">
        <f>AA230</f>
        <v>1.0670000000000002</v>
      </c>
      <c r="AB206" s="1098">
        <f>AB230</f>
        <v>1.5104349999999998</v>
      </c>
      <c r="AC206" s="1098">
        <f>AC230</f>
        <v>5.269685</v>
      </c>
      <c r="AD206" s="966"/>
      <c r="AE206" s="966"/>
      <c r="AF206" s="966"/>
      <c r="AG206" s="966"/>
      <c r="AH206" s="966"/>
      <c r="AI206" s="966"/>
      <c r="AJ206" s="966"/>
      <c r="AK206" s="966"/>
      <c r="AL206" s="966"/>
      <c r="AM206" s="966"/>
      <c r="AN206" s="966"/>
      <c r="AO206" s="966"/>
      <c r="AP206" s="966"/>
      <c r="AQ206" s="966"/>
      <c r="AR206" s="966"/>
      <c r="AS206" s="966"/>
      <c r="AT206" s="966"/>
      <c r="AU206" s="966"/>
      <c r="AV206" s="966"/>
      <c r="AW206" s="966"/>
      <c r="AX206" s="966"/>
      <c r="AY206" s="966"/>
      <c r="AZ206" s="966"/>
      <c r="BA206" s="966"/>
      <c r="BB206" s="966"/>
      <c r="BC206" s="966"/>
      <c r="BD206" s="966"/>
      <c r="BE206" s="966"/>
      <c r="BF206" s="966"/>
      <c r="BG206" s="966"/>
      <c r="BH206" s="966"/>
      <c r="BI206" s="966"/>
      <c r="BJ206" s="966"/>
      <c r="BK206" s="966"/>
      <c r="BL206" s="966"/>
      <c r="BM206" s="966"/>
      <c r="BN206" s="966"/>
      <c r="BO206" s="966"/>
      <c r="BP206" s="966"/>
      <c r="BQ206" s="966"/>
      <c r="BR206" s="966"/>
      <c r="BS206" s="966"/>
      <c r="BT206" s="966"/>
      <c r="BU206" s="966"/>
      <c r="BV206" s="966"/>
      <c r="BW206" s="966"/>
      <c r="BX206" s="966"/>
      <c r="BY206" s="966"/>
      <c r="BZ206" s="966"/>
      <c r="CA206" s="966"/>
      <c r="CB206" s="966"/>
      <c r="CC206" s="966"/>
      <c r="CD206" s="966"/>
      <c r="CE206" s="966"/>
      <c r="CF206" s="966"/>
      <c r="CG206" s="966"/>
      <c r="CH206" s="966"/>
      <c r="CI206" s="966"/>
      <c r="CJ206" s="966"/>
      <c r="CK206" s="966"/>
      <c r="CL206" s="966"/>
      <c r="CM206" s="966"/>
      <c r="CN206" s="966"/>
      <c r="CO206" s="966"/>
      <c r="CP206" s="966"/>
      <c r="CQ206" s="966"/>
      <c r="CR206" s="966"/>
      <c r="CS206" s="966"/>
      <c r="CT206" s="966"/>
      <c r="CU206" s="966"/>
      <c r="CV206" s="966"/>
      <c r="CW206" s="966"/>
      <c r="CX206" s="966"/>
      <c r="CY206" s="966"/>
      <c r="CZ206" s="966"/>
      <c r="DA206" s="966"/>
      <c r="DB206" s="966"/>
      <c r="DC206" s="966"/>
      <c r="DD206" s="966"/>
      <c r="DE206" s="966"/>
      <c r="DF206" s="966"/>
      <c r="DG206" s="966"/>
      <c r="DH206" s="966"/>
      <c r="DI206" s="966"/>
      <c r="DJ206" s="966"/>
      <c r="DK206" s="966"/>
      <c r="DL206" s="966"/>
      <c r="DM206" s="966"/>
      <c r="DN206" s="966"/>
      <c r="DO206" s="966"/>
      <c r="DP206" s="966"/>
      <c r="DQ206" s="966"/>
    </row>
    <row r="207" spans="1:121" ht="12.75" hidden="1" customHeight="1" outlineLevel="1">
      <c r="A207" s="966" t="s">
        <v>503</v>
      </c>
      <c r="B207" s="966"/>
      <c r="C207" s="966"/>
      <c r="D207" s="966"/>
      <c r="E207" s="1098">
        <f>E230+E232</f>
        <v>1.2620589999999998</v>
      </c>
      <c r="F207" s="966"/>
      <c r="G207" s="1098"/>
      <c r="H207" s="966"/>
      <c r="I207" s="966"/>
      <c r="J207" s="966"/>
      <c r="K207" s="1098">
        <f>K230+K232</f>
        <v>8.1314410000000006</v>
      </c>
      <c r="L207" s="966"/>
      <c r="M207" s="1098"/>
      <c r="N207" s="966"/>
      <c r="O207" s="966"/>
      <c r="P207" s="966"/>
      <c r="Q207" s="1098">
        <f>Q230+Q232</f>
        <v>6.4436470000000003</v>
      </c>
      <c r="R207" s="966"/>
      <c r="S207" s="1098">
        <f>S230+S232</f>
        <v>2.2040000000000002</v>
      </c>
      <c r="T207" s="1098">
        <f>T230+T232</f>
        <v>0.98278699999999986</v>
      </c>
      <c r="U207" s="1098">
        <f>U230+U232</f>
        <v>0.33544400000000008</v>
      </c>
      <c r="V207" s="1098">
        <f>V230+V232</f>
        <v>1.7588429999999995</v>
      </c>
      <c r="W207" s="1098">
        <f>SUM(S207:V207)</f>
        <v>5.2810739999999994</v>
      </c>
      <c r="X207" s="966"/>
      <c r="Y207" s="1098">
        <f>Y230+Y232</f>
        <v>0.76861799999999991</v>
      </c>
      <c r="Z207" s="1098">
        <f>Z230+Z232</f>
        <v>0.73444300000000007</v>
      </c>
      <c r="AA207" s="1098">
        <f>AA230+AA232</f>
        <v>0.64798100000000014</v>
      </c>
      <c r="AB207" s="1098">
        <f>AB230+AB232</f>
        <v>1.3213709999999996</v>
      </c>
      <c r="AC207" s="1098">
        <f>AC230+AC232</f>
        <v>3.472413</v>
      </c>
      <c r="AD207" s="966"/>
      <c r="AE207" s="966"/>
      <c r="AF207" s="966"/>
      <c r="AG207" s="966"/>
      <c r="AH207" s="966"/>
      <c r="AI207" s="966"/>
      <c r="AJ207" s="966"/>
      <c r="AK207" s="966"/>
      <c r="AL207" s="966"/>
      <c r="AM207" s="966"/>
      <c r="AN207" s="966"/>
      <c r="AO207" s="966"/>
      <c r="AP207" s="966"/>
      <c r="AQ207" s="966"/>
      <c r="AR207" s="966"/>
      <c r="AS207" s="966"/>
      <c r="AT207" s="966"/>
      <c r="AU207" s="966"/>
      <c r="AV207" s="966"/>
      <c r="AW207" s="966"/>
      <c r="AX207" s="966"/>
      <c r="AY207" s="966"/>
      <c r="AZ207" s="966"/>
      <c r="BA207" s="966"/>
      <c r="BB207" s="966"/>
      <c r="BC207" s="966"/>
      <c r="BD207" s="966"/>
      <c r="BE207" s="966"/>
      <c r="BF207" s="966"/>
      <c r="BG207" s="966"/>
      <c r="BH207" s="966"/>
      <c r="BI207" s="966"/>
      <c r="BJ207" s="966"/>
      <c r="BK207" s="966"/>
      <c r="BL207" s="966"/>
      <c r="BM207" s="966"/>
      <c r="BN207" s="966"/>
      <c r="BO207" s="966"/>
      <c r="BP207" s="966"/>
      <c r="BQ207" s="966"/>
      <c r="BR207" s="966"/>
      <c r="BS207" s="966"/>
      <c r="BT207" s="966"/>
      <c r="BU207" s="966"/>
      <c r="BV207" s="966"/>
      <c r="BW207" s="966"/>
      <c r="BX207" s="966"/>
      <c r="BY207" s="966"/>
      <c r="BZ207" s="966"/>
      <c r="CA207" s="966"/>
      <c r="CB207" s="966"/>
      <c r="CC207" s="966"/>
      <c r="CD207" s="966"/>
      <c r="CE207" s="966"/>
      <c r="CF207" s="966"/>
      <c r="CG207" s="966"/>
      <c r="CH207" s="966"/>
      <c r="CI207" s="966"/>
      <c r="CJ207" s="966"/>
      <c r="CK207" s="966"/>
      <c r="CL207" s="966"/>
      <c r="CM207" s="966"/>
      <c r="CN207" s="966"/>
      <c r="CO207" s="966"/>
      <c r="CP207" s="966"/>
      <c r="CQ207" s="966"/>
      <c r="CR207" s="966"/>
      <c r="CS207" s="966"/>
      <c r="CT207" s="966"/>
      <c r="CU207" s="966"/>
      <c r="CV207" s="966"/>
      <c r="CW207" s="966"/>
      <c r="CX207" s="966"/>
      <c r="CY207" s="966"/>
      <c r="CZ207" s="966"/>
      <c r="DA207" s="966"/>
      <c r="DB207" s="966"/>
      <c r="DC207" s="966"/>
      <c r="DD207" s="966"/>
      <c r="DE207" s="966"/>
      <c r="DF207" s="966"/>
      <c r="DG207" s="966"/>
      <c r="DH207" s="966"/>
      <c r="DI207" s="966"/>
      <c r="DJ207" s="966"/>
      <c r="DK207" s="966"/>
      <c r="DL207" s="966"/>
      <c r="DM207" s="966"/>
      <c r="DN207" s="966"/>
      <c r="DO207" s="966"/>
      <c r="DP207" s="966"/>
      <c r="DQ207" s="966"/>
    </row>
    <row r="208" spans="1:121" ht="12.75" hidden="1" customHeight="1" outlineLevel="1">
      <c r="A208" s="966" t="s">
        <v>675</v>
      </c>
      <c r="B208" s="966"/>
      <c r="C208" s="966"/>
      <c r="D208" s="966"/>
      <c r="E208" s="1098">
        <f>-E231</f>
        <v>0.49597400000000003</v>
      </c>
      <c r="F208" s="966"/>
      <c r="G208" s="1098"/>
      <c r="H208" s="966"/>
      <c r="I208" s="966"/>
      <c r="J208" s="966"/>
      <c r="K208" s="1098">
        <f>-K231</f>
        <v>1.6801219999999999</v>
      </c>
      <c r="L208" s="966"/>
      <c r="M208" s="1098"/>
      <c r="N208" s="966"/>
      <c r="O208" s="966"/>
      <c r="P208" s="966"/>
      <c r="Q208" s="1098">
        <f>-Q231</f>
        <v>1.041131</v>
      </c>
      <c r="R208" s="966"/>
      <c r="S208" s="1098">
        <f>-S231</f>
        <v>1.710348</v>
      </c>
      <c r="T208" s="1098">
        <f>-T231</f>
        <v>3.5080999999999918E-2</v>
      </c>
      <c r="U208" s="1098">
        <f>-U231</f>
        <v>0.31114400000000031</v>
      </c>
      <c r="V208" s="1098">
        <f>-V231</f>
        <v>1.7873069999999995</v>
      </c>
      <c r="W208" s="1098">
        <f>SUM(S208:V208)</f>
        <v>3.8438799999999995</v>
      </c>
      <c r="X208" s="966"/>
      <c r="Y208" s="1098">
        <f>-Y231</f>
        <v>0.94450100000000003</v>
      </c>
      <c r="Z208" s="1098">
        <f>-Z231</f>
        <v>1.4750099999999999</v>
      </c>
      <c r="AA208" s="1098">
        <f>-AA231</f>
        <v>0.74551200000000017</v>
      </c>
      <c r="AB208" s="1098">
        <f>-AB231</f>
        <v>1.6670719999999997</v>
      </c>
      <c r="AC208" s="1098">
        <f>-AC231</f>
        <v>4.8320949999999998</v>
      </c>
      <c r="AD208" s="966"/>
      <c r="AE208" s="966"/>
      <c r="AF208" s="966"/>
      <c r="AG208" s="966"/>
      <c r="AH208" s="966"/>
      <c r="AI208" s="966"/>
      <c r="AJ208" s="966"/>
      <c r="AK208" s="966"/>
      <c r="AL208" s="966"/>
      <c r="AM208" s="966"/>
      <c r="AN208" s="966"/>
      <c r="AO208" s="966"/>
      <c r="AP208" s="966"/>
      <c r="AQ208" s="966"/>
      <c r="AR208" s="966"/>
      <c r="AS208" s="966"/>
      <c r="AT208" s="966"/>
      <c r="AU208" s="966"/>
      <c r="AV208" s="966"/>
      <c r="AW208" s="966"/>
      <c r="AX208" s="966"/>
      <c r="AY208" s="966"/>
      <c r="AZ208" s="966"/>
      <c r="BA208" s="966"/>
      <c r="BB208" s="966"/>
      <c r="BC208" s="966"/>
      <c r="BD208" s="966"/>
      <c r="BE208" s="966"/>
      <c r="BF208" s="966"/>
      <c r="BG208" s="966"/>
      <c r="BH208" s="966"/>
      <c r="BI208" s="966"/>
      <c r="BJ208" s="966"/>
      <c r="BK208" s="966"/>
      <c r="BL208" s="966"/>
      <c r="BM208" s="966"/>
      <c r="BN208" s="966"/>
      <c r="BO208" s="966"/>
      <c r="BP208" s="966"/>
      <c r="BQ208" s="966"/>
      <c r="BR208" s="966"/>
      <c r="BS208" s="966"/>
      <c r="BT208" s="966"/>
      <c r="BU208" s="966"/>
      <c r="BV208" s="966"/>
      <c r="BW208" s="966"/>
      <c r="BX208" s="966"/>
      <c r="BY208" s="966"/>
      <c r="BZ208" s="966"/>
      <c r="CA208" s="966"/>
      <c r="CB208" s="966"/>
      <c r="CC208" s="966"/>
      <c r="CD208" s="966"/>
      <c r="CE208" s="966"/>
      <c r="CF208" s="966"/>
      <c r="CG208" s="966"/>
      <c r="CH208" s="966"/>
      <c r="CI208" s="966"/>
      <c r="CJ208" s="966"/>
      <c r="CK208" s="966"/>
      <c r="CL208" s="966"/>
      <c r="CM208" s="966"/>
      <c r="CN208" s="966"/>
      <c r="CO208" s="966"/>
      <c r="CP208" s="966"/>
      <c r="CQ208" s="966"/>
      <c r="CR208" s="966"/>
      <c r="CS208" s="966"/>
      <c r="CT208" s="966"/>
      <c r="CU208" s="966"/>
      <c r="CV208" s="966"/>
      <c r="CW208" s="966"/>
      <c r="CX208" s="966"/>
      <c r="CY208" s="966"/>
      <c r="CZ208" s="966"/>
      <c r="DA208" s="966"/>
      <c r="DB208" s="966"/>
      <c r="DC208" s="966"/>
      <c r="DD208" s="966"/>
      <c r="DE208" s="966"/>
      <c r="DF208" s="966"/>
      <c r="DG208" s="966"/>
      <c r="DH208" s="966"/>
      <c r="DI208" s="966"/>
      <c r="DJ208" s="966"/>
      <c r="DK208" s="966"/>
      <c r="DL208" s="966"/>
      <c r="DM208" s="966"/>
      <c r="DN208" s="966"/>
      <c r="DO208" s="966"/>
      <c r="DP208" s="966"/>
      <c r="DQ208" s="966"/>
    </row>
    <row r="209" spans="1:121" ht="12.75" hidden="1" customHeight="1" outlineLevel="1">
      <c r="A209" s="966" t="s">
        <v>772</v>
      </c>
      <c r="B209" s="966"/>
      <c r="C209" s="966"/>
      <c r="D209" s="966"/>
      <c r="E209" s="1098">
        <f>E233</f>
        <v>4.0745599999999991</v>
      </c>
      <c r="F209" s="966"/>
      <c r="G209" s="1098"/>
      <c r="H209" s="966"/>
      <c r="I209" s="966"/>
      <c r="J209" s="966"/>
      <c r="K209" s="1098">
        <f>K233</f>
        <v>10.525878999999998</v>
      </c>
      <c r="L209" s="966"/>
      <c r="M209" s="1098"/>
      <c r="N209" s="966"/>
      <c r="O209" s="966"/>
      <c r="P209" s="966"/>
      <c r="Q209" s="1098">
        <f>Q233</f>
        <v>15.928394999999998</v>
      </c>
      <c r="R209" s="966"/>
      <c r="S209" s="1098">
        <f>S233</f>
        <v>16.422046999999999</v>
      </c>
      <c r="T209" s="1098">
        <f>T233</f>
        <v>17.369753000000003</v>
      </c>
      <c r="U209" s="1098">
        <f>U233</f>
        <v>17.394053000000003</v>
      </c>
      <c r="V209" s="1098">
        <f>V233</f>
        <v>17.365589000000003</v>
      </c>
      <c r="W209" s="1098">
        <f>V209</f>
        <v>17.365589000000003</v>
      </c>
      <c r="X209" s="966"/>
      <c r="Y209" s="1098">
        <f>Y233</f>
        <v>17.189706000000001</v>
      </c>
      <c r="Z209" s="1098">
        <f>Z233</f>
        <v>16.449138999999999</v>
      </c>
      <c r="AA209" s="1098">
        <f>AA233</f>
        <v>16.351607999999999</v>
      </c>
      <c r="AB209" s="1098">
        <f>AB233</f>
        <v>16.005907000000001</v>
      </c>
      <c r="AC209" s="1098">
        <f>AC233</f>
        <v>16.005907000000001</v>
      </c>
      <c r="AD209" s="966"/>
      <c r="AE209" s="966"/>
      <c r="AF209" s="966"/>
      <c r="AG209" s="966"/>
      <c r="AH209" s="966"/>
      <c r="AI209" s="966"/>
      <c r="AJ209" s="966"/>
      <c r="AK209" s="966"/>
      <c r="AL209" s="966"/>
      <c r="AM209" s="966"/>
      <c r="AN209" s="966"/>
      <c r="AO209" s="966"/>
      <c r="AP209" s="966"/>
      <c r="AQ209" s="966"/>
      <c r="AR209" s="966"/>
      <c r="AS209" s="966"/>
      <c r="AT209" s="966"/>
      <c r="AU209" s="966"/>
      <c r="AV209" s="966"/>
      <c r="AW209" s="966"/>
      <c r="AX209" s="966"/>
      <c r="AY209" s="966"/>
      <c r="AZ209" s="966"/>
      <c r="BA209" s="966"/>
      <c r="BB209" s="966"/>
      <c r="BC209" s="966"/>
      <c r="BD209" s="966"/>
      <c r="BE209" s="966"/>
      <c r="BF209" s="966"/>
      <c r="BG209" s="966"/>
      <c r="BH209" s="966"/>
      <c r="BI209" s="966"/>
      <c r="BJ209" s="966"/>
      <c r="BK209" s="966"/>
      <c r="BL209" s="966"/>
      <c r="BM209" s="966"/>
      <c r="BN209" s="966"/>
      <c r="BO209" s="966"/>
      <c r="BP209" s="966"/>
      <c r="BQ209" s="966"/>
      <c r="BR209" s="966"/>
      <c r="BS209" s="966"/>
      <c r="BT209" s="966"/>
      <c r="BU209" s="966"/>
      <c r="BV209" s="966"/>
      <c r="BW209" s="966"/>
      <c r="BX209" s="966"/>
      <c r="BY209" s="966"/>
      <c r="BZ209" s="966"/>
      <c r="CA209" s="966"/>
      <c r="CB209" s="966"/>
      <c r="CC209" s="966"/>
      <c r="CD209" s="966"/>
      <c r="CE209" s="966"/>
      <c r="CF209" s="966"/>
      <c r="CG209" s="966"/>
      <c r="CH209" s="966"/>
      <c r="CI209" s="966"/>
      <c r="CJ209" s="966"/>
      <c r="CK209" s="966"/>
      <c r="CL209" s="966"/>
      <c r="CM209" s="966"/>
      <c r="CN209" s="966"/>
      <c r="CO209" s="966"/>
      <c r="CP209" s="966"/>
      <c r="CQ209" s="966"/>
      <c r="CR209" s="966"/>
      <c r="CS209" s="966"/>
      <c r="CT209" s="966"/>
      <c r="CU209" s="966"/>
      <c r="CV209" s="966"/>
      <c r="CW209" s="966"/>
      <c r="CX209" s="966"/>
      <c r="CY209" s="966"/>
      <c r="CZ209" s="966"/>
      <c r="DA209" s="966"/>
      <c r="DB209" s="966"/>
      <c r="DC209" s="966"/>
      <c r="DD209" s="966"/>
      <c r="DE209" s="966"/>
      <c r="DF209" s="966"/>
      <c r="DG209" s="966"/>
      <c r="DH209" s="966"/>
      <c r="DI209" s="966"/>
      <c r="DJ209" s="966"/>
      <c r="DK209" s="966"/>
      <c r="DL209" s="966"/>
      <c r="DM209" s="966"/>
      <c r="DN209" s="966"/>
      <c r="DO209" s="966"/>
      <c r="DP209" s="966"/>
      <c r="DQ209" s="966"/>
    </row>
    <row r="210" spans="1:121" ht="12.75" hidden="1" customHeight="1" outlineLevel="1">
      <c r="A210" s="966" t="s">
        <v>356</v>
      </c>
      <c r="B210" s="966"/>
      <c r="C210" s="966"/>
      <c r="D210" s="966"/>
      <c r="E210" s="1098">
        <f>E246</f>
        <v>4.0745599999999991</v>
      </c>
      <c r="F210" s="966"/>
      <c r="G210" s="1098"/>
      <c r="H210" s="966"/>
      <c r="I210" s="966"/>
      <c r="J210" s="966"/>
      <c r="K210" s="1098">
        <f>K246</f>
        <v>10.525878999999998</v>
      </c>
      <c r="L210" s="966"/>
      <c r="M210" s="1098"/>
      <c r="N210" s="966"/>
      <c r="O210" s="966"/>
      <c r="P210" s="966"/>
      <c r="Q210" s="1098">
        <f>Q246</f>
        <v>15.928394999999998</v>
      </c>
      <c r="R210" s="966"/>
      <c r="S210" s="1098">
        <f>S246</f>
        <v>16.422046999999999</v>
      </c>
      <c r="T210" s="1098">
        <f>T246</f>
        <v>17.369753000000003</v>
      </c>
      <c r="U210" s="1098">
        <f>U246</f>
        <v>17.394053000000003</v>
      </c>
      <c r="V210" s="1098">
        <f>V246</f>
        <v>17.365589000000003</v>
      </c>
      <c r="W210" s="1098">
        <f>V210</f>
        <v>17.365589000000003</v>
      </c>
      <c r="X210" s="966"/>
      <c r="Y210" s="1098">
        <f>Y246</f>
        <v>17.189706000000001</v>
      </c>
      <c r="Z210" s="1098">
        <f>Z246</f>
        <v>16.449138999999999</v>
      </c>
      <c r="AA210" s="1098">
        <f>AA246</f>
        <v>16.351607999999999</v>
      </c>
      <c r="AB210" s="1098">
        <f>AB246</f>
        <v>16.005907000000001</v>
      </c>
      <c r="AC210" s="1098">
        <f>AC246</f>
        <v>16.005907000000001</v>
      </c>
      <c r="AD210" s="966"/>
      <c r="AE210" s="966"/>
      <c r="AF210" s="966"/>
      <c r="AG210" s="966"/>
      <c r="AH210" s="966"/>
      <c r="AI210" s="966"/>
      <c r="AJ210" s="966"/>
      <c r="AK210" s="966"/>
      <c r="AL210" s="966"/>
      <c r="AM210" s="966"/>
      <c r="AN210" s="966"/>
      <c r="AO210" s="966"/>
      <c r="AP210" s="966"/>
      <c r="AQ210" s="966"/>
      <c r="AR210" s="966"/>
      <c r="AS210" s="966"/>
      <c r="AT210" s="966"/>
      <c r="AU210" s="966"/>
      <c r="AV210" s="966"/>
      <c r="AW210" s="966"/>
      <c r="AX210" s="966"/>
      <c r="AY210" s="966"/>
      <c r="AZ210" s="966"/>
      <c r="BA210" s="966"/>
      <c r="BB210" s="966"/>
      <c r="BC210" s="966"/>
      <c r="BD210" s="966"/>
      <c r="BE210" s="966"/>
      <c r="BF210" s="966"/>
      <c r="BG210" s="966"/>
      <c r="BH210" s="966"/>
      <c r="BI210" s="966"/>
      <c r="BJ210" s="966"/>
      <c r="BK210" s="966"/>
      <c r="BL210" s="966"/>
      <c r="BM210" s="966"/>
      <c r="BN210" s="966"/>
      <c r="BO210" s="966"/>
      <c r="BP210" s="966"/>
      <c r="BQ210" s="966"/>
      <c r="BR210" s="966"/>
      <c r="BS210" s="966"/>
      <c r="BT210" s="966"/>
      <c r="BU210" s="966"/>
      <c r="BV210" s="966"/>
      <c r="BW210" s="966"/>
      <c r="BX210" s="966"/>
      <c r="BY210" s="966"/>
      <c r="BZ210" s="966"/>
      <c r="CA210" s="966"/>
      <c r="CB210" s="966"/>
      <c r="CC210" s="966"/>
      <c r="CD210" s="966"/>
      <c r="CE210" s="966"/>
      <c r="CF210" s="966"/>
      <c r="CG210" s="966"/>
      <c r="CH210" s="966"/>
      <c r="CI210" s="966"/>
      <c r="CJ210" s="966"/>
      <c r="CK210" s="966"/>
      <c r="CL210" s="966"/>
      <c r="CM210" s="966"/>
      <c r="CN210" s="966"/>
      <c r="CO210" s="966"/>
      <c r="CP210" s="966"/>
      <c r="CQ210" s="966"/>
      <c r="CR210" s="966"/>
      <c r="CS210" s="966"/>
      <c r="CT210" s="966"/>
      <c r="CU210" s="966"/>
      <c r="CV210" s="966"/>
      <c r="CW210" s="966"/>
      <c r="CX210" s="966"/>
      <c r="CY210" s="966"/>
      <c r="CZ210" s="966"/>
      <c r="DA210" s="966"/>
      <c r="DB210" s="966"/>
      <c r="DC210" s="966"/>
      <c r="DD210" s="966"/>
      <c r="DE210" s="966"/>
      <c r="DF210" s="966"/>
      <c r="DG210" s="966"/>
      <c r="DH210" s="966"/>
      <c r="DI210" s="966"/>
      <c r="DJ210" s="966"/>
      <c r="DK210" s="966"/>
      <c r="DL210" s="966"/>
      <c r="DM210" s="966"/>
      <c r="DN210" s="966"/>
      <c r="DO210" s="966"/>
      <c r="DP210" s="966"/>
      <c r="DQ210" s="966"/>
    </row>
    <row r="211" spans="1:121" ht="3" hidden="1" customHeight="1" outlineLevel="1">
      <c r="A211" s="966"/>
      <c r="B211" s="966"/>
      <c r="C211" s="966"/>
      <c r="D211" s="1098"/>
      <c r="E211" s="1098"/>
      <c r="F211" s="1098"/>
      <c r="G211" s="1098"/>
      <c r="H211" s="1098"/>
      <c r="I211" s="1098"/>
      <c r="J211" s="1098"/>
      <c r="K211" s="1098"/>
      <c r="L211" s="1098"/>
      <c r="M211" s="1098"/>
      <c r="N211" s="1098"/>
      <c r="O211" s="1098"/>
      <c r="P211" s="1098"/>
      <c r="Q211" s="1098"/>
      <c r="R211" s="1098"/>
      <c r="S211" s="1098"/>
      <c r="T211" s="1098"/>
      <c r="U211" s="1098"/>
      <c r="V211" s="1098"/>
      <c r="W211" s="1098"/>
      <c r="X211" s="966"/>
      <c r="Y211" s="1098"/>
      <c r="Z211" s="1098"/>
      <c r="AA211" s="1098"/>
      <c r="AB211" s="1098"/>
      <c r="AC211" s="1098"/>
      <c r="AD211" s="966"/>
      <c r="AE211" s="1098"/>
      <c r="AF211" s="1098"/>
      <c r="AG211" s="1098"/>
      <c r="AH211" s="1098"/>
      <c r="AI211" s="1098"/>
      <c r="AJ211" s="966"/>
      <c r="AK211" s="1098"/>
      <c r="AL211" s="1098"/>
      <c r="AM211" s="1098"/>
      <c r="AN211" s="1098"/>
      <c r="AO211" s="1098"/>
      <c r="AP211" s="966"/>
      <c r="AQ211" s="1098"/>
      <c r="AR211" s="1098"/>
      <c r="AS211" s="1098"/>
      <c r="AT211" s="1098"/>
      <c r="AU211" s="1098"/>
      <c r="AV211" s="966"/>
      <c r="AW211" s="1098"/>
      <c r="AX211" s="1098"/>
      <c r="AY211" s="1098"/>
      <c r="AZ211" s="1098"/>
      <c r="BA211" s="1098"/>
      <c r="BB211" s="966"/>
      <c r="BC211" s="1098"/>
      <c r="BD211" s="1098"/>
      <c r="BE211" s="1098"/>
      <c r="BF211" s="1098"/>
      <c r="BG211" s="1098"/>
      <c r="BH211" s="966"/>
      <c r="BI211" s="1098"/>
      <c r="BJ211" s="1098"/>
      <c r="BK211" s="1098"/>
      <c r="BL211" s="1098"/>
      <c r="BM211" s="1098"/>
      <c r="BN211" s="966"/>
      <c r="BO211" s="1098"/>
      <c r="BP211" s="1098"/>
      <c r="BQ211" s="1098"/>
      <c r="BR211" s="1098"/>
      <c r="BS211" s="1098"/>
      <c r="BT211" s="966"/>
      <c r="BU211" s="1098"/>
      <c r="BV211" s="1098"/>
      <c r="BW211" s="1098"/>
      <c r="BX211" s="1098"/>
      <c r="BY211" s="1098"/>
      <c r="BZ211" s="966"/>
      <c r="CA211" s="1098"/>
      <c r="CB211" s="1098"/>
      <c r="CC211" s="1098"/>
      <c r="CD211" s="1098"/>
      <c r="CE211" s="1098"/>
      <c r="CF211" s="966"/>
      <c r="CG211" s="1098"/>
      <c r="CH211" s="1098"/>
      <c r="CI211" s="1098"/>
      <c r="CJ211" s="1098"/>
      <c r="CK211" s="1098"/>
      <c r="CL211" s="966"/>
      <c r="CM211" s="1098"/>
      <c r="CN211" s="1098"/>
      <c r="CO211" s="1098"/>
      <c r="CP211" s="1098"/>
      <c r="CQ211" s="1098"/>
      <c r="CR211" s="966"/>
      <c r="CS211" s="1098"/>
      <c r="CT211" s="1098"/>
      <c r="CU211" s="1098"/>
      <c r="CV211" s="1098"/>
      <c r="CW211" s="1098"/>
      <c r="CX211" s="966"/>
      <c r="CY211" s="1098"/>
      <c r="CZ211" s="1098"/>
      <c r="DA211" s="1098"/>
      <c r="DB211" s="1098"/>
      <c r="DC211" s="1098"/>
      <c r="DD211" s="966"/>
      <c r="DE211" s="1098"/>
      <c r="DF211" s="1098"/>
      <c r="DG211" s="1098"/>
      <c r="DH211" s="1098"/>
      <c r="DI211" s="1098"/>
      <c r="DJ211" s="966"/>
      <c r="DK211" s="1098"/>
      <c r="DL211" s="1098"/>
      <c r="DM211" s="1098"/>
      <c r="DN211" s="1098"/>
      <c r="DO211" s="1098"/>
      <c r="DP211" s="1098"/>
      <c r="DQ211" s="966"/>
    </row>
    <row r="212" spans="1:121" ht="12.75" hidden="1" customHeight="1" outlineLevel="1">
      <c r="A212" s="1256" t="s">
        <v>53</v>
      </c>
      <c r="B212" s="966"/>
      <c r="C212" s="966"/>
      <c r="D212" s="966"/>
      <c r="E212" s="966"/>
      <c r="F212" s="966"/>
      <c r="G212" s="966"/>
      <c r="H212" s="966"/>
      <c r="I212" s="966"/>
      <c r="J212" s="966"/>
      <c r="K212" s="966"/>
      <c r="L212" s="966"/>
      <c r="M212" s="966"/>
      <c r="N212" s="966"/>
      <c r="O212" s="966"/>
      <c r="P212" s="966"/>
      <c r="Q212" s="966"/>
      <c r="R212" s="966"/>
      <c r="S212" s="966"/>
      <c r="T212" s="966"/>
      <c r="U212" s="966"/>
      <c r="V212" s="966"/>
      <c r="W212" s="966"/>
      <c r="X212" s="966"/>
      <c r="Y212" s="966"/>
      <c r="Z212" s="966"/>
      <c r="AA212" s="966"/>
      <c r="AB212" s="966"/>
      <c r="AC212" s="966"/>
      <c r="AD212" s="966"/>
      <c r="AE212" s="966"/>
      <c r="AF212" s="966"/>
      <c r="AG212" s="966"/>
      <c r="AH212" s="966"/>
      <c r="AI212" s="966"/>
      <c r="AJ212" s="966"/>
      <c r="AK212" s="966"/>
      <c r="AL212" s="966"/>
      <c r="AM212" s="966"/>
      <c r="AN212" s="966"/>
      <c r="AO212" s="966"/>
      <c r="AP212" s="966"/>
      <c r="AQ212" s="966"/>
      <c r="AR212" s="966"/>
      <c r="AS212" s="966"/>
      <c r="AT212" s="966"/>
      <c r="AU212" s="966"/>
      <c r="AV212" s="966"/>
      <c r="AW212" s="966"/>
      <c r="AX212" s="966"/>
      <c r="AY212" s="966"/>
      <c r="AZ212" s="966"/>
      <c r="BA212" s="966"/>
      <c r="BB212" s="966"/>
      <c r="BC212" s="966"/>
      <c r="BD212" s="966"/>
      <c r="BE212" s="966"/>
      <c r="BF212" s="966"/>
      <c r="BG212" s="966"/>
      <c r="BH212" s="966"/>
      <c r="BI212" s="966"/>
      <c r="BJ212" s="966"/>
      <c r="BK212" s="966"/>
      <c r="BL212" s="966"/>
      <c r="BM212" s="966"/>
      <c r="BN212" s="966"/>
      <c r="BO212" s="966"/>
      <c r="BP212" s="966"/>
      <c r="BQ212" s="966"/>
      <c r="BR212" s="966"/>
      <c r="BS212" s="966"/>
      <c r="BT212" s="966"/>
      <c r="BU212" s="966"/>
      <c r="BV212" s="966"/>
      <c r="BW212" s="966"/>
      <c r="BX212" s="966"/>
      <c r="BY212" s="966"/>
      <c r="BZ212" s="966"/>
      <c r="CA212" s="966"/>
      <c r="CB212" s="966"/>
      <c r="CC212" s="966"/>
      <c r="CD212" s="966"/>
      <c r="CE212" s="966"/>
      <c r="CF212" s="966"/>
      <c r="CG212" s="966"/>
      <c r="CH212" s="966"/>
      <c r="CI212" s="966"/>
      <c r="CJ212" s="966"/>
      <c r="CK212" s="966"/>
      <c r="CL212" s="966"/>
      <c r="CM212" s="966"/>
      <c r="CN212" s="966"/>
      <c r="CO212" s="966"/>
      <c r="CP212" s="966"/>
      <c r="CQ212" s="966"/>
      <c r="CR212" s="966"/>
      <c r="CS212" s="966"/>
      <c r="CT212" s="966"/>
      <c r="CU212" s="966"/>
      <c r="CV212" s="966"/>
      <c r="CW212" s="966"/>
      <c r="CX212" s="966"/>
      <c r="CY212" s="966"/>
      <c r="CZ212" s="966"/>
      <c r="DA212" s="966"/>
      <c r="DB212" s="966"/>
      <c r="DC212" s="966"/>
      <c r="DD212" s="966"/>
      <c r="DE212" s="966"/>
      <c r="DF212" s="966"/>
      <c r="DG212" s="966"/>
      <c r="DH212" s="966"/>
      <c r="DI212" s="966"/>
      <c r="DJ212" s="966"/>
      <c r="DK212" s="966"/>
      <c r="DL212" s="966"/>
      <c r="DM212" s="966"/>
      <c r="DN212" s="966"/>
      <c r="DO212" s="966"/>
      <c r="DP212" s="966"/>
      <c r="DQ212" s="966"/>
    </row>
    <row r="213" spans="1:121" ht="12.75" hidden="1" customHeight="1" outlineLevel="1">
      <c r="A213" s="966" t="s">
        <v>496</v>
      </c>
      <c r="B213" s="966"/>
      <c r="C213" s="966"/>
      <c r="D213" s="966"/>
      <c r="E213" s="1138">
        <f>E206/E$205</f>
        <v>8.6721600972311491E-2</v>
      </c>
      <c r="F213" s="966"/>
      <c r="G213" s="1138"/>
      <c r="H213" s="1138"/>
      <c r="I213" s="1138"/>
      <c r="J213" s="1138"/>
      <c r="K213" s="1138">
        <f>K206/K$205</f>
        <v>0.29126377310532392</v>
      </c>
      <c r="L213" s="966"/>
      <c r="M213" s="1138"/>
      <c r="N213" s="1138"/>
      <c r="O213" s="1138"/>
      <c r="P213" s="1138"/>
      <c r="Q213" s="1138">
        <f>Q206/Q$205</f>
        <v>0.24222481342425614</v>
      </c>
      <c r="R213" s="1257"/>
      <c r="S213" s="1138">
        <f>S206/S$205</f>
        <v>1.7539287929735123E-2</v>
      </c>
      <c r="T213" s="1138">
        <f>T206/T$205</f>
        <v>5.6507971265767204E-3</v>
      </c>
      <c r="U213" s="1138">
        <f>U206/U$205</f>
        <v>5.9260171229547822E-3</v>
      </c>
      <c r="V213" s="1138">
        <f>V206/V$205</f>
        <v>4.3223780640013303E-3</v>
      </c>
      <c r="W213" s="1138">
        <f>W206/W$205</f>
        <v>1.5460321310389663E-2</v>
      </c>
      <c r="X213" s="966"/>
      <c r="Y213" s="1138">
        <f t="shared" ref="Y213:Z217" si="126">Y206/Y$205</f>
        <v>6.6505069109380765E-4</v>
      </c>
      <c r="Z213" s="1138">
        <f t="shared" si="126"/>
        <v>3.6536942379182162E-3</v>
      </c>
      <c r="AA213" s="1138">
        <f t="shared" ref="AA213:AC217" si="127">AA206/AA$205</f>
        <v>2.4630655586334259E-3</v>
      </c>
      <c r="AB213" s="1138">
        <f t="shared" si="127"/>
        <v>3.4328068181818175E-3</v>
      </c>
      <c r="AC213" s="1138">
        <f t="shared" si="127"/>
        <v>1.1976556818181818E-2</v>
      </c>
      <c r="AD213" s="966"/>
      <c r="AE213" s="966"/>
      <c r="AF213" s="966"/>
      <c r="AG213" s="966"/>
      <c r="AH213" s="966"/>
      <c r="AI213" s="966"/>
      <c r="AJ213" s="966"/>
      <c r="AK213" s="966"/>
      <c r="AL213" s="966"/>
      <c r="AM213" s="966"/>
      <c r="AN213" s="966"/>
      <c r="AO213" s="966"/>
      <c r="AP213" s="966"/>
      <c r="AQ213" s="966"/>
      <c r="AR213" s="966"/>
      <c r="AS213" s="966"/>
      <c r="AT213" s="966"/>
      <c r="AU213" s="966"/>
      <c r="AV213" s="966"/>
      <c r="AW213" s="966"/>
      <c r="AX213" s="966"/>
      <c r="AY213" s="966"/>
      <c r="AZ213" s="966"/>
      <c r="BA213" s="966"/>
      <c r="BB213" s="966"/>
      <c r="BC213" s="966"/>
      <c r="BD213" s="966"/>
      <c r="BE213" s="966"/>
      <c r="BF213" s="966"/>
      <c r="BG213" s="966"/>
      <c r="BH213" s="966"/>
      <c r="BI213" s="966"/>
      <c r="BJ213" s="966"/>
      <c r="BK213" s="966"/>
      <c r="BL213" s="966"/>
      <c r="BM213" s="966"/>
      <c r="BN213" s="966"/>
      <c r="BO213" s="966"/>
      <c r="BP213" s="966"/>
      <c r="BQ213" s="966"/>
      <c r="BR213" s="966"/>
      <c r="BS213" s="966"/>
      <c r="BT213" s="966"/>
      <c r="BU213" s="966"/>
      <c r="BV213" s="966"/>
      <c r="BW213" s="966"/>
      <c r="BX213" s="966"/>
      <c r="BY213" s="966"/>
      <c r="BZ213" s="966"/>
      <c r="CA213" s="966"/>
      <c r="CB213" s="966"/>
      <c r="CC213" s="966"/>
      <c r="CD213" s="966"/>
      <c r="CE213" s="966"/>
      <c r="CF213" s="966"/>
      <c r="CG213" s="966"/>
      <c r="CH213" s="966"/>
      <c r="CI213" s="966"/>
      <c r="CJ213" s="966"/>
      <c r="CK213" s="966"/>
      <c r="CL213" s="966"/>
      <c r="CM213" s="966"/>
      <c r="CN213" s="966"/>
      <c r="CO213" s="966"/>
      <c r="CP213" s="966"/>
      <c r="CQ213" s="966"/>
      <c r="CR213" s="966"/>
      <c r="CS213" s="966"/>
      <c r="CT213" s="966"/>
      <c r="CU213" s="966"/>
      <c r="CV213" s="966"/>
      <c r="CW213" s="966"/>
      <c r="CX213" s="966"/>
      <c r="CY213" s="966"/>
      <c r="CZ213" s="966"/>
      <c r="DA213" s="966"/>
      <c r="DB213" s="966"/>
      <c r="DC213" s="966"/>
      <c r="DD213" s="966"/>
      <c r="DE213" s="966"/>
      <c r="DF213" s="966"/>
      <c r="DG213" s="966"/>
      <c r="DH213" s="966"/>
      <c r="DI213" s="966"/>
      <c r="DJ213" s="966"/>
      <c r="DK213" s="966"/>
      <c r="DL213" s="966"/>
      <c r="DM213" s="966"/>
      <c r="DN213" s="966"/>
      <c r="DO213" s="966"/>
      <c r="DP213" s="966"/>
      <c r="DQ213" s="966"/>
    </row>
    <row r="214" spans="1:121" ht="12.75" hidden="1" customHeight="1" outlineLevel="1">
      <c r="A214" s="966" t="s">
        <v>503</v>
      </c>
      <c r="B214" s="966"/>
      <c r="C214" s="966"/>
      <c r="D214" s="966"/>
      <c r="E214" s="1138">
        <f>E207/E$205</f>
        <v>4.3140204373829372E-2</v>
      </c>
      <c r="F214" s="966"/>
      <c r="G214" s="1138"/>
      <c r="H214" s="1138"/>
      <c r="I214" s="1138"/>
      <c r="J214" s="1138"/>
      <c r="K214" s="1138">
        <f>K207/K$205</f>
        <v>0.26677114062213653</v>
      </c>
      <c r="L214" s="966"/>
      <c r="M214" s="1138"/>
      <c r="N214" s="1138"/>
      <c r="O214" s="1138"/>
      <c r="P214" s="1138"/>
      <c r="Q214" s="1138">
        <f t="shared" ref="Q214:S217" si="128">Q207/Q$205</f>
        <v>0.20436153091283377</v>
      </c>
      <c r="R214" s="1257"/>
      <c r="S214" s="1138">
        <f t="shared" si="128"/>
        <v>1.6580137506813732E-2</v>
      </c>
      <c r="T214" s="1138">
        <f t="shared" ref="T214:U217" si="129">T207/T$205</f>
        <v>4.8535211593826707E-3</v>
      </c>
      <c r="U214" s="1138">
        <f t="shared" si="129"/>
        <v>1.6540579861810984E-3</v>
      </c>
      <c r="V214" s="1138">
        <f t="shared" ref="V214:W217" si="130">V207/V$205</f>
        <v>4.1880877466463342E-3</v>
      </c>
      <c r="W214" s="1138">
        <f t="shared" si="130"/>
        <v>1.2575085615107515E-2</v>
      </c>
      <c r="X214" s="966"/>
      <c r="Y214" s="1138">
        <f t="shared" si="126"/>
        <v>4.5652400829431118E-4</v>
      </c>
      <c r="Z214" s="1138">
        <f t="shared" si="126"/>
        <v>1.7064196096654278E-3</v>
      </c>
      <c r="AA214" s="1138">
        <f t="shared" si="127"/>
        <v>1.495801015697138E-3</v>
      </c>
      <c r="AB214" s="1138">
        <f t="shared" si="127"/>
        <v>3.0031159090909082E-3</v>
      </c>
      <c r="AC214" s="1138">
        <f t="shared" si="127"/>
        <v>7.8918477272727269E-3</v>
      </c>
      <c r="AD214" s="966"/>
      <c r="AE214" s="966"/>
      <c r="AF214" s="966"/>
      <c r="AG214" s="966"/>
      <c r="AH214" s="966"/>
      <c r="AI214" s="966"/>
      <c r="AJ214" s="966"/>
      <c r="AK214" s="966"/>
      <c r="AL214" s="966"/>
      <c r="AM214" s="966"/>
      <c r="AN214" s="966"/>
      <c r="AO214" s="966"/>
      <c r="AP214" s="966"/>
      <c r="AQ214" s="966"/>
      <c r="AR214" s="966"/>
      <c r="AS214" s="966"/>
      <c r="AT214" s="966"/>
      <c r="AU214" s="966"/>
      <c r="AV214" s="966"/>
      <c r="AW214" s="966"/>
      <c r="AX214" s="966"/>
      <c r="AY214" s="966"/>
      <c r="AZ214" s="966"/>
      <c r="BA214" s="966"/>
      <c r="BB214" s="966"/>
      <c r="BC214" s="966"/>
      <c r="BD214" s="966"/>
      <c r="BE214" s="966"/>
      <c r="BF214" s="966"/>
      <c r="BG214" s="966"/>
      <c r="BH214" s="966"/>
      <c r="BI214" s="966"/>
      <c r="BJ214" s="966"/>
      <c r="BK214" s="966"/>
      <c r="BL214" s="966"/>
      <c r="BM214" s="966"/>
      <c r="BN214" s="966"/>
      <c r="BO214" s="966"/>
      <c r="BP214" s="966"/>
      <c r="BQ214" s="966"/>
      <c r="BR214" s="966"/>
      <c r="BS214" s="966"/>
      <c r="BT214" s="966"/>
      <c r="BU214" s="966"/>
      <c r="BV214" s="966"/>
      <c r="BW214" s="966"/>
      <c r="BX214" s="966"/>
      <c r="BY214" s="966"/>
      <c r="BZ214" s="966"/>
      <c r="CA214" s="966"/>
      <c r="CB214" s="966"/>
      <c r="CC214" s="966"/>
      <c r="CD214" s="966"/>
      <c r="CE214" s="966"/>
      <c r="CF214" s="966"/>
      <c r="CG214" s="966"/>
      <c r="CH214" s="966"/>
      <c r="CI214" s="966"/>
      <c r="CJ214" s="966"/>
      <c r="CK214" s="966"/>
      <c r="CL214" s="966"/>
      <c r="CM214" s="966"/>
      <c r="CN214" s="966"/>
      <c r="CO214" s="966"/>
      <c r="CP214" s="966"/>
      <c r="CQ214" s="966"/>
      <c r="CR214" s="966"/>
      <c r="CS214" s="966"/>
      <c r="CT214" s="966"/>
      <c r="CU214" s="966"/>
      <c r="CV214" s="966"/>
      <c r="CW214" s="966"/>
      <c r="CX214" s="966"/>
      <c r="CY214" s="966"/>
      <c r="CZ214" s="966"/>
      <c r="DA214" s="966"/>
      <c r="DB214" s="966"/>
      <c r="DC214" s="966"/>
      <c r="DD214" s="966"/>
      <c r="DE214" s="966"/>
      <c r="DF214" s="966"/>
      <c r="DG214" s="966"/>
      <c r="DH214" s="966"/>
      <c r="DI214" s="966"/>
      <c r="DJ214" s="966"/>
      <c r="DK214" s="966"/>
      <c r="DL214" s="966"/>
      <c r="DM214" s="966"/>
      <c r="DN214" s="966"/>
      <c r="DO214" s="966"/>
      <c r="DP214" s="966"/>
      <c r="DQ214" s="966"/>
    </row>
    <row r="215" spans="1:121" ht="12.75" hidden="1" customHeight="1" outlineLevel="1">
      <c r="A215" s="966" t="s">
        <v>675</v>
      </c>
      <c r="B215" s="966"/>
      <c r="C215" s="966"/>
      <c r="D215" s="966"/>
      <c r="E215" s="1138">
        <f>E208/E$205</f>
        <v>1.6953581190820442E-2</v>
      </c>
      <c r="F215" s="966"/>
      <c r="G215" s="1138"/>
      <c r="H215" s="1138"/>
      <c r="I215" s="1138"/>
      <c r="J215" s="1138"/>
      <c r="K215" s="1138">
        <f>K208/K$205</f>
        <v>5.5120373169324506E-2</v>
      </c>
      <c r="L215" s="966"/>
      <c r="M215" s="1138"/>
      <c r="N215" s="1138"/>
      <c r="O215" s="1138"/>
      <c r="P215" s="1138"/>
      <c r="Q215" s="1138">
        <f t="shared" si="128"/>
        <v>3.3019674268439832E-2</v>
      </c>
      <c r="R215" s="1257"/>
      <c r="S215" s="1138">
        <f t="shared" si="128"/>
        <v>1.2866517706217717E-2</v>
      </c>
      <c r="T215" s="1138">
        <f t="shared" si="129"/>
        <v>1.7324850226173432E-4</v>
      </c>
      <c r="U215" s="1138">
        <f t="shared" si="129"/>
        <v>1.5342358726116194E-3</v>
      </c>
      <c r="V215" s="1138">
        <f t="shared" si="130"/>
        <v>4.25586510347724E-3</v>
      </c>
      <c r="W215" s="1138">
        <f t="shared" si="130"/>
        <v>9.1528958113822056E-3</v>
      </c>
      <c r="X215" s="966"/>
      <c r="Y215" s="1138">
        <f t="shared" si="126"/>
        <v>5.6099048208340849E-4</v>
      </c>
      <c r="Z215" s="1138">
        <f t="shared" si="126"/>
        <v>3.4270678438661712E-3</v>
      </c>
      <c r="AA215" s="1138">
        <f t="shared" si="127"/>
        <v>1.7209418282548481E-3</v>
      </c>
      <c r="AB215" s="1138">
        <f t="shared" si="127"/>
        <v>3.7887999999999993E-3</v>
      </c>
      <c r="AC215" s="1138">
        <f t="shared" si="127"/>
        <v>1.0982034090909091E-2</v>
      </c>
      <c r="AD215" s="966"/>
      <c r="AE215" s="966"/>
      <c r="AF215" s="966"/>
      <c r="AG215" s="966"/>
      <c r="AH215" s="966"/>
      <c r="AI215" s="966"/>
      <c r="AJ215" s="966"/>
      <c r="AK215" s="966"/>
      <c r="AL215" s="966"/>
      <c r="AM215" s="966"/>
      <c r="AN215" s="966"/>
      <c r="AO215" s="966"/>
      <c r="AP215" s="966"/>
      <c r="AQ215" s="966"/>
      <c r="AR215" s="966"/>
      <c r="AS215" s="966"/>
      <c r="AT215" s="966"/>
      <c r="AU215" s="966"/>
      <c r="AV215" s="966"/>
      <c r="AW215" s="966"/>
      <c r="AX215" s="966"/>
      <c r="AY215" s="966"/>
      <c r="AZ215" s="966"/>
      <c r="BA215" s="966"/>
      <c r="BB215" s="966"/>
      <c r="BC215" s="966"/>
      <c r="BD215" s="966"/>
      <c r="BE215" s="966"/>
      <c r="BF215" s="966"/>
      <c r="BG215" s="966"/>
      <c r="BH215" s="966"/>
      <c r="BI215" s="966"/>
      <c r="BJ215" s="966"/>
      <c r="BK215" s="966"/>
      <c r="BL215" s="966"/>
      <c r="BM215" s="966"/>
      <c r="BN215" s="966"/>
      <c r="BO215" s="966"/>
      <c r="BP215" s="966"/>
      <c r="BQ215" s="966"/>
      <c r="BR215" s="966"/>
      <c r="BS215" s="966"/>
      <c r="BT215" s="966"/>
      <c r="BU215" s="966"/>
      <c r="BV215" s="966"/>
      <c r="BW215" s="966"/>
      <c r="BX215" s="966"/>
      <c r="BY215" s="966"/>
      <c r="BZ215" s="966"/>
      <c r="CA215" s="966"/>
      <c r="CB215" s="966"/>
      <c r="CC215" s="966"/>
      <c r="CD215" s="966"/>
      <c r="CE215" s="966"/>
      <c r="CF215" s="966"/>
      <c r="CG215" s="966"/>
      <c r="CH215" s="966"/>
      <c r="CI215" s="966"/>
      <c r="CJ215" s="966"/>
      <c r="CK215" s="966"/>
      <c r="CL215" s="966"/>
      <c r="CM215" s="966"/>
      <c r="CN215" s="966"/>
      <c r="CO215" s="966"/>
      <c r="CP215" s="966"/>
      <c r="CQ215" s="966"/>
      <c r="CR215" s="966"/>
      <c r="CS215" s="966"/>
      <c r="CT215" s="966"/>
      <c r="CU215" s="966"/>
      <c r="CV215" s="966"/>
      <c r="CW215" s="966"/>
      <c r="CX215" s="966"/>
      <c r="CY215" s="966"/>
      <c r="CZ215" s="966"/>
      <c r="DA215" s="966"/>
      <c r="DB215" s="966"/>
      <c r="DC215" s="966"/>
      <c r="DD215" s="966"/>
      <c r="DE215" s="966"/>
      <c r="DF215" s="966"/>
      <c r="DG215" s="966"/>
      <c r="DH215" s="966"/>
      <c r="DI215" s="966"/>
      <c r="DJ215" s="966"/>
      <c r="DK215" s="966"/>
      <c r="DL215" s="966"/>
      <c r="DM215" s="966"/>
      <c r="DN215" s="966"/>
      <c r="DO215" s="966"/>
      <c r="DP215" s="966"/>
      <c r="DQ215" s="966"/>
    </row>
    <row r="216" spans="1:121" ht="12.75" hidden="1" customHeight="1" outlineLevel="1">
      <c r="A216" s="966" t="s">
        <v>772</v>
      </c>
      <c r="B216" s="966"/>
      <c r="C216" s="966"/>
      <c r="D216" s="966"/>
      <c r="E216" s="1138">
        <f>E209/E$205</f>
        <v>0.13927823590928015</v>
      </c>
      <c r="F216" s="966"/>
      <c r="G216" s="1138"/>
      <c r="H216" s="1138"/>
      <c r="I216" s="1138"/>
      <c r="J216" s="1138"/>
      <c r="K216" s="1138">
        <f>K209/K$205</f>
        <v>0.34532633845349098</v>
      </c>
      <c r="L216" s="966"/>
      <c r="M216" s="1138"/>
      <c r="N216" s="1138"/>
      <c r="O216" s="1138"/>
      <c r="P216" s="1138"/>
      <c r="Q216" s="1138">
        <f t="shared" si="128"/>
        <v>0.50517217767893341</v>
      </c>
      <c r="R216" s="1257"/>
      <c r="S216" s="1138">
        <f t="shared" si="128"/>
        <v>0.12353892804145095</v>
      </c>
      <c r="T216" s="1138">
        <f t="shared" si="129"/>
        <v>8.5781012283181038E-2</v>
      </c>
      <c r="U216" s="1138">
        <f t="shared" si="129"/>
        <v>8.5769226090516723E-2</v>
      </c>
      <c r="V216" s="1138">
        <f t="shared" si="130"/>
        <v>4.1350257245357548E-2</v>
      </c>
      <c r="W216" s="1138">
        <f t="shared" si="130"/>
        <v>4.1350257245357548E-2</v>
      </c>
      <c r="X216" s="966"/>
      <c r="Y216" s="1138">
        <f t="shared" si="126"/>
        <v>1.0209900736803942E-2</v>
      </c>
      <c r="Z216" s="1138">
        <f t="shared" si="126"/>
        <v>3.8218259758364313E-2</v>
      </c>
      <c r="AA216" s="1138">
        <f t="shared" si="127"/>
        <v>3.7746094182825485E-2</v>
      </c>
      <c r="AB216" s="1138">
        <f t="shared" si="127"/>
        <v>3.6377061363636366E-2</v>
      </c>
      <c r="AC216" s="1138">
        <f t="shared" si="127"/>
        <v>3.6377061363636366E-2</v>
      </c>
      <c r="AD216" s="966"/>
      <c r="AE216" s="966"/>
      <c r="AF216" s="966"/>
      <c r="AG216" s="966"/>
      <c r="AH216" s="966"/>
      <c r="AI216" s="966"/>
      <c r="AJ216" s="966"/>
      <c r="AK216" s="966"/>
      <c r="AL216" s="966"/>
      <c r="AM216" s="966"/>
      <c r="AN216" s="966"/>
      <c r="AO216" s="966"/>
      <c r="AP216" s="966"/>
      <c r="AQ216" s="966"/>
      <c r="AR216" s="966"/>
      <c r="AS216" s="966"/>
      <c r="AT216" s="966"/>
      <c r="AU216" s="966"/>
      <c r="AV216" s="966"/>
      <c r="AW216" s="966"/>
      <c r="AX216" s="966"/>
      <c r="AY216" s="966"/>
      <c r="AZ216" s="966"/>
      <c r="BA216" s="966"/>
      <c r="BB216" s="966"/>
      <c r="BC216" s="966"/>
      <c r="BD216" s="966"/>
      <c r="BE216" s="966"/>
      <c r="BF216" s="966"/>
      <c r="BG216" s="966"/>
      <c r="BH216" s="966"/>
      <c r="BI216" s="966"/>
      <c r="BJ216" s="966"/>
      <c r="BK216" s="966"/>
      <c r="BL216" s="966"/>
      <c r="BM216" s="966"/>
      <c r="BN216" s="966"/>
      <c r="BO216" s="966"/>
      <c r="BP216" s="966"/>
      <c r="BQ216" s="966"/>
      <c r="BR216" s="966"/>
      <c r="BS216" s="966"/>
      <c r="BT216" s="966"/>
      <c r="BU216" s="966"/>
      <c r="BV216" s="966"/>
      <c r="BW216" s="966"/>
      <c r="BX216" s="966"/>
      <c r="BY216" s="966"/>
      <c r="BZ216" s="966"/>
      <c r="CA216" s="966"/>
      <c r="CB216" s="966"/>
      <c r="CC216" s="966"/>
      <c r="CD216" s="966"/>
      <c r="CE216" s="966"/>
      <c r="CF216" s="966"/>
      <c r="CG216" s="966"/>
      <c r="CH216" s="966"/>
      <c r="CI216" s="966"/>
      <c r="CJ216" s="966"/>
      <c r="CK216" s="966"/>
      <c r="CL216" s="966"/>
      <c r="CM216" s="966"/>
      <c r="CN216" s="966"/>
      <c r="CO216" s="966"/>
      <c r="CP216" s="966"/>
      <c r="CQ216" s="966"/>
      <c r="CR216" s="966"/>
      <c r="CS216" s="966"/>
      <c r="CT216" s="966"/>
      <c r="CU216" s="966"/>
      <c r="CV216" s="966"/>
      <c r="CW216" s="966"/>
      <c r="CX216" s="966"/>
      <c r="CY216" s="966"/>
      <c r="CZ216" s="966"/>
      <c r="DA216" s="966"/>
      <c r="DB216" s="966"/>
      <c r="DC216" s="966"/>
      <c r="DD216" s="966"/>
      <c r="DE216" s="966"/>
      <c r="DF216" s="966"/>
      <c r="DG216" s="966"/>
      <c r="DH216" s="966"/>
      <c r="DI216" s="966"/>
      <c r="DJ216" s="966"/>
      <c r="DK216" s="966"/>
      <c r="DL216" s="966"/>
      <c r="DM216" s="966"/>
      <c r="DN216" s="966"/>
      <c r="DO216" s="966"/>
      <c r="DP216" s="966"/>
      <c r="DQ216" s="966"/>
    </row>
    <row r="217" spans="1:121" ht="12.75" hidden="1" customHeight="1" outlineLevel="1">
      <c r="A217" s="966" t="s">
        <v>356</v>
      </c>
      <c r="B217" s="966"/>
      <c r="C217" s="966"/>
      <c r="D217" s="966"/>
      <c r="E217" s="1138">
        <f>E210/E$205</f>
        <v>0.13927823590928015</v>
      </c>
      <c r="F217" s="966"/>
      <c r="G217" s="1138"/>
      <c r="H217" s="1138"/>
      <c r="I217" s="1138"/>
      <c r="J217" s="1138"/>
      <c r="K217" s="1138">
        <f>K210/K$205</f>
        <v>0.34532633845349098</v>
      </c>
      <c r="L217" s="966"/>
      <c r="M217" s="1138"/>
      <c r="N217" s="1138"/>
      <c r="O217" s="1138"/>
      <c r="P217" s="1138"/>
      <c r="Q217" s="1138">
        <f t="shared" si="128"/>
        <v>0.50517217767893341</v>
      </c>
      <c r="R217" s="1257"/>
      <c r="S217" s="1138">
        <f t="shared" si="128"/>
        <v>0.12353892804145095</v>
      </c>
      <c r="T217" s="1138">
        <f t="shared" si="129"/>
        <v>8.5781012283181038E-2</v>
      </c>
      <c r="U217" s="1138">
        <f t="shared" si="129"/>
        <v>8.5769226090516723E-2</v>
      </c>
      <c r="V217" s="1138">
        <f t="shared" si="130"/>
        <v>4.1350257245357548E-2</v>
      </c>
      <c r="W217" s="1138">
        <f t="shared" si="130"/>
        <v>4.1350257245357548E-2</v>
      </c>
      <c r="X217" s="966"/>
      <c r="Y217" s="1138">
        <f t="shared" si="126"/>
        <v>1.0209900736803942E-2</v>
      </c>
      <c r="Z217" s="1138">
        <f t="shared" si="126"/>
        <v>3.8218259758364313E-2</v>
      </c>
      <c r="AA217" s="1138">
        <f t="shared" si="127"/>
        <v>3.7746094182825485E-2</v>
      </c>
      <c r="AB217" s="1138">
        <f t="shared" si="127"/>
        <v>3.6377061363636366E-2</v>
      </c>
      <c r="AC217" s="1138">
        <f t="shared" si="127"/>
        <v>3.6377061363636366E-2</v>
      </c>
      <c r="AD217" s="966"/>
      <c r="AE217" s="966"/>
      <c r="AF217" s="966"/>
      <c r="AG217" s="966"/>
      <c r="AH217" s="966"/>
      <c r="AI217" s="966"/>
      <c r="AJ217" s="966"/>
      <c r="AK217" s="966"/>
      <c r="AL217" s="966"/>
      <c r="AM217" s="966"/>
      <c r="AN217" s="966"/>
      <c r="AO217" s="966"/>
      <c r="AP217" s="966"/>
      <c r="AQ217" s="966"/>
      <c r="AR217" s="966"/>
      <c r="AS217" s="966"/>
      <c r="AT217" s="966"/>
      <c r="AU217" s="966"/>
      <c r="AV217" s="966"/>
      <c r="AW217" s="966"/>
      <c r="AX217" s="966"/>
      <c r="AY217" s="966"/>
      <c r="AZ217" s="966"/>
      <c r="BA217" s="966"/>
      <c r="BB217" s="966"/>
      <c r="BC217" s="966"/>
      <c r="BD217" s="966"/>
      <c r="BE217" s="966"/>
      <c r="BF217" s="966"/>
      <c r="BG217" s="966"/>
      <c r="BH217" s="966"/>
      <c r="BI217" s="966"/>
      <c r="BJ217" s="966"/>
      <c r="BK217" s="966"/>
      <c r="BL217" s="966"/>
      <c r="BM217" s="966"/>
      <c r="BN217" s="966"/>
      <c r="BO217" s="966"/>
      <c r="BP217" s="966"/>
      <c r="BQ217" s="966"/>
      <c r="BR217" s="966"/>
      <c r="BS217" s="966"/>
      <c r="BT217" s="966"/>
      <c r="BU217" s="966"/>
      <c r="BV217" s="966"/>
      <c r="BW217" s="966"/>
      <c r="BX217" s="966"/>
      <c r="BY217" s="966"/>
      <c r="BZ217" s="966"/>
      <c r="CA217" s="966"/>
      <c r="CB217" s="966"/>
      <c r="CC217" s="966"/>
      <c r="CD217" s="966"/>
      <c r="CE217" s="966"/>
      <c r="CF217" s="966"/>
      <c r="CG217" s="966"/>
      <c r="CH217" s="966"/>
      <c r="CI217" s="966"/>
      <c r="CJ217" s="966"/>
      <c r="CK217" s="966"/>
      <c r="CL217" s="966"/>
      <c r="CM217" s="966"/>
      <c r="CN217" s="966"/>
      <c r="CO217" s="966"/>
      <c r="CP217" s="966"/>
      <c r="CQ217" s="966"/>
      <c r="CR217" s="966"/>
      <c r="CS217" s="966"/>
      <c r="CT217" s="966"/>
      <c r="CU217" s="966"/>
      <c r="CV217" s="966"/>
      <c r="CW217" s="966"/>
      <c r="CX217" s="966"/>
      <c r="CY217" s="966"/>
      <c r="CZ217" s="966"/>
      <c r="DA217" s="966"/>
      <c r="DB217" s="966"/>
      <c r="DC217" s="966"/>
      <c r="DD217" s="966"/>
      <c r="DE217" s="966"/>
      <c r="DF217" s="966"/>
      <c r="DG217" s="966"/>
      <c r="DH217" s="966"/>
      <c r="DI217" s="966"/>
      <c r="DJ217" s="966"/>
      <c r="DK217" s="966"/>
      <c r="DL217" s="966"/>
      <c r="DM217" s="966"/>
      <c r="DN217" s="966"/>
      <c r="DO217" s="966"/>
      <c r="DP217" s="966"/>
      <c r="DQ217" s="966"/>
    </row>
    <row r="218" spans="1:121" ht="3" hidden="1" customHeight="1" outlineLevel="1">
      <c r="A218" s="966"/>
      <c r="B218" s="966"/>
      <c r="C218" s="966"/>
      <c r="D218" s="1098"/>
      <c r="E218" s="1098"/>
      <c r="F218" s="1098"/>
      <c r="G218" s="1098"/>
      <c r="H218" s="1098"/>
      <c r="I218" s="1098"/>
      <c r="J218" s="1098"/>
      <c r="K218" s="1098"/>
      <c r="L218" s="1098"/>
      <c r="M218" s="1098"/>
      <c r="N218" s="1098"/>
      <c r="O218" s="1098"/>
      <c r="P218" s="1098"/>
      <c r="Q218" s="1098"/>
      <c r="R218" s="1098"/>
      <c r="S218" s="1098"/>
      <c r="T218" s="1098"/>
      <c r="U218" s="1098"/>
      <c r="V218" s="1098"/>
      <c r="W218" s="1098"/>
      <c r="X218" s="966"/>
      <c r="Y218" s="1098"/>
      <c r="Z218" s="1098"/>
      <c r="AA218" s="1098"/>
      <c r="AB218" s="1098"/>
      <c r="AC218" s="1098"/>
      <c r="AD218" s="966"/>
      <c r="AE218" s="1098"/>
      <c r="AF218" s="1098"/>
      <c r="AG218" s="1098"/>
      <c r="AH218" s="1098"/>
      <c r="AI218" s="1098"/>
      <c r="AJ218" s="966"/>
      <c r="AK218" s="1098"/>
      <c r="AL218" s="1098"/>
      <c r="AM218" s="1098"/>
      <c r="AN218" s="1098"/>
      <c r="AO218" s="1098"/>
      <c r="AP218" s="966"/>
      <c r="AQ218" s="1098"/>
      <c r="AR218" s="1098"/>
      <c r="AS218" s="1098"/>
      <c r="AT218" s="1098"/>
      <c r="AU218" s="1098"/>
      <c r="AV218" s="966"/>
      <c r="AW218" s="1098"/>
      <c r="AX218" s="1098"/>
      <c r="AY218" s="1098"/>
      <c r="AZ218" s="1098"/>
      <c r="BA218" s="1098"/>
      <c r="BB218" s="966"/>
      <c r="BC218" s="1098"/>
      <c r="BD218" s="1098"/>
      <c r="BE218" s="1098"/>
      <c r="BF218" s="1098"/>
      <c r="BG218" s="1098"/>
      <c r="BH218" s="966"/>
      <c r="BI218" s="1098"/>
      <c r="BJ218" s="1098"/>
      <c r="BK218" s="1098"/>
      <c r="BL218" s="1098"/>
      <c r="BM218" s="1098"/>
      <c r="BN218" s="966"/>
      <c r="BO218" s="1098"/>
      <c r="BP218" s="1098"/>
      <c r="BQ218" s="1098"/>
      <c r="BR218" s="1098"/>
      <c r="BS218" s="1098"/>
      <c r="BT218" s="966"/>
      <c r="BU218" s="1098"/>
      <c r="BV218" s="1098"/>
      <c r="BW218" s="1098"/>
      <c r="BX218" s="1098"/>
      <c r="BY218" s="1098"/>
      <c r="BZ218" s="966"/>
      <c r="CA218" s="1098"/>
      <c r="CB218" s="1098"/>
      <c r="CC218" s="1098"/>
      <c r="CD218" s="1098"/>
      <c r="CE218" s="1098"/>
      <c r="CF218" s="966"/>
      <c r="CG218" s="1098"/>
      <c r="CH218" s="1098"/>
      <c r="CI218" s="1098"/>
      <c r="CJ218" s="1098"/>
      <c r="CK218" s="1098"/>
      <c r="CL218" s="966"/>
      <c r="CM218" s="1098"/>
      <c r="CN218" s="1098"/>
      <c r="CO218" s="1098"/>
      <c r="CP218" s="1098"/>
      <c r="CQ218" s="1098"/>
      <c r="CR218" s="966"/>
      <c r="CS218" s="1098"/>
      <c r="CT218" s="1098"/>
      <c r="CU218" s="1098"/>
      <c r="CV218" s="1098"/>
      <c r="CW218" s="1098"/>
      <c r="CX218" s="966"/>
      <c r="CY218" s="1098"/>
      <c r="CZ218" s="1098"/>
      <c r="DA218" s="1098"/>
      <c r="DB218" s="1098"/>
      <c r="DC218" s="1098"/>
      <c r="DD218" s="966"/>
      <c r="DE218" s="1098"/>
      <c r="DF218" s="1098"/>
      <c r="DG218" s="1098"/>
      <c r="DH218" s="1098"/>
      <c r="DI218" s="1098"/>
      <c r="DJ218" s="966"/>
      <c r="DK218" s="1098"/>
      <c r="DL218" s="1098"/>
      <c r="DM218" s="1098"/>
      <c r="DN218" s="1098"/>
      <c r="DO218" s="1098"/>
      <c r="DP218" s="1098"/>
      <c r="DQ218" s="966"/>
    </row>
    <row r="219" spans="1:121" ht="12.75" hidden="1" customHeight="1" outlineLevel="1">
      <c r="A219" s="1253" t="s">
        <v>525</v>
      </c>
      <c r="B219" s="966"/>
      <c r="C219" s="966"/>
      <c r="D219" s="966"/>
      <c r="E219" s="966"/>
      <c r="F219" s="966"/>
      <c r="G219" s="966"/>
      <c r="H219" s="966"/>
      <c r="I219" s="966"/>
      <c r="J219" s="966"/>
      <c r="K219" s="966"/>
      <c r="L219" s="966"/>
      <c r="M219" s="966"/>
      <c r="N219" s="966"/>
      <c r="O219" s="966"/>
      <c r="P219" s="966"/>
      <c r="Q219" s="966"/>
      <c r="R219" s="966"/>
      <c r="S219" s="966"/>
      <c r="T219" s="966"/>
      <c r="U219" s="966"/>
      <c r="V219" s="966"/>
      <c r="W219" s="966"/>
      <c r="X219" s="966"/>
      <c r="Y219" s="966"/>
      <c r="Z219" s="966"/>
      <c r="AA219" s="966"/>
      <c r="AB219" s="966"/>
      <c r="AC219" s="966"/>
      <c r="AD219" s="966"/>
      <c r="AE219" s="966"/>
      <c r="AF219" s="966"/>
      <c r="AG219" s="966"/>
      <c r="AH219" s="966"/>
      <c r="AI219" s="966"/>
      <c r="AJ219" s="966"/>
      <c r="AK219" s="966"/>
      <c r="AL219" s="966"/>
      <c r="AM219" s="966"/>
      <c r="AN219" s="966"/>
      <c r="AO219" s="966"/>
      <c r="AP219" s="966"/>
      <c r="AQ219" s="966"/>
      <c r="AR219" s="966"/>
      <c r="AS219" s="966"/>
      <c r="AT219" s="966"/>
      <c r="AU219" s="966"/>
      <c r="AV219" s="966"/>
      <c r="AW219" s="966"/>
      <c r="AX219" s="966"/>
      <c r="AY219" s="966"/>
      <c r="AZ219" s="966"/>
      <c r="BA219" s="966"/>
      <c r="BB219" s="966"/>
      <c r="BC219" s="966"/>
      <c r="BD219" s="966"/>
      <c r="BE219" s="966"/>
      <c r="BF219" s="966"/>
      <c r="BG219" s="966"/>
      <c r="BH219" s="966"/>
      <c r="BI219" s="966"/>
      <c r="BJ219" s="966"/>
      <c r="BK219" s="966"/>
      <c r="BL219" s="966"/>
      <c r="BM219" s="966"/>
      <c r="BN219" s="966"/>
      <c r="BO219" s="966"/>
      <c r="BP219" s="966"/>
      <c r="BQ219" s="966"/>
      <c r="BR219" s="966"/>
      <c r="BS219" s="966"/>
      <c r="BT219" s="966"/>
      <c r="BU219" s="966"/>
      <c r="BV219" s="966"/>
      <c r="BW219" s="966"/>
      <c r="BX219" s="966"/>
      <c r="BY219" s="966"/>
      <c r="BZ219" s="966"/>
      <c r="CA219" s="966"/>
      <c r="CB219" s="966"/>
      <c r="CC219" s="966"/>
      <c r="CD219" s="966"/>
      <c r="CE219" s="966"/>
      <c r="CF219" s="966"/>
      <c r="CG219" s="966"/>
      <c r="CH219" s="966"/>
      <c r="CI219" s="966"/>
      <c r="CJ219" s="966"/>
      <c r="CK219" s="966"/>
      <c r="CL219" s="966"/>
      <c r="CM219" s="966"/>
      <c r="CN219" s="966"/>
      <c r="CO219" s="966"/>
      <c r="CP219" s="966"/>
      <c r="CQ219" s="966"/>
      <c r="CR219" s="966"/>
      <c r="CS219" s="966"/>
      <c r="CT219" s="966"/>
      <c r="CU219" s="966"/>
      <c r="CV219" s="966"/>
      <c r="CW219" s="966"/>
      <c r="CX219" s="966"/>
      <c r="CY219" s="966"/>
      <c r="CZ219" s="966"/>
      <c r="DA219" s="966"/>
      <c r="DB219" s="966"/>
      <c r="DC219" s="966"/>
      <c r="DD219" s="966"/>
      <c r="DE219" s="966"/>
      <c r="DF219" s="966"/>
      <c r="DG219" s="966"/>
      <c r="DH219" s="966"/>
      <c r="DI219" s="966"/>
      <c r="DJ219" s="966"/>
      <c r="DK219" s="966"/>
      <c r="DL219" s="966"/>
      <c r="DM219" s="966"/>
      <c r="DN219" s="966"/>
      <c r="DO219" s="966"/>
      <c r="DP219" s="966"/>
      <c r="DQ219" s="966"/>
    </row>
    <row r="220" spans="1:121" ht="12.75" hidden="1" customHeight="1" outlineLevel="1">
      <c r="A220" s="966" t="s">
        <v>816</v>
      </c>
      <c r="B220" s="966"/>
      <c r="C220" s="966"/>
      <c r="D220" s="966"/>
      <c r="E220" s="966">
        <v>4</v>
      </c>
      <c r="F220" s="966"/>
      <c r="G220" s="966"/>
      <c r="H220" s="966"/>
      <c r="I220" s="966"/>
      <c r="J220" s="966"/>
      <c r="K220" s="966">
        <v>4</v>
      </c>
      <c r="L220" s="966"/>
      <c r="M220" s="966">
        <v>4</v>
      </c>
      <c r="N220" s="966">
        <v>4</v>
      </c>
      <c r="O220" s="966">
        <v>4</v>
      </c>
      <c r="P220" s="966">
        <v>4</v>
      </c>
      <c r="Q220" s="966">
        <v>4</v>
      </c>
      <c r="R220" s="966"/>
      <c r="S220" s="966">
        <v>4</v>
      </c>
      <c r="T220" s="966">
        <v>4</v>
      </c>
      <c r="U220" s="966">
        <v>4</v>
      </c>
      <c r="V220" s="966"/>
      <c r="W220" s="1258">
        <v>4</v>
      </c>
      <c r="X220" s="966"/>
      <c r="Y220" s="966">
        <v>4</v>
      </c>
      <c r="Z220" s="966">
        <v>4</v>
      </c>
      <c r="AA220" s="966">
        <v>4</v>
      </c>
      <c r="AB220" s="966">
        <v>4</v>
      </c>
      <c r="AC220" s="966">
        <v>4</v>
      </c>
      <c r="AD220" s="966"/>
      <c r="AE220" s="966"/>
      <c r="AF220" s="966">
        <v>4</v>
      </c>
      <c r="AG220" s="966"/>
      <c r="AH220" s="966"/>
      <c r="AI220" s="966"/>
      <c r="AJ220" s="966"/>
      <c r="AK220" s="966"/>
      <c r="AL220" s="966">
        <v>4</v>
      </c>
      <c r="AM220" s="966"/>
      <c r="AN220" s="966"/>
      <c r="AO220" s="966"/>
      <c r="AP220" s="966"/>
      <c r="AQ220" s="966"/>
      <c r="AR220" s="966"/>
      <c r="AS220" s="966"/>
      <c r="AT220" s="966"/>
      <c r="AU220" s="966"/>
      <c r="AV220" s="966"/>
      <c r="AW220" s="966"/>
      <c r="AX220" s="966"/>
      <c r="AY220" s="966"/>
      <c r="AZ220" s="966"/>
      <c r="BA220" s="966"/>
      <c r="BB220" s="966"/>
      <c r="BC220" s="966"/>
      <c r="BD220" s="966"/>
      <c r="BE220" s="966"/>
      <c r="BF220" s="966"/>
      <c r="BG220" s="966"/>
      <c r="BH220" s="966"/>
      <c r="BI220" s="966"/>
      <c r="BJ220" s="966"/>
      <c r="BK220" s="966"/>
      <c r="BL220" s="966"/>
      <c r="BM220" s="966"/>
      <c r="BN220" s="966"/>
      <c r="BO220" s="966"/>
      <c r="BP220" s="966"/>
      <c r="BQ220" s="966"/>
      <c r="BR220" s="966"/>
      <c r="BS220" s="966"/>
      <c r="BT220" s="966"/>
      <c r="BU220" s="966"/>
      <c r="BV220" s="966"/>
      <c r="BW220" s="966"/>
      <c r="BX220" s="966"/>
      <c r="BY220" s="966"/>
      <c r="BZ220" s="966"/>
      <c r="CA220" s="966"/>
      <c r="CB220" s="966"/>
      <c r="CC220" s="966"/>
      <c r="CD220" s="966"/>
      <c r="CE220" s="966"/>
      <c r="CF220" s="966"/>
      <c r="CG220" s="966"/>
      <c r="CH220" s="966"/>
      <c r="CI220" s="966"/>
      <c r="CJ220" s="966"/>
      <c r="CK220" s="966"/>
      <c r="CL220" s="966"/>
      <c r="CM220" s="966"/>
      <c r="CN220" s="966"/>
      <c r="CO220" s="966"/>
      <c r="CP220" s="966"/>
      <c r="CQ220" s="966"/>
      <c r="CR220" s="966"/>
      <c r="CS220" s="966"/>
      <c r="CT220" s="966"/>
      <c r="CU220" s="966"/>
      <c r="CV220" s="966"/>
      <c r="CW220" s="966"/>
      <c r="CX220" s="966"/>
      <c r="CY220" s="966"/>
      <c r="CZ220" s="966"/>
      <c r="DA220" s="966"/>
      <c r="DB220" s="966"/>
      <c r="DC220" s="966"/>
      <c r="DD220" s="966"/>
      <c r="DE220" s="966"/>
      <c r="DF220" s="966"/>
      <c r="DG220" s="966"/>
      <c r="DH220" s="966"/>
      <c r="DI220" s="966"/>
      <c r="DJ220" s="966"/>
      <c r="DK220" s="966"/>
      <c r="DL220" s="966"/>
      <c r="DM220" s="966"/>
      <c r="DN220" s="966"/>
      <c r="DO220" s="966"/>
      <c r="DP220" s="966"/>
      <c r="DQ220" s="966"/>
    </row>
    <row r="221" spans="1:121" ht="12.75" hidden="1" customHeight="1" outlineLevel="1">
      <c r="A221" s="966" t="s">
        <v>371</v>
      </c>
      <c r="B221" s="966"/>
      <c r="C221" s="966"/>
      <c r="D221" s="966"/>
      <c r="E221" s="1259">
        <v>3.8100000000000002E-2</v>
      </c>
      <c r="F221" s="966"/>
      <c r="G221" s="966"/>
      <c r="H221" s="966"/>
      <c r="I221" s="966"/>
      <c r="J221" s="966"/>
      <c r="K221" s="1259">
        <v>1.67E-2</v>
      </c>
      <c r="L221" s="1259"/>
      <c r="M221" s="1259">
        <v>2.29E-2</v>
      </c>
      <c r="N221" s="1259">
        <v>2.92E-2</v>
      </c>
      <c r="O221" s="1259">
        <v>2.63E-2</v>
      </c>
      <c r="P221" s="1260" t="s">
        <v>860</v>
      </c>
      <c r="Q221" s="1259">
        <v>2.92E-2</v>
      </c>
      <c r="R221" s="966"/>
      <c r="S221" s="1259">
        <v>2.86E-2</v>
      </c>
      <c r="T221" s="1259">
        <v>3.5400000000000001E-2</v>
      </c>
      <c r="U221" s="1259">
        <v>3.1E-2</v>
      </c>
      <c r="V221" s="966"/>
      <c r="W221" s="1261">
        <f>(0.0286+0.037)/2</f>
        <v>3.2799999999999996E-2</v>
      </c>
      <c r="X221" s="966"/>
      <c r="Y221" s="1259">
        <v>3.95E-2</v>
      </c>
      <c r="Z221" s="1259">
        <v>3.7900000000000003E-2</v>
      </c>
      <c r="AA221" s="1262">
        <f>(4.46+3.82)/2/100</f>
        <v>4.1399999999999999E-2</v>
      </c>
      <c r="AB221" s="1259">
        <v>4.5199999999999997E-2</v>
      </c>
      <c r="AC221" s="1257">
        <f>AVERAGE(Y221:AB221)</f>
        <v>4.0999999999999995E-2</v>
      </c>
      <c r="AD221" s="966"/>
      <c r="AE221" s="966"/>
      <c r="AF221" s="1259">
        <v>4.9399999999999999E-2</v>
      </c>
      <c r="AG221" s="966"/>
      <c r="AH221" s="966"/>
      <c r="AI221" s="966"/>
      <c r="AJ221" s="966"/>
      <c r="AK221" s="966"/>
      <c r="AL221" s="1259">
        <v>4.4999999999999998E-2</v>
      </c>
      <c r="AM221" s="966"/>
      <c r="AN221" s="966"/>
      <c r="AO221" s="966"/>
      <c r="AP221" s="966"/>
      <c r="AQ221" s="966"/>
      <c r="AR221" s="966"/>
      <c r="AS221" s="966"/>
      <c r="AT221" s="966"/>
      <c r="AU221" s="966"/>
      <c r="AV221" s="966"/>
      <c r="AW221" s="966"/>
      <c r="AX221" s="966"/>
      <c r="AY221" s="966"/>
      <c r="AZ221" s="966"/>
      <c r="BA221" s="966"/>
      <c r="BB221" s="966"/>
      <c r="BC221" s="966"/>
      <c r="BD221" s="966"/>
      <c r="BE221" s="966"/>
      <c r="BF221" s="966"/>
      <c r="BG221" s="966"/>
      <c r="BH221" s="966"/>
      <c r="BI221" s="966"/>
      <c r="BJ221" s="966"/>
      <c r="BK221" s="966"/>
      <c r="BL221" s="966"/>
      <c r="BM221" s="966"/>
      <c r="BN221" s="966"/>
      <c r="BO221" s="966"/>
      <c r="BP221" s="966"/>
      <c r="BQ221" s="966"/>
      <c r="BR221" s="966"/>
      <c r="BS221" s="966"/>
      <c r="BT221" s="966"/>
      <c r="BU221" s="966"/>
      <c r="BV221" s="966"/>
      <c r="BW221" s="966"/>
      <c r="BX221" s="966"/>
      <c r="BY221" s="966"/>
      <c r="BZ221" s="966"/>
      <c r="CA221" s="966"/>
      <c r="CB221" s="966"/>
      <c r="CC221" s="966"/>
      <c r="CD221" s="966"/>
      <c r="CE221" s="966"/>
      <c r="CF221" s="966"/>
      <c r="CG221" s="966"/>
      <c r="CH221" s="966"/>
      <c r="CI221" s="966"/>
      <c r="CJ221" s="966"/>
      <c r="CK221" s="966"/>
      <c r="CL221" s="966"/>
      <c r="CM221" s="966"/>
      <c r="CN221" s="966"/>
      <c r="CO221" s="966"/>
      <c r="CP221" s="966"/>
      <c r="CQ221" s="966"/>
      <c r="CR221" s="966"/>
      <c r="CS221" s="966"/>
      <c r="CT221" s="966"/>
      <c r="CU221" s="966"/>
      <c r="CV221" s="966"/>
      <c r="CW221" s="966"/>
      <c r="CX221" s="966"/>
      <c r="CY221" s="966"/>
      <c r="CZ221" s="966"/>
      <c r="DA221" s="966"/>
      <c r="DB221" s="966"/>
      <c r="DC221" s="966"/>
      <c r="DD221" s="966"/>
      <c r="DE221" s="966"/>
      <c r="DF221" s="966"/>
      <c r="DG221" s="966"/>
      <c r="DH221" s="966"/>
      <c r="DI221" s="966"/>
      <c r="DJ221" s="966"/>
      <c r="DK221" s="966"/>
      <c r="DL221" s="966"/>
      <c r="DM221" s="966"/>
      <c r="DN221" s="966"/>
      <c r="DO221" s="966"/>
      <c r="DP221" s="966"/>
      <c r="DQ221" s="966"/>
    </row>
    <row r="222" spans="1:121" ht="12.75" hidden="1" customHeight="1" outlineLevel="1">
      <c r="A222" s="966" t="s">
        <v>526</v>
      </c>
      <c r="B222" s="966"/>
      <c r="C222" s="966"/>
      <c r="D222" s="966"/>
      <c r="E222" s="1263">
        <v>1</v>
      </c>
      <c r="F222" s="966"/>
      <c r="G222" s="966"/>
      <c r="H222" s="966"/>
      <c r="I222" s="966"/>
      <c r="J222" s="966"/>
      <c r="K222" s="1263">
        <v>1</v>
      </c>
      <c r="L222" s="966"/>
      <c r="M222" s="1263">
        <v>1</v>
      </c>
      <c r="N222" s="1263">
        <v>1</v>
      </c>
      <c r="O222" s="1263">
        <v>1</v>
      </c>
      <c r="P222" s="1263">
        <v>1</v>
      </c>
      <c r="Q222" s="1263">
        <v>1</v>
      </c>
      <c r="R222" s="966"/>
      <c r="S222" s="1263">
        <v>1</v>
      </c>
      <c r="T222" s="1263">
        <v>0.8</v>
      </c>
      <c r="U222" s="1263">
        <v>0.8</v>
      </c>
      <c r="V222" s="966"/>
      <c r="W222" s="1134">
        <f>(0.75+1)/2</f>
        <v>0.875</v>
      </c>
      <c r="X222" s="966"/>
      <c r="Y222" s="1263">
        <v>0.75</v>
      </c>
      <c r="Z222" s="1263">
        <v>0.5</v>
      </c>
      <c r="AA222" s="1263">
        <v>0.5</v>
      </c>
      <c r="AB222" s="1263">
        <v>0.5</v>
      </c>
      <c r="AC222" s="1257">
        <f>AVERAGE(Y222:AB222)</f>
        <v>0.5625</v>
      </c>
      <c r="AD222" s="966"/>
      <c r="AE222" s="966"/>
      <c r="AF222" s="1263">
        <v>0.48</v>
      </c>
      <c r="AG222" s="966"/>
      <c r="AH222" s="966"/>
      <c r="AI222" s="966"/>
      <c r="AJ222" s="966"/>
      <c r="AK222" s="966"/>
      <c r="AL222" s="1263">
        <v>0.46</v>
      </c>
      <c r="AM222" s="966"/>
      <c r="AN222" s="966"/>
      <c r="AO222" s="966"/>
      <c r="AP222" s="966"/>
      <c r="AQ222" s="966"/>
      <c r="AR222" s="966"/>
      <c r="AS222" s="966"/>
      <c r="AT222" s="966"/>
      <c r="AU222" s="966"/>
      <c r="AV222" s="966"/>
      <c r="AW222" s="966"/>
      <c r="AX222" s="966"/>
      <c r="AY222" s="966"/>
      <c r="AZ222" s="966"/>
      <c r="BA222" s="966"/>
      <c r="BB222" s="966"/>
      <c r="BC222" s="966"/>
      <c r="BD222" s="966"/>
      <c r="BE222" s="966"/>
      <c r="BF222" s="966"/>
      <c r="BG222" s="966"/>
      <c r="BH222" s="966"/>
      <c r="BI222" s="966"/>
      <c r="BJ222" s="966"/>
      <c r="BK222" s="966"/>
      <c r="BL222" s="966"/>
      <c r="BM222" s="966"/>
      <c r="BN222" s="966"/>
      <c r="BO222" s="966"/>
      <c r="BP222" s="966"/>
      <c r="BQ222" s="966"/>
      <c r="BR222" s="966"/>
      <c r="BS222" s="966"/>
      <c r="BT222" s="966"/>
      <c r="BU222" s="966"/>
      <c r="BV222" s="966"/>
      <c r="BW222" s="966"/>
      <c r="BX222" s="966"/>
      <c r="BY222" s="966"/>
      <c r="BZ222" s="966"/>
      <c r="CA222" s="966"/>
      <c r="CB222" s="966"/>
      <c r="CC222" s="966"/>
      <c r="CD222" s="966"/>
      <c r="CE222" s="966"/>
      <c r="CF222" s="966"/>
      <c r="CG222" s="966"/>
      <c r="CH222" s="966"/>
      <c r="CI222" s="966"/>
      <c r="CJ222" s="966"/>
      <c r="CK222" s="966"/>
      <c r="CL222" s="966"/>
      <c r="CM222" s="966"/>
      <c r="CN222" s="966"/>
      <c r="CO222" s="966"/>
      <c r="CP222" s="966"/>
      <c r="CQ222" s="966"/>
      <c r="CR222" s="966"/>
      <c r="CS222" s="966"/>
      <c r="CT222" s="966"/>
      <c r="CU222" s="966"/>
      <c r="CV222" s="966"/>
      <c r="CW222" s="966"/>
      <c r="CX222" s="966"/>
      <c r="CY222" s="966"/>
      <c r="CZ222" s="966"/>
      <c r="DA222" s="966"/>
      <c r="DB222" s="966"/>
      <c r="DC222" s="966"/>
      <c r="DD222" s="966"/>
      <c r="DE222" s="966"/>
      <c r="DF222" s="966"/>
      <c r="DG222" s="966"/>
      <c r="DH222" s="966"/>
      <c r="DI222" s="966"/>
      <c r="DJ222" s="966"/>
      <c r="DK222" s="966"/>
      <c r="DL222" s="966"/>
      <c r="DM222" s="966"/>
      <c r="DN222" s="966"/>
      <c r="DO222" s="966"/>
      <c r="DP222" s="966"/>
      <c r="DQ222" s="966"/>
    </row>
    <row r="223" spans="1:121" ht="12.75" hidden="1" customHeight="1" outlineLevel="1">
      <c r="A223" s="966" t="s">
        <v>369</v>
      </c>
      <c r="B223" s="966"/>
      <c r="C223" s="966"/>
      <c r="D223" s="966"/>
      <c r="E223" s="1263">
        <v>0</v>
      </c>
      <c r="F223" s="966"/>
      <c r="G223" s="966"/>
      <c r="H223" s="966"/>
      <c r="I223" s="966"/>
      <c r="J223" s="966"/>
      <c r="K223" s="1263">
        <v>0</v>
      </c>
      <c r="L223" s="966"/>
      <c r="M223" s="1263">
        <v>0</v>
      </c>
      <c r="N223" s="1263">
        <v>0</v>
      </c>
      <c r="O223" s="1263">
        <v>0</v>
      </c>
      <c r="P223" s="1263">
        <v>0</v>
      </c>
      <c r="Q223" s="1263">
        <v>0</v>
      </c>
      <c r="R223" s="966"/>
      <c r="S223" s="1263">
        <v>0</v>
      </c>
      <c r="T223" s="1263">
        <v>0</v>
      </c>
      <c r="U223" s="1263">
        <v>0</v>
      </c>
      <c r="V223" s="966"/>
      <c r="W223" s="1263">
        <v>0</v>
      </c>
      <c r="X223" s="966"/>
      <c r="Y223" s="1263">
        <v>0</v>
      </c>
      <c r="Z223" s="1263">
        <v>0</v>
      </c>
      <c r="AA223" s="1139">
        <v>0</v>
      </c>
      <c r="AB223" s="1263">
        <v>0</v>
      </c>
      <c r="AC223" s="1257">
        <f>AVERAGE(Y223:AB223)</f>
        <v>0</v>
      </c>
      <c r="AD223" s="966"/>
      <c r="AE223" s="966"/>
      <c r="AF223" s="1263">
        <v>0</v>
      </c>
      <c r="AG223" s="966"/>
      <c r="AH223" s="966"/>
      <c r="AI223" s="966"/>
      <c r="AJ223" s="966"/>
      <c r="AK223" s="966"/>
      <c r="AL223" s="1263">
        <v>0</v>
      </c>
      <c r="AM223" s="966"/>
      <c r="AN223" s="966"/>
      <c r="AO223" s="966"/>
      <c r="AP223" s="966"/>
      <c r="AQ223" s="966"/>
      <c r="AR223" s="966"/>
      <c r="AS223" s="966"/>
      <c r="AT223" s="966"/>
      <c r="AU223" s="966"/>
      <c r="AV223" s="966"/>
      <c r="AW223" s="966"/>
      <c r="AX223" s="966"/>
      <c r="AY223" s="966"/>
      <c r="AZ223" s="966"/>
      <c r="BA223" s="966"/>
      <c r="BB223" s="966"/>
      <c r="BC223" s="966"/>
      <c r="BD223" s="966"/>
      <c r="BE223" s="966"/>
      <c r="BF223" s="966"/>
      <c r="BG223" s="966"/>
      <c r="BH223" s="966"/>
      <c r="BI223" s="966"/>
      <c r="BJ223" s="966"/>
      <c r="BK223" s="966"/>
      <c r="BL223" s="966"/>
      <c r="BM223" s="966"/>
      <c r="BN223" s="966"/>
      <c r="BO223" s="966"/>
      <c r="BP223" s="966"/>
      <c r="BQ223" s="966"/>
      <c r="BR223" s="966"/>
      <c r="BS223" s="966"/>
      <c r="BT223" s="966"/>
      <c r="BU223" s="966"/>
      <c r="BV223" s="966"/>
      <c r="BW223" s="966"/>
      <c r="BX223" s="966"/>
      <c r="BY223" s="966"/>
      <c r="BZ223" s="966"/>
      <c r="CA223" s="966"/>
      <c r="CB223" s="966"/>
      <c r="CC223" s="966"/>
      <c r="CD223" s="966"/>
      <c r="CE223" s="966"/>
      <c r="CF223" s="966"/>
      <c r="CG223" s="966"/>
      <c r="CH223" s="966"/>
      <c r="CI223" s="966"/>
      <c r="CJ223" s="966"/>
      <c r="CK223" s="966"/>
      <c r="CL223" s="966"/>
      <c r="CM223" s="966"/>
      <c r="CN223" s="966"/>
      <c r="CO223" s="966"/>
      <c r="CP223" s="966"/>
      <c r="CQ223" s="966"/>
      <c r="CR223" s="966"/>
      <c r="CS223" s="966"/>
      <c r="CT223" s="966"/>
      <c r="CU223" s="966"/>
      <c r="CV223" s="966"/>
      <c r="CW223" s="966"/>
      <c r="CX223" s="966"/>
      <c r="CY223" s="966"/>
      <c r="CZ223" s="966"/>
      <c r="DA223" s="966"/>
      <c r="DB223" s="966"/>
      <c r="DC223" s="966"/>
      <c r="DD223" s="966"/>
      <c r="DE223" s="966"/>
      <c r="DF223" s="966"/>
      <c r="DG223" s="966"/>
      <c r="DH223" s="966"/>
      <c r="DI223" s="966"/>
      <c r="DJ223" s="966"/>
      <c r="DK223" s="966"/>
      <c r="DL223" s="966"/>
      <c r="DM223" s="966"/>
      <c r="DN223" s="966"/>
      <c r="DO223" s="966"/>
      <c r="DP223" s="966"/>
      <c r="DQ223" s="966"/>
    </row>
    <row r="224" spans="1:121" ht="12.75" hidden="1" customHeight="1" outlineLevel="1">
      <c r="A224" s="966" t="s">
        <v>358</v>
      </c>
      <c r="B224" s="966"/>
      <c r="C224" s="966"/>
      <c r="D224" s="966"/>
      <c r="E224" s="1254">
        <f>E253</f>
        <v>1.21</v>
      </c>
      <c r="F224" s="1254"/>
      <c r="G224" s="1254"/>
      <c r="H224" s="1254"/>
      <c r="I224" s="1254"/>
      <c r="J224" s="1254"/>
      <c r="K224" s="1254">
        <f>K253</f>
        <v>1.65</v>
      </c>
      <c r="L224" s="1254"/>
      <c r="M224" s="1254"/>
      <c r="N224" s="1254"/>
      <c r="O224" s="1254"/>
      <c r="P224" s="1254"/>
      <c r="Q224" s="1254">
        <v>3.65</v>
      </c>
      <c r="R224" s="1254"/>
      <c r="S224" s="1254">
        <v>5.6</v>
      </c>
      <c r="T224" s="1254"/>
      <c r="U224" s="1254"/>
      <c r="V224" s="966"/>
      <c r="W224" s="1254">
        <v>7.59</v>
      </c>
      <c r="X224" s="966"/>
      <c r="Y224" s="1254"/>
      <c r="Z224" s="966"/>
      <c r="AA224" s="966"/>
      <c r="AB224" s="966"/>
      <c r="AC224" s="966">
        <v>11.11</v>
      </c>
      <c r="AD224" s="966"/>
      <c r="AE224" s="966"/>
      <c r="AF224" s="1254">
        <v>12.48</v>
      </c>
      <c r="AG224" s="966"/>
      <c r="AH224" s="966"/>
      <c r="AI224" s="966"/>
      <c r="AJ224" s="966"/>
      <c r="AK224" s="966"/>
      <c r="AL224" s="1254">
        <v>18.239999999999998</v>
      </c>
      <c r="AM224" s="966"/>
      <c r="AN224" s="966"/>
      <c r="AO224" s="966"/>
      <c r="AP224" s="966"/>
      <c r="AQ224" s="966"/>
      <c r="AR224" s="966"/>
      <c r="AS224" s="966"/>
      <c r="AT224" s="966"/>
      <c r="AU224" s="966"/>
      <c r="AV224" s="966"/>
      <c r="AW224" s="966"/>
      <c r="AX224" s="966"/>
      <c r="AY224" s="966"/>
      <c r="AZ224" s="966"/>
      <c r="BA224" s="966"/>
      <c r="BB224" s="966"/>
      <c r="BC224" s="966"/>
      <c r="BD224" s="966"/>
      <c r="BE224" s="966"/>
      <c r="BF224" s="966"/>
      <c r="BG224" s="966"/>
      <c r="BH224" s="966"/>
      <c r="BI224" s="966"/>
      <c r="BJ224" s="966"/>
      <c r="BK224" s="966"/>
      <c r="BL224" s="966"/>
      <c r="BM224" s="966"/>
      <c r="BN224" s="966"/>
      <c r="BO224" s="966"/>
      <c r="BP224" s="966"/>
      <c r="BQ224" s="966"/>
      <c r="BR224" s="966"/>
      <c r="BS224" s="966"/>
      <c r="BT224" s="966"/>
      <c r="BU224" s="966"/>
      <c r="BV224" s="966"/>
      <c r="BW224" s="966"/>
      <c r="BX224" s="966"/>
      <c r="BY224" s="966"/>
      <c r="BZ224" s="966"/>
      <c r="CA224" s="966"/>
      <c r="CB224" s="966"/>
      <c r="CC224" s="966"/>
      <c r="CD224" s="966"/>
      <c r="CE224" s="966"/>
      <c r="CF224" s="966"/>
      <c r="CG224" s="966"/>
      <c r="CH224" s="966"/>
      <c r="CI224" s="966"/>
      <c r="CJ224" s="966"/>
      <c r="CK224" s="966"/>
      <c r="CL224" s="966"/>
      <c r="CM224" s="966"/>
      <c r="CN224" s="966"/>
      <c r="CO224" s="966"/>
      <c r="CP224" s="966"/>
      <c r="CQ224" s="966"/>
      <c r="CR224" s="966"/>
      <c r="CS224" s="966"/>
      <c r="CT224" s="966"/>
      <c r="CU224" s="966"/>
      <c r="CV224" s="966"/>
      <c r="CW224" s="966"/>
      <c r="CX224" s="966"/>
      <c r="CY224" s="966"/>
      <c r="CZ224" s="966"/>
      <c r="DA224" s="966"/>
      <c r="DB224" s="966"/>
      <c r="DC224" s="966"/>
      <c r="DD224" s="966"/>
      <c r="DE224" s="966"/>
      <c r="DF224" s="966"/>
      <c r="DG224" s="966"/>
      <c r="DH224" s="966"/>
      <c r="DI224" s="966"/>
      <c r="DJ224" s="966"/>
      <c r="DK224" s="966"/>
      <c r="DL224" s="966"/>
      <c r="DM224" s="966"/>
      <c r="DN224" s="966"/>
      <c r="DO224" s="966"/>
      <c r="DP224" s="966"/>
      <c r="DQ224" s="966"/>
    </row>
    <row r="225" spans="1:121" ht="12.75" hidden="1" customHeight="1" outlineLevel="1">
      <c r="A225" s="966" t="s">
        <v>359</v>
      </c>
      <c r="B225" s="966"/>
      <c r="C225" s="966"/>
      <c r="D225" s="966"/>
      <c r="E225" s="1098">
        <f>E230*E224</f>
        <v>3.0698002499999997</v>
      </c>
      <c r="F225" s="966"/>
      <c r="G225" s="966"/>
      <c r="H225" s="966"/>
      <c r="I225" s="966"/>
      <c r="J225" s="966"/>
      <c r="K225" s="1098">
        <f>K230*K224</f>
        <v>14.6487</v>
      </c>
      <c r="L225" s="966"/>
      <c r="M225" s="1263"/>
      <c r="N225" s="1263"/>
      <c r="O225" s="1263"/>
      <c r="P225" s="1263"/>
      <c r="Q225" s="1098">
        <f>Q230*Q224</f>
        <v>27.876874999999998</v>
      </c>
      <c r="R225" s="966"/>
      <c r="S225" s="1263"/>
      <c r="T225" s="1263"/>
      <c r="U225" s="1263"/>
      <c r="V225" s="966"/>
      <c r="W225" s="1098">
        <f>W230*W224</f>
        <v>49.280101529999996</v>
      </c>
      <c r="X225" s="966"/>
      <c r="Y225" s="966"/>
      <c r="Z225" s="966"/>
      <c r="AA225" s="966"/>
      <c r="AB225" s="966"/>
      <c r="AC225" s="1098">
        <f>AC230*AC224</f>
        <v>58.546200349999999</v>
      </c>
      <c r="AD225" s="966"/>
      <c r="AE225" s="966"/>
      <c r="AF225" s="966"/>
      <c r="AG225" s="966"/>
      <c r="AH225" s="966"/>
      <c r="AI225" s="966"/>
      <c r="AJ225" s="966"/>
      <c r="AK225" s="966"/>
      <c r="AL225" s="966"/>
      <c r="AM225" s="966"/>
      <c r="AN225" s="966"/>
      <c r="AO225" s="966"/>
      <c r="AP225" s="966"/>
      <c r="AQ225" s="966"/>
      <c r="AR225" s="966"/>
      <c r="AS225" s="966"/>
      <c r="AT225" s="966"/>
      <c r="AU225" s="966"/>
      <c r="AV225" s="966"/>
      <c r="AW225" s="966"/>
      <c r="AX225" s="966"/>
      <c r="AY225" s="966"/>
      <c r="AZ225" s="966"/>
      <c r="BA225" s="966"/>
      <c r="BB225" s="966"/>
      <c r="BC225" s="966"/>
      <c r="BD225" s="966"/>
      <c r="BE225" s="966"/>
      <c r="BF225" s="966"/>
      <c r="BG225" s="966"/>
      <c r="BH225" s="966"/>
      <c r="BI225" s="966"/>
      <c r="BJ225" s="966"/>
      <c r="BK225" s="966"/>
      <c r="BL225" s="966"/>
      <c r="BM225" s="966"/>
      <c r="BN225" s="966"/>
      <c r="BO225" s="966"/>
      <c r="BP225" s="966"/>
      <c r="BQ225" s="966"/>
      <c r="BR225" s="966"/>
      <c r="BS225" s="966"/>
      <c r="BT225" s="966"/>
      <c r="BU225" s="966"/>
      <c r="BV225" s="966"/>
      <c r="BW225" s="966"/>
      <c r="BX225" s="966"/>
      <c r="BY225" s="966"/>
      <c r="BZ225" s="966"/>
      <c r="CA225" s="966"/>
      <c r="CB225" s="966"/>
      <c r="CC225" s="966"/>
      <c r="CD225" s="966"/>
      <c r="CE225" s="966"/>
      <c r="CF225" s="966"/>
      <c r="CG225" s="966"/>
      <c r="CH225" s="966"/>
      <c r="CI225" s="966"/>
      <c r="CJ225" s="966"/>
      <c r="CK225" s="966"/>
      <c r="CL225" s="966"/>
      <c r="CM225" s="966"/>
      <c r="CN225" s="966"/>
      <c r="CO225" s="966"/>
      <c r="CP225" s="966"/>
      <c r="CQ225" s="966"/>
      <c r="CR225" s="966"/>
      <c r="CS225" s="966"/>
      <c r="CT225" s="966"/>
      <c r="CU225" s="966"/>
      <c r="CV225" s="966"/>
      <c r="CW225" s="966"/>
      <c r="CX225" s="966"/>
      <c r="CY225" s="966"/>
      <c r="CZ225" s="966"/>
      <c r="DA225" s="966"/>
      <c r="DB225" s="966"/>
      <c r="DC225" s="966"/>
      <c r="DD225" s="966"/>
      <c r="DE225" s="966"/>
      <c r="DF225" s="966"/>
      <c r="DG225" s="966"/>
      <c r="DH225" s="966"/>
      <c r="DI225" s="966"/>
      <c r="DJ225" s="966"/>
      <c r="DK225" s="966"/>
      <c r="DL225" s="966"/>
      <c r="DM225" s="966"/>
      <c r="DN225" s="966"/>
      <c r="DO225" s="966"/>
      <c r="DP225" s="966"/>
      <c r="DQ225" s="966"/>
    </row>
    <row r="226" spans="1:121" ht="12.75" hidden="1" customHeight="1" outlineLevel="1">
      <c r="A226" s="970" t="s">
        <v>360</v>
      </c>
      <c r="B226" s="966"/>
      <c r="C226" s="966"/>
      <c r="D226" s="966"/>
      <c r="E226" s="1263">
        <f>E225/E192</f>
        <v>-0.14651585767468497</v>
      </c>
      <c r="F226" s="966"/>
      <c r="G226" s="966"/>
      <c r="H226" s="966"/>
      <c r="I226" s="966"/>
      <c r="J226" s="966"/>
      <c r="K226" s="1263">
        <f>K225/K192</f>
        <v>-1.5076883491148618</v>
      </c>
      <c r="L226" s="966"/>
      <c r="M226" s="1263"/>
      <c r="N226" s="1263"/>
      <c r="O226" s="1263"/>
      <c r="P226" s="1263"/>
      <c r="Q226" s="1263">
        <f>Q225/Q192</f>
        <v>53.359656405313672</v>
      </c>
      <c r="R226" s="966"/>
      <c r="S226" s="1263"/>
      <c r="T226" s="1263"/>
      <c r="U226" s="1263"/>
      <c r="V226" s="966"/>
      <c r="W226" s="1263">
        <f>W225/W192</f>
        <v>6.7084265627552293</v>
      </c>
      <c r="X226" s="966"/>
      <c r="Y226" s="966"/>
      <c r="Z226" s="966"/>
      <c r="AA226" s="966"/>
      <c r="AB226" s="966"/>
      <c r="AC226" s="1263">
        <f>AC225/AC192</f>
        <v>2.7259952670298504</v>
      </c>
      <c r="AD226" s="966"/>
      <c r="AE226" s="966"/>
      <c r="AF226" s="966"/>
      <c r="AG226" s="966"/>
      <c r="AH226" s="966"/>
      <c r="AI226" s="966"/>
      <c r="AJ226" s="966"/>
      <c r="AK226" s="966"/>
      <c r="AL226" s="966"/>
      <c r="AM226" s="966"/>
      <c r="AN226" s="966"/>
      <c r="AO226" s="966"/>
      <c r="AP226" s="966"/>
      <c r="AQ226" s="966"/>
      <c r="AR226" s="966"/>
      <c r="AS226" s="966"/>
      <c r="AT226" s="966"/>
      <c r="AU226" s="966"/>
      <c r="AV226" s="966"/>
      <c r="AW226" s="966"/>
      <c r="AX226" s="966"/>
      <c r="AY226" s="966"/>
      <c r="AZ226" s="966"/>
      <c r="BA226" s="966"/>
      <c r="BB226" s="966"/>
      <c r="BC226" s="966"/>
      <c r="BD226" s="966"/>
      <c r="BE226" s="966"/>
      <c r="BF226" s="966"/>
      <c r="BG226" s="966"/>
      <c r="BH226" s="966"/>
      <c r="BI226" s="966"/>
      <c r="BJ226" s="966"/>
      <c r="BK226" s="966"/>
      <c r="BL226" s="966"/>
      <c r="BM226" s="966"/>
      <c r="BN226" s="966"/>
      <c r="BO226" s="966"/>
      <c r="BP226" s="966"/>
      <c r="BQ226" s="966"/>
      <c r="BR226" s="966"/>
      <c r="BS226" s="966"/>
      <c r="BT226" s="966"/>
      <c r="BU226" s="966"/>
      <c r="BV226" s="966"/>
      <c r="BW226" s="966"/>
      <c r="BX226" s="966"/>
      <c r="BY226" s="966"/>
      <c r="BZ226" s="966"/>
      <c r="CA226" s="966"/>
      <c r="CB226" s="966"/>
      <c r="CC226" s="966"/>
      <c r="CD226" s="966"/>
      <c r="CE226" s="966"/>
      <c r="CF226" s="966"/>
      <c r="CG226" s="966"/>
      <c r="CH226" s="966"/>
      <c r="CI226" s="966"/>
      <c r="CJ226" s="966"/>
      <c r="CK226" s="966"/>
      <c r="CL226" s="966"/>
      <c r="CM226" s="966"/>
      <c r="CN226" s="966"/>
      <c r="CO226" s="966"/>
      <c r="CP226" s="966"/>
      <c r="CQ226" s="966"/>
      <c r="CR226" s="966"/>
      <c r="CS226" s="966"/>
      <c r="CT226" s="966"/>
      <c r="CU226" s="966"/>
      <c r="CV226" s="966"/>
      <c r="CW226" s="966"/>
      <c r="CX226" s="966"/>
      <c r="CY226" s="966"/>
      <c r="CZ226" s="966"/>
      <c r="DA226" s="966"/>
      <c r="DB226" s="966"/>
      <c r="DC226" s="966"/>
      <c r="DD226" s="966"/>
      <c r="DE226" s="966"/>
      <c r="DF226" s="966"/>
      <c r="DG226" s="966"/>
      <c r="DH226" s="966"/>
      <c r="DI226" s="966"/>
      <c r="DJ226" s="966"/>
      <c r="DK226" s="966"/>
      <c r="DL226" s="966"/>
      <c r="DM226" s="966"/>
      <c r="DN226" s="966"/>
      <c r="DO226" s="966"/>
      <c r="DP226" s="966"/>
      <c r="DQ226" s="966"/>
    </row>
    <row r="227" spans="1:121" ht="3" hidden="1" customHeight="1" outlineLevel="1">
      <c r="A227" s="966"/>
      <c r="B227" s="966"/>
      <c r="C227" s="966"/>
      <c r="D227" s="1098"/>
      <c r="E227" s="1098"/>
      <c r="F227" s="1098"/>
      <c r="G227" s="1098"/>
      <c r="H227" s="1098"/>
      <c r="I227" s="1098"/>
      <c r="J227" s="1098"/>
      <c r="K227" s="1098"/>
      <c r="L227" s="1098"/>
      <c r="M227" s="1098"/>
      <c r="N227" s="1098"/>
      <c r="O227" s="1098"/>
      <c r="P227" s="1098"/>
      <c r="Q227" s="1098"/>
      <c r="R227" s="1098"/>
      <c r="S227" s="1098"/>
      <c r="T227" s="1098"/>
      <c r="U227" s="1098"/>
      <c r="V227" s="1098"/>
      <c r="W227" s="1098"/>
      <c r="X227" s="966"/>
      <c r="Y227" s="1098"/>
      <c r="Z227" s="1098"/>
      <c r="AA227" s="1098"/>
      <c r="AB227" s="1098"/>
      <c r="AC227" s="1098"/>
      <c r="AD227" s="966"/>
      <c r="AE227" s="1098"/>
      <c r="AF227" s="1098"/>
      <c r="AG227" s="1098"/>
      <c r="AH227" s="1098"/>
      <c r="AI227" s="1098"/>
      <c r="AJ227" s="966"/>
      <c r="AK227" s="1098"/>
      <c r="AL227" s="1098"/>
      <c r="AM227" s="1098"/>
      <c r="AN227" s="1098"/>
      <c r="AO227" s="1098"/>
      <c r="AP227" s="966"/>
      <c r="AQ227" s="1098"/>
      <c r="AR227" s="1098"/>
      <c r="AS227" s="1098"/>
      <c r="AT227" s="1098"/>
      <c r="AU227" s="1098"/>
      <c r="AV227" s="966"/>
      <c r="AW227" s="1098"/>
      <c r="AX227" s="1098"/>
      <c r="AY227" s="1098"/>
      <c r="AZ227" s="1098"/>
      <c r="BA227" s="1098"/>
      <c r="BB227" s="966"/>
      <c r="BC227" s="1098"/>
      <c r="BD227" s="1098"/>
      <c r="BE227" s="1098"/>
      <c r="BF227" s="1098"/>
      <c r="BG227" s="1098"/>
      <c r="BH227" s="966"/>
      <c r="BI227" s="1098"/>
      <c r="BJ227" s="1098"/>
      <c r="BK227" s="1098"/>
      <c r="BL227" s="1098"/>
      <c r="BM227" s="1098"/>
      <c r="BN227" s="966"/>
      <c r="BO227" s="1098"/>
      <c r="BP227" s="1098"/>
      <c r="BQ227" s="1098"/>
      <c r="BR227" s="1098"/>
      <c r="BS227" s="1098"/>
      <c r="BT227" s="966"/>
      <c r="BU227" s="1098"/>
      <c r="BV227" s="1098"/>
      <c r="BW227" s="1098"/>
      <c r="BX227" s="1098"/>
      <c r="BY227" s="1098"/>
      <c r="BZ227" s="966"/>
      <c r="CA227" s="1098"/>
      <c r="CB227" s="1098"/>
      <c r="CC227" s="1098"/>
      <c r="CD227" s="1098"/>
      <c r="CE227" s="1098"/>
      <c r="CF227" s="966"/>
      <c r="CG227" s="1098"/>
      <c r="CH227" s="1098"/>
      <c r="CI227" s="1098"/>
      <c r="CJ227" s="1098"/>
      <c r="CK227" s="1098"/>
      <c r="CL227" s="966"/>
      <c r="CM227" s="1098"/>
      <c r="CN227" s="1098"/>
      <c r="CO227" s="1098"/>
      <c r="CP227" s="1098"/>
      <c r="CQ227" s="1098"/>
      <c r="CR227" s="966"/>
      <c r="CS227" s="1098"/>
      <c r="CT227" s="1098"/>
      <c r="CU227" s="1098"/>
      <c r="CV227" s="1098"/>
      <c r="CW227" s="1098"/>
      <c r="CX227" s="966"/>
      <c r="CY227" s="1098"/>
      <c r="CZ227" s="1098"/>
      <c r="DA227" s="1098"/>
      <c r="DB227" s="1098"/>
      <c r="DC227" s="1098"/>
      <c r="DD227" s="966"/>
      <c r="DE227" s="1098"/>
      <c r="DF227" s="1098"/>
      <c r="DG227" s="1098"/>
      <c r="DH227" s="1098"/>
      <c r="DI227" s="1098"/>
      <c r="DJ227" s="966"/>
      <c r="DK227" s="1098"/>
      <c r="DL227" s="1098"/>
      <c r="DM227" s="1098"/>
      <c r="DN227" s="1098"/>
      <c r="DO227" s="1098"/>
      <c r="DP227" s="1098"/>
      <c r="DQ227" s="966"/>
    </row>
    <row r="228" spans="1:121" ht="12.75" hidden="1" customHeight="1" outlineLevel="1">
      <c r="A228" s="1253" t="s">
        <v>290</v>
      </c>
      <c r="B228" s="966"/>
      <c r="C228" s="966"/>
      <c r="D228" s="1098"/>
      <c r="E228" s="1098"/>
      <c r="F228" s="1098"/>
      <c r="G228" s="1098"/>
      <c r="H228" s="1098"/>
      <c r="I228" s="1098"/>
      <c r="J228" s="1098"/>
      <c r="K228" s="1098"/>
      <c r="L228" s="1098"/>
      <c r="M228" s="1098"/>
      <c r="N228" s="1098"/>
      <c r="O228" s="1098"/>
      <c r="P228" s="1098"/>
      <c r="Q228" s="1098"/>
      <c r="R228" s="1098"/>
      <c r="S228" s="1098"/>
      <c r="T228" s="1098"/>
      <c r="U228" s="1098"/>
      <c r="V228" s="1098"/>
      <c r="W228" s="1098"/>
      <c r="X228" s="966"/>
      <c r="Y228" s="1098"/>
      <c r="Z228" s="1098"/>
      <c r="AA228" s="1098"/>
      <c r="AB228" s="1098"/>
      <c r="AC228" s="1098"/>
      <c r="AD228" s="966"/>
      <c r="AE228" s="1098"/>
      <c r="AF228" s="1098"/>
      <c r="AG228" s="1098"/>
      <c r="AH228" s="1098"/>
      <c r="AI228" s="1098"/>
      <c r="AJ228" s="966"/>
      <c r="AK228" s="1098"/>
      <c r="AL228" s="1098"/>
      <c r="AM228" s="1098"/>
      <c r="AN228" s="1098"/>
      <c r="AO228" s="1098"/>
      <c r="AP228" s="966"/>
      <c r="AQ228" s="1098"/>
      <c r="AR228" s="1098"/>
      <c r="AS228" s="1098"/>
      <c r="AT228" s="1098"/>
      <c r="AU228" s="1098"/>
      <c r="AV228" s="966"/>
      <c r="AW228" s="1098"/>
      <c r="AX228" s="1098"/>
      <c r="AY228" s="1098"/>
      <c r="AZ228" s="1098"/>
      <c r="BA228" s="1098"/>
      <c r="BB228" s="966"/>
      <c r="BC228" s="1098"/>
      <c r="BD228" s="1098"/>
      <c r="BE228" s="1098"/>
      <c r="BF228" s="1098"/>
      <c r="BG228" s="1098"/>
      <c r="BH228" s="966"/>
      <c r="BI228" s="1098"/>
      <c r="BJ228" s="1098"/>
      <c r="BK228" s="1098"/>
      <c r="BL228" s="1098"/>
      <c r="BM228" s="1098"/>
      <c r="BN228" s="966"/>
      <c r="BO228" s="1098"/>
      <c r="BP228" s="1098"/>
      <c r="BQ228" s="1098"/>
      <c r="BR228" s="1098"/>
      <c r="BS228" s="1098"/>
      <c r="BT228" s="966"/>
      <c r="BU228" s="1098"/>
      <c r="BV228" s="1098"/>
      <c r="BW228" s="1098"/>
      <c r="BX228" s="1098"/>
      <c r="BY228" s="1098"/>
      <c r="BZ228" s="966"/>
      <c r="CA228" s="1098"/>
      <c r="CB228" s="1098"/>
      <c r="CC228" s="1098"/>
      <c r="CD228" s="1098"/>
      <c r="CE228" s="1098"/>
      <c r="CF228" s="966"/>
      <c r="CG228" s="1098"/>
      <c r="CH228" s="1098"/>
      <c r="CI228" s="1098"/>
      <c r="CJ228" s="1098"/>
      <c r="CK228" s="1098"/>
      <c r="CL228" s="966"/>
      <c r="CM228" s="1098"/>
      <c r="CN228" s="1098"/>
      <c r="CO228" s="1098"/>
      <c r="CP228" s="1098"/>
      <c r="CQ228" s="1098"/>
      <c r="CR228" s="966"/>
      <c r="CS228" s="1098"/>
      <c r="CT228" s="1098"/>
      <c r="CU228" s="1098"/>
      <c r="CV228" s="1098"/>
      <c r="CW228" s="1098"/>
      <c r="CX228" s="966"/>
      <c r="CY228" s="1098"/>
      <c r="CZ228" s="1098"/>
      <c r="DA228" s="1098"/>
      <c r="DB228" s="1098"/>
      <c r="DC228" s="1098"/>
      <c r="DD228" s="966"/>
      <c r="DE228" s="1098"/>
      <c r="DF228" s="1098"/>
      <c r="DG228" s="1098"/>
      <c r="DH228" s="1098"/>
      <c r="DI228" s="1098"/>
      <c r="DJ228" s="966"/>
      <c r="DK228" s="1098"/>
      <c r="DL228" s="1098"/>
      <c r="DM228" s="1098"/>
      <c r="DN228" s="1098"/>
      <c r="DO228" s="1098"/>
      <c r="DP228" s="1098"/>
      <c r="DQ228" s="966"/>
    </row>
    <row r="229" spans="1:121" ht="12.75" hidden="1" customHeight="1" outlineLevel="1">
      <c r="A229" s="966" t="s">
        <v>285</v>
      </c>
      <c r="B229" s="966"/>
      <c r="C229" s="966"/>
      <c r="D229" s="1098"/>
      <c r="E229" s="1098">
        <f>D233</f>
        <v>3.3084750000000001</v>
      </c>
      <c r="F229" s="1098"/>
      <c r="G229" s="1098"/>
      <c r="H229" s="1098"/>
      <c r="I229" s="1098"/>
      <c r="J229" s="1098"/>
      <c r="K229" s="1098">
        <f>E233</f>
        <v>4.0745599999999991</v>
      </c>
      <c r="L229" s="1098"/>
      <c r="M229" s="1098"/>
      <c r="N229" s="1098"/>
      <c r="O229" s="1098"/>
      <c r="P229" s="1098"/>
      <c r="Q229" s="1098">
        <f>K233</f>
        <v>10.525878999999998</v>
      </c>
      <c r="R229" s="1098"/>
      <c r="S229" s="1098">
        <f>Q233</f>
        <v>15.928394999999998</v>
      </c>
      <c r="T229" s="1098">
        <f>S233</f>
        <v>16.422046999999999</v>
      </c>
      <c r="U229" s="1098">
        <f>T233</f>
        <v>17.369753000000003</v>
      </c>
      <c r="V229" s="1098">
        <f>U233</f>
        <v>17.394053000000003</v>
      </c>
      <c r="W229" s="1098">
        <f>Q233</f>
        <v>15.928394999999998</v>
      </c>
      <c r="X229" s="966"/>
      <c r="Y229" s="1098">
        <f>W233</f>
        <v>17.365589</v>
      </c>
      <c r="Z229" s="1098">
        <f>Y233</f>
        <v>17.189706000000001</v>
      </c>
      <c r="AA229" s="1098">
        <f>Z233</f>
        <v>16.449138999999999</v>
      </c>
      <c r="AB229" s="1098">
        <f>AA233</f>
        <v>16.351607999999999</v>
      </c>
      <c r="AC229" s="1098">
        <f>W233</f>
        <v>17.365589</v>
      </c>
      <c r="AD229" s="966"/>
      <c r="AE229" s="1098"/>
      <c r="AF229" s="1098"/>
      <c r="AG229" s="1098"/>
      <c r="AH229" s="1098"/>
      <c r="AI229" s="1098">
        <f>AC233</f>
        <v>16.005907000000001</v>
      </c>
      <c r="AJ229" s="966"/>
      <c r="AK229" s="1098"/>
      <c r="AL229" s="1098"/>
      <c r="AM229" s="1098"/>
      <c r="AN229" s="1098"/>
      <c r="AO229" s="1098">
        <f>AI233</f>
        <v>15.955334000000001</v>
      </c>
      <c r="AP229" s="966"/>
      <c r="AQ229" s="1098"/>
      <c r="AR229" s="1098">
        <f>AO233</f>
        <v>13.409345000000002</v>
      </c>
      <c r="AS229" s="1098">
        <f>AR233</f>
        <v>12.390545000000001</v>
      </c>
      <c r="AT229" s="1098">
        <f>AS233</f>
        <v>12.274134000000002</v>
      </c>
      <c r="AU229" s="1098">
        <f>AO233</f>
        <v>13.409345000000002</v>
      </c>
      <c r="AV229" s="966"/>
      <c r="AW229" s="1098"/>
      <c r="AX229" s="1098"/>
      <c r="AY229" s="1098"/>
      <c r="AZ229" s="1098"/>
      <c r="BA229" s="1098">
        <f>AU233</f>
        <v>14.91752</v>
      </c>
      <c r="BB229" s="966"/>
      <c r="BC229" s="1098"/>
      <c r="BD229" s="1098"/>
      <c r="BE229" s="1098"/>
      <c r="BF229" s="1098"/>
      <c r="BG229" s="1098">
        <f>BA233</f>
        <v>14.036370999999999</v>
      </c>
      <c r="BH229" s="966"/>
      <c r="BI229" s="1098"/>
      <c r="BJ229" s="1098"/>
      <c r="BK229" s="1098"/>
      <c r="BL229" s="1098"/>
      <c r="BM229" s="1098">
        <f>BG233</f>
        <v>11.783158999999998</v>
      </c>
      <c r="BN229" s="966"/>
      <c r="BO229" s="1098"/>
      <c r="BP229" s="1098"/>
      <c r="BQ229" s="1098"/>
      <c r="BR229" s="1098"/>
      <c r="BS229" s="1098">
        <f>BM233</f>
        <v>11.184906999999997</v>
      </c>
      <c r="BT229" s="966"/>
      <c r="BU229" s="1098"/>
      <c r="BV229" s="1098"/>
      <c r="BW229" s="1098"/>
      <c r="BX229" s="1098"/>
      <c r="BY229" s="1098">
        <f>BS233</f>
        <v>7.4957749999999965</v>
      </c>
      <c r="BZ229" s="966"/>
      <c r="CA229" s="1098"/>
      <c r="CB229" s="1098"/>
      <c r="CC229" s="1098"/>
      <c r="CD229" s="1098"/>
      <c r="CE229" s="1098">
        <f>BY233</f>
        <v>5.8957749999999969</v>
      </c>
      <c r="CF229" s="966"/>
      <c r="CG229" s="1098"/>
      <c r="CH229" s="1098"/>
      <c r="CI229" s="1098"/>
      <c r="CJ229" s="1098"/>
      <c r="CK229" s="1098">
        <f>CE233</f>
        <v>4.2957749999999972</v>
      </c>
      <c r="CL229" s="966"/>
      <c r="CM229" s="1098"/>
      <c r="CN229" s="1098"/>
      <c r="CO229" s="1098"/>
      <c r="CP229" s="1098"/>
      <c r="CQ229" s="1098">
        <f>CK233</f>
        <v>2.6957749999999971</v>
      </c>
      <c r="CR229" s="966"/>
      <c r="CS229" s="1098"/>
      <c r="CT229" s="1098"/>
      <c r="CU229" s="1098"/>
      <c r="CV229" s="1098"/>
      <c r="CW229" s="1098">
        <f>CQ233</f>
        <v>1.0957749999999975</v>
      </c>
      <c r="CX229" s="966"/>
      <c r="CY229" s="1098"/>
      <c r="CZ229" s="1098"/>
      <c r="DA229" s="1098"/>
      <c r="DB229" s="1098"/>
      <c r="DC229" s="1098">
        <f>CW233</f>
        <v>-0.50422500000000248</v>
      </c>
      <c r="DD229" s="966"/>
      <c r="DE229" s="1098"/>
      <c r="DF229" s="1098"/>
      <c r="DG229" s="1098"/>
      <c r="DH229" s="1098"/>
      <c r="DI229" s="1098">
        <f>DC233</f>
        <v>-2.1042250000000027</v>
      </c>
      <c r="DJ229" s="966"/>
      <c r="DK229" s="1098"/>
      <c r="DL229" s="1098"/>
      <c r="DM229" s="1098"/>
      <c r="DN229" s="1098"/>
      <c r="DO229" s="1098">
        <f>DI233</f>
        <v>-3.7042250000000028</v>
      </c>
      <c r="DP229" s="1098"/>
      <c r="DQ229" s="966"/>
    </row>
    <row r="230" spans="1:121" ht="12.75" hidden="1" customHeight="1" outlineLevel="1">
      <c r="A230" s="966" t="s">
        <v>286</v>
      </c>
      <c r="B230" s="966"/>
      <c r="C230" s="966"/>
      <c r="D230" s="1098"/>
      <c r="E230" s="1098">
        <v>2.5370249999999999</v>
      </c>
      <c r="F230" s="1098"/>
      <c r="G230" s="1098"/>
      <c r="H230" s="1098"/>
      <c r="I230" s="1098"/>
      <c r="J230" s="1098"/>
      <c r="K230" s="1098">
        <v>8.8780000000000001</v>
      </c>
      <c r="L230" s="1098"/>
      <c r="M230" s="1098"/>
      <c r="N230" s="1098"/>
      <c r="O230" s="1098"/>
      <c r="P230" s="1098"/>
      <c r="Q230" s="1098">
        <v>7.6375000000000002</v>
      </c>
      <c r="R230" s="1098"/>
      <c r="S230" s="1098">
        <v>2.3315000000000001</v>
      </c>
      <c r="T230" s="1098">
        <v>1.1442269999999999</v>
      </c>
      <c r="U230" s="1098">
        <v>1.2018000000000002</v>
      </c>
      <c r="V230" s="1098">
        <f>W230-U230-T230-S230</f>
        <v>1.8152399999999993</v>
      </c>
      <c r="W230" s="1098">
        <v>6.4927669999999997</v>
      </c>
      <c r="X230" s="966"/>
      <c r="Y230" s="1098">
        <v>1.1196999999999999</v>
      </c>
      <c r="Z230" s="1098">
        <f>2.69225-Y230</f>
        <v>1.5725500000000001</v>
      </c>
      <c r="AA230" s="1098">
        <f>3.75925-Z230-Y230</f>
        <v>1.0670000000000002</v>
      </c>
      <c r="AB230" s="1098">
        <f>AC230-AA230-Z230-Y230</f>
        <v>1.5104349999999998</v>
      </c>
      <c r="AC230" s="1098">
        <v>5.269685</v>
      </c>
      <c r="AD230" s="966"/>
      <c r="AE230" s="1098"/>
      <c r="AF230" s="1098"/>
      <c r="AG230" s="1098"/>
      <c r="AH230" s="1098"/>
      <c r="AI230" s="1100">
        <v>5.4147619999999996</v>
      </c>
      <c r="AJ230" s="966"/>
      <c r="AK230" s="1098"/>
      <c r="AL230" s="1098"/>
      <c r="AM230" s="1098"/>
      <c r="AN230" s="1098"/>
      <c r="AO230" s="1100">
        <v>3.359448</v>
      </c>
      <c r="AP230" s="966"/>
      <c r="AQ230" s="1098"/>
      <c r="AR230" s="1098">
        <v>1.0874999999999999</v>
      </c>
      <c r="AS230" s="1098">
        <f>1.45427-AR230</f>
        <v>0.36677000000000004</v>
      </c>
      <c r="AT230" s="1098">
        <f>4.948026-AS230-AR230</f>
        <v>3.4937559999999999</v>
      </c>
      <c r="AU230" s="1100">
        <v>4.9480259999999996</v>
      </c>
      <c r="AV230" s="966"/>
      <c r="AW230" s="1098"/>
      <c r="AX230" s="1098"/>
      <c r="AY230" s="1098"/>
      <c r="AZ230" s="1098"/>
      <c r="BA230" s="1100">
        <v>3.477039</v>
      </c>
      <c r="BB230" s="966"/>
      <c r="BC230" s="1098"/>
      <c r="BD230" s="1098"/>
      <c r="BE230" s="1098"/>
      <c r="BF230" s="1098"/>
      <c r="BG230" s="1100">
        <v>3.1132759999999999</v>
      </c>
      <c r="BH230" s="966"/>
      <c r="BI230" s="1098"/>
      <c r="BJ230" s="1098"/>
      <c r="BK230" s="1098"/>
      <c r="BL230" s="1098"/>
      <c r="BM230" s="1100">
        <v>2.6089169999999999</v>
      </c>
      <c r="BN230" s="966"/>
      <c r="BO230" s="1098"/>
      <c r="BP230" s="1098"/>
      <c r="BQ230" s="1098"/>
      <c r="BR230" s="1098"/>
      <c r="BS230" s="1100">
        <v>2.09138</v>
      </c>
      <c r="BT230" s="966"/>
      <c r="BU230" s="1098"/>
      <c r="BV230" s="1098"/>
      <c r="BW230" s="1098"/>
      <c r="BX230" s="1098"/>
      <c r="BY230" s="1100">
        <v>2</v>
      </c>
      <c r="BZ230" s="966"/>
      <c r="CA230" s="1098"/>
      <c r="CB230" s="1098"/>
      <c r="CC230" s="1098"/>
      <c r="CD230" s="1098"/>
      <c r="CE230" s="1100">
        <v>2</v>
      </c>
      <c r="CF230" s="966"/>
      <c r="CG230" s="1098"/>
      <c r="CH230" s="1098"/>
      <c r="CI230" s="1098"/>
      <c r="CJ230" s="1098"/>
      <c r="CK230" s="1100">
        <v>2</v>
      </c>
      <c r="CL230" s="966"/>
      <c r="CM230" s="1098"/>
      <c r="CN230" s="1098"/>
      <c r="CO230" s="1098"/>
      <c r="CP230" s="1098"/>
      <c r="CQ230" s="1100">
        <v>2</v>
      </c>
      <c r="CR230" s="966"/>
      <c r="CS230" s="1098"/>
      <c r="CT230" s="1098"/>
      <c r="CU230" s="1098"/>
      <c r="CV230" s="1098"/>
      <c r="CW230" s="1100">
        <v>2</v>
      </c>
      <c r="CX230" s="966"/>
      <c r="CY230" s="1098"/>
      <c r="CZ230" s="1098"/>
      <c r="DA230" s="1098"/>
      <c r="DB230" s="1098"/>
      <c r="DC230" s="1100">
        <v>2</v>
      </c>
      <c r="DD230" s="966"/>
      <c r="DE230" s="1098"/>
      <c r="DF230" s="1098"/>
      <c r="DG230" s="1098"/>
      <c r="DH230" s="1098"/>
      <c r="DI230" s="1100">
        <v>2</v>
      </c>
      <c r="DJ230" s="966"/>
      <c r="DK230" s="1098"/>
      <c r="DL230" s="1098"/>
      <c r="DM230" s="1098"/>
      <c r="DN230" s="1098"/>
      <c r="DO230" s="1100">
        <v>2</v>
      </c>
      <c r="DP230" s="1100"/>
      <c r="DQ230" s="966"/>
    </row>
    <row r="231" spans="1:121" ht="12.75" hidden="1" customHeight="1" outlineLevel="1">
      <c r="A231" s="966" t="s">
        <v>287</v>
      </c>
      <c r="B231" s="966"/>
      <c r="C231" s="966"/>
      <c r="D231" s="1098"/>
      <c r="E231" s="1098">
        <v>-0.49597400000000003</v>
      </c>
      <c r="F231" s="1098"/>
      <c r="G231" s="1098"/>
      <c r="H231" s="1098"/>
      <c r="I231" s="1098"/>
      <c r="J231" s="1098"/>
      <c r="K231" s="1098">
        <v>-1.6801219999999999</v>
      </c>
      <c r="L231" s="1098"/>
      <c r="M231" s="1098"/>
      <c r="N231" s="1098"/>
      <c r="O231" s="1098"/>
      <c r="P231" s="1098"/>
      <c r="Q231" s="1098">
        <v>-1.041131</v>
      </c>
      <c r="R231" s="1098"/>
      <c r="S231" s="1098">
        <v>-1.710348</v>
      </c>
      <c r="T231" s="1098">
        <f>-1.745429-S231</f>
        <v>-3.5080999999999918E-2</v>
      </c>
      <c r="U231" s="1098">
        <f>-2.056573-T231-S231</f>
        <v>-0.31114400000000031</v>
      </c>
      <c r="V231" s="1098">
        <f>W231-S231-T231-U231</f>
        <v>-1.7873069999999995</v>
      </c>
      <c r="W231" s="1098">
        <v>-3.84388</v>
      </c>
      <c r="X231" s="966"/>
      <c r="Y231" s="1098">
        <v>-0.94450100000000003</v>
      </c>
      <c r="Z231" s="1098">
        <f>-2.419511-Y231</f>
        <v>-1.4750099999999999</v>
      </c>
      <c r="AA231" s="1098">
        <f>-3.165023-Z231-Y231</f>
        <v>-0.74551200000000017</v>
      </c>
      <c r="AB231" s="1098">
        <f>AC231-Y231-Z231-AA231</f>
        <v>-1.6670719999999997</v>
      </c>
      <c r="AC231" s="1098">
        <v>-4.8320949999999998</v>
      </c>
      <c r="AD231" s="966"/>
      <c r="AE231" s="1098"/>
      <c r="AF231" s="1098"/>
      <c r="AG231" s="1098"/>
      <c r="AH231" s="1098"/>
      <c r="AI231" s="1100">
        <v>-3.8896320000000002</v>
      </c>
      <c r="AJ231" s="966"/>
      <c r="AK231" s="1098"/>
      <c r="AL231" s="1098"/>
      <c r="AM231" s="1098"/>
      <c r="AN231" s="1098"/>
      <c r="AO231" s="1100">
        <v>-4.3579179999999997</v>
      </c>
      <c r="AP231" s="966"/>
      <c r="AQ231" s="1098"/>
      <c r="AR231" s="1098">
        <v>-1.8213999999999999</v>
      </c>
      <c r="AS231" s="1098">
        <f>-2.160042-AR231</f>
        <v>-0.33864199999999989</v>
      </c>
      <c r="AT231" s="1098">
        <f>-2.957675-AS231-AR231</f>
        <v>-0.79763300000000004</v>
      </c>
      <c r="AU231" s="1100">
        <v>-2.9576750000000001</v>
      </c>
      <c r="AV231" s="966"/>
      <c r="AW231" s="1098"/>
      <c r="AX231" s="1098"/>
      <c r="AY231" s="1098"/>
      <c r="AZ231" s="1098"/>
      <c r="BA231" s="1100">
        <v>-3.4226260000000002</v>
      </c>
      <c r="BB231" s="966"/>
      <c r="BC231" s="1098"/>
      <c r="BD231" s="1098"/>
      <c r="BE231" s="1098"/>
      <c r="BF231" s="1098"/>
      <c r="BG231" s="1100">
        <v>-4.6469769999999997</v>
      </c>
      <c r="BH231" s="966"/>
      <c r="BI231" s="1098"/>
      <c r="BJ231" s="1098"/>
      <c r="BK231" s="1098"/>
      <c r="BL231" s="1098"/>
      <c r="BM231" s="1100">
        <v>-2.4833720000000001</v>
      </c>
      <c r="BN231" s="966"/>
      <c r="BO231" s="1098"/>
      <c r="BP231" s="1098"/>
      <c r="BQ231" s="1098"/>
      <c r="BR231" s="1098"/>
      <c r="BS231" s="1100">
        <v>-5.0622559999999996</v>
      </c>
      <c r="BT231" s="966"/>
      <c r="BU231" s="1098"/>
      <c r="BV231" s="1098"/>
      <c r="BW231" s="1098"/>
      <c r="BX231" s="1098"/>
      <c r="BY231" s="1100">
        <v>-3</v>
      </c>
      <c r="BZ231" s="966"/>
      <c r="CA231" s="1098"/>
      <c r="CB231" s="1098"/>
      <c r="CC231" s="1098"/>
      <c r="CD231" s="1098"/>
      <c r="CE231" s="1100">
        <v>-3</v>
      </c>
      <c r="CF231" s="966"/>
      <c r="CG231" s="1098"/>
      <c r="CH231" s="1098"/>
      <c r="CI231" s="1098"/>
      <c r="CJ231" s="1098"/>
      <c r="CK231" s="1100">
        <v>-3</v>
      </c>
      <c r="CL231" s="966"/>
      <c r="CM231" s="1098"/>
      <c r="CN231" s="1098"/>
      <c r="CO231" s="1098"/>
      <c r="CP231" s="1098"/>
      <c r="CQ231" s="1100">
        <v>-3</v>
      </c>
      <c r="CR231" s="966"/>
      <c r="CS231" s="1098"/>
      <c r="CT231" s="1098"/>
      <c r="CU231" s="1098"/>
      <c r="CV231" s="1098"/>
      <c r="CW231" s="1100">
        <v>-3</v>
      </c>
      <c r="CX231" s="966"/>
      <c r="CY231" s="1098"/>
      <c r="CZ231" s="1098"/>
      <c r="DA231" s="1098"/>
      <c r="DB231" s="1098"/>
      <c r="DC231" s="1100">
        <v>-3</v>
      </c>
      <c r="DD231" s="966"/>
      <c r="DE231" s="1098"/>
      <c r="DF231" s="1098"/>
      <c r="DG231" s="1098"/>
      <c r="DH231" s="1098"/>
      <c r="DI231" s="1100">
        <v>-3</v>
      </c>
      <c r="DJ231" s="966"/>
      <c r="DK231" s="1098"/>
      <c r="DL231" s="1098"/>
      <c r="DM231" s="1098"/>
      <c r="DN231" s="1098"/>
      <c r="DO231" s="1100">
        <v>-3</v>
      </c>
      <c r="DP231" s="1100"/>
      <c r="DQ231" s="966"/>
    </row>
    <row r="232" spans="1:121" ht="12.75" hidden="1" customHeight="1" outlineLevel="1">
      <c r="A232" s="1264" t="s">
        <v>288</v>
      </c>
      <c r="B232" s="1264"/>
      <c r="C232" s="1264"/>
      <c r="D232" s="1105"/>
      <c r="E232" s="1105">
        <v>-1.274966</v>
      </c>
      <c r="F232" s="1098"/>
      <c r="G232" s="1105"/>
      <c r="H232" s="1105"/>
      <c r="I232" s="1105"/>
      <c r="J232" s="1105"/>
      <c r="K232" s="1105">
        <v>-0.74655899999999997</v>
      </c>
      <c r="L232" s="1098"/>
      <c r="M232" s="1105"/>
      <c r="N232" s="1105"/>
      <c r="O232" s="1105"/>
      <c r="P232" s="1105"/>
      <c r="Q232" s="1105">
        <v>-1.1938530000000001</v>
      </c>
      <c r="R232" s="1098"/>
      <c r="S232" s="1105">
        <v>-0.1275</v>
      </c>
      <c r="T232" s="1105">
        <v>-0.16143999999999997</v>
      </c>
      <c r="U232" s="1105">
        <v>-0.86635600000000013</v>
      </c>
      <c r="V232" s="1105">
        <f>W232-S232-T232-U232</f>
        <v>-5.6396999999999808E-2</v>
      </c>
      <c r="W232" s="1105">
        <v>-1.2116929999999999</v>
      </c>
      <c r="X232" s="966"/>
      <c r="Y232" s="1105">
        <v>-0.35108200000000001</v>
      </c>
      <c r="Z232" s="1105">
        <f>-1.189189-Y232</f>
        <v>-0.83810700000000005</v>
      </c>
      <c r="AA232" s="1105">
        <f>-1.608208-Z232-Y232</f>
        <v>-0.41901900000000003</v>
      </c>
      <c r="AB232" s="1105">
        <f>AC232-Y232-Z232-AA232</f>
        <v>-0.18906400000000001</v>
      </c>
      <c r="AC232" s="1105">
        <v>-1.797272</v>
      </c>
      <c r="AD232" s="966"/>
      <c r="AE232" s="1105"/>
      <c r="AF232" s="1105"/>
      <c r="AG232" s="1105"/>
      <c r="AH232" s="1105"/>
      <c r="AI232" s="1105">
        <v>-1.5757030000000001</v>
      </c>
      <c r="AJ232" s="966"/>
      <c r="AK232" s="1105"/>
      <c r="AL232" s="1105"/>
      <c r="AM232" s="1105"/>
      <c r="AN232" s="1105"/>
      <c r="AO232" s="1105">
        <v>-1.5475190000000001</v>
      </c>
      <c r="AP232" s="966"/>
      <c r="AQ232" s="1105"/>
      <c r="AR232" s="1105">
        <v>-0.28489999999999999</v>
      </c>
      <c r="AS232" s="1105">
        <f>-0.429439-AR232</f>
        <v>-0.14453900000000003</v>
      </c>
      <c r="AT232" s="1105">
        <f>-0.485176-AS232-AR232</f>
        <v>-5.5736999999999981E-2</v>
      </c>
      <c r="AU232" s="1105">
        <v>-0.48217599999999999</v>
      </c>
      <c r="AV232" s="966"/>
      <c r="AW232" s="1105"/>
      <c r="AX232" s="1105"/>
      <c r="AY232" s="1105"/>
      <c r="AZ232" s="1105"/>
      <c r="BA232" s="1105">
        <v>-0.935562</v>
      </c>
      <c r="BB232" s="966"/>
      <c r="BC232" s="1105"/>
      <c r="BD232" s="1105"/>
      <c r="BE232" s="1105"/>
      <c r="BF232" s="1105"/>
      <c r="BG232" s="1105">
        <v>-0.71951100000000001</v>
      </c>
      <c r="BH232" s="966"/>
      <c r="BI232" s="1105"/>
      <c r="BJ232" s="1105"/>
      <c r="BK232" s="1105"/>
      <c r="BL232" s="1105"/>
      <c r="BM232" s="1105">
        <v>-0.72379700000000002</v>
      </c>
      <c r="BN232" s="966"/>
      <c r="BO232" s="1105"/>
      <c r="BP232" s="1105"/>
      <c r="BQ232" s="1105"/>
      <c r="BR232" s="1105"/>
      <c r="BS232" s="1105">
        <v>-0.71825600000000001</v>
      </c>
      <c r="BT232" s="966"/>
      <c r="BU232" s="1105"/>
      <c r="BV232" s="1105"/>
      <c r="BW232" s="1105"/>
      <c r="BX232" s="1105"/>
      <c r="BY232" s="1105">
        <v>-0.6</v>
      </c>
      <c r="BZ232" s="966"/>
      <c r="CA232" s="1105"/>
      <c r="CB232" s="1105"/>
      <c r="CC232" s="1105"/>
      <c r="CD232" s="1105"/>
      <c r="CE232" s="1105">
        <v>-0.6</v>
      </c>
      <c r="CF232" s="966"/>
      <c r="CG232" s="1105"/>
      <c r="CH232" s="1105"/>
      <c r="CI232" s="1105"/>
      <c r="CJ232" s="1105"/>
      <c r="CK232" s="1105">
        <v>-0.6</v>
      </c>
      <c r="CL232" s="966"/>
      <c r="CM232" s="1105"/>
      <c r="CN232" s="1105"/>
      <c r="CO232" s="1105"/>
      <c r="CP232" s="1105"/>
      <c r="CQ232" s="1105">
        <v>-0.6</v>
      </c>
      <c r="CR232" s="966"/>
      <c r="CS232" s="1105"/>
      <c r="CT232" s="1105"/>
      <c r="CU232" s="1105"/>
      <c r="CV232" s="1105"/>
      <c r="CW232" s="1105">
        <v>-0.6</v>
      </c>
      <c r="CX232" s="966"/>
      <c r="CY232" s="1105"/>
      <c r="CZ232" s="1105"/>
      <c r="DA232" s="1105"/>
      <c r="DB232" s="1105"/>
      <c r="DC232" s="1105">
        <v>-0.6</v>
      </c>
      <c r="DD232" s="966"/>
      <c r="DE232" s="1105"/>
      <c r="DF232" s="1105"/>
      <c r="DG232" s="1105"/>
      <c r="DH232" s="1105"/>
      <c r="DI232" s="1105">
        <v>-0.6</v>
      </c>
      <c r="DJ232" s="966"/>
      <c r="DK232" s="1105"/>
      <c r="DL232" s="1105"/>
      <c r="DM232" s="1105"/>
      <c r="DN232" s="1105"/>
      <c r="DO232" s="1105">
        <v>-0.6</v>
      </c>
      <c r="DP232" s="1161"/>
      <c r="DQ232" s="966"/>
    </row>
    <row r="233" spans="1:121" ht="12.75" hidden="1" customHeight="1" outlineLevel="1">
      <c r="A233" s="966" t="s">
        <v>289</v>
      </c>
      <c r="B233" s="966"/>
      <c r="C233" s="966"/>
      <c r="D233" s="1098">
        <v>3.3084750000000001</v>
      </c>
      <c r="E233" s="1098">
        <f>SUM(E229:E232)</f>
        <v>4.0745599999999991</v>
      </c>
      <c r="F233" s="1098"/>
      <c r="G233" s="1098"/>
      <c r="H233" s="1098"/>
      <c r="I233" s="1098"/>
      <c r="J233" s="1098"/>
      <c r="K233" s="1098">
        <f>SUM(K229:K232)</f>
        <v>10.525878999999998</v>
      </c>
      <c r="L233" s="1098"/>
      <c r="M233" s="1098"/>
      <c r="N233" s="1098"/>
      <c r="O233" s="1098"/>
      <c r="P233" s="1098"/>
      <c r="Q233" s="1098">
        <f>SUM(Q229:Q232)</f>
        <v>15.928394999999998</v>
      </c>
      <c r="R233" s="1098"/>
      <c r="S233" s="1098">
        <f>SUM(S229:S232)</f>
        <v>16.422046999999999</v>
      </c>
      <c r="T233" s="1098">
        <f>SUM(T229:T232)</f>
        <v>17.369753000000003</v>
      </c>
      <c r="U233" s="1098">
        <f>SUM(U229:U232)</f>
        <v>17.394053000000003</v>
      </c>
      <c r="V233" s="1098">
        <f>SUM(V229:V232)</f>
        <v>17.365589000000003</v>
      </c>
      <c r="W233" s="1098">
        <f>SUM(W229:W232)</f>
        <v>17.365589</v>
      </c>
      <c r="X233" s="966"/>
      <c r="Y233" s="1098">
        <f>SUM(Y229:Y232)</f>
        <v>17.189706000000001</v>
      </c>
      <c r="Z233" s="1098">
        <f>SUM(Z229:Z232)</f>
        <v>16.449138999999999</v>
      </c>
      <c r="AA233" s="1098">
        <f>SUM(AA229:AA232)</f>
        <v>16.351607999999999</v>
      </c>
      <c r="AB233" s="1098">
        <f>SUM(AB229:AB232)</f>
        <v>16.005907000000001</v>
      </c>
      <c r="AC233" s="1098">
        <f>SUM(AC229:AC232)</f>
        <v>16.005907000000001</v>
      </c>
      <c r="AD233" s="966"/>
      <c r="AE233" s="1098"/>
      <c r="AF233" s="1098"/>
      <c r="AG233" s="1098"/>
      <c r="AH233" s="1098"/>
      <c r="AI233" s="1098">
        <f>SUM(AI229:AI232)</f>
        <v>15.955334000000001</v>
      </c>
      <c r="AJ233" s="966"/>
      <c r="AK233" s="1098"/>
      <c r="AL233" s="1098"/>
      <c r="AM233" s="1098"/>
      <c r="AN233" s="1098"/>
      <c r="AO233" s="1098">
        <f>SUM(AO229:AO232)</f>
        <v>13.409345000000002</v>
      </c>
      <c r="AP233" s="966"/>
      <c r="AQ233" s="1098"/>
      <c r="AR233" s="1098">
        <f>SUM(AR229:AR232)</f>
        <v>12.390545000000001</v>
      </c>
      <c r="AS233" s="1098">
        <f>SUM(AS229:AS232)</f>
        <v>12.274134000000002</v>
      </c>
      <c r="AT233" s="1098">
        <f>SUM(AT229:AT232)</f>
        <v>14.914520000000001</v>
      </c>
      <c r="AU233" s="1098">
        <f>SUM(AU229:AU232)</f>
        <v>14.91752</v>
      </c>
      <c r="AV233" s="966"/>
      <c r="AW233" s="1098"/>
      <c r="AX233" s="1098"/>
      <c r="AY233" s="1098"/>
      <c r="AZ233" s="1098"/>
      <c r="BA233" s="1098">
        <f>SUM(BA229:BA232)</f>
        <v>14.036370999999999</v>
      </c>
      <c r="BB233" s="966"/>
      <c r="BC233" s="1098"/>
      <c r="BD233" s="1098"/>
      <c r="BE233" s="1098"/>
      <c r="BF233" s="1098"/>
      <c r="BG233" s="1098">
        <f>SUM(BG229:BG232)</f>
        <v>11.783158999999998</v>
      </c>
      <c r="BH233" s="966"/>
      <c r="BI233" s="1098"/>
      <c r="BJ233" s="1098"/>
      <c r="BK233" s="1098"/>
      <c r="BL233" s="1098"/>
      <c r="BM233" s="1098">
        <f>SUM(BM229:BM232)</f>
        <v>11.184906999999997</v>
      </c>
      <c r="BN233" s="966"/>
      <c r="BO233" s="1098"/>
      <c r="BP233" s="1098"/>
      <c r="BQ233" s="1098"/>
      <c r="BR233" s="1098"/>
      <c r="BS233" s="1098">
        <f>SUM(BS229:BS232)</f>
        <v>7.4957749999999965</v>
      </c>
      <c r="BT233" s="966"/>
      <c r="BU233" s="1098"/>
      <c r="BV233" s="1098"/>
      <c r="BW233" s="1098"/>
      <c r="BX233" s="1098"/>
      <c r="BY233" s="1098">
        <f>SUM(BY229:BY232)</f>
        <v>5.8957749999999969</v>
      </c>
      <c r="BZ233" s="966"/>
      <c r="CA233" s="1098"/>
      <c r="CB233" s="1098"/>
      <c r="CC233" s="1098"/>
      <c r="CD233" s="1098"/>
      <c r="CE233" s="1098">
        <f>SUM(CE229:CE232)</f>
        <v>4.2957749999999972</v>
      </c>
      <c r="CF233" s="966"/>
      <c r="CG233" s="1098"/>
      <c r="CH233" s="1098"/>
      <c r="CI233" s="1098"/>
      <c r="CJ233" s="1098"/>
      <c r="CK233" s="1098">
        <f>SUM(CK229:CK232)</f>
        <v>2.6957749999999971</v>
      </c>
      <c r="CL233" s="966"/>
      <c r="CM233" s="1098"/>
      <c r="CN233" s="1098"/>
      <c r="CO233" s="1098"/>
      <c r="CP233" s="1098"/>
      <c r="CQ233" s="1098">
        <f>SUM(CQ229:CQ232)</f>
        <v>1.0957749999999975</v>
      </c>
      <c r="CR233" s="966"/>
      <c r="CS233" s="1098"/>
      <c r="CT233" s="1098"/>
      <c r="CU233" s="1098"/>
      <c r="CV233" s="1098"/>
      <c r="CW233" s="1098">
        <f>SUM(CW229:CW232)</f>
        <v>-0.50422500000000248</v>
      </c>
      <c r="CX233" s="966"/>
      <c r="CY233" s="1098"/>
      <c r="CZ233" s="1098"/>
      <c r="DA233" s="1098"/>
      <c r="DB233" s="1098"/>
      <c r="DC233" s="1098">
        <f>SUM(DC229:DC232)</f>
        <v>-2.1042250000000027</v>
      </c>
      <c r="DD233" s="966"/>
      <c r="DE233" s="1098"/>
      <c r="DF233" s="1098"/>
      <c r="DG233" s="1098"/>
      <c r="DH233" s="1098"/>
      <c r="DI233" s="1098">
        <f>SUM(DI229:DI232)</f>
        <v>-3.7042250000000028</v>
      </c>
      <c r="DJ233" s="966"/>
      <c r="DK233" s="1098"/>
      <c r="DL233" s="1098"/>
      <c r="DM233" s="1098"/>
      <c r="DN233" s="1098"/>
      <c r="DO233" s="1098">
        <f>SUM(DO229:DO232)</f>
        <v>-5.3042250000000024</v>
      </c>
      <c r="DP233" s="1098"/>
      <c r="DQ233" s="966"/>
    </row>
    <row r="234" spans="1:121" ht="3" hidden="1" customHeight="1" outlineLevel="1">
      <c r="A234" s="966"/>
      <c r="B234" s="966"/>
      <c r="C234" s="966"/>
      <c r="D234" s="1098"/>
      <c r="E234" s="1098"/>
      <c r="F234" s="1098"/>
      <c r="G234" s="1098"/>
      <c r="H234" s="1098"/>
      <c r="I234" s="1098"/>
      <c r="J234" s="1098"/>
      <c r="K234" s="1098"/>
      <c r="L234" s="1098"/>
      <c r="M234" s="1098"/>
      <c r="N234" s="1098"/>
      <c r="O234" s="1098"/>
      <c r="P234" s="1098"/>
      <c r="Q234" s="1098"/>
      <c r="R234" s="1098"/>
      <c r="S234" s="1098"/>
      <c r="T234" s="1265"/>
      <c r="U234" s="1098"/>
      <c r="V234" s="1098"/>
      <c r="W234" s="1098"/>
      <c r="X234" s="966"/>
      <c r="Y234" s="1098"/>
      <c r="Z234" s="1098"/>
      <c r="AA234" s="1098"/>
      <c r="AB234" s="1098"/>
      <c r="AC234" s="1098"/>
      <c r="AD234" s="966"/>
      <c r="AE234" s="1098"/>
      <c r="AF234" s="1098"/>
      <c r="AG234" s="1098"/>
      <c r="AH234" s="1098"/>
      <c r="AI234" s="1098"/>
      <c r="AJ234" s="966"/>
      <c r="AK234" s="1098"/>
      <c r="AL234" s="1098"/>
      <c r="AM234" s="1098"/>
      <c r="AN234" s="1098"/>
      <c r="AO234" s="1098"/>
      <c r="AP234" s="966"/>
      <c r="AQ234" s="1098"/>
      <c r="AR234" s="1098"/>
      <c r="AS234" s="1098"/>
      <c r="AT234" s="1098"/>
      <c r="AU234" s="1098"/>
      <c r="AV234" s="966"/>
      <c r="AW234" s="1098"/>
      <c r="AX234" s="1098"/>
      <c r="AY234" s="1098"/>
      <c r="AZ234" s="1098"/>
      <c r="BA234" s="1098"/>
      <c r="BB234" s="966"/>
      <c r="BC234" s="1098"/>
      <c r="BD234" s="1098"/>
      <c r="BE234" s="1098"/>
      <c r="BF234" s="1098"/>
      <c r="BG234" s="1098"/>
      <c r="BH234" s="966"/>
      <c r="BI234" s="1098"/>
      <c r="BJ234" s="1098"/>
      <c r="BK234" s="1098"/>
      <c r="BL234" s="1098"/>
      <c r="BM234" s="1098"/>
      <c r="BN234" s="966"/>
      <c r="BO234" s="1098"/>
      <c r="BP234" s="1098"/>
      <c r="BQ234" s="1098"/>
      <c r="BR234" s="1098"/>
      <c r="BS234" s="1098"/>
      <c r="BT234" s="966"/>
      <c r="BU234" s="1098"/>
      <c r="BV234" s="1098"/>
      <c r="BW234" s="1098"/>
      <c r="BX234" s="1098"/>
      <c r="BY234" s="1098"/>
      <c r="BZ234" s="966"/>
      <c r="CA234" s="1098"/>
      <c r="CB234" s="1098"/>
      <c r="CC234" s="1098"/>
      <c r="CD234" s="1098"/>
      <c r="CE234" s="1098"/>
      <c r="CF234" s="966"/>
      <c r="CG234" s="1098"/>
      <c r="CH234" s="1098"/>
      <c r="CI234" s="1098"/>
      <c r="CJ234" s="1098"/>
      <c r="CK234" s="1098"/>
      <c r="CL234" s="966"/>
      <c r="CM234" s="1098"/>
      <c r="CN234" s="1098"/>
      <c r="CO234" s="1098"/>
      <c r="CP234" s="1098"/>
      <c r="CQ234" s="1098"/>
      <c r="CR234" s="966"/>
      <c r="CS234" s="1098"/>
      <c r="CT234" s="1098"/>
      <c r="CU234" s="1098"/>
      <c r="CV234" s="1098"/>
      <c r="CW234" s="1098"/>
      <c r="CX234" s="966"/>
      <c r="CY234" s="1098"/>
      <c r="CZ234" s="1098"/>
      <c r="DA234" s="1098"/>
      <c r="DB234" s="1098"/>
      <c r="DC234" s="1098"/>
      <c r="DD234" s="966"/>
      <c r="DE234" s="1098"/>
      <c r="DF234" s="1098"/>
      <c r="DG234" s="1098"/>
      <c r="DH234" s="1098"/>
      <c r="DI234" s="1098"/>
      <c r="DJ234" s="966"/>
      <c r="DK234" s="1098"/>
      <c r="DL234" s="1098"/>
      <c r="DM234" s="1098"/>
      <c r="DN234" s="1098"/>
      <c r="DO234" s="1098"/>
      <c r="DP234" s="1098"/>
      <c r="DQ234" s="966"/>
    </row>
    <row r="235" spans="1:121" ht="12.75" hidden="1" customHeight="1" outlineLevel="1">
      <c r="A235" s="1253" t="s">
        <v>815</v>
      </c>
      <c r="B235" s="966"/>
      <c r="C235" s="966"/>
      <c r="D235" s="1098"/>
      <c r="E235" s="1098"/>
      <c r="F235" s="1098"/>
      <c r="G235" s="1098"/>
      <c r="H235" s="1098"/>
      <c r="I235" s="1098"/>
      <c r="J235" s="1098"/>
      <c r="K235" s="1098"/>
      <c r="L235" s="1098"/>
      <c r="M235" s="1098"/>
      <c r="N235" s="1098"/>
      <c r="O235" s="1098"/>
      <c r="P235" s="1098"/>
      <c r="Q235" s="1098"/>
      <c r="R235" s="1098"/>
      <c r="S235" s="1098"/>
      <c r="T235" s="1265"/>
      <c r="U235" s="1098"/>
      <c r="V235" s="1098"/>
      <c r="W235" s="1098"/>
      <c r="X235" s="966"/>
      <c r="Y235" s="1098"/>
      <c r="Z235" s="1100" t="s">
        <v>214</v>
      </c>
      <c r="AA235" s="1098"/>
      <c r="AB235" s="1098"/>
      <c r="AC235" s="1098"/>
      <c r="AD235" s="966"/>
      <c r="AE235" s="1098"/>
      <c r="AF235" s="1098"/>
      <c r="AG235" s="1098"/>
      <c r="AH235" s="1098"/>
      <c r="AI235" s="1098"/>
      <c r="AJ235" s="966"/>
      <c r="AK235" s="1098"/>
      <c r="AL235" s="1098"/>
      <c r="AM235" s="1098"/>
      <c r="AN235" s="1098"/>
      <c r="AO235" s="1098"/>
      <c r="AP235" s="966"/>
      <c r="AQ235" s="1098"/>
      <c r="AR235" s="1098"/>
      <c r="AS235" s="1098"/>
      <c r="AT235" s="1098"/>
      <c r="AU235" s="1098"/>
      <c r="AV235" s="966"/>
      <c r="AW235" s="1098"/>
      <c r="AX235" s="1098"/>
      <c r="AY235" s="1098"/>
      <c r="AZ235" s="1098"/>
      <c r="BA235" s="1098"/>
      <c r="BB235" s="966"/>
      <c r="BC235" s="1098"/>
      <c r="BD235" s="1098"/>
      <c r="BE235" s="1098"/>
      <c r="BF235" s="1098"/>
      <c r="BG235" s="1098"/>
      <c r="BH235" s="966"/>
      <c r="BI235" s="1098"/>
      <c r="BJ235" s="1098"/>
      <c r="BK235" s="1098"/>
      <c r="BL235" s="1098"/>
      <c r="BM235" s="1098"/>
      <c r="BN235" s="966"/>
      <c r="BO235" s="1098"/>
      <c r="BP235" s="1098"/>
      <c r="BQ235" s="1098"/>
      <c r="BR235" s="1098"/>
      <c r="BS235" s="1098"/>
      <c r="BT235" s="966"/>
      <c r="BU235" s="1098"/>
      <c r="BV235" s="1098"/>
      <c r="BW235" s="1098"/>
      <c r="BX235" s="1098"/>
      <c r="BY235" s="1098"/>
      <c r="BZ235" s="966"/>
      <c r="CA235" s="1098"/>
      <c r="CB235" s="1098"/>
      <c r="CC235" s="1098"/>
      <c r="CD235" s="1098"/>
      <c r="CE235" s="1098"/>
      <c r="CF235" s="966"/>
      <c r="CG235" s="1098"/>
      <c r="CH235" s="1098"/>
      <c r="CI235" s="1098"/>
      <c r="CJ235" s="1098"/>
      <c r="CK235" s="1098"/>
      <c r="CL235" s="966"/>
      <c r="CM235" s="1098"/>
      <c r="CN235" s="1098"/>
      <c r="CO235" s="1098"/>
      <c r="CP235" s="1098"/>
      <c r="CQ235" s="1098"/>
      <c r="CR235" s="966"/>
      <c r="CS235" s="1098"/>
      <c r="CT235" s="1098"/>
      <c r="CU235" s="1098"/>
      <c r="CV235" s="1098"/>
      <c r="CW235" s="1098"/>
      <c r="CX235" s="966"/>
      <c r="CY235" s="1098"/>
      <c r="CZ235" s="1098"/>
      <c r="DA235" s="1098"/>
      <c r="DB235" s="1098"/>
      <c r="DC235" s="1098"/>
      <c r="DD235" s="966"/>
      <c r="DE235" s="1098"/>
      <c r="DF235" s="1098"/>
      <c r="DG235" s="1098"/>
      <c r="DH235" s="1098"/>
      <c r="DI235" s="1098"/>
      <c r="DJ235" s="966"/>
      <c r="DK235" s="1098"/>
      <c r="DL235" s="1098"/>
      <c r="DM235" s="1098"/>
      <c r="DN235" s="1098"/>
      <c r="DO235" s="1098"/>
      <c r="DP235" s="1098"/>
      <c r="DQ235" s="966"/>
    </row>
    <row r="236" spans="1:121" ht="12.75" hidden="1" customHeight="1" outlineLevel="1">
      <c r="A236" s="966" t="s">
        <v>285</v>
      </c>
      <c r="B236" s="966"/>
      <c r="C236" s="966"/>
      <c r="D236" s="1023"/>
      <c r="E236" s="1023">
        <f>D240</f>
        <v>0.9</v>
      </c>
      <c r="F236" s="1023"/>
      <c r="G236" s="1023"/>
      <c r="H236" s="1023"/>
      <c r="I236" s="1023"/>
      <c r="J236" s="1023"/>
      <c r="K236" s="1023">
        <f>E240</f>
        <v>0.81</v>
      </c>
      <c r="L236" s="1023"/>
      <c r="M236" s="1023"/>
      <c r="N236" s="1023"/>
      <c r="O236" s="1023"/>
      <c r="P236" s="1023"/>
      <c r="Q236" s="1023">
        <f>K240</f>
        <v>1.01</v>
      </c>
      <c r="R236" s="1023"/>
      <c r="S236" s="1023">
        <f>Q240</f>
        <v>2.29</v>
      </c>
      <c r="T236" s="1023">
        <f>S240</f>
        <v>3.22</v>
      </c>
      <c r="U236" s="1023">
        <f>T240</f>
        <v>3.6483873011896009</v>
      </c>
      <c r="V236" s="1023">
        <f>U240</f>
        <v>4.346137110195075</v>
      </c>
      <c r="W236" s="1023">
        <f>Q240</f>
        <v>2.29</v>
      </c>
      <c r="X236" s="966"/>
      <c r="Y236" s="1023">
        <f>W240</f>
        <v>5.74</v>
      </c>
      <c r="Z236" s="1106">
        <v>5.74</v>
      </c>
      <c r="AA236" s="1023"/>
      <c r="AB236" s="1023"/>
      <c r="AC236" s="1023">
        <f>W240</f>
        <v>5.74</v>
      </c>
      <c r="AD236" s="966"/>
      <c r="AE236" s="1023"/>
      <c r="AF236" s="1023"/>
      <c r="AG236" s="1023"/>
      <c r="AH236" s="1023"/>
      <c r="AI236" s="1023"/>
      <c r="AJ236" s="966"/>
      <c r="AK236" s="1023"/>
      <c r="AL236" s="1023"/>
      <c r="AM236" s="1023"/>
      <c r="AN236" s="1023"/>
      <c r="AO236" s="1023"/>
      <c r="AP236" s="966"/>
      <c r="AQ236" s="1023"/>
      <c r="AR236" s="1023">
        <v>27.83</v>
      </c>
      <c r="AS236" s="1023">
        <v>27.83</v>
      </c>
      <c r="AT236" s="1023">
        <v>27.83</v>
      </c>
      <c r="AU236" s="1023">
        <f>AO240</f>
        <v>27.83</v>
      </c>
      <c r="AV236" s="966"/>
      <c r="AW236" s="1023"/>
      <c r="AX236" s="1023"/>
      <c r="AY236" s="1023"/>
      <c r="AZ236" s="1023"/>
      <c r="BA236" s="1023">
        <f>AU240</f>
        <v>32.502699540540249</v>
      </c>
      <c r="BB236" s="966"/>
      <c r="BC236" s="1023"/>
      <c r="BD236" s="1023"/>
      <c r="BE236" s="1023"/>
      <c r="BF236" s="1023"/>
      <c r="BG236" s="1023">
        <f>BA240</f>
        <v>40.357511014064812</v>
      </c>
      <c r="BH236" s="966"/>
      <c r="BI236" s="1023"/>
      <c r="BJ236" s="1023"/>
      <c r="BK236" s="1023"/>
      <c r="BL236" s="1023"/>
      <c r="BM236" s="1023">
        <f>BG240</f>
        <v>65.352305531139834</v>
      </c>
      <c r="BN236" s="966"/>
      <c r="BO236" s="1023"/>
      <c r="BP236" s="1023"/>
      <c r="BQ236" s="1023"/>
      <c r="BR236" s="1023"/>
      <c r="BS236" s="1023">
        <f>BM240</f>
        <v>79.775836875532391</v>
      </c>
      <c r="BT236" s="966"/>
      <c r="BU236" s="1023"/>
      <c r="BV236" s="1023"/>
      <c r="BW236" s="1023"/>
      <c r="BX236" s="1023"/>
      <c r="BY236" s="1023">
        <f>BS240</f>
        <v>106.37672938421986</v>
      </c>
      <c r="BZ236" s="966"/>
      <c r="CA236" s="1023"/>
      <c r="CB236" s="1023"/>
      <c r="CC236" s="1023"/>
      <c r="CD236" s="1023"/>
      <c r="CE236" s="1023">
        <f>BY240</f>
        <v>136.29251304018027</v>
      </c>
      <c r="CF236" s="966"/>
      <c r="CG236" s="1023"/>
      <c r="CH236" s="1023"/>
      <c r="CI236" s="1023"/>
      <c r="CJ236" s="1023"/>
      <c r="CK236" s="1023">
        <f>CE240</f>
        <v>177.33109467915818</v>
      </c>
      <c r="CL236" s="966"/>
      <c r="CM236" s="1023"/>
      <c r="CN236" s="1023"/>
      <c r="CO236" s="1023"/>
      <c r="CP236" s="1023"/>
      <c r="CQ236" s="1023">
        <f>CK240</f>
        <v>257.9502467519975</v>
      </c>
      <c r="CR236" s="966"/>
      <c r="CS236" s="1023"/>
      <c r="CT236" s="1023"/>
      <c r="CU236" s="1023"/>
      <c r="CV236" s="1023"/>
      <c r="CW236" s="1023">
        <f>CQ240</f>
        <v>529.85848224924655</v>
      </c>
      <c r="CX236" s="966"/>
      <c r="CY236" s="1023"/>
      <c r="CZ236" s="1023"/>
      <c r="DA236" s="1023"/>
      <c r="DB236" s="1023"/>
      <c r="DC236" s="1023">
        <f>CW240</f>
        <v>-600.30857065222347</v>
      </c>
      <c r="DD236" s="966"/>
      <c r="DE236" s="1023"/>
      <c r="DF236" s="1023"/>
      <c r="DG236" s="1023"/>
      <c r="DH236" s="1023"/>
      <c r="DI236" s="1023">
        <f>DC240</f>
        <v>-334.03069131316846</v>
      </c>
      <c r="DJ236" s="966"/>
      <c r="DK236" s="1023"/>
      <c r="DL236" s="1023"/>
      <c r="DM236" s="1023"/>
      <c r="DN236" s="1023"/>
      <c r="DO236" s="1023">
        <f>DI240</f>
        <v>-254.65357698745436</v>
      </c>
      <c r="DP236" s="1023"/>
      <c r="DQ236" s="966"/>
    </row>
    <row r="237" spans="1:121" ht="12.75" hidden="1" customHeight="1" outlineLevel="1">
      <c r="A237" s="966" t="s">
        <v>286</v>
      </c>
      <c r="B237" s="966"/>
      <c r="C237" s="966"/>
      <c r="D237" s="1023"/>
      <c r="E237" s="1023">
        <v>0.97</v>
      </c>
      <c r="F237" s="1023"/>
      <c r="G237" s="1023"/>
      <c r="H237" s="1023"/>
      <c r="I237" s="1023"/>
      <c r="J237" s="1023"/>
      <c r="K237" s="1023">
        <v>1.1000000000000001</v>
      </c>
      <c r="L237" s="1023"/>
      <c r="M237" s="1023"/>
      <c r="N237" s="1023"/>
      <c r="O237" s="1023"/>
      <c r="P237" s="1023"/>
      <c r="Q237" s="1023">
        <v>3.74</v>
      </c>
      <c r="R237" s="1023"/>
      <c r="S237" s="1023">
        <v>8</v>
      </c>
      <c r="T237" s="1023">
        <v>9.67</v>
      </c>
      <c r="U237" s="1023">
        <v>15.36</v>
      </c>
      <c r="V237" s="1023">
        <v>13</v>
      </c>
      <c r="W237" s="1023">
        <v>11.61</v>
      </c>
      <c r="X237" s="966"/>
      <c r="Y237" s="1023">
        <v>14.77</v>
      </c>
      <c r="Z237" s="1106">
        <v>18.43</v>
      </c>
      <c r="AA237" s="1023"/>
      <c r="AB237" s="1023"/>
      <c r="AC237" s="1023">
        <v>24.51</v>
      </c>
      <c r="AD237" s="966"/>
      <c r="AE237" s="1023"/>
      <c r="AF237" s="1023"/>
      <c r="AG237" s="1023"/>
      <c r="AH237" s="1023"/>
      <c r="AI237" s="1023">
        <v>34.35</v>
      </c>
      <c r="AJ237" s="966"/>
      <c r="AK237" s="1023"/>
      <c r="AL237" s="1023"/>
      <c r="AM237" s="1023"/>
      <c r="AN237" s="1023"/>
      <c r="AO237" s="1023">
        <v>50.51</v>
      </c>
      <c r="AP237" s="966"/>
      <c r="AQ237" s="1023"/>
      <c r="AR237" s="1023">
        <v>58.17</v>
      </c>
      <c r="AS237" s="1023">
        <v>56.53</v>
      </c>
      <c r="AT237" s="1023">
        <v>35.07</v>
      </c>
      <c r="AU237" s="1023">
        <v>35.07</v>
      </c>
      <c r="AV237" s="966"/>
      <c r="AW237" s="1023"/>
      <c r="AX237" s="1023"/>
      <c r="AY237" s="1023"/>
      <c r="AZ237" s="1023"/>
      <c r="BA237" s="1023">
        <v>61.78</v>
      </c>
      <c r="BB237" s="966"/>
      <c r="BC237" s="1023"/>
      <c r="BD237" s="1023"/>
      <c r="BE237" s="1023"/>
      <c r="BF237" s="1023"/>
      <c r="BG237" s="1023">
        <v>128.33000000000001</v>
      </c>
      <c r="BH237" s="966"/>
      <c r="BI237" s="1023"/>
      <c r="BJ237" s="1023"/>
      <c r="BK237" s="1023"/>
      <c r="BL237" s="1023"/>
      <c r="BM237" s="1023">
        <v>112.31</v>
      </c>
      <c r="BN237" s="966"/>
      <c r="BO237" s="1023"/>
      <c r="BP237" s="1023"/>
      <c r="BQ237" s="1023"/>
      <c r="BR237" s="1023"/>
      <c r="BS237" s="1023">
        <v>123.22</v>
      </c>
      <c r="BT237" s="966"/>
      <c r="BU237" s="1023"/>
      <c r="BV237" s="1023"/>
      <c r="BW237" s="1023"/>
      <c r="BX237" s="1023"/>
      <c r="BY237" s="1023">
        <v>140</v>
      </c>
      <c r="BZ237" s="966"/>
      <c r="CA237" s="1023"/>
      <c r="CB237" s="1023"/>
      <c r="CC237" s="1023"/>
      <c r="CD237" s="1023"/>
      <c r="CE237" s="1023">
        <v>125</v>
      </c>
      <c r="CF237" s="966"/>
      <c r="CG237" s="1023"/>
      <c r="CH237" s="1023"/>
      <c r="CI237" s="1023"/>
      <c r="CJ237" s="1023"/>
      <c r="CK237" s="1023">
        <v>125</v>
      </c>
      <c r="CL237" s="966"/>
      <c r="CM237" s="1023"/>
      <c r="CN237" s="1023"/>
      <c r="CO237" s="1023"/>
      <c r="CP237" s="1023"/>
      <c r="CQ237" s="1023">
        <v>125</v>
      </c>
      <c r="CR237" s="966"/>
      <c r="CS237" s="1023"/>
      <c r="CT237" s="1023"/>
      <c r="CU237" s="1023"/>
      <c r="CV237" s="1023"/>
      <c r="CW237" s="1023">
        <v>125</v>
      </c>
      <c r="CX237" s="966"/>
      <c r="CY237" s="1023"/>
      <c r="CZ237" s="1023"/>
      <c r="DA237" s="1023"/>
      <c r="DB237" s="1023"/>
      <c r="DC237" s="1023">
        <v>125</v>
      </c>
      <c r="DD237" s="966"/>
      <c r="DE237" s="1023"/>
      <c r="DF237" s="1023"/>
      <c r="DG237" s="1023"/>
      <c r="DH237" s="1023"/>
      <c r="DI237" s="1023">
        <v>125</v>
      </c>
      <c r="DJ237" s="966"/>
      <c r="DK237" s="1023"/>
      <c r="DL237" s="1023"/>
      <c r="DM237" s="1023"/>
      <c r="DN237" s="1023"/>
      <c r="DO237" s="1023">
        <v>125</v>
      </c>
      <c r="DP237" s="1023"/>
      <c r="DQ237" s="966"/>
    </row>
    <row r="238" spans="1:121" ht="12.75" hidden="1" customHeight="1" outlineLevel="1">
      <c r="A238" s="966" t="s">
        <v>287</v>
      </c>
      <c r="B238" s="966"/>
      <c r="C238" s="966"/>
      <c r="D238" s="1023"/>
      <c r="E238" s="1023">
        <v>0.51</v>
      </c>
      <c r="F238" s="1023"/>
      <c r="G238" s="1023"/>
      <c r="H238" s="1023"/>
      <c r="I238" s="1023"/>
      <c r="J238" s="1023"/>
      <c r="K238" s="1023">
        <v>0.94</v>
      </c>
      <c r="L238" s="1023"/>
      <c r="M238" s="1023"/>
      <c r="N238" s="1023"/>
      <c r="O238" s="1023"/>
      <c r="P238" s="1023"/>
      <c r="Q238" s="1023">
        <v>1.4</v>
      </c>
      <c r="R238" s="1023"/>
      <c r="S238" s="1023">
        <v>0.96</v>
      </c>
      <c r="T238" s="1023">
        <v>0.96</v>
      </c>
      <c r="U238" s="1023">
        <v>1.75</v>
      </c>
      <c r="V238" s="1106">
        <f>V236</f>
        <v>4.346137110195075</v>
      </c>
      <c r="W238" s="1023">
        <v>1.24</v>
      </c>
      <c r="X238" s="966"/>
      <c r="Y238" s="1023">
        <v>2.2799999999999998</v>
      </c>
      <c r="Z238" s="1106">
        <v>3.02</v>
      </c>
      <c r="AA238" s="1023"/>
      <c r="AB238" s="1023"/>
      <c r="AC238" s="1023">
        <v>3.23</v>
      </c>
      <c r="AD238" s="966"/>
      <c r="AE238" s="1023"/>
      <c r="AF238" s="1023"/>
      <c r="AG238" s="1023"/>
      <c r="AH238" s="1023"/>
      <c r="AI238" s="1106">
        <v>7.44</v>
      </c>
      <c r="AJ238" s="966"/>
      <c r="AK238" s="1023"/>
      <c r="AL238" s="1023"/>
      <c r="AM238" s="1023"/>
      <c r="AN238" s="1023"/>
      <c r="AO238" s="1106">
        <v>13.94</v>
      </c>
      <c r="AP238" s="966"/>
      <c r="AQ238" s="1023"/>
      <c r="AR238" s="1023">
        <v>18.670000000000002</v>
      </c>
      <c r="AS238" s="1023">
        <v>18.8</v>
      </c>
      <c r="AT238" s="1023">
        <v>14.64</v>
      </c>
      <c r="AU238" s="1106">
        <v>14.64</v>
      </c>
      <c r="AV238" s="966"/>
      <c r="AW238" s="1023"/>
      <c r="AX238" s="1023"/>
      <c r="AY238" s="1023"/>
      <c r="AZ238" s="1023"/>
      <c r="BA238" s="1106">
        <v>27.42</v>
      </c>
      <c r="BB238" s="966"/>
      <c r="BC238" s="1023"/>
      <c r="BD238" s="1023"/>
      <c r="BE238" s="1023"/>
      <c r="BF238" s="1023"/>
      <c r="BG238" s="1106">
        <v>34.520000000000003</v>
      </c>
      <c r="BH238" s="966"/>
      <c r="BI238" s="1023"/>
      <c r="BJ238" s="1023"/>
      <c r="BK238" s="1023"/>
      <c r="BL238" s="1023"/>
      <c r="BM238" s="1106">
        <v>42.87</v>
      </c>
      <c r="BN238" s="966"/>
      <c r="BO238" s="1023"/>
      <c r="BP238" s="1023"/>
      <c r="BQ238" s="1023"/>
      <c r="BR238" s="1023"/>
      <c r="BS238" s="1106">
        <v>54.27</v>
      </c>
      <c r="BT238" s="966"/>
      <c r="BU238" s="1023"/>
      <c r="BV238" s="1023"/>
      <c r="BW238" s="1023"/>
      <c r="BX238" s="1023"/>
      <c r="BY238" s="1106">
        <v>70</v>
      </c>
      <c r="BZ238" s="966"/>
      <c r="CA238" s="1023"/>
      <c r="CB238" s="1023"/>
      <c r="CC238" s="1023"/>
      <c r="CD238" s="1023"/>
      <c r="CE238" s="1106">
        <v>70</v>
      </c>
      <c r="CF238" s="966"/>
      <c r="CG238" s="1023"/>
      <c r="CH238" s="1023"/>
      <c r="CI238" s="1023"/>
      <c r="CJ238" s="1023"/>
      <c r="CK238" s="1106">
        <v>70</v>
      </c>
      <c r="CL238" s="966"/>
      <c r="CM238" s="1023"/>
      <c r="CN238" s="1023"/>
      <c r="CO238" s="1023"/>
      <c r="CP238" s="1023"/>
      <c r="CQ238" s="1106">
        <v>70</v>
      </c>
      <c r="CR238" s="966"/>
      <c r="CS238" s="1023"/>
      <c r="CT238" s="1023"/>
      <c r="CU238" s="1023"/>
      <c r="CV238" s="1023"/>
      <c r="CW238" s="1106">
        <v>70</v>
      </c>
      <c r="CX238" s="966"/>
      <c r="CY238" s="1023"/>
      <c r="CZ238" s="1023"/>
      <c r="DA238" s="1023"/>
      <c r="DB238" s="1023"/>
      <c r="DC238" s="1106">
        <v>70</v>
      </c>
      <c r="DD238" s="966"/>
      <c r="DE238" s="1023"/>
      <c r="DF238" s="1023"/>
      <c r="DG238" s="1023"/>
      <c r="DH238" s="1023"/>
      <c r="DI238" s="1106">
        <v>70</v>
      </c>
      <c r="DJ238" s="966"/>
      <c r="DK238" s="1023"/>
      <c r="DL238" s="1023"/>
      <c r="DM238" s="1023"/>
      <c r="DN238" s="1023"/>
      <c r="DO238" s="1106">
        <v>70</v>
      </c>
      <c r="DP238" s="1106"/>
      <c r="DQ238" s="966"/>
    </row>
    <row r="239" spans="1:121" ht="12.75" hidden="1" customHeight="1" outlineLevel="1">
      <c r="A239" s="1264" t="s">
        <v>288</v>
      </c>
      <c r="B239" s="1264"/>
      <c r="C239" s="1264"/>
      <c r="D239" s="1105"/>
      <c r="E239" s="1107">
        <v>1.5</v>
      </c>
      <c r="F239" s="1098"/>
      <c r="G239" s="1105"/>
      <c r="H239" s="1105"/>
      <c r="I239" s="1105"/>
      <c r="J239" s="1105"/>
      <c r="K239" s="1107">
        <v>1.18</v>
      </c>
      <c r="L239" s="1098"/>
      <c r="M239" s="1105"/>
      <c r="N239" s="1105"/>
      <c r="O239" s="1105"/>
      <c r="P239" s="1105"/>
      <c r="Q239" s="1107">
        <v>1.28</v>
      </c>
      <c r="R239" s="1098"/>
      <c r="S239" s="1107">
        <v>2.5299999999999998</v>
      </c>
      <c r="T239" s="1107">
        <v>3.335</v>
      </c>
      <c r="U239" s="1107">
        <v>6.5674999999999999</v>
      </c>
      <c r="V239" s="1107">
        <f>V236</f>
        <v>4.346137110195075</v>
      </c>
      <c r="W239" s="1107">
        <v>5.8</v>
      </c>
      <c r="X239" s="966"/>
      <c r="Y239" s="1107">
        <v>9.14</v>
      </c>
      <c r="Z239" s="1266">
        <v>7.61</v>
      </c>
      <c r="AA239" s="1105"/>
      <c r="AB239" s="1105"/>
      <c r="AC239" s="1107">
        <v>9.6300000000000008</v>
      </c>
      <c r="AD239" s="966"/>
      <c r="AE239" s="1105"/>
      <c r="AF239" s="1105"/>
      <c r="AG239" s="1105"/>
      <c r="AH239" s="1105"/>
      <c r="AI239" s="1107">
        <v>24.91</v>
      </c>
      <c r="AJ239" s="966"/>
      <c r="AK239" s="1105"/>
      <c r="AL239" s="1105"/>
      <c r="AM239" s="1105"/>
      <c r="AN239" s="1105"/>
      <c r="AO239" s="1107">
        <v>31.98</v>
      </c>
      <c r="AP239" s="966"/>
      <c r="AQ239" s="1105"/>
      <c r="AR239" s="1105">
        <v>38.29</v>
      </c>
      <c r="AS239" s="1105">
        <v>38.270000000000003</v>
      </c>
      <c r="AT239" s="1105">
        <v>38.47</v>
      </c>
      <c r="AU239" s="1107">
        <v>38.47</v>
      </c>
      <c r="AV239" s="966"/>
      <c r="AW239" s="1105"/>
      <c r="AX239" s="1105"/>
      <c r="AY239" s="1105"/>
      <c r="AZ239" s="1105"/>
      <c r="BA239" s="1107">
        <v>42.06</v>
      </c>
      <c r="BB239" s="966"/>
      <c r="BC239" s="1105"/>
      <c r="BD239" s="1105"/>
      <c r="BE239" s="1105"/>
      <c r="BF239" s="1105"/>
      <c r="BG239" s="1107">
        <v>49.38</v>
      </c>
      <c r="BH239" s="966"/>
      <c r="BI239" s="1105"/>
      <c r="BJ239" s="1105"/>
      <c r="BK239" s="1105"/>
      <c r="BL239" s="1105"/>
      <c r="BM239" s="1107">
        <v>88.86</v>
      </c>
      <c r="BN239" s="966"/>
      <c r="BO239" s="1105"/>
      <c r="BP239" s="1105"/>
      <c r="BQ239" s="1105"/>
      <c r="BR239" s="1105"/>
      <c r="BS239" s="1107">
        <v>108.43</v>
      </c>
      <c r="BT239" s="966"/>
      <c r="BU239" s="1105"/>
      <c r="BV239" s="1105"/>
      <c r="BW239" s="1105"/>
      <c r="BX239" s="1105"/>
      <c r="BY239" s="1107">
        <f>BY236</f>
        <v>106.37672938421986</v>
      </c>
      <c r="BZ239" s="966"/>
      <c r="CA239" s="1105"/>
      <c r="CB239" s="1105"/>
      <c r="CC239" s="1105"/>
      <c r="CD239" s="1105"/>
      <c r="CE239" s="1107">
        <f>CE236</f>
        <v>136.29251304018027</v>
      </c>
      <c r="CF239" s="966"/>
      <c r="CG239" s="1105"/>
      <c r="CH239" s="1105"/>
      <c r="CI239" s="1105"/>
      <c r="CJ239" s="1105"/>
      <c r="CK239" s="1107">
        <f>CK236</f>
        <v>177.33109467915818</v>
      </c>
      <c r="CL239" s="966"/>
      <c r="CM239" s="1105"/>
      <c r="CN239" s="1105"/>
      <c r="CO239" s="1105"/>
      <c r="CP239" s="1105"/>
      <c r="CQ239" s="1107">
        <f>CQ236</f>
        <v>257.9502467519975</v>
      </c>
      <c r="CR239" s="966"/>
      <c r="CS239" s="1105"/>
      <c r="CT239" s="1105"/>
      <c r="CU239" s="1105"/>
      <c r="CV239" s="1105"/>
      <c r="CW239" s="1107">
        <f>CW236</f>
        <v>529.85848224924655</v>
      </c>
      <c r="CX239" s="966"/>
      <c r="CY239" s="1105"/>
      <c r="CZ239" s="1105"/>
      <c r="DA239" s="1105"/>
      <c r="DB239" s="1105"/>
      <c r="DC239" s="1107">
        <f>DC236</f>
        <v>-600.30857065222347</v>
      </c>
      <c r="DD239" s="966"/>
      <c r="DE239" s="1105"/>
      <c r="DF239" s="1105"/>
      <c r="DG239" s="1105"/>
      <c r="DH239" s="1105"/>
      <c r="DI239" s="1107">
        <f>DI236</f>
        <v>-334.03069131316846</v>
      </c>
      <c r="DJ239" s="966"/>
      <c r="DK239" s="1105"/>
      <c r="DL239" s="1105"/>
      <c r="DM239" s="1105"/>
      <c r="DN239" s="1105"/>
      <c r="DO239" s="1107">
        <f>DO236</f>
        <v>-254.65357698745436</v>
      </c>
      <c r="DP239" s="1038"/>
      <c r="DQ239" s="966"/>
    </row>
    <row r="240" spans="1:121" ht="12.75" hidden="1" customHeight="1" outlineLevel="1">
      <c r="A240" s="966" t="s">
        <v>289</v>
      </c>
      <c r="B240" s="966"/>
      <c r="C240" s="966"/>
      <c r="D240" s="1023">
        <v>0.9</v>
      </c>
      <c r="E240" s="1023">
        <v>0.81</v>
      </c>
      <c r="F240" s="1023"/>
      <c r="G240" s="1023"/>
      <c r="H240" s="1023"/>
      <c r="I240" s="1023"/>
      <c r="J240" s="1023"/>
      <c r="K240" s="1023">
        <v>1.01</v>
      </c>
      <c r="L240" s="1023"/>
      <c r="M240" s="1023"/>
      <c r="N240" s="1023"/>
      <c r="O240" s="1023"/>
      <c r="P240" s="1023"/>
      <c r="Q240" s="1023">
        <v>2.29</v>
      </c>
      <c r="R240" s="1023"/>
      <c r="S240" s="1023">
        <v>3.22</v>
      </c>
      <c r="T240" s="1023">
        <f>SUMPRODUCT(T229:T232,T236:T239)/T233</f>
        <v>3.6483873011896009</v>
      </c>
      <c r="U240" s="1023">
        <f>SUMPRODUCT(U229:U232,U236:U239)/U233</f>
        <v>4.346137110195075</v>
      </c>
      <c r="V240" s="1023">
        <f>SUMPRODUCT(V229:V232,V236:V239)/V233</f>
        <v>5.250732864021189</v>
      </c>
      <c r="W240" s="1023">
        <v>5.74</v>
      </c>
      <c r="X240" s="966"/>
      <c r="Y240" s="1023">
        <f>SUMPRODUCT(Y229:Y232,Y236:Y239)/Y233</f>
        <v>6.4488652743682762</v>
      </c>
      <c r="Z240" s="1023">
        <v>8.09</v>
      </c>
      <c r="AA240" s="1023">
        <v>9.23</v>
      </c>
      <c r="AB240" s="1023">
        <v>12.24</v>
      </c>
      <c r="AC240" s="1023">
        <v>12.24</v>
      </c>
      <c r="AD240" s="966"/>
      <c r="AE240" s="1023"/>
      <c r="AF240" s="1023"/>
      <c r="AG240" s="1023"/>
      <c r="AH240" s="1023"/>
      <c r="AI240" s="1023">
        <v>19.670000000000002</v>
      </c>
      <c r="AJ240" s="966"/>
      <c r="AK240" s="1023"/>
      <c r="AL240" s="1023"/>
      <c r="AM240" s="1023"/>
      <c r="AN240" s="1023"/>
      <c r="AO240" s="1023">
        <v>27.83</v>
      </c>
      <c r="AP240" s="966"/>
      <c r="AQ240" s="1023"/>
      <c r="AR240" s="1023">
        <v>31.6</v>
      </c>
      <c r="AS240" s="1023">
        <v>32.46</v>
      </c>
      <c r="AT240" s="1023">
        <v>32.51</v>
      </c>
      <c r="AU240" s="1023">
        <f>(AU229*AU236+AU230*AU237+AU231*AU238+AU232*AU239)/AU233</f>
        <v>32.502699540540249</v>
      </c>
      <c r="AV240" s="966"/>
      <c r="AW240" s="1023"/>
      <c r="AX240" s="1023"/>
      <c r="AY240" s="1023"/>
      <c r="AZ240" s="1023"/>
      <c r="BA240" s="1023">
        <f>(BA229*BA236+BA230*BA237+BA231*BA238+BA232*BA239)/BA233</f>
        <v>40.357511014064812</v>
      </c>
      <c r="BB240" s="966"/>
      <c r="BC240" s="1023"/>
      <c r="BD240" s="1023"/>
      <c r="BE240" s="1023"/>
      <c r="BF240" s="1023"/>
      <c r="BG240" s="1023">
        <f>(BG229*BG236+BG230*BG237+BG231*BG238+BG232*BG239)/BG233</f>
        <v>65.352305531139834</v>
      </c>
      <c r="BH240" s="966"/>
      <c r="BI240" s="1023"/>
      <c r="BJ240" s="1023"/>
      <c r="BK240" s="1023"/>
      <c r="BL240" s="1023"/>
      <c r="BM240" s="1023">
        <f>(BM229*BM236+BM230*BM237+BM231*BM238+BM232*BM239)/BM233</f>
        <v>79.775836875532391</v>
      </c>
      <c r="BN240" s="966"/>
      <c r="BO240" s="1023"/>
      <c r="BP240" s="1023"/>
      <c r="BQ240" s="1023"/>
      <c r="BR240" s="1023"/>
      <c r="BS240" s="1023">
        <f>(BS229*BS236+BS230*BS237+BS231*BS238+BS232*BS239)/BS233</f>
        <v>106.37672938421986</v>
      </c>
      <c r="BT240" s="966"/>
      <c r="BU240" s="1023"/>
      <c r="BV240" s="1023"/>
      <c r="BW240" s="1023"/>
      <c r="BX240" s="1023"/>
      <c r="BY240" s="1023">
        <f>(BY229*BY236+BY230*BY237+BY231*BY238+BY232*BY239)/BY233</f>
        <v>136.29251304018027</v>
      </c>
      <c r="BZ240" s="966"/>
      <c r="CA240" s="1023"/>
      <c r="CB240" s="1023"/>
      <c r="CC240" s="1023"/>
      <c r="CD240" s="1023"/>
      <c r="CE240" s="1023">
        <f>(CE229*CE236+CE230*CE237+CE231*CE238+CE232*CE239)/CE233</f>
        <v>177.33109467915818</v>
      </c>
      <c r="CF240" s="966"/>
      <c r="CG240" s="1023"/>
      <c r="CH240" s="1023"/>
      <c r="CI240" s="1023"/>
      <c r="CJ240" s="1023"/>
      <c r="CK240" s="1023">
        <f>(CK229*CK236+CK230*CK237+CK231*CK238+CK232*CK239)/CK233</f>
        <v>257.9502467519975</v>
      </c>
      <c r="CL240" s="966"/>
      <c r="CM240" s="1023"/>
      <c r="CN240" s="1023"/>
      <c r="CO240" s="1023"/>
      <c r="CP240" s="1023"/>
      <c r="CQ240" s="1023">
        <f>(CQ229*CQ236+CQ230*CQ237+CQ231*CQ238+CQ232*CQ239)/CQ233</f>
        <v>529.85848224924655</v>
      </c>
      <c r="CR240" s="966"/>
      <c r="CS240" s="1023"/>
      <c r="CT240" s="1023"/>
      <c r="CU240" s="1023"/>
      <c r="CV240" s="1023"/>
      <c r="CW240" s="1023">
        <f>(CW229*CW236+CW230*CW237+CW231*CW238+CW232*CW239)/CW233</f>
        <v>-600.30857065222347</v>
      </c>
      <c r="CX240" s="966"/>
      <c r="CY240" s="1023"/>
      <c r="CZ240" s="1023"/>
      <c r="DA240" s="1023"/>
      <c r="DB240" s="1023"/>
      <c r="DC240" s="1023">
        <f>(DC229*DC236+DC230*DC237+DC231*DC238+DC232*DC239)/DC233</f>
        <v>-334.03069131316846</v>
      </c>
      <c r="DD240" s="966"/>
      <c r="DE240" s="1023"/>
      <c r="DF240" s="1023"/>
      <c r="DG240" s="1023"/>
      <c r="DH240" s="1023"/>
      <c r="DI240" s="1023">
        <f>(DI229*DI236+DI230*DI237+DI231*DI238+DI232*DI239)/DI233</f>
        <v>-254.65357698745436</v>
      </c>
      <c r="DJ240" s="966"/>
      <c r="DK240" s="1023"/>
      <c r="DL240" s="1023"/>
      <c r="DM240" s="1023"/>
      <c r="DN240" s="1023"/>
      <c r="DO240" s="1023">
        <f>(DO229*DO236+DO230*DO237+DO231*DO238+DO232*DO239)/DO233</f>
        <v>-214.18516228267578</v>
      </c>
      <c r="DP240" s="1023"/>
      <c r="DQ240" s="966"/>
    </row>
    <row r="241" spans="1:121" ht="3.75" hidden="1" customHeight="1" outlineLevel="1">
      <c r="A241" s="966"/>
      <c r="B241" s="966"/>
      <c r="C241" s="966"/>
      <c r="D241" s="1023"/>
      <c r="E241" s="1023"/>
      <c r="F241" s="1023"/>
      <c r="G241" s="1023"/>
      <c r="H241" s="1023"/>
      <c r="I241" s="1023"/>
      <c r="J241" s="1023"/>
      <c r="K241" s="1023"/>
      <c r="L241" s="1023"/>
      <c r="M241" s="1023"/>
      <c r="N241" s="1023"/>
      <c r="O241" s="1023"/>
      <c r="P241" s="1023"/>
      <c r="Q241" s="1023"/>
      <c r="R241" s="1023"/>
      <c r="S241" s="1023"/>
      <c r="T241" s="1023"/>
      <c r="U241" s="1023"/>
      <c r="V241" s="1023"/>
      <c r="W241" s="1023"/>
      <c r="X241" s="966"/>
      <c r="Y241" s="1023"/>
      <c r="Z241" s="1023"/>
      <c r="AA241" s="1023"/>
      <c r="AB241" s="1023"/>
      <c r="AC241" s="1023"/>
      <c r="AD241" s="966"/>
      <c r="AE241" s="1023"/>
      <c r="AF241" s="1023"/>
      <c r="AG241" s="1023"/>
      <c r="AH241" s="1023"/>
      <c r="AI241" s="1023"/>
      <c r="AJ241" s="966"/>
      <c r="AK241" s="1023"/>
      <c r="AL241" s="1023"/>
      <c r="AM241" s="1023"/>
      <c r="AN241" s="1023"/>
      <c r="AO241" s="1023"/>
      <c r="AP241" s="966"/>
      <c r="AQ241" s="1023"/>
      <c r="AR241" s="1023"/>
      <c r="AS241" s="1023"/>
      <c r="AT241" s="1023"/>
      <c r="AU241" s="1023"/>
      <c r="AV241" s="966"/>
      <c r="AW241" s="1023"/>
      <c r="AX241" s="1023"/>
      <c r="AY241" s="1023"/>
      <c r="AZ241" s="1023"/>
      <c r="BA241" s="1023"/>
      <c r="BB241" s="966"/>
      <c r="BC241" s="1023"/>
      <c r="BD241" s="1023"/>
      <c r="BE241" s="1023"/>
      <c r="BF241" s="1023"/>
      <c r="BG241" s="1023"/>
      <c r="BH241" s="966"/>
      <c r="BI241" s="1023"/>
      <c r="BJ241" s="1023"/>
      <c r="BK241" s="1023"/>
      <c r="BL241" s="1023"/>
      <c r="BM241" s="1023"/>
      <c r="BN241" s="966"/>
      <c r="BO241" s="1023"/>
      <c r="BP241" s="1023"/>
      <c r="BQ241" s="1023"/>
      <c r="BR241" s="1023"/>
      <c r="BS241" s="1023"/>
      <c r="BT241" s="966"/>
      <c r="BU241" s="1023"/>
      <c r="BV241" s="1023"/>
      <c r="BW241" s="1023"/>
      <c r="BX241" s="1023"/>
      <c r="BY241" s="1023"/>
      <c r="BZ241" s="966"/>
      <c r="CA241" s="1023"/>
      <c r="CB241" s="1023"/>
      <c r="CC241" s="1023"/>
      <c r="CD241" s="1023"/>
      <c r="CE241" s="1023"/>
      <c r="CF241" s="966"/>
      <c r="CG241" s="1023"/>
      <c r="CH241" s="1023"/>
      <c r="CI241" s="1023"/>
      <c r="CJ241" s="1023"/>
      <c r="CK241" s="1023"/>
      <c r="CL241" s="966"/>
      <c r="CM241" s="1023"/>
      <c r="CN241" s="1023"/>
      <c r="CO241" s="1023"/>
      <c r="CP241" s="1023"/>
      <c r="CQ241" s="1023"/>
      <c r="CR241" s="966"/>
      <c r="CS241" s="1023"/>
      <c r="CT241" s="1023"/>
      <c r="CU241" s="1023"/>
      <c r="CV241" s="1023"/>
      <c r="CW241" s="1023"/>
      <c r="CX241" s="966"/>
      <c r="CY241" s="1023"/>
      <c r="CZ241" s="1023"/>
      <c r="DA241" s="1023"/>
      <c r="DB241" s="1023"/>
      <c r="DC241" s="1023"/>
      <c r="DD241" s="966"/>
      <c r="DE241" s="1023"/>
      <c r="DF241" s="1023"/>
      <c r="DG241" s="1023"/>
      <c r="DH241" s="1023"/>
      <c r="DI241" s="1023"/>
      <c r="DJ241" s="966"/>
      <c r="DK241" s="1023"/>
      <c r="DL241" s="1023"/>
      <c r="DM241" s="1023"/>
      <c r="DN241" s="1023"/>
      <c r="DO241" s="1023"/>
      <c r="DP241" s="1023"/>
      <c r="DQ241" s="966"/>
    </row>
    <row r="242" spans="1:121" ht="12.75" hidden="1" customHeight="1" outlineLevel="1">
      <c r="A242" s="966" t="s">
        <v>918</v>
      </c>
      <c r="B242" s="966"/>
      <c r="C242" s="966"/>
      <c r="D242" s="1023"/>
      <c r="E242" s="1023"/>
      <c r="F242" s="1023"/>
      <c r="G242" s="1023"/>
      <c r="H242" s="1023"/>
      <c r="I242" s="1023"/>
      <c r="J242" s="1023"/>
      <c r="K242" s="1023"/>
      <c r="L242" s="1023"/>
      <c r="M242" s="1023"/>
      <c r="N242" s="1023"/>
      <c r="O242" s="1023"/>
      <c r="P242" s="1023"/>
      <c r="Q242" s="1023"/>
      <c r="R242" s="1023"/>
      <c r="S242" s="1023">
        <f>S237</f>
        <v>8</v>
      </c>
      <c r="T242" s="1023">
        <f>SUMPRODUCT(S230:T230,S237:T237)/SUM(S230:T230)</f>
        <v>8.5497724907623631</v>
      </c>
      <c r="U242" s="1023">
        <f>SUMPRODUCT(S230:U230,S237:U237)/SUM(S230:U230)</f>
        <v>10.299528594917783</v>
      </c>
      <c r="V242" s="1023">
        <f>SUMPRODUCT(S230:V230,S237:V237)/SUM(S230:V230)</f>
        <v>11.054523147065034</v>
      </c>
      <c r="W242" s="1023">
        <f>V242</f>
        <v>11.054523147065034</v>
      </c>
      <c r="X242" s="966"/>
      <c r="Y242" s="1023">
        <f t="shared" ref="Y242:Z244" si="131">Y237</f>
        <v>14.77</v>
      </c>
      <c r="Z242" s="1023">
        <f t="shared" si="131"/>
        <v>18.43</v>
      </c>
      <c r="AA242" s="1023"/>
      <c r="AB242" s="1023">
        <f>AVERAGE(Y240:AB240)</f>
        <v>9.0022163185920689</v>
      </c>
      <c r="AC242" s="1023"/>
      <c r="AD242" s="966"/>
      <c r="AE242" s="1023"/>
      <c r="AF242" s="1023"/>
      <c r="AG242" s="1023"/>
      <c r="AH242" s="1023"/>
      <c r="AI242" s="1023"/>
      <c r="AJ242" s="966"/>
      <c r="AK242" s="1023"/>
      <c r="AL242" s="1023"/>
      <c r="AM242" s="1023"/>
      <c r="AN242" s="1023"/>
      <c r="AO242" s="1023"/>
      <c r="AP242" s="966"/>
      <c r="AQ242" s="1023"/>
      <c r="AR242" s="1023"/>
      <c r="AS242" s="1023"/>
      <c r="AT242" s="1023"/>
      <c r="AU242" s="1023"/>
      <c r="AV242" s="966"/>
      <c r="AW242" s="1023"/>
      <c r="AX242" s="1023"/>
      <c r="AY242" s="1023"/>
      <c r="AZ242" s="1023"/>
      <c r="BA242" s="1023"/>
      <c r="BB242" s="966"/>
      <c r="BC242" s="1023"/>
      <c r="BD242" s="1023"/>
      <c r="BE242" s="1023"/>
      <c r="BF242" s="1023"/>
      <c r="BG242" s="1023"/>
      <c r="BH242" s="1023"/>
      <c r="BI242" s="1023"/>
      <c r="BJ242" s="1023"/>
      <c r="BK242" s="1023"/>
      <c r="BL242" s="1023"/>
      <c r="BM242" s="1023"/>
      <c r="BN242" s="966"/>
      <c r="BO242" s="1023"/>
      <c r="BP242" s="1023"/>
      <c r="BQ242" s="1023"/>
      <c r="BR242" s="1023"/>
      <c r="BS242" s="1023"/>
      <c r="BT242" s="966"/>
      <c r="BU242" s="1023"/>
      <c r="BV242" s="1023"/>
      <c r="BW242" s="1023"/>
      <c r="BX242" s="1023"/>
      <c r="BY242" s="1023"/>
      <c r="BZ242" s="966"/>
      <c r="CA242" s="1023"/>
      <c r="CB242" s="1023"/>
      <c r="CC242" s="1023"/>
      <c r="CD242" s="1023"/>
      <c r="CE242" s="1023"/>
      <c r="CF242" s="966"/>
      <c r="CG242" s="1023"/>
      <c r="CH242" s="1023"/>
      <c r="CI242" s="1023"/>
      <c r="CJ242" s="1023"/>
      <c r="CK242" s="1023"/>
      <c r="CL242" s="966"/>
      <c r="CM242" s="1023"/>
      <c r="CN242" s="1023"/>
      <c r="CO242" s="1023"/>
      <c r="CP242" s="1023"/>
      <c r="CQ242" s="1023"/>
      <c r="CR242" s="966"/>
      <c r="CS242" s="1023"/>
      <c r="CT242" s="1023"/>
      <c r="CU242" s="1023"/>
      <c r="CV242" s="1023"/>
      <c r="CW242" s="1023"/>
      <c r="CX242" s="966"/>
      <c r="CY242" s="1023"/>
      <c r="CZ242" s="1023"/>
      <c r="DA242" s="1023"/>
      <c r="DB242" s="1023"/>
      <c r="DC242" s="1023"/>
      <c r="DD242" s="966"/>
      <c r="DE242" s="1023"/>
      <c r="DF242" s="1023"/>
      <c r="DG242" s="1023"/>
      <c r="DH242" s="1023"/>
      <c r="DI242" s="1023"/>
      <c r="DJ242" s="966"/>
      <c r="DK242" s="1023"/>
      <c r="DL242" s="1023"/>
      <c r="DM242" s="1023"/>
      <c r="DN242" s="1023"/>
      <c r="DO242" s="1023"/>
      <c r="DP242" s="1023"/>
      <c r="DQ242" s="966"/>
    </row>
    <row r="243" spans="1:121" ht="12.75" hidden="1" customHeight="1" outlineLevel="1">
      <c r="A243" s="966" t="s">
        <v>917</v>
      </c>
      <c r="B243" s="966"/>
      <c r="C243" s="966"/>
      <c r="D243" s="1023"/>
      <c r="E243" s="1023"/>
      <c r="F243" s="1023"/>
      <c r="G243" s="1023"/>
      <c r="H243" s="1023"/>
      <c r="I243" s="1023"/>
      <c r="J243" s="1023"/>
      <c r="K243" s="1023"/>
      <c r="L243" s="1023"/>
      <c r="M243" s="1023"/>
      <c r="N243" s="1023"/>
      <c r="O243" s="1023"/>
      <c r="P243" s="1023"/>
      <c r="Q243" s="1023"/>
      <c r="R243" s="1023"/>
      <c r="S243" s="1023">
        <f>S238</f>
        <v>0.96</v>
      </c>
      <c r="T243" s="1023">
        <f>SUMPRODUCT(S231:T231,S238:T238)/SUM(S231:T231)</f>
        <v>0.96000000000000008</v>
      </c>
      <c r="U243" s="1023">
        <f>SUMPRODUCT(S231:U231,S238:U238)/SUM(S231:U231)</f>
        <v>1.0795210478791661</v>
      </c>
      <c r="V243" s="1023">
        <f>SUMPRODUCT(S231:V231,S238:V238)/SUM(S231:V231)</f>
        <v>2.5984149141001871</v>
      </c>
      <c r="W243" s="1023">
        <f>V243</f>
        <v>2.5984149141001871</v>
      </c>
      <c r="X243" s="966"/>
      <c r="Y243" s="1023">
        <f t="shared" si="131"/>
        <v>2.2799999999999998</v>
      </c>
      <c r="Z243" s="1023">
        <f t="shared" si="131"/>
        <v>3.02</v>
      </c>
      <c r="AA243" s="1023"/>
      <c r="AB243" s="1023"/>
      <c r="AC243" s="1023"/>
      <c r="AD243" s="966"/>
      <c r="AE243" s="1023"/>
      <c r="AF243" s="1023"/>
      <c r="AG243" s="1023"/>
      <c r="AH243" s="1023"/>
      <c r="AI243" s="1023"/>
      <c r="AJ243" s="966"/>
      <c r="AK243" s="1023"/>
      <c r="AL243" s="1023"/>
      <c r="AM243" s="1023"/>
      <c r="AN243" s="1023"/>
      <c r="AO243" s="1023"/>
      <c r="AP243" s="966"/>
      <c r="AQ243" s="1023"/>
      <c r="AR243" s="1023"/>
      <c r="AS243" s="1023"/>
      <c r="AT243" s="1023"/>
      <c r="AU243" s="1023"/>
      <c r="AV243" s="966"/>
      <c r="AW243" s="1023"/>
      <c r="AX243" s="1023"/>
      <c r="AY243" s="1023"/>
      <c r="AZ243" s="1023"/>
      <c r="BA243" s="1023"/>
      <c r="BB243" s="966"/>
      <c r="BC243" s="1023"/>
      <c r="BD243" s="1023"/>
      <c r="BE243" s="1023"/>
      <c r="BF243" s="1023"/>
      <c r="BG243" s="1023"/>
      <c r="BH243" s="966"/>
      <c r="BI243" s="1023"/>
      <c r="BJ243" s="1023"/>
      <c r="BK243" s="1023"/>
      <c r="BL243" s="1023"/>
      <c r="BM243" s="1023"/>
      <c r="BN243" s="966"/>
      <c r="BO243" s="1023"/>
      <c r="BP243" s="1023"/>
      <c r="BQ243" s="1023"/>
      <c r="BR243" s="1023"/>
      <c r="BS243" s="1023"/>
      <c r="BT243" s="966"/>
      <c r="BU243" s="1023"/>
      <c r="BV243" s="1023"/>
      <c r="BW243" s="1023"/>
      <c r="BX243" s="1023"/>
      <c r="BY243" s="1023"/>
      <c r="BZ243" s="966"/>
      <c r="CA243" s="1023"/>
      <c r="CB243" s="1023"/>
      <c r="CC243" s="1023"/>
      <c r="CD243" s="1023"/>
      <c r="CE243" s="1023"/>
      <c r="CF243" s="966"/>
      <c r="CG243" s="1023"/>
      <c r="CH243" s="1023"/>
      <c r="CI243" s="1023"/>
      <c r="CJ243" s="1023"/>
      <c r="CK243" s="1023"/>
      <c r="CL243" s="966"/>
      <c r="CM243" s="1023"/>
      <c r="CN243" s="1023"/>
      <c r="CO243" s="1023"/>
      <c r="CP243" s="1023"/>
      <c r="CQ243" s="1023"/>
      <c r="CR243" s="966"/>
      <c r="CS243" s="1023"/>
      <c r="CT243" s="1023"/>
      <c r="CU243" s="1023"/>
      <c r="CV243" s="1023"/>
      <c r="CW243" s="1023"/>
      <c r="CX243" s="966"/>
      <c r="CY243" s="1023"/>
      <c r="CZ243" s="1023"/>
      <c r="DA243" s="1023"/>
      <c r="DB243" s="1023"/>
      <c r="DC243" s="1023"/>
      <c r="DD243" s="966"/>
      <c r="DE243" s="1023"/>
      <c r="DF243" s="1023"/>
      <c r="DG243" s="1023"/>
      <c r="DH243" s="1023"/>
      <c r="DI243" s="1023"/>
      <c r="DJ243" s="966"/>
      <c r="DK243" s="1023"/>
      <c r="DL243" s="1023"/>
      <c r="DM243" s="1023"/>
      <c r="DN243" s="1023"/>
      <c r="DO243" s="1023"/>
      <c r="DP243" s="1023"/>
      <c r="DQ243" s="966"/>
    </row>
    <row r="244" spans="1:121" ht="12.75" hidden="1" customHeight="1" outlineLevel="1">
      <c r="A244" s="966" t="s">
        <v>919</v>
      </c>
      <c r="B244" s="966"/>
      <c r="C244" s="966"/>
      <c r="D244" s="1023"/>
      <c r="E244" s="1023"/>
      <c r="F244" s="1023"/>
      <c r="G244" s="1023"/>
      <c r="H244" s="1023"/>
      <c r="I244" s="1023"/>
      <c r="J244" s="1023"/>
      <c r="K244" s="1023"/>
      <c r="L244" s="1023"/>
      <c r="M244" s="1023"/>
      <c r="N244" s="1023"/>
      <c r="O244" s="1023"/>
      <c r="P244" s="1023"/>
      <c r="Q244" s="1023"/>
      <c r="R244" s="1023"/>
      <c r="S244" s="1023">
        <f>S239</f>
        <v>2.5299999999999998</v>
      </c>
      <c r="T244" s="1023">
        <f>SUMPRODUCT(S232:T232,S239:T239)/SUM(S232:T232)</f>
        <v>2.979779192912023</v>
      </c>
      <c r="U244" s="1023">
        <f>SUMPRODUCT(S232:U232,S239:U239)/SUM(S232:U232)</f>
        <v>5.67020956534083</v>
      </c>
      <c r="V244" s="1023">
        <f>SUMPRODUCT(S232:V232,S239:V239)/SUM(S232:V232)</f>
        <v>5.6085819795968712</v>
      </c>
      <c r="W244" s="1023">
        <f>V244</f>
        <v>5.6085819795968712</v>
      </c>
      <c r="X244" s="966"/>
      <c r="Y244" s="1023">
        <f t="shared" si="131"/>
        <v>9.14</v>
      </c>
      <c r="Z244" s="1023">
        <f t="shared" si="131"/>
        <v>7.61</v>
      </c>
      <c r="AA244" s="1023"/>
      <c r="AB244" s="1023"/>
      <c r="AC244" s="1023"/>
      <c r="AD244" s="966"/>
      <c r="AE244" s="1023"/>
      <c r="AF244" s="1023"/>
      <c r="AG244" s="1023"/>
      <c r="AH244" s="1023"/>
      <c r="AI244" s="1023"/>
      <c r="AJ244" s="966"/>
      <c r="AK244" s="1023"/>
      <c r="AL244" s="1023"/>
      <c r="AM244" s="1023"/>
      <c r="AN244" s="1023"/>
      <c r="AO244" s="1023"/>
      <c r="AP244" s="966"/>
      <c r="AQ244" s="1023"/>
      <c r="AR244" s="1023"/>
      <c r="AS244" s="1023"/>
      <c r="AT244" s="1023"/>
      <c r="AU244" s="1023"/>
      <c r="AV244" s="966"/>
      <c r="AW244" s="1023"/>
      <c r="AX244" s="1023"/>
      <c r="AY244" s="1023"/>
      <c r="AZ244" s="1023"/>
      <c r="BA244" s="1023"/>
      <c r="BB244" s="966"/>
      <c r="BC244" s="1023"/>
      <c r="BD244" s="1023"/>
      <c r="BE244" s="1023"/>
      <c r="BF244" s="1023"/>
      <c r="BG244" s="1023"/>
      <c r="BH244" s="966"/>
      <c r="BI244" s="1023"/>
      <c r="BJ244" s="1023"/>
      <c r="BK244" s="1023"/>
      <c r="BL244" s="1023"/>
      <c r="BM244" s="1023"/>
      <c r="BN244" s="966"/>
      <c r="BO244" s="1023"/>
      <c r="BP244" s="1023"/>
      <c r="BQ244" s="1023"/>
      <c r="BR244" s="1023"/>
      <c r="BS244" s="1023"/>
      <c r="BT244" s="966"/>
      <c r="BU244" s="1023"/>
      <c r="BV244" s="1023"/>
      <c r="BW244" s="1023"/>
      <c r="BX244" s="1023"/>
      <c r="BY244" s="1023"/>
      <c r="BZ244" s="966"/>
      <c r="CA244" s="1023"/>
      <c r="CB244" s="1023"/>
      <c r="CC244" s="1023"/>
      <c r="CD244" s="1023"/>
      <c r="CE244" s="1023"/>
      <c r="CF244" s="966"/>
      <c r="CG244" s="1023"/>
      <c r="CH244" s="1023"/>
      <c r="CI244" s="1023"/>
      <c r="CJ244" s="1023"/>
      <c r="CK244" s="1023"/>
      <c r="CL244" s="966"/>
      <c r="CM244" s="1023"/>
      <c r="CN244" s="1023"/>
      <c r="CO244" s="1023"/>
      <c r="CP244" s="1023"/>
      <c r="CQ244" s="1023"/>
      <c r="CR244" s="966"/>
      <c r="CS244" s="1023"/>
      <c r="CT244" s="1023"/>
      <c r="CU244" s="1023"/>
      <c r="CV244" s="1023"/>
      <c r="CW244" s="1023"/>
      <c r="CX244" s="966"/>
      <c r="CY244" s="1023"/>
      <c r="CZ244" s="1023"/>
      <c r="DA244" s="1023"/>
      <c r="DB244" s="1023"/>
      <c r="DC244" s="1023"/>
      <c r="DD244" s="966"/>
      <c r="DE244" s="1023"/>
      <c r="DF244" s="1023"/>
      <c r="DG244" s="1023"/>
      <c r="DH244" s="1023"/>
      <c r="DI244" s="1023"/>
      <c r="DJ244" s="966"/>
      <c r="DK244" s="1023"/>
      <c r="DL244" s="1023"/>
      <c r="DM244" s="1023"/>
      <c r="DN244" s="1023"/>
      <c r="DO244" s="1023"/>
      <c r="DP244" s="1023"/>
      <c r="DQ244" s="966"/>
    </row>
    <row r="245" spans="1:121" ht="3.75" hidden="1" customHeight="1" outlineLevel="1">
      <c r="A245" s="966"/>
      <c r="B245" s="966"/>
      <c r="C245" s="966"/>
      <c r="D245" s="1023"/>
      <c r="E245" s="1023"/>
      <c r="F245" s="1023"/>
      <c r="G245" s="1023"/>
      <c r="H245" s="1023"/>
      <c r="I245" s="1023"/>
      <c r="J245" s="1023"/>
      <c r="K245" s="1023"/>
      <c r="L245" s="1023"/>
      <c r="M245" s="1023"/>
      <c r="N245" s="1023"/>
      <c r="O245" s="1023"/>
      <c r="P245" s="1023"/>
      <c r="Q245" s="1023"/>
      <c r="R245" s="1023"/>
      <c r="S245" s="1023"/>
      <c r="T245" s="1023"/>
      <c r="U245" s="1023"/>
      <c r="V245" s="1023"/>
      <c r="W245" s="1023"/>
      <c r="X245" s="966"/>
      <c r="Y245" s="1023"/>
      <c r="Z245" s="1023"/>
      <c r="AA245" s="1023"/>
      <c r="AB245" s="1023"/>
      <c r="AC245" s="1023"/>
      <c r="AD245" s="966"/>
      <c r="AE245" s="1023"/>
      <c r="AF245" s="1023"/>
      <c r="AG245" s="1023"/>
      <c r="AH245" s="1023"/>
      <c r="AI245" s="1023"/>
      <c r="AJ245" s="966"/>
      <c r="AK245" s="1023"/>
      <c r="AL245" s="1023"/>
      <c r="AM245" s="1023"/>
      <c r="AN245" s="1023"/>
      <c r="AO245" s="1023"/>
      <c r="AP245" s="966"/>
      <c r="AQ245" s="1023"/>
      <c r="AR245" s="1023"/>
      <c r="AS245" s="1023"/>
      <c r="AT245" s="1023"/>
      <c r="AU245" s="1023"/>
      <c r="AV245" s="966"/>
      <c r="AW245" s="1023"/>
      <c r="AX245" s="1023"/>
      <c r="AY245" s="1023"/>
      <c r="AZ245" s="1023"/>
      <c r="BA245" s="1023"/>
      <c r="BB245" s="966"/>
      <c r="BC245" s="1023"/>
      <c r="BD245" s="1023"/>
      <c r="BE245" s="1023"/>
      <c r="BF245" s="1023"/>
      <c r="BG245" s="1023"/>
      <c r="BH245" s="966"/>
      <c r="BI245" s="1023"/>
      <c r="BJ245" s="1023"/>
      <c r="BK245" s="1023"/>
      <c r="BL245" s="1023"/>
      <c r="BM245" s="1023"/>
      <c r="BN245" s="966"/>
      <c r="BO245" s="1023"/>
      <c r="BP245" s="1023"/>
      <c r="BQ245" s="1023"/>
      <c r="BR245" s="1023"/>
      <c r="BS245" s="1023"/>
      <c r="BT245" s="966"/>
      <c r="BU245" s="1023"/>
      <c r="BV245" s="1023"/>
      <c r="BW245" s="1023"/>
      <c r="BX245" s="1023"/>
      <c r="BY245" s="1023"/>
      <c r="BZ245" s="966"/>
      <c r="CA245" s="1023"/>
      <c r="CB245" s="1023"/>
      <c r="CC245" s="1023"/>
      <c r="CD245" s="1023"/>
      <c r="CE245" s="1023"/>
      <c r="CF245" s="966"/>
      <c r="CG245" s="1023"/>
      <c r="CH245" s="1023"/>
      <c r="CI245" s="1023"/>
      <c r="CJ245" s="1023"/>
      <c r="CK245" s="1023"/>
      <c r="CL245" s="966"/>
      <c r="CM245" s="1023"/>
      <c r="CN245" s="1023"/>
      <c r="CO245" s="1023"/>
      <c r="CP245" s="1023"/>
      <c r="CQ245" s="1023"/>
      <c r="CR245" s="966"/>
      <c r="CS245" s="1023"/>
      <c r="CT245" s="1023"/>
      <c r="CU245" s="1023"/>
      <c r="CV245" s="1023"/>
      <c r="CW245" s="1023"/>
      <c r="CX245" s="966"/>
      <c r="CY245" s="1023"/>
      <c r="CZ245" s="1023"/>
      <c r="DA245" s="1023"/>
      <c r="DB245" s="1023"/>
      <c r="DC245" s="1023"/>
      <c r="DD245" s="966"/>
      <c r="DE245" s="1023"/>
      <c r="DF245" s="1023"/>
      <c r="DG245" s="1023"/>
      <c r="DH245" s="1023"/>
      <c r="DI245" s="1023"/>
      <c r="DJ245" s="966"/>
      <c r="DK245" s="1023"/>
      <c r="DL245" s="1023"/>
      <c r="DM245" s="1023"/>
      <c r="DN245" s="1023"/>
      <c r="DO245" s="1023"/>
      <c r="DP245" s="1023"/>
      <c r="DQ245" s="966"/>
    </row>
    <row r="246" spans="1:121" ht="12.75" hidden="1" customHeight="1" outlineLevel="1">
      <c r="A246" s="966" t="s">
        <v>981</v>
      </c>
      <c r="B246" s="966"/>
      <c r="C246" s="966"/>
      <c r="D246" s="1098">
        <f>D233</f>
        <v>3.3084750000000001</v>
      </c>
      <c r="E246" s="1098">
        <f>E233</f>
        <v>4.0745599999999991</v>
      </c>
      <c r="F246" s="966"/>
      <c r="G246" s="966"/>
      <c r="H246" s="966"/>
      <c r="I246" s="966"/>
      <c r="J246" s="966"/>
      <c r="K246" s="1098">
        <f>K233</f>
        <v>10.525878999999998</v>
      </c>
      <c r="L246" s="966"/>
      <c r="M246" s="966"/>
      <c r="N246" s="966"/>
      <c r="O246" s="966"/>
      <c r="P246" s="966"/>
      <c r="Q246" s="1098">
        <f>Q233</f>
        <v>15.928394999999998</v>
      </c>
      <c r="R246" s="966"/>
      <c r="S246" s="1098">
        <f>S233</f>
        <v>16.422046999999999</v>
      </c>
      <c r="T246" s="1098">
        <f>T233</f>
        <v>17.369753000000003</v>
      </c>
      <c r="U246" s="1098">
        <f>U233</f>
        <v>17.394053000000003</v>
      </c>
      <c r="V246" s="1098">
        <f>V233</f>
        <v>17.365589000000003</v>
      </c>
      <c r="W246" s="1098">
        <f>W233</f>
        <v>17.365589</v>
      </c>
      <c r="X246" s="966"/>
      <c r="Y246" s="1098">
        <f>Y233</f>
        <v>17.189706000000001</v>
      </c>
      <c r="Z246" s="1098">
        <f>Z233</f>
        <v>16.449138999999999</v>
      </c>
      <c r="AA246" s="1098">
        <f>AA233</f>
        <v>16.351607999999999</v>
      </c>
      <c r="AB246" s="1098">
        <f>AB233</f>
        <v>16.005907000000001</v>
      </c>
      <c r="AC246" s="1098">
        <f>AC233</f>
        <v>16.005907000000001</v>
      </c>
      <c r="AD246" s="966"/>
      <c r="AE246" s="966"/>
      <c r="AF246" s="966"/>
      <c r="AG246" s="966"/>
      <c r="AH246" s="966"/>
      <c r="AI246" s="966"/>
      <c r="AJ246" s="966"/>
      <c r="AK246" s="966"/>
      <c r="AL246" s="966"/>
      <c r="AM246" s="966"/>
      <c r="AN246" s="966"/>
      <c r="AO246" s="966"/>
      <c r="AP246" s="966"/>
      <c r="AQ246" s="966"/>
      <c r="AR246" s="966">
        <v>5.48</v>
      </c>
      <c r="AS246" s="966">
        <v>5.7839999999999998</v>
      </c>
      <c r="AT246" s="1023">
        <v>6.114204</v>
      </c>
      <c r="AU246" s="966"/>
      <c r="AV246" s="966"/>
      <c r="AW246" s="966"/>
      <c r="AX246" s="966"/>
      <c r="AY246" s="966"/>
      <c r="AZ246" s="966"/>
      <c r="BA246" s="966"/>
      <c r="BB246" s="966"/>
      <c r="BC246" s="966"/>
      <c r="BD246" s="966"/>
      <c r="BE246" s="966"/>
      <c r="BF246" s="966"/>
      <c r="BG246" s="966"/>
      <c r="BH246" s="966"/>
      <c r="BI246" s="966"/>
      <c r="BJ246" s="966"/>
      <c r="BK246" s="966"/>
      <c r="BL246" s="966"/>
      <c r="BM246" s="966"/>
      <c r="BN246" s="966"/>
      <c r="BO246" s="966"/>
      <c r="BP246" s="966"/>
      <c r="BQ246" s="966"/>
      <c r="BR246" s="966"/>
      <c r="BS246" s="966"/>
      <c r="BT246" s="966"/>
      <c r="BU246" s="966"/>
      <c r="BV246" s="966"/>
      <c r="BW246" s="966"/>
      <c r="BX246" s="966"/>
      <c r="BY246" s="966"/>
      <c r="BZ246" s="966"/>
      <c r="CA246" s="966"/>
      <c r="CB246" s="966"/>
      <c r="CC246" s="966"/>
      <c r="CD246" s="966"/>
      <c r="CE246" s="966"/>
      <c r="CF246" s="966"/>
      <c r="CG246" s="966"/>
      <c r="CH246" s="966"/>
      <c r="CI246" s="966"/>
      <c r="CJ246" s="966"/>
      <c r="CK246" s="966"/>
      <c r="CL246" s="966"/>
      <c r="CM246" s="966"/>
      <c r="CN246" s="966"/>
      <c r="CO246" s="966"/>
      <c r="CP246" s="966"/>
      <c r="CQ246" s="966"/>
      <c r="CR246" s="966"/>
      <c r="CS246" s="966"/>
      <c r="CT246" s="966"/>
      <c r="CU246" s="966"/>
      <c r="CV246" s="966"/>
      <c r="CW246" s="966"/>
      <c r="CX246" s="966"/>
      <c r="CY246" s="966"/>
      <c r="CZ246" s="966"/>
      <c r="DA246" s="966"/>
      <c r="DB246" s="966"/>
      <c r="DC246" s="966"/>
      <c r="DD246" s="966"/>
      <c r="DE246" s="966"/>
      <c r="DF246" s="966"/>
      <c r="DG246" s="966"/>
      <c r="DH246" s="966"/>
      <c r="DI246" s="966"/>
      <c r="DJ246" s="966"/>
      <c r="DK246" s="966"/>
      <c r="DL246" s="966"/>
      <c r="DM246" s="966"/>
      <c r="DN246" s="966"/>
      <c r="DO246" s="966"/>
      <c r="DP246" s="966"/>
      <c r="DQ246" s="966"/>
    </row>
    <row r="247" spans="1:121" ht="12.75" hidden="1" customHeight="1" outlineLevel="1">
      <c r="A247" s="966" t="s">
        <v>982</v>
      </c>
      <c r="B247" s="966"/>
      <c r="C247" s="966"/>
      <c r="D247" s="1254">
        <f>D240</f>
        <v>0.9</v>
      </c>
      <c r="E247" s="1254">
        <f>E240</f>
        <v>0.81</v>
      </c>
      <c r="F247" s="966"/>
      <c r="G247" s="966"/>
      <c r="H247" s="966"/>
      <c r="I247" s="966"/>
      <c r="J247" s="966"/>
      <c r="K247" s="1254">
        <f>K240</f>
        <v>1.01</v>
      </c>
      <c r="L247" s="966"/>
      <c r="M247" s="966"/>
      <c r="N247" s="966"/>
      <c r="O247" s="966"/>
      <c r="P247" s="966"/>
      <c r="Q247" s="1254">
        <f>Q240</f>
        <v>2.29</v>
      </c>
      <c r="R247" s="966"/>
      <c r="S247" s="1254">
        <f>S240</f>
        <v>3.22</v>
      </c>
      <c r="T247" s="1254">
        <f>T240</f>
        <v>3.6483873011896009</v>
      </c>
      <c r="U247" s="1254">
        <f>U240</f>
        <v>4.346137110195075</v>
      </c>
      <c r="V247" s="1254">
        <f>V240</f>
        <v>5.250732864021189</v>
      </c>
      <c r="W247" s="1254">
        <f>W240</f>
        <v>5.74</v>
      </c>
      <c r="X247" s="966"/>
      <c r="Y247" s="1254">
        <f>Y240</f>
        <v>6.4488652743682762</v>
      </c>
      <c r="Z247" s="1254">
        <f>Z240</f>
        <v>8.09</v>
      </c>
      <c r="AA247" s="1254">
        <f>AA240</f>
        <v>9.23</v>
      </c>
      <c r="AB247" s="1254">
        <f>AB240</f>
        <v>12.24</v>
      </c>
      <c r="AC247" s="1254">
        <f>AC240</f>
        <v>12.24</v>
      </c>
      <c r="AD247" s="966"/>
      <c r="AE247" s="966"/>
      <c r="AF247" s="966"/>
      <c r="AG247" s="966"/>
      <c r="AH247" s="966"/>
      <c r="AI247" s="966"/>
      <c r="AJ247" s="966"/>
      <c r="AK247" s="966"/>
      <c r="AL247" s="966"/>
      <c r="AM247" s="966"/>
      <c r="AN247" s="966"/>
      <c r="AO247" s="966"/>
      <c r="AP247" s="966"/>
      <c r="AQ247" s="966"/>
      <c r="AR247" s="966">
        <v>16.309999999999999</v>
      </c>
      <c r="AS247" s="966">
        <v>17.64</v>
      </c>
      <c r="AT247" s="966">
        <v>23.99</v>
      </c>
      <c r="AU247" s="966"/>
      <c r="AV247" s="966"/>
      <c r="AW247" s="966"/>
      <c r="AX247" s="966"/>
      <c r="AY247" s="966"/>
      <c r="AZ247" s="966"/>
      <c r="BA247" s="966"/>
      <c r="BB247" s="966"/>
      <c r="BC247" s="966"/>
      <c r="BD247" s="966"/>
      <c r="BE247" s="966"/>
      <c r="BF247" s="966"/>
      <c r="BG247" s="966"/>
      <c r="BH247" s="966"/>
      <c r="BI247" s="966"/>
      <c r="BJ247" s="966"/>
      <c r="BK247" s="966"/>
      <c r="BL247" s="966"/>
      <c r="BM247" s="966"/>
      <c r="BN247" s="966"/>
      <c r="BO247" s="966"/>
      <c r="BP247" s="966"/>
      <c r="BQ247" s="966"/>
      <c r="BR247" s="966"/>
      <c r="BS247" s="966"/>
      <c r="BT247" s="966"/>
      <c r="BU247" s="966"/>
      <c r="BV247" s="966"/>
      <c r="BW247" s="966"/>
      <c r="BX247" s="966"/>
      <c r="BY247" s="966"/>
      <c r="BZ247" s="966"/>
      <c r="CA247" s="966"/>
      <c r="CB247" s="966"/>
      <c r="CC247" s="966"/>
      <c r="CD247" s="966"/>
      <c r="CE247" s="966"/>
      <c r="CF247" s="966"/>
      <c r="CG247" s="966"/>
      <c r="CH247" s="966"/>
      <c r="CI247" s="966"/>
      <c r="CJ247" s="966"/>
      <c r="CK247" s="966"/>
      <c r="CL247" s="966"/>
      <c r="CM247" s="966"/>
      <c r="CN247" s="966"/>
      <c r="CO247" s="966"/>
      <c r="CP247" s="966"/>
      <c r="CQ247" s="966"/>
      <c r="CR247" s="966"/>
      <c r="CS247" s="966"/>
      <c r="CT247" s="966"/>
      <c r="CU247" s="966"/>
      <c r="CV247" s="966"/>
      <c r="CW247" s="966"/>
      <c r="CX247" s="966"/>
      <c r="CY247" s="966"/>
      <c r="CZ247" s="966"/>
      <c r="DA247" s="966"/>
      <c r="DB247" s="966"/>
      <c r="DC247" s="966"/>
      <c r="DD247" s="966"/>
      <c r="DE247" s="966"/>
      <c r="DF247" s="966"/>
      <c r="DG247" s="966"/>
      <c r="DH247" s="966"/>
      <c r="DI247" s="966"/>
      <c r="DJ247" s="966"/>
      <c r="DK247" s="966"/>
      <c r="DL247" s="966"/>
      <c r="DM247" s="966"/>
      <c r="DN247" s="966"/>
      <c r="DO247" s="966"/>
      <c r="DP247" s="966"/>
      <c r="DQ247" s="966"/>
    </row>
    <row r="248" spans="1:121" ht="12.75" hidden="1" customHeight="1" outlineLevel="1">
      <c r="A248" s="966" t="s">
        <v>983</v>
      </c>
      <c r="B248" s="966"/>
      <c r="C248" s="966"/>
      <c r="D248" s="1139">
        <f>D246/D233</f>
        <v>1</v>
      </c>
      <c r="E248" s="1139">
        <f>E246/E233</f>
        <v>1</v>
      </c>
      <c r="F248" s="966"/>
      <c r="G248" s="966"/>
      <c r="H248" s="966"/>
      <c r="I248" s="966"/>
      <c r="J248" s="966"/>
      <c r="K248" s="1139">
        <f>K246/K233</f>
        <v>1</v>
      </c>
      <c r="L248" s="966"/>
      <c r="M248" s="966"/>
      <c r="N248" s="966"/>
      <c r="O248" s="966"/>
      <c r="P248" s="966"/>
      <c r="Q248" s="1139">
        <f>Q246/Q233</f>
        <v>1</v>
      </c>
      <c r="R248" s="966"/>
      <c r="S248" s="1139">
        <f>S246/S233</f>
        <v>1</v>
      </c>
      <c r="T248" s="1139">
        <f>T246/T233</f>
        <v>1</v>
      </c>
      <c r="U248" s="1139">
        <f>U246/U233</f>
        <v>1</v>
      </c>
      <c r="V248" s="1139">
        <f>V246/V233</f>
        <v>1</v>
      </c>
      <c r="W248" s="1139">
        <f>W246/W233</f>
        <v>1</v>
      </c>
      <c r="X248" s="966"/>
      <c r="Y248" s="1139">
        <f>Y246/Y233</f>
        <v>1</v>
      </c>
      <c r="Z248" s="1139">
        <f>Z246/Z233</f>
        <v>1</v>
      </c>
      <c r="AA248" s="1139">
        <f>AA246/AA233</f>
        <v>1</v>
      </c>
      <c r="AB248" s="1139">
        <f>AB246/AB233</f>
        <v>1</v>
      </c>
      <c r="AC248" s="1139">
        <f>AC246/AC233</f>
        <v>1</v>
      </c>
      <c r="AD248" s="966"/>
      <c r="AE248" s="966"/>
      <c r="AF248" s="966"/>
      <c r="AG248" s="966"/>
      <c r="AH248" s="966"/>
      <c r="AI248" s="966"/>
      <c r="AJ248" s="966"/>
      <c r="AK248" s="966"/>
      <c r="AL248" s="966"/>
      <c r="AM248" s="966"/>
      <c r="AN248" s="966"/>
      <c r="AO248" s="966"/>
      <c r="AP248" s="966"/>
      <c r="AQ248" s="966"/>
      <c r="AR248" s="1139">
        <f>AR246/AR233</f>
        <v>0.4422727168175411</v>
      </c>
      <c r="AS248" s="1139">
        <f>AS246/AS233</f>
        <v>0.47123487490033911</v>
      </c>
      <c r="AT248" s="1139">
        <f>AT246/AT233</f>
        <v>0.40994976707262448</v>
      </c>
      <c r="AU248" s="966"/>
      <c r="AV248" s="966"/>
      <c r="AW248" s="966"/>
      <c r="AX248" s="966"/>
      <c r="AY248" s="966"/>
      <c r="AZ248" s="966"/>
      <c r="BA248" s="966"/>
      <c r="BB248" s="966"/>
      <c r="BC248" s="966"/>
      <c r="BD248" s="966"/>
      <c r="BE248" s="966"/>
      <c r="BF248" s="966"/>
      <c r="BG248" s="966"/>
      <c r="BH248" s="966"/>
      <c r="BI248" s="966"/>
      <c r="BJ248" s="966"/>
      <c r="BK248" s="966"/>
      <c r="BL248" s="966"/>
      <c r="BM248" s="966"/>
      <c r="BN248" s="966"/>
      <c r="BO248" s="966"/>
      <c r="BP248" s="966"/>
      <c r="BQ248" s="966"/>
      <c r="BR248" s="966"/>
      <c r="BS248" s="966"/>
      <c r="BT248" s="966"/>
      <c r="BU248" s="966"/>
      <c r="BV248" s="966"/>
      <c r="BW248" s="966"/>
      <c r="BX248" s="966"/>
      <c r="BY248" s="966"/>
      <c r="BZ248" s="966"/>
      <c r="CA248" s="966"/>
      <c r="CB248" s="966"/>
      <c r="CC248" s="966"/>
      <c r="CD248" s="966"/>
      <c r="CE248" s="966"/>
      <c r="CF248" s="966"/>
      <c r="CG248" s="966"/>
      <c r="CH248" s="966"/>
      <c r="CI248" s="966"/>
      <c r="CJ248" s="966"/>
      <c r="CK248" s="966"/>
      <c r="CL248" s="966"/>
      <c r="CM248" s="966"/>
      <c r="CN248" s="966"/>
      <c r="CO248" s="966"/>
      <c r="CP248" s="966"/>
      <c r="CQ248" s="966"/>
      <c r="CR248" s="966"/>
      <c r="CS248" s="966"/>
      <c r="CT248" s="966"/>
      <c r="CU248" s="966"/>
      <c r="CV248" s="966"/>
      <c r="CW248" s="966"/>
      <c r="CX248" s="966"/>
      <c r="CY248" s="966"/>
      <c r="CZ248" s="966"/>
      <c r="DA248" s="966"/>
      <c r="DB248" s="966"/>
      <c r="DC248" s="966"/>
      <c r="DD248" s="966"/>
      <c r="DE248" s="966"/>
      <c r="DF248" s="966"/>
      <c r="DG248" s="966"/>
      <c r="DH248" s="966"/>
      <c r="DI248" s="966"/>
      <c r="DJ248" s="966"/>
      <c r="DK248" s="966"/>
      <c r="DL248" s="966"/>
      <c r="DM248" s="966"/>
      <c r="DN248" s="966"/>
      <c r="DO248" s="966"/>
      <c r="DP248" s="966"/>
      <c r="DQ248" s="966"/>
    </row>
    <row r="249" spans="1:121" ht="3.75" hidden="1" customHeight="1" outlineLevel="1">
      <c r="A249" s="966"/>
      <c r="B249" s="966"/>
      <c r="C249" s="966"/>
      <c r="D249" s="1023"/>
      <c r="E249" s="1023"/>
      <c r="F249" s="1023"/>
      <c r="G249" s="1023"/>
      <c r="H249" s="1023"/>
      <c r="I249" s="1023"/>
      <c r="J249" s="1023"/>
      <c r="K249" s="1023"/>
      <c r="L249" s="1023"/>
      <c r="M249" s="1023"/>
      <c r="N249" s="1023"/>
      <c r="O249" s="1023"/>
      <c r="P249" s="1023"/>
      <c r="Q249" s="1023"/>
      <c r="R249" s="1023"/>
      <c r="S249" s="1023"/>
      <c r="T249" s="1023"/>
      <c r="U249" s="1023"/>
      <c r="V249" s="1023"/>
      <c r="W249" s="1023"/>
      <c r="X249" s="966"/>
      <c r="Y249" s="1023"/>
      <c r="Z249" s="1023"/>
      <c r="AA249" s="1023"/>
      <c r="AB249" s="1023"/>
      <c r="AC249" s="1023"/>
      <c r="AD249" s="966"/>
      <c r="AE249" s="1023"/>
      <c r="AF249" s="1023"/>
      <c r="AG249" s="1023"/>
      <c r="AH249" s="1023"/>
      <c r="AI249" s="1023"/>
      <c r="AJ249" s="966"/>
      <c r="AK249" s="1023"/>
      <c r="AL249" s="1023"/>
      <c r="AM249" s="1023"/>
      <c r="AN249" s="1023"/>
      <c r="AO249" s="1023"/>
      <c r="AP249" s="966"/>
      <c r="AQ249" s="1023"/>
      <c r="AR249" s="1023"/>
      <c r="AS249" s="1023"/>
      <c r="AT249" s="1023"/>
      <c r="AU249" s="1023"/>
      <c r="AV249" s="966"/>
      <c r="AW249" s="1023"/>
      <c r="AX249" s="1023"/>
      <c r="AY249" s="1023"/>
      <c r="AZ249" s="1023"/>
      <c r="BA249" s="1023"/>
      <c r="BB249" s="966"/>
      <c r="BC249" s="1023"/>
      <c r="BD249" s="1023"/>
      <c r="BE249" s="1023"/>
      <c r="BF249" s="1023"/>
      <c r="BG249" s="1023"/>
      <c r="BH249" s="966"/>
      <c r="BI249" s="1023"/>
      <c r="BJ249" s="1023"/>
      <c r="BK249" s="1023"/>
      <c r="BL249" s="1023"/>
      <c r="BM249" s="1023"/>
      <c r="BN249" s="966"/>
      <c r="BO249" s="1023"/>
      <c r="BP249" s="1023"/>
      <c r="BQ249" s="1023"/>
      <c r="BR249" s="1023"/>
      <c r="BS249" s="1023"/>
      <c r="BT249" s="966"/>
      <c r="BU249" s="1023"/>
      <c r="BV249" s="1023"/>
      <c r="BW249" s="1023"/>
      <c r="BX249" s="1023"/>
      <c r="BY249" s="1023"/>
      <c r="BZ249" s="966"/>
      <c r="CA249" s="1023"/>
      <c r="CB249" s="1023"/>
      <c r="CC249" s="1023"/>
      <c r="CD249" s="1023"/>
      <c r="CE249" s="1023"/>
      <c r="CF249" s="966"/>
      <c r="CG249" s="1023"/>
      <c r="CH249" s="1023"/>
      <c r="CI249" s="1023"/>
      <c r="CJ249" s="1023"/>
      <c r="CK249" s="1023"/>
      <c r="CL249" s="966"/>
      <c r="CM249" s="1023"/>
      <c r="CN249" s="1023"/>
      <c r="CO249" s="1023"/>
      <c r="CP249" s="1023"/>
      <c r="CQ249" s="1023"/>
      <c r="CR249" s="966"/>
      <c r="CS249" s="1023"/>
      <c r="CT249" s="1023"/>
      <c r="CU249" s="1023"/>
      <c r="CV249" s="1023"/>
      <c r="CW249" s="1023"/>
      <c r="CX249" s="966"/>
      <c r="CY249" s="1023"/>
      <c r="CZ249" s="1023"/>
      <c r="DA249" s="1023"/>
      <c r="DB249" s="1023"/>
      <c r="DC249" s="1023"/>
      <c r="DD249" s="966"/>
      <c r="DE249" s="1023"/>
      <c r="DF249" s="1023"/>
      <c r="DG249" s="1023"/>
      <c r="DH249" s="1023"/>
      <c r="DI249" s="1023"/>
      <c r="DJ249" s="966"/>
      <c r="DK249" s="1023"/>
      <c r="DL249" s="1023"/>
      <c r="DM249" s="1023"/>
      <c r="DN249" s="1023"/>
      <c r="DO249" s="1023"/>
      <c r="DP249" s="1023"/>
      <c r="DQ249" s="966"/>
    </row>
    <row r="250" spans="1:121" ht="3.75" hidden="1" customHeight="1" outlineLevel="1">
      <c r="A250" s="966"/>
      <c r="B250" s="966"/>
      <c r="C250" s="966"/>
      <c r="D250" s="1023"/>
      <c r="E250" s="1023"/>
      <c r="F250" s="1023"/>
      <c r="G250" s="1023"/>
      <c r="H250" s="1023"/>
      <c r="I250" s="1023"/>
      <c r="J250" s="1023"/>
      <c r="K250" s="1023"/>
      <c r="L250" s="1023"/>
      <c r="M250" s="1023"/>
      <c r="N250" s="1023"/>
      <c r="O250" s="1023"/>
      <c r="P250" s="1023"/>
      <c r="Q250" s="1023"/>
      <c r="R250" s="1023"/>
      <c r="S250" s="1023"/>
      <c r="T250" s="1023"/>
      <c r="U250" s="1023"/>
      <c r="V250" s="1023"/>
      <c r="W250" s="1023"/>
      <c r="X250" s="966"/>
      <c r="Y250" s="1023"/>
      <c r="Z250" s="1023"/>
      <c r="AA250" s="1023"/>
      <c r="AB250" s="1023"/>
      <c r="AC250" s="1023"/>
      <c r="AD250" s="966"/>
      <c r="AE250" s="1023"/>
      <c r="AF250" s="1023"/>
      <c r="AG250" s="1023"/>
      <c r="AH250" s="1023"/>
      <c r="AI250" s="1023"/>
      <c r="AJ250" s="966"/>
      <c r="AK250" s="1023"/>
      <c r="AL250" s="1023"/>
      <c r="AM250" s="1023"/>
      <c r="AN250" s="1023"/>
      <c r="AO250" s="1023"/>
      <c r="AP250" s="966"/>
      <c r="AQ250" s="1023"/>
      <c r="AR250" s="1023"/>
      <c r="AS250" s="1023"/>
      <c r="AT250" s="1023"/>
      <c r="AU250" s="1023"/>
      <c r="AV250" s="966"/>
      <c r="AW250" s="1023"/>
      <c r="AX250" s="1023"/>
      <c r="AY250" s="1023"/>
      <c r="AZ250" s="1023"/>
      <c r="BA250" s="1023"/>
      <c r="BB250" s="966"/>
      <c r="BC250" s="1023"/>
      <c r="BD250" s="1023"/>
      <c r="BE250" s="1023"/>
      <c r="BF250" s="1023"/>
      <c r="BG250" s="1023"/>
      <c r="BH250" s="966"/>
      <c r="BI250" s="1023"/>
      <c r="BJ250" s="1023"/>
      <c r="BK250" s="1023"/>
      <c r="BL250" s="1023"/>
      <c r="BM250" s="1023"/>
      <c r="BN250" s="966"/>
      <c r="BO250" s="1023"/>
      <c r="BP250" s="1023"/>
      <c r="BQ250" s="1023"/>
      <c r="BR250" s="1023"/>
      <c r="BS250" s="1023"/>
      <c r="BT250" s="966"/>
      <c r="BU250" s="1023"/>
      <c r="BV250" s="1023"/>
      <c r="BW250" s="1023"/>
      <c r="BX250" s="1023"/>
      <c r="BY250" s="1023"/>
      <c r="BZ250" s="966"/>
      <c r="CA250" s="1023"/>
      <c r="CB250" s="1023"/>
      <c r="CC250" s="1023"/>
      <c r="CD250" s="1023"/>
      <c r="CE250" s="1023"/>
      <c r="CF250" s="966"/>
      <c r="CG250" s="1023"/>
      <c r="CH250" s="1023"/>
      <c r="CI250" s="1023"/>
      <c r="CJ250" s="1023"/>
      <c r="CK250" s="1023"/>
      <c r="CL250" s="966"/>
      <c r="CM250" s="1023"/>
      <c r="CN250" s="1023"/>
      <c r="CO250" s="1023"/>
      <c r="CP250" s="1023"/>
      <c r="CQ250" s="1023"/>
      <c r="CR250" s="966"/>
      <c r="CS250" s="1023"/>
      <c r="CT250" s="1023"/>
      <c r="CU250" s="1023"/>
      <c r="CV250" s="1023"/>
      <c r="CW250" s="1023"/>
      <c r="CX250" s="966"/>
      <c r="CY250" s="1023"/>
      <c r="CZ250" s="1023"/>
      <c r="DA250" s="1023"/>
      <c r="DB250" s="1023"/>
      <c r="DC250" s="1023"/>
      <c r="DD250" s="966"/>
      <c r="DE250" s="1023"/>
      <c r="DF250" s="1023"/>
      <c r="DG250" s="1023"/>
      <c r="DH250" s="1023"/>
      <c r="DI250" s="1023"/>
      <c r="DJ250" s="966"/>
      <c r="DK250" s="1023"/>
      <c r="DL250" s="1023"/>
      <c r="DM250" s="1023"/>
      <c r="DN250" s="1023"/>
      <c r="DO250" s="1023"/>
      <c r="DP250" s="1023"/>
      <c r="DQ250" s="966"/>
    </row>
    <row r="251" spans="1:121" ht="12.75" hidden="1" customHeight="1" outlineLevel="1">
      <c r="A251" s="1253" t="s">
        <v>831</v>
      </c>
      <c r="B251" s="966"/>
      <c r="C251" s="966"/>
      <c r="D251" s="966"/>
      <c r="E251" s="966"/>
      <c r="F251" s="966"/>
      <c r="G251" s="966"/>
      <c r="H251" s="966"/>
      <c r="I251" s="966"/>
      <c r="J251" s="966"/>
      <c r="K251" s="966"/>
      <c r="L251" s="966"/>
      <c r="M251" s="966"/>
      <c r="N251" s="966"/>
      <c r="O251" s="966"/>
      <c r="P251" s="966"/>
      <c r="Q251" s="966"/>
      <c r="R251" s="966"/>
      <c r="S251" s="966"/>
      <c r="T251" s="966"/>
      <c r="U251" s="966"/>
      <c r="V251" s="966"/>
      <c r="W251" s="966"/>
      <c r="X251" s="966"/>
      <c r="Y251" s="966"/>
      <c r="Z251" s="966"/>
      <c r="AA251" s="966"/>
      <c r="AB251" s="966"/>
      <c r="AC251" s="966"/>
      <c r="AD251" s="966"/>
      <c r="AE251" s="966"/>
      <c r="AF251" s="966"/>
      <c r="AG251" s="966"/>
      <c r="AH251" s="966"/>
      <c r="AI251" s="966"/>
      <c r="AJ251" s="966"/>
      <c r="AK251" s="966"/>
      <c r="AL251" s="966"/>
      <c r="AM251" s="966"/>
      <c r="AN251" s="966"/>
      <c r="AO251" s="966"/>
      <c r="AP251" s="966"/>
      <c r="AQ251" s="966"/>
      <c r="AR251" s="966"/>
      <c r="AS251" s="966"/>
      <c r="AT251" s="966"/>
      <c r="AU251" s="966"/>
      <c r="AV251" s="966"/>
      <c r="AW251" s="966"/>
      <c r="AX251" s="966"/>
      <c r="AY251" s="966"/>
      <c r="AZ251" s="966"/>
      <c r="BA251" s="966"/>
      <c r="BB251" s="966"/>
      <c r="BC251" s="966"/>
      <c r="BD251" s="966"/>
      <c r="BE251" s="966"/>
      <c r="BF251" s="966"/>
      <c r="BG251" s="966"/>
      <c r="BH251" s="966"/>
      <c r="BI251" s="966"/>
      <c r="BJ251" s="966"/>
      <c r="BK251" s="966"/>
      <c r="BL251" s="966"/>
      <c r="BM251" s="966"/>
      <c r="BN251" s="966"/>
      <c r="BO251" s="966"/>
      <c r="BP251" s="966"/>
      <c r="BQ251" s="966"/>
      <c r="BR251" s="966"/>
      <c r="BS251" s="966"/>
      <c r="BT251" s="966"/>
      <c r="BU251" s="966"/>
      <c r="BV251" s="966"/>
      <c r="BW251" s="966"/>
      <c r="BX251" s="966"/>
      <c r="BY251" s="966"/>
      <c r="BZ251" s="966"/>
      <c r="CA251" s="966"/>
      <c r="CB251" s="966"/>
      <c r="CC251" s="966"/>
      <c r="CD251" s="966"/>
      <c r="CE251" s="966"/>
      <c r="CF251" s="966"/>
      <c r="CG251" s="966"/>
      <c r="CH251" s="966"/>
      <c r="CI251" s="966"/>
      <c r="CJ251" s="966"/>
      <c r="CK251" s="966"/>
      <c r="CL251" s="966"/>
      <c r="CM251" s="966"/>
      <c r="CN251" s="966"/>
      <c r="CO251" s="966"/>
      <c r="CP251" s="966"/>
      <c r="CQ251" s="966"/>
      <c r="CR251" s="966"/>
      <c r="CS251" s="966"/>
      <c r="CT251" s="966"/>
      <c r="CU251" s="966"/>
      <c r="CV251" s="966"/>
      <c r="CW251" s="966"/>
      <c r="CX251" s="966"/>
      <c r="CY251" s="966"/>
      <c r="CZ251" s="966"/>
      <c r="DA251" s="966"/>
      <c r="DB251" s="966"/>
      <c r="DC251" s="966"/>
      <c r="DD251" s="966"/>
      <c r="DE251" s="966"/>
      <c r="DF251" s="966"/>
      <c r="DG251" s="966"/>
      <c r="DH251" s="966"/>
      <c r="DI251" s="966"/>
      <c r="DJ251" s="966"/>
      <c r="DK251" s="966"/>
      <c r="DL251" s="966"/>
      <c r="DM251" s="966"/>
      <c r="DN251" s="966"/>
      <c r="DO251" s="966"/>
      <c r="DP251" s="966"/>
      <c r="DQ251" s="966"/>
    </row>
    <row r="252" spans="1:121" ht="12.75" hidden="1" customHeight="1" outlineLevel="1">
      <c r="A252" s="1256" t="s">
        <v>811</v>
      </c>
      <c r="B252" s="966"/>
      <c r="C252" s="966"/>
      <c r="D252" s="966"/>
      <c r="E252" s="966"/>
      <c r="F252" s="966"/>
      <c r="G252" s="966"/>
      <c r="H252" s="966"/>
      <c r="I252" s="966"/>
      <c r="J252" s="966"/>
      <c r="K252" s="966"/>
      <c r="L252" s="966"/>
      <c r="M252" s="966"/>
      <c r="N252" s="966"/>
      <c r="O252" s="966"/>
      <c r="P252" s="966"/>
      <c r="Q252" s="966"/>
      <c r="R252" s="966"/>
      <c r="S252" s="966"/>
      <c r="T252" s="966"/>
      <c r="U252" s="966"/>
      <c r="V252" s="966"/>
      <c r="W252" s="966"/>
      <c r="X252" s="966"/>
      <c r="Y252" s="966"/>
      <c r="Z252" s="966"/>
      <c r="AA252" s="966"/>
      <c r="AB252" s="966"/>
      <c r="AC252" s="966"/>
      <c r="AD252" s="966"/>
      <c r="AE252" s="966"/>
      <c r="AF252" s="966"/>
      <c r="AG252" s="966"/>
      <c r="AH252" s="966"/>
      <c r="AI252" s="966"/>
      <c r="AJ252" s="966"/>
      <c r="AK252" s="966"/>
      <c r="AL252" s="966"/>
      <c r="AM252" s="966"/>
      <c r="AN252" s="966"/>
      <c r="AO252" s="966"/>
      <c r="AP252" s="966"/>
      <c r="AQ252" s="966"/>
      <c r="AR252" s="966"/>
      <c r="AS252" s="966"/>
      <c r="AT252" s="966"/>
      <c r="AU252" s="966"/>
      <c r="AV252" s="966"/>
      <c r="AW252" s="966"/>
      <c r="AX252" s="966"/>
      <c r="AY252" s="966"/>
      <c r="AZ252" s="966"/>
      <c r="BA252" s="966"/>
      <c r="BB252" s="966"/>
      <c r="BC252" s="966"/>
      <c r="BD252" s="966"/>
      <c r="BE252" s="966"/>
      <c r="BF252" s="966"/>
      <c r="BG252" s="966"/>
      <c r="BH252" s="966"/>
      <c r="BI252" s="966"/>
      <c r="BJ252" s="966"/>
      <c r="BK252" s="966"/>
      <c r="BL252" s="966"/>
      <c r="BM252" s="966"/>
      <c r="BN252" s="966"/>
      <c r="BO252" s="966"/>
      <c r="BP252" s="966"/>
      <c r="BQ252" s="966"/>
      <c r="BR252" s="966"/>
      <c r="BS252" s="966"/>
      <c r="BT252" s="966"/>
      <c r="BU252" s="966"/>
      <c r="BV252" s="966"/>
      <c r="BW252" s="966"/>
      <c r="BX252" s="966"/>
      <c r="BY252" s="966"/>
      <c r="BZ252" s="966"/>
      <c r="CA252" s="966"/>
      <c r="CB252" s="966"/>
      <c r="CC252" s="966"/>
      <c r="CD252" s="966"/>
      <c r="CE252" s="966"/>
      <c r="CF252" s="966"/>
      <c r="CG252" s="966"/>
      <c r="CH252" s="966"/>
      <c r="CI252" s="966"/>
      <c r="CJ252" s="966"/>
      <c r="CK252" s="966"/>
      <c r="CL252" s="966"/>
      <c r="CM252" s="966"/>
      <c r="CN252" s="966"/>
      <c r="CO252" s="966"/>
      <c r="CP252" s="966"/>
      <c r="CQ252" s="966"/>
      <c r="CR252" s="966"/>
      <c r="CS252" s="966"/>
      <c r="CT252" s="966"/>
      <c r="CU252" s="966"/>
      <c r="CV252" s="966"/>
      <c r="CW252" s="966"/>
      <c r="CX252" s="966"/>
      <c r="CY252" s="966"/>
      <c r="CZ252" s="966"/>
      <c r="DA252" s="966"/>
      <c r="DB252" s="966"/>
      <c r="DC252" s="966"/>
      <c r="DD252" s="966"/>
      <c r="DE252" s="966"/>
      <c r="DF252" s="966"/>
      <c r="DG252" s="966"/>
      <c r="DH252" s="966"/>
      <c r="DI252" s="966"/>
      <c r="DJ252" s="966"/>
      <c r="DK252" s="966"/>
      <c r="DL252" s="966"/>
      <c r="DM252" s="966"/>
      <c r="DN252" s="966"/>
      <c r="DO252" s="966"/>
      <c r="DP252" s="966"/>
      <c r="DQ252" s="966"/>
    </row>
    <row r="253" spans="1:121" ht="12.75" hidden="1" customHeight="1" outlineLevel="1">
      <c r="A253" s="966" t="s">
        <v>832</v>
      </c>
      <c r="B253" s="966"/>
      <c r="C253" s="966"/>
      <c r="D253" s="966"/>
      <c r="E253" s="1023">
        <v>1.21</v>
      </c>
      <c r="F253" s="966"/>
      <c r="G253" s="966"/>
      <c r="H253" s="966"/>
      <c r="I253" s="966"/>
      <c r="J253" s="966"/>
      <c r="K253" s="1023">
        <v>1.65</v>
      </c>
      <c r="L253" s="966"/>
      <c r="M253" s="1023">
        <v>2.0299999999999998</v>
      </c>
      <c r="N253" s="1023"/>
      <c r="O253" s="966"/>
      <c r="P253" s="966"/>
      <c r="Q253" s="1023">
        <v>2.69</v>
      </c>
      <c r="R253" s="966"/>
      <c r="S253" s="1267" t="s">
        <v>88</v>
      </c>
      <c r="T253" s="1267"/>
      <c r="U253" s="966"/>
      <c r="V253" s="966"/>
      <c r="W253" s="966">
        <v>6.51</v>
      </c>
      <c r="X253" s="966"/>
      <c r="Y253" s="966"/>
      <c r="Z253" s="966"/>
      <c r="AA253" s="966"/>
      <c r="AB253" s="966"/>
      <c r="AC253" s="966"/>
      <c r="AD253" s="966"/>
      <c r="AE253" s="966"/>
      <c r="AF253" s="966"/>
      <c r="AG253" s="966"/>
      <c r="AH253" s="966"/>
      <c r="AI253" s="966"/>
      <c r="AJ253" s="966"/>
      <c r="AK253" s="966"/>
      <c r="AL253" s="966"/>
      <c r="AM253" s="966"/>
      <c r="AN253" s="966"/>
      <c r="AO253" s="966"/>
      <c r="AP253" s="966"/>
      <c r="AQ253" s="966"/>
      <c r="AR253" s="966"/>
      <c r="AS253" s="966"/>
      <c r="AT253" s="966"/>
      <c r="AU253" s="966"/>
      <c r="AV253" s="966"/>
      <c r="AW253" s="966"/>
      <c r="AX253" s="966"/>
      <c r="AY253" s="966"/>
      <c r="AZ253" s="966"/>
      <c r="BA253" s="966"/>
      <c r="BB253" s="966"/>
      <c r="BC253" s="966"/>
      <c r="BD253" s="966"/>
      <c r="BE253" s="966"/>
      <c r="BF253" s="966"/>
      <c r="BG253" s="966"/>
      <c r="BH253" s="966"/>
      <c r="BI253" s="966"/>
      <c r="BJ253" s="966"/>
      <c r="BK253" s="966"/>
      <c r="BL253" s="966"/>
      <c r="BM253" s="966"/>
      <c r="BN253" s="966"/>
      <c r="BO253" s="966"/>
      <c r="BP253" s="966"/>
      <c r="BQ253" s="966"/>
      <c r="BR253" s="966"/>
      <c r="BS253" s="966"/>
      <c r="BT253" s="966"/>
      <c r="BU253" s="966"/>
      <c r="BV253" s="966"/>
      <c r="BW253" s="966"/>
      <c r="BX253" s="966"/>
      <c r="BY253" s="966"/>
      <c r="BZ253" s="966"/>
      <c r="CA253" s="966"/>
      <c r="CB253" s="966"/>
      <c r="CC253" s="966"/>
      <c r="CD253" s="966"/>
      <c r="CE253" s="966"/>
      <c r="CF253" s="966"/>
      <c r="CG253" s="966"/>
      <c r="CH253" s="966"/>
      <c r="CI253" s="966"/>
      <c r="CJ253" s="966"/>
      <c r="CK253" s="966"/>
      <c r="CL253" s="966"/>
      <c r="CM253" s="966"/>
      <c r="CN253" s="966"/>
      <c r="CO253" s="966"/>
      <c r="CP253" s="966"/>
      <c r="CQ253" s="966"/>
      <c r="CR253" s="966"/>
      <c r="CS253" s="966"/>
      <c r="CT253" s="966"/>
      <c r="CU253" s="966"/>
      <c r="CV253" s="966"/>
      <c r="CW253" s="966"/>
      <c r="CX253" s="966"/>
      <c r="CY253" s="966"/>
      <c r="CZ253" s="966"/>
      <c r="DA253" s="966"/>
      <c r="DB253" s="966"/>
      <c r="DC253" s="966"/>
      <c r="DD253" s="966"/>
      <c r="DE253" s="966"/>
      <c r="DF253" s="966"/>
      <c r="DG253" s="966"/>
      <c r="DH253" s="966"/>
      <c r="DI253" s="966"/>
      <c r="DJ253" s="966"/>
      <c r="DK253" s="966"/>
      <c r="DL253" s="966"/>
      <c r="DM253" s="966"/>
      <c r="DN253" s="966"/>
      <c r="DO253" s="966"/>
      <c r="DP253" s="966"/>
      <c r="DQ253" s="966"/>
    </row>
    <row r="254" spans="1:121" ht="12.75" hidden="1" customHeight="1" outlineLevel="1">
      <c r="A254" s="966" t="s">
        <v>833</v>
      </c>
      <c r="B254" s="966"/>
      <c r="C254" s="966"/>
      <c r="D254" s="966"/>
      <c r="E254" s="1023">
        <v>1.31</v>
      </c>
      <c r="F254" s="966"/>
      <c r="G254" s="966"/>
      <c r="H254" s="966"/>
      <c r="I254" s="966"/>
      <c r="J254" s="966"/>
      <c r="K254" s="1267" t="s">
        <v>88</v>
      </c>
      <c r="L254" s="966"/>
      <c r="M254" s="1267" t="s">
        <v>88</v>
      </c>
      <c r="N254" s="1267"/>
      <c r="O254" s="966"/>
      <c r="P254" s="966"/>
      <c r="Q254" s="1267" t="s">
        <v>88</v>
      </c>
      <c r="R254" s="966"/>
      <c r="S254" s="1267" t="s">
        <v>88</v>
      </c>
      <c r="T254" s="1267"/>
      <c r="U254" s="966"/>
      <c r="V254" s="966"/>
      <c r="W254" s="966"/>
      <c r="X254" s="966"/>
      <c r="Y254" s="966"/>
      <c r="Z254" s="966"/>
      <c r="AA254" s="966"/>
      <c r="AB254" s="966"/>
      <c r="AC254" s="966"/>
      <c r="AD254" s="966"/>
      <c r="AE254" s="966"/>
      <c r="AF254" s="966"/>
      <c r="AG254" s="966"/>
      <c r="AH254" s="966"/>
      <c r="AI254" s="966"/>
      <c r="AJ254" s="966"/>
      <c r="AK254" s="966"/>
      <c r="AL254" s="966"/>
      <c r="AM254" s="966"/>
      <c r="AN254" s="966"/>
      <c r="AO254" s="966"/>
      <c r="AP254" s="966"/>
      <c r="AQ254" s="966"/>
      <c r="AR254" s="966"/>
      <c r="AS254" s="966"/>
      <c r="AT254" s="966"/>
      <c r="AU254" s="966"/>
      <c r="AV254" s="966"/>
      <c r="AW254" s="966"/>
      <c r="AX254" s="966"/>
      <c r="AY254" s="966"/>
      <c r="AZ254" s="966"/>
      <c r="BA254" s="966"/>
      <c r="BB254" s="966"/>
      <c r="BC254" s="966"/>
      <c r="BD254" s="966"/>
      <c r="BE254" s="966"/>
      <c r="BF254" s="966"/>
      <c r="BG254" s="966"/>
      <c r="BH254" s="966"/>
      <c r="BI254" s="966"/>
      <c r="BJ254" s="966"/>
      <c r="BK254" s="966"/>
      <c r="BL254" s="966"/>
      <c r="BM254" s="966"/>
      <c r="BN254" s="966"/>
      <c r="BO254" s="966"/>
      <c r="BP254" s="966"/>
      <c r="BQ254" s="966"/>
      <c r="BR254" s="966"/>
      <c r="BS254" s="966"/>
      <c r="BT254" s="966"/>
      <c r="BU254" s="966"/>
      <c r="BV254" s="966"/>
      <c r="BW254" s="966"/>
      <c r="BX254" s="966"/>
      <c r="BY254" s="966"/>
      <c r="BZ254" s="966"/>
      <c r="CA254" s="966"/>
      <c r="CB254" s="966"/>
      <c r="CC254" s="966"/>
      <c r="CD254" s="966"/>
      <c r="CE254" s="966"/>
      <c r="CF254" s="966"/>
      <c r="CG254" s="966"/>
      <c r="CH254" s="966"/>
      <c r="CI254" s="966"/>
      <c r="CJ254" s="966"/>
      <c r="CK254" s="966"/>
      <c r="CL254" s="966"/>
      <c r="CM254" s="966"/>
      <c r="CN254" s="966"/>
      <c r="CO254" s="966"/>
      <c r="CP254" s="966"/>
      <c r="CQ254" s="966"/>
      <c r="CR254" s="966"/>
      <c r="CS254" s="966"/>
      <c r="CT254" s="966"/>
      <c r="CU254" s="966"/>
      <c r="CV254" s="966"/>
      <c r="CW254" s="966"/>
      <c r="CX254" s="966"/>
      <c r="CY254" s="966"/>
      <c r="CZ254" s="966"/>
      <c r="DA254" s="966"/>
      <c r="DB254" s="966"/>
      <c r="DC254" s="966"/>
      <c r="DD254" s="966"/>
      <c r="DE254" s="966"/>
      <c r="DF254" s="966"/>
      <c r="DG254" s="966"/>
      <c r="DH254" s="966"/>
      <c r="DI254" s="966"/>
      <c r="DJ254" s="966"/>
      <c r="DK254" s="966"/>
      <c r="DL254" s="966"/>
      <c r="DM254" s="966"/>
      <c r="DN254" s="966"/>
      <c r="DO254" s="966"/>
      <c r="DP254" s="966"/>
      <c r="DQ254" s="966"/>
    </row>
    <row r="255" spans="1:121" ht="12.75" hidden="1" customHeight="1" outlineLevel="1">
      <c r="A255" s="966" t="s">
        <v>523</v>
      </c>
      <c r="B255" s="966"/>
      <c r="C255" s="966"/>
      <c r="D255" s="966"/>
      <c r="E255" s="1267" t="s">
        <v>88</v>
      </c>
      <c r="F255" s="966"/>
      <c r="G255" s="966"/>
      <c r="H255" s="966"/>
      <c r="I255" s="966"/>
      <c r="J255" s="966"/>
      <c r="K255" s="1267" t="s">
        <v>88</v>
      </c>
      <c r="L255" s="966"/>
      <c r="M255" s="1267">
        <v>1.73</v>
      </c>
      <c r="N255" s="1267"/>
      <c r="O255" s="966"/>
      <c r="P255" s="966"/>
      <c r="Q255" s="1267">
        <v>3.65</v>
      </c>
      <c r="R255" s="966"/>
      <c r="S255" s="1267">
        <v>5.6</v>
      </c>
      <c r="T255" s="1267"/>
      <c r="U255" s="966"/>
      <c r="V255" s="966"/>
      <c r="W255" s="966">
        <v>7.59</v>
      </c>
      <c r="X255" s="966"/>
      <c r="Y255" s="966"/>
      <c r="Z255" s="966"/>
      <c r="AA255" s="966"/>
      <c r="AB255" s="966"/>
      <c r="AC255" s="966">
        <f>AC224</f>
        <v>11.11</v>
      </c>
      <c r="AD255" s="966"/>
      <c r="AE255" s="966"/>
      <c r="AF255" s="966"/>
      <c r="AG255" s="966"/>
      <c r="AH255" s="966"/>
      <c r="AI255" s="966"/>
      <c r="AJ255" s="966"/>
      <c r="AK255" s="966"/>
      <c r="AL255" s="966"/>
      <c r="AM255" s="966"/>
      <c r="AN255" s="966"/>
      <c r="AO255" s="966"/>
      <c r="AP255" s="966"/>
      <c r="AQ255" s="966"/>
      <c r="AR255" s="966"/>
      <c r="AS255" s="966"/>
      <c r="AT255" s="966"/>
      <c r="AU255" s="966"/>
      <c r="AV255" s="966"/>
      <c r="AW255" s="966"/>
      <c r="AX255" s="966"/>
      <c r="AY255" s="966"/>
      <c r="AZ255" s="966"/>
      <c r="BA255" s="966"/>
      <c r="BB255" s="966"/>
      <c r="BC255" s="966"/>
      <c r="BD255" s="966"/>
      <c r="BE255" s="966"/>
      <c r="BF255" s="966"/>
      <c r="BG255" s="966"/>
      <c r="BH255" s="966"/>
      <c r="BI255" s="966"/>
      <c r="BJ255" s="966"/>
      <c r="BK255" s="966"/>
      <c r="BL255" s="966"/>
      <c r="BM255" s="966"/>
      <c r="BN255" s="966"/>
      <c r="BO255" s="966"/>
      <c r="BP255" s="966"/>
      <c r="BQ255" s="966"/>
      <c r="BR255" s="966"/>
      <c r="BS255" s="966"/>
      <c r="BT255" s="966"/>
      <c r="BU255" s="966"/>
      <c r="BV255" s="966"/>
      <c r="BW255" s="966"/>
      <c r="BX255" s="966"/>
      <c r="BY255" s="966"/>
      <c r="BZ255" s="966"/>
      <c r="CA255" s="966"/>
      <c r="CB255" s="966"/>
      <c r="CC255" s="966"/>
      <c r="CD255" s="966"/>
      <c r="CE255" s="966"/>
      <c r="CF255" s="966"/>
      <c r="CG255" s="966"/>
      <c r="CH255" s="966"/>
      <c r="CI255" s="966"/>
      <c r="CJ255" s="966"/>
      <c r="CK255" s="966"/>
      <c r="CL255" s="966"/>
      <c r="CM255" s="966"/>
      <c r="CN255" s="966"/>
      <c r="CO255" s="966"/>
      <c r="CP255" s="966"/>
      <c r="CQ255" s="966"/>
      <c r="CR255" s="966"/>
      <c r="CS255" s="966"/>
      <c r="CT255" s="966"/>
      <c r="CU255" s="966"/>
      <c r="CV255" s="966"/>
      <c r="CW255" s="966"/>
      <c r="CX255" s="966"/>
      <c r="CY255" s="966"/>
      <c r="CZ255" s="966"/>
      <c r="DA255" s="966"/>
      <c r="DB255" s="966"/>
      <c r="DC255" s="966"/>
      <c r="DD255" s="966"/>
      <c r="DE255" s="966"/>
      <c r="DF255" s="966"/>
      <c r="DG255" s="966"/>
      <c r="DH255" s="966"/>
      <c r="DI255" s="966"/>
      <c r="DJ255" s="966"/>
      <c r="DK255" s="966"/>
      <c r="DL255" s="966"/>
      <c r="DM255" s="966"/>
      <c r="DN255" s="966"/>
      <c r="DO255" s="966"/>
      <c r="DP255" s="966"/>
      <c r="DQ255" s="966"/>
    </row>
    <row r="256" spans="1:121" ht="12.75" hidden="1" customHeight="1" outlineLevel="1">
      <c r="A256" s="1256" t="s">
        <v>815</v>
      </c>
      <c r="B256" s="966"/>
      <c r="C256" s="966"/>
      <c r="D256" s="966"/>
      <c r="E256" s="1023"/>
      <c r="F256" s="966"/>
      <c r="G256" s="966"/>
      <c r="H256" s="966"/>
      <c r="I256" s="966"/>
      <c r="J256" s="966"/>
      <c r="K256" s="1023"/>
      <c r="L256" s="966"/>
      <c r="M256" s="1023"/>
      <c r="N256" s="1023"/>
      <c r="O256" s="966"/>
      <c r="P256" s="966"/>
      <c r="Q256" s="1023"/>
      <c r="R256" s="966"/>
      <c r="S256" s="1023"/>
      <c r="T256" s="1023"/>
      <c r="U256" s="966"/>
      <c r="V256" s="966"/>
      <c r="W256" s="966"/>
      <c r="X256" s="966"/>
      <c r="Y256" s="966"/>
      <c r="Z256" s="966"/>
      <c r="AA256" s="966"/>
      <c r="AB256" s="966"/>
      <c r="AC256" s="966"/>
      <c r="AD256" s="966"/>
      <c r="AE256" s="966"/>
      <c r="AF256" s="966"/>
      <c r="AG256" s="966"/>
      <c r="AH256" s="966"/>
      <c r="AI256" s="966"/>
      <c r="AJ256" s="966"/>
      <c r="AK256" s="966"/>
      <c r="AL256" s="966"/>
      <c r="AM256" s="966"/>
      <c r="AN256" s="966"/>
      <c r="AO256" s="966"/>
      <c r="AP256" s="966"/>
      <c r="AQ256" s="966"/>
      <c r="AR256" s="966"/>
      <c r="AS256" s="966"/>
      <c r="AT256" s="966"/>
      <c r="AU256" s="966"/>
      <c r="AV256" s="966"/>
      <c r="AW256" s="966"/>
      <c r="AX256" s="966"/>
      <c r="AY256" s="966"/>
      <c r="AZ256" s="966"/>
      <c r="BA256" s="966"/>
      <c r="BB256" s="966"/>
      <c r="BC256" s="966"/>
      <c r="BD256" s="966"/>
      <c r="BE256" s="966"/>
      <c r="BF256" s="966"/>
      <c r="BG256" s="966"/>
      <c r="BH256" s="966"/>
      <c r="BI256" s="966"/>
      <c r="BJ256" s="966"/>
      <c r="BK256" s="966"/>
      <c r="BL256" s="966"/>
      <c r="BM256" s="966"/>
      <c r="BN256" s="966"/>
      <c r="BO256" s="966"/>
      <c r="BP256" s="966"/>
      <c r="BQ256" s="966"/>
      <c r="BR256" s="966"/>
      <c r="BS256" s="966"/>
      <c r="BT256" s="966"/>
      <c r="BU256" s="966"/>
      <c r="BV256" s="966"/>
      <c r="BW256" s="966"/>
      <c r="BX256" s="966"/>
      <c r="BY256" s="966"/>
      <c r="BZ256" s="966"/>
      <c r="CA256" s="966"/>
      <c r="CB256" s="966"/>
      <c r="CC256" s="966"/>
      <c r="CD256" s="966"/>
      <c r="CE256" s="966"/>
      <c r="CF256" s="966"/>
      <c r="CG256" s="966"/>
      <c r="CH256" s="966"/>
      <c r="CI256" s="966"/>
      <c r="CJ256" s="966"/>
      <c r="CK256" s="966"/>
      <c r="CL256" s="966"/>
      <c r="CM256" s="966"/>
      <c r="CN256" s="966"/>
      <c r="CO256" s="966"/>
      <c r="CP256" s="966"/>
      <c r="CQ256" s="966"/>
      <c r="CR256" s="966"/>
      <c r="CS256" s="966"/>
      <c r="CT256" s="966"/>
      <c r="CU256" s="966"/>
      <c r="CV256" s="966"/>
      <c r="CW256" s="966"/>
      <c r="CX256" s="966"/>
      <c r="CY256" s="966"/>
      <c r="CZ256" s="966"/>
      <c r="DA256" s="966"/>
      <c r="DB256" s="966"/>
      <c r="DC256" s="966"/>
      <c r="DD256" s="966"/>
      <c r="DE256" s="966"/>
      <c r="DF256" s="966"/>
      <c r="DG256" s="966"/>
      <c r="DH256" s="966"/>
      <c r="DI256" s="966"/>
      <c r="DJ256" s="966"/>
      <c r="DK256" s="966"/>
      <c r="DL256" s="966"/>
      <c r="DM256" s="966"/>
      <c r="DN256" s="966"/>
      <c r="DO256" s="966"/>
      <c r="DP256" s="966"/>
      <c r="DQ256" s="966"/>
    </row>
    <row r="257" spans="1:121" ht="12.75" hidden="1" customHeight="1" outlineLevel="1">
      <c r="A257" s="966" t="s">
        <v>524</v>
      </c>
      <c r="B257" s="966"/>
      <c r="C257" s="966"/>
      <c r="D257" s="966"/>
      <c r="E257" s="1023">
        <v>0.51</v>
      </c>
      <c r="F257" s="966"/>
      <c r="G257" s="966"/>
      <c r="H257" s="966"/>
      <c r="I257" s="966"/>
      <c r="J257" s="966"/>
      <c r="K257" s="1023">
        <v>1.1000000000000001</v>
      </c>
      <c r="L257" s="966"/>
      <c r="M257" s="1023">
        <v>1.22</v>
      </c>
      <c r="N257" s="1023"/>
      <c r="O257" s="966"/>
      <c r="P257" s="966"/>
      <c r="Q257" s="1023">
        <v>3.74</v>
      </c>
      <c r="R257" s="966"/>
      <c r="S257" s="1023">
        <v>3.22</v>
      </c>
      <c r="T257" s="1023">
        <f>T240</f>
        <v>3.6483873011896009</v>
      </c>
      <c r="U257" s="1023">
        <f>U240</f>
        <v>4.346137110195075</v>
      </c>
      <c r="V257" s="966"/>
      <c r="W257" s="966">
        <v>11.61</v>
      </c>
      <c r="X257" s="966"/>
      <c r="Y257" s="966"/>
      <c r="Z257" s="966"/>
      <c r="AA257" s="966"/>
      <c r="AB257" s="966"/>
      <c r="AC257" s="1023">
        <f>AC237</f>
        <v>24.51</v>
      </c>
      <c r="AD257" s="966"/>
      <c r="AE257" s="966"/>
      <c r="AF257" s="966"/>
      <c r="AG257" s="966"/>
      <c r="AH257" s="966"/>
      <c r="AI257" s="966"/>
      <c r="AJ257" s="966"/>
      <c r="AK257" s="966"/>
      <c r="AL257" s="966"/>
      <c r="AM257" s="966"/>
      <c r="AN257" s="966"/>
      <c r="AO257" s="966"/>
      <c r="AP257" s="966"/>
      <c r="AQ257" s="966"/>
      <c r="AR257" s="966"/>
      <c r="AS257" s="966"/>
      <c r="AT257" s="966"/>
      <c r="AU257" s="966"/>
      <c r="AV257" s="966"/>
      <c r="AW257" s="966"/>
      <c r="AX257" s="966"/>
      <c r="AY257" s="966"/>
      <c r="AZ257" s="966"/>
      <c r="BA257" s="966"/>
      <c r="BB257" s="966"/>
      <c r="BC257" s="966"/>
      <c r="BD257" s="966"/>
      <c r="BE257" s="966"/>
      <c r="BF257" s="966"/>
      <c r="BG257" s="966"/>
      <c r="BH257" s="966"/>
      <c r="BI257" s="966"/>
      <c r="BJ257" s="966"/>
      <c r="BK257" s="966"/>
      <c r="BL257" s="966"/>
      <c r="BM257" s="966"/>
      <c r="BN257" s="966"/>
      <c r="BO257" s="966"/>
      <c r="BP257" s="966"/>
      <c r="BQ257" s="966"/>
      <c r="BR257" s="966"/>
      <c r="BS257" s="966"/>
      <c r="BT257" s="966"/>
      <c r="BU257" s="966"/>
      <c r="BV257" s="966"/>
      <c r="BW257" s="966"/>
      <c r="BX257" s="966"/>
      <c r="BY257" s="966"/>
      <c r="BZ257" s="966"/>
      <c r="CA257" s="966"/>
      <c r="CB257" s="966"/>
      <c r="CC257" s="966"/>
      <c r="CD257" s="966"/>
      <c r="CE257" s="966"/>
      <c r="CF257" s="966"/>
      <c r="CG257" s="966"/>
      <c r="CH257" s="966"/>
      <c r="CI257" s="966"/>
      <c r="CJ257" s="966"/>
      <c r="CK257" s="966"/>
      <c r="CL257" s="966"/>
      <c r="CM257" s="966"/>
      <c r="CN257" s="966"/>
      <c r="CO257" s="966"/>
      <c r="CP257" s="966"/>
      <c r="CQ257" s="966"/>
      <c r="CR257" s="966"/>
      <c r="CS257" s="966"/>
      <c r="CT257" s="966"/>
      <c r="CU257" s="966"/>
      <c r="CV257" s="966"/>
      <c r="CW257" s="966"/>
      <c r="CX257" s="966"/>
      <c r="CY257" s="966"/>
      <c r="CZ257" s="966"/>
      <c r="DA257" s="966"/>
      <c r="DB257" s="966"/>
      <c r="DC257" s="966"/>
      <c r="DD257" s="966"/>
      <c r="DE257" s="966"/>
      <c r="DF257" s="966"/>
      <c r="DG257" s="966"/>
      <c r="DH257" s="966"/>
      <c r="DI257" s="966"/>
      <c r="DJ257" s="966"/>
      <c r="DK257" s="966"/>
      <c r="DL257" s="966"/>
      <c r="DM257" s="966"/>
      <c r="DN257" s="966"/>
      <c r="DO257" s="966"/>
      <c r="DP257" s="966"/>
      <c r="DQ257" s="966"/>
    </row>
    <row r="258" spans="1:121" ht="12.75" hidden="1" customHeight="1" outlineLevel="1">
      <c r="A258" s="966" t="s">
        <v>833</v>
      </c>
      <c r="B258" s="966"/>
      <c r="C258" s="966"/>
      <c r="D258" s="966"/>
      <c r="E258" s="1023">
        <v>2</v>
      </c>
      <c r="F258" s="966"/>
      <c r="G258" s="966"/>
      <c r="H258" s="966"/>
      <c r="I258" s="966"/>
      <c r="J258" s="966"/>
      <c r="K258" s="1267" t="s">
        <v>88</v>
      </c>
      <c r="L258" s="966"/>
      <c r="M258" s="1267" t="s">
        <v>88</v>
      </c>
      <c r="N258" s="1267"/>
      <c r="O258" s="966"/>
      <c r="P258" s="966"/>
      <c r="Q258" s="1267" t="s">
        <v>88</v>
      </c>
      <c r="R258" s="966"/>
      <c r="S258" s="1267" t="s">
        <v>88</v>
      </c>
      <c r="T258" s="1267" t="s">
        <v>88</v>
      </c>
      <c r="U258" s="1267" t="s">
        <v>88</v>
      </c>
      <c r="V258" s="966"/>
      <c r="W258" s="966"/>
      <c r="X258" s="966"/>
      <c r="Y258" s="966"/>
      <c r="Z258" s="966"/>
      <c r="AA258" s="966"/>
      <c r="AB258" s="966"/>
      <c r="AC258" s="966"/>
      <c r="AD258" s="966"/>
      <c r="AE258" s="966"/>
      <c r="AF258" s="966"/>
      <c r="AG258" s="966"/>
      <c r="AH258" s="966"/>
      <c r="AI258" s="966"/>
      <c r="AJ258" s="966"/>
      <c r="AK258" s="966"/>
      <c r="AL258" s="966"/>
      <c r="AM258" s="966"/>
      <c r="AN258" s="966"/>
      <c r="AO258" s="966"/>
      <c r="AP258" s="966"/>
      <c r="AQ258" s="966"/>
      <c r="AR258" s="966"/>
      <c r="AS258" s="966"/>
      <c r="AT258" s="966"/>
      <c r="AU258" s="966"/>
      <c r="AV258" s="966"/>
      <c r="AW258" s="966"/>
      <c r="AX258" s="966"/>
      <c r="AY258" s="966"/>
      <c r="AZ258" s="966"/>
      <c r="BA258" s="966"/>
      <c r="BB258" s="966"/>
      <c r="BC258" s="966"/>
      <c r="BD258" s="966"/>
      <c r="BE258" s="966"/>
      <c r="BF258" s="966"/>
      <c r="BG258" s="966"/>
      <c r="BH258" s="966"/>
      <c r="BI258" s="966"/>
      <c r="BJ258" s="966"/>
      <c r="BK258" s="966"/>
      <c r="BL258" s="966"/>
      <c r="BM258" s="966"/>
      <c r="BN258" s="966"/>
      <c r="BO258" s="966"/>
      <c r="BP258" s="966"/>
      <c r="BQ258" s="966"/>
      <c r="BR258" s="966"/>
      <c r="BS258" s="966"/>
      <c r="BT258" s="966"/>
      <c r="BU258" s="966"/>
      <c r="BV258" s="966"/>
      <c r="BW258" s="966"/>
      <c r="BX258" s="966"/>
      <c r="BY258" s="966"/>
      <c r="BZ258" s="966"/>
      <c r="CA258" s="966"/>
      <c r="CB258" s="966"/>
      <c r="CC258" s="966"/>
      <c r="CD258" s="966"/>
      <c r="CE258" s="966"/>
      <c r="CF258" s="966"/>
      <c r="CG258" s="966"/>
      <c r="CH258" s="966"/>
      <c r="CI258" s="966"/>
      <c r="CJ258" s="966"/>
      <c r="CK258" s="966"/>
      <c r="CL258" s="966"/>
      <c r="CM258" s="966"/>
      <c r="CN258" s="966"/>
      <c r="CO258" s="966"/>
      <c r="CP258" s="966"/>
      <c r="CQ258" s="966"/>
      <c r="CR258" s="966"/>
      <c r="CS258" s="966"/>
      <c r="CT258" s="966"/>
      <c r="CU258" s="966"/>
      <c r="CV258" s="966"/>
      <c r="CW258" s="966"/>
      <c r="CX258" s="966"/>
      <c r="CY258" s="966"/>
      <c r="CZ258" s="966"/>
      <c r="DA258" s="966"/>
      <c r="DB258" s="966"/>
      <c r="DC258" s="966"/>
      <c r="DD258" s="966"/>
      <c r="DE258" s="966"/>
      <c r="DF258" s="966"/>
      <c r="DG258" s="966"/>
      <c r="DH258" s="966"/>
      <c r="DI258" s="966"/>
      <c r="DJ258" s="966"/>
      <c r="DK258" s="966"/>
      <c r="DL258" s="966"/>
      <c r="DM258" s="966"/>
      <c r="DN258" s="966"/>
      <c r="DO258" s="966"/>
      <c r="DP258" s="966"/>
      <c r="DQ258" s="966"/>
    </row>
    <row r="259" spans="1:121" collapsed="1">
      <c r="A259" s="966"/>
      <c r="B259" s="966"/>
      <c r="C259" s="966"/>
      <c r="D259" s="966"/>
      <c r="E259" s="966"/>
      <c r="F259" s="966"/>
      <c r="G259" s="966"/>
      <c r="H259" s="966"/>
      <c r="I259" s="966"/>
      <c r="J259" s="966"/>
      <c r="K259" s="966"/>
      <c r="L259" s="966"/>
      <c r="M259" s="966"/>
      <c r="N259" s="966"/>
      <c r="O259" s="966"/>
      <c r="P259" s="966"/>
      <c r="Q259" s="966"/>
      <c r="R259" s="966"/>
      <c r="S259" s="966"/>
      <c r="T259" s="966"/>
      <c r="U259" s="966"/>
      <c r="V259" s="966"/>
      <c r="W259" s="966"/>
      <c r="X259" s="966"/>
      <c r="Y259" s="966"/>
      <c r="Z259" s="966"/>
      <c r="AA259" s="966"/>
      <c r="AB259" s="966"/>
      <c r="AC259" s="966"/>
      <c r="AD259" s="966"/>
      <c r="AE259" s="966"/>
      <c r="AF259" s="966"/>
      <c r="AG259" s="966"/>
      <c r="AH259" s="966"/>
      <c r="AI259" s="966"/>
      <c r="AJ259" s="966"/>
      <c r="AK259" s="966"/>
      <c r="AL259" s="966"/>
      <c r="AM259" s="966"/>
      <c r="AN259" s="966"/>
      <c r="AO259" s="966"/>
      <c r="AP259" s="966"/>
      <c r="AQ259" s="966"/>
      <c r="AR259" s="966"/>
      <c r="AS259" s="966"/>
      <c r="AT259" s="966"/>
      <c r="AU259" s="966"/>
      <c r="AV259" s="966"/>
      <c r="AW259" s="966"/>
      <c r="AX259" s="966"/>
      <c r="AY259" s="966"/>
      <c r="AZ259" s="966"/>
      <c r="BA259" s="966"/>
      <c r="BB259" s="966"/>
      <c r="BC259" s="966"/>
      <c r="BD259" s="966"/>
      <c r="BE259" s="966"/>
      <c r="BF259" s="966"/>
      <c r="BG259" s="966"/>
      <c r="BH259" s="966"/>
      <c r="BI259" s="966"/>
      <c r="BJ259" s="966"/>
      <c r="BK259" s="966"/>
      <c r="BL259" s="966"/>
      <c r="BM259" s="966"/>
      <c r="BN259" s="966"/>
      <c r="BO259" s="966"/>
      <c r="BP259" s="966"/>
      <c r="BQ259" s="966"/>
      <c r="BR259" s="966"/>
      <c r="BS259" s="966"/>
      <c r="BT259" s="966"/>
      <c r="BU259" s="966"/>
      <c r="BV259" s="966"/>
      <c r="BW259" s="966"/>
      <c r="BX259" s="966"/>
      <c r="BY259" s="966"/>
      <c r="BZ259" s="966"/>
      <c r="CA259" s="966"/>
      <c r="CB259" s="966"/>
      <c r="CC259" s="966"/>
      <c r="CD259" s="966"/>
      <c r="CE259" s="966"/>
      <c r="CF259" s="966"/>
      <c r="CG259" s="966"/>
      <c r="CH259" s="966"/>
      <c r="CI259" s="966"/>
      <c r="CJ259" s="966"/>
      <c r="CK259" s="966"/>
      <c r="CL259" s="966"/>
      <c r="CM259" s="966"/>
      <c r="CN259" s="966"/>
      <c r="CO259" s="966"/>
      <c r="CP259" s="966"/>
      <c r="CQ259" s="966"/>
      <c r="CR259" s="966"/>
      <c r="CS259" s="966"/>
      <c r="CT259" s="966"/>
      <c r="CU259" s="966"/>
      <c r="CV259" s="966"/>
      <c r="CW259" s="966"/>
      <c r="CX259" s="966"/>
      <c r="CY259" s="966"/>
      <c r="CZ259" s="966"/>
      <c r="DA259" s="966"/>
      <c r="DB259" s="966"/>
      <c r="DC259" s="966"/>
      <c r="DD259" s="966"/>
      <c r="DE259" s="966"/>
      <c r="DF259" s="966"/>
      <c r="DG259" s="966"/>
      <c r="DH259" s="966"/>
      <c r="DI259" s="966"/>
      <c r="DJ259" s="966"/>
      <c r="DK259" s="966"/>
      <c r="DL259" s="966"/>
      <c r="DM259" s="966"/>
      <c r="DN259" s="966"/>
      <c r="DO259" s="966"/>
      <c r="DP259" s="966"/>
      <c r="DQ259" s="966"/>
    </row>
    <row r="260" spans="1:121">
      <c r="A260" s="966" t="s">
        <v>49</v>
      </c>
      <c r="B260" s="966"/>
      <c r="C260" s="966"/>
      <c r="D260" s="966"/>
      <c r="E260" s="966"/>
      <c r="F260" s="966"/>
      <c r="G260" s="966"/>
      <c r="H260" s="966"/>
      <c r="I260" s="966"/>
      <c r="J260" s="966"/>
      <c r="K260" s="966"/>
      <c r="L260" s="966"/>
      <c r="M260" s="966"/>
      <c r="N260" s="966"/>
      <c r="O260" s="966"/>
      <c r="P260" s="966"/>
      <c r="Q260" s="966"/>
      <c r="R260" s="966"/>
      <c r="S260" s="966"/>
      <c r="T260" s="966"/>
      <c r="U260" s="966"/>
      <c r="V260" s="966"/>
      <c r="W260" s="966"/>
      <c r="X260" s="966"/>
      <c r="Y260" s="966"/>
      <c r="Z260" s="966"/>
      <c r="AA260" s="966"/>
      <c r="AB260" s="966"/>
      <c r="AC260" s="966"/>
      <c r="AD260" s="966"/>
      <c r="AE260" s="966"/>
      <c r="AF260" s="966"/>
      <c r="AG260" s="966"/>
      <c r="AH260" s="966"/>
      <c r="AI260" s="966"/>
      <c r="AJ260" s="966"/>
      <c r="AK260" s="966"/>
      <c r="AL260" s="966"/>
      <c r="AM260" s="966"/>
      <c r="AN260" s="966"/>
      <c r="AO260" s="966"/>
      <c r="AP260" s="966"/>
      <c r="AQ260" s="966"/>
      <c r="AR260" s="966"/>
      <c r="AS260" s="966"/>
      <c r="AT260" s="966"/>
      <c r="AU260" s="966"/>
      <c r="AV260" s="966"/>
      <c r="AW260" s="966"/>
      <c r="AX260" s="966"/>
      <c r="AY260" s="966"/>
      <c r="AZ260" s="966">
        <v>575</v>
      </c>
      <c r="BA260" s="966"/>
      <c r="BB260" s="966"/>
      <c r="BC260" s="966">
        <v>575</v>
      </c>
      <c r="BD260" s="966">
        <v>575</v>
      </c>
      <c r="BE260" s="966">
        <v>575</v>
      </c>
      <c r="BF260" s="966">
        <v>575</v>
      </c>
      <c r="BG260" s="966"/>
      <c r="BH260" s="966"/>
      <c r="BI260" s="966">
        <v>575</v>
      </c>
      <c r="BJ260" s="966">
        <v>575</v>
      </c>
      <c r="BK260" s="966">
        <v>575</v>
      </c>
      <c r="BL260" s="966">
        <v>575</v>
      </c>
      <c r="BM260" s="966"/>
      <c r="BN260" s="966"/>
      <c r="BO260" s="966">
        <v>575</v>
      </c>
      <c r="BP260" s="966">
        <v>575</v>
      </c>
      <c r="BQ260" s="966">
        <v>575</v>
      </c>
      <c r="BR260" s="966">
        <v>575</v>
      </c>
      <c r="BS260" s="966"/>
      <c r="BT260" s="966"/>
      <c r="BU260" s="966">
        <v>575</v>
      </c>
      <c r="BV260" s="966">
        <v>575</v>
      </c>
      <c r="BW260" s="966">
        <v>575</v>
      </c>
      <c r="BX260" s="966">
        <v>575</v>
      </c>
      <c r="BY260" s="966"/>
      <c r="BZ260" s="966"/>
      <c r="CA260" s="966">
        <v>575</v>
      </c>
      <c r="CB260" s="966">
        <v>575</v>
      </c>
      <c r="CC260" s="966">
        <v>575</v>
      </c>
      <c r="CD260" s="966">
        <v>575</v>
      </c>
      <c r="CE260" s="966"/>
      <c r="CF260" s="966"/>
      <c r="CG260" s="966">
        <v>575</v>
      </c>
      <c r="CH260" s="966">
        <v>575</v>
      </c>
      <c r="CI260" s="966"/>
      <c r="CJ260" s="966"/>
      <c r="CK260" s="966"/>
      <c r="CL260" s="966"/>
      <c r="CM260" s="966"/>
      <c r="CN260" s="966"/>
      <c r="CO260" s="966"/>
      <c r="CP260" s="966"/>
      <c r="CQ260" s="966"/>
      <c r="CR260" s="966"/>
      <c r="CS260" s="966"/>
      <c r="CT260" s="966"/>
      <c r="CU260" s="966"/>
      <c r="CV260" s="966"/>
      <c r="CW260" s="966"/>
      <c r="CX260" s="966"/>
      <c r="CY260" s="966"/>
      <c r="CZ260" s="966"/>
      <c r="DA260" s="966"/>
      <c r="DB260" s="966"/>
      <c r="DC260" s="966"/>
      <c r="DD260" s="966"/>
      <c r="DE260" s="966"/>
      <c r="DF260" s="966"/>
      <c r="DG260" s="966"/>
      <c r="DH260" s="966"/>
      <c r="DI260" s="966"/>
      <c r="DJ260" s="966"/>
      <c r="DK260" s="966"/>
      <c r="DL260" s="966"/>
      <c r="DM260" s="966"/>
      <c r="DN260" s="966"/>
      <c r="DO260" s="966"/>
      <c r="DP260" s="966"/>
      <c r="DQ260" s="966"/>
    </row>
    <row r="261" spans="1:121">
      <c r="A261" s="966" t="s">
        <v>600</v>
      </c>
      <c r="B261" s="966"/>
      <c r="C261" s="966"/>
      <c r="D261" s="966"/>
      <c r="E261" s="966"/>
      <c r="F261" s="966"/>
      <c r="G261" s="966"/>
      <c r="H261" s="966"/>
      <c r="I261" s="966"/>
      <c r="J261" s="966"/>
      <c r="K261" s="966"/>
      <c r="L261" s="966"/>
      <c r="M261" s="966"/>
      <c r="N261" s="966"/>
      <c r="O261" s="966"/>
      <c r="P261" s="966"/>
      <c r="Q261" s="966"/>
      <c r="R261" s="966"/>
      <c r="S261" s="966"/>
      <c r="T261" s="966"/>
      <c r="U261" s="966"/>
      <c r="V261" s="966"/>
      <c r="W261" s="966"/>
      <c r="X261" s="966"/>
      <c r="Y261" s="966"/>
      <c r="Z261" s="966"/>
      <c r="AA261" s="966"/>
      <c r="AB261" s="966"/>
      <c r="AC261" s="966"/>
      <c r="AD261" s="966"/>
      <c r="AE261" s="966"/>
      <c r="AF261" s="966"/>
      <c r="AG261" s="966"/>
      <c r="AH261" s="966"/>
      <c r="AI261" s="966"/>
      <c r="AJ261" s="966"/>
      <c r="AK261" s="966"/>
      <c r="AL261" s="966"/>
      <c r="AM261" s="966"/>
      <c r="AN261" s="966"/>
      <c r="AO261" s="966"/>
      <c r="AP261" s="966"/>
      <c r="AQ261" s="966"/>
      <c r="AR261" s="966"/>
      <c r="AS261" s="966"/>
      <c r="AT261" s="966"/>
      <c r="AU261" s="966"/>
      <c r="AV261" s="966"/>
      <c r="AW261" s="966"/>
      <c r="AX261" s="966"/>
      <c r="AY261" s="966"/>
      <c r="AZ261" s="966"/>
      <c r="BA261" s="966"/>
      <c r="BB261" s="966"/>
      <c r="BC261" s="993">
        <f>(BC260*0.0075)/4</f>
        <v>1.078125</v>
      </c>
      <c r="BD261" s="993">
        <f>(BD260*0.0075)/4</f>
        <v>1.078125</v>
      </c>
      <c r="BE261" s="993">
        <f>Model!BE73</f>
        <v>-1.7089999999999996</v>
      </c>
      <c r="BF261" s="993">
        <f>Model!BF73</f>
        <v>-0.85999999999999988</v>
      </c>
      <c r="BG261" s="966"/>
      <c r="BH261" s="966"/>
      <c r="BI261" s="993">
        <f>Model!BI73</f>
        <v>-0.91299999999999981</v>
      </c>
      <c r="BJ261" s="993">
        <f>Model!BJ73</f>
        <v>-1.1339999999999999</v>
      </c>
      <c r="BK261" s="993">
        <f>Model!BK73</f>
        <v>-1.1469999999999998</v>
      </c>
      <c r="BL261" s="993">
        <f>Model!BL73</f>
        <v>-1.5249999999999995</v>
      </c>
      <c r="BM261" s="966"/>
      <c r="BN261" s="966"/>
      <c r="BO261" s="993">
        <f>Model!BO73</f>
        <v>-1.4770000000000003</v>
      </c>
      <c r="BP261" s="993">
        <f>Model!BP73</f>
        <v>-1.8259999999999996</v>
      </c>
      <c r="BQ261" s="993">
        <f>Model!BQ73</f>
        <v>-1.8319999999999999</v>
      </c>
      <c r="BR261" s="993">
        <f>Model!BR73</f>
        <v>-1.9660000000000002</v>
      </c>
      <c r="BS261" s="966"/>
      <c r="BT261" s="966"/>
      <c r="BU261" s="993">
        <f>BR261</f>
        <v>-1.9660000000000002</v>
      </c>
      <c r="BV261" s="993">
        <f t="shared" ref="BV261:BX262" si="132">BU261</f>
        <v>-1.9660000000000002</v>
      </c>
      <c r="BW261" s="993">
        <f t="shared" si="132"/>
        <v>-1.9660000000000002</v>
      </c>
      <c r="BX261" s="993">
        <f t="shared" si="132"/>
        <v>-1.9660000000000002</v>
      </c>
      <c r="BY261" s="966"/>
      <c r="BZ261" s="966"/>
      <c r="CA261" s="993">
        <f>BX261</f>
        <v>-1.9660000000000002</v>
      </c>
      <c r="CB261" s="993">
        <f t="shared" ref="CB261:CD262" si="133">CA261</f>
        <v>-1.9660000000000002</v>
      </c>
      <c r="CC261" s="993">
        <f t="shared" si="133"/>
        <v>-1.9660000000000002</v>
      </c>
      <c r="CD261" s="993">
        <f t="shared" si="133"/>
        <v>-1.9660000000000002</v>
      </c>
      <c r="CE261" s="966"/>
      <c r="CF261" s="966"/>
      <c r="CG261" s="993">
        <f>CD261</f>
        <v>-1.9660000000000002</v>
      </c>
      <c r="CH261" s="993">
        <f>CG261</f>
        <v>-1.9660000000000002</v>
      </c>
      <c r="CI261" s="993"/>
      <c r="CJ261" s="993"/>
      <c r="CK261" s="966"/>
      <c r="CL261" s="966"/>
      <c r="CM261" s="993"/>
      <c r="CN261" s="993"/>
      <c r="CO261" s="993"/>
      <c r="CP261" s="993"/>
      <c r="CQ261" s="966"/>
      <c r="CR261" s="966"/>
      <c r="CS261" s="993"/>
      <c r="CT261" s="993"/>
      <c r="CU261" s="993"/>
      <c r="CV261" s="993"/>
      <c r="CW261" s="966"/>
      <c r="CX261" s="966"/>
      <c r="CY261" s="993"/>
      <c r="CZ261" s="993"/>
      <c r="DA261" s="993"/>
      <c r="DB261" s="993"/>
      <c r="DC261" s="966"/>
      <c r="DD261" s="966"/>
      <c r="DE261" s="993"/>
      <c r="DF261" s="993"/>
      <c r="DG261" s="993"/>
      <c r="DH261" s="993"/>
      <c r="DI261" s="966"/>
      <c r="DJ261" s="966"/>
      <c r="DK261" s="993"/>
      <c r="DL261" s="993"/>
      <c r="DM261" s="993"/>
      <c r="DN261" s="993"/>
      <c r="DO261" s="966"/>
      <c r="DP261" s="966"/>
      <c r="DQ261" s="966"/>
    </row>
    <row r="262" spans="1:121">
      <c r="A262" s="966" t="s">
        <v>601</v>
      </c>
      <c r="B262" s="966"/>
      <c r="C262" s="966"/>
      <c r="D262" s="966"/>
      <c r="E262" s="966"/>
      <c r="F262" s="966"/>
      <c r="G262" s="966"/>
      <c r="H262" s="966"/>
      <c r="I262" s="966"/>
      <c r="J262" s="966"/>
      <c r="K262" s="966"/>
      <c r="L262" s="966"/>
      <c r="M262" s="966"/>
      <c r="N262" s="966"/>
      <c r="O262" s="966"/>
      <c r="P262" s="966"/>
      <c r="Q262" s="966"/>
      <c r="R262" s="966"/>
      <c r="S262" s="966"/>
      <c r="T262" s="966"/>
      <c r="U262" s="966"/>
      <c r="V262" s="966"/>
      <c r="W262" s="966"/>
      <c r="X262" s="966"/>
      <c r="Y262" s="966"/>
      <c r="Z262" s="966"/>
      <c r="AA262" s="966"/>
      <c r="AB262" s="966"/>
      <c r="AC262" s="966"/>
      <c r="AD262" s="966"/>
      <c r="AE262" s="966"/>
      <c r="AF262" s="966"/>
      <c r="AG262" s="966"/>
      <c r="AH262" s="966"/>
      <c r="AI262" s="966"/>
      <c r="AJ262" s="966"/>
      <c r="AK262" s="966"/>
      <c r="AL262" s="966"/>
      <c r="AM262" s="966"/>
      <c r="AN262" s="966"/>
      <c r="AO262" s="966"/>
      <c r="AP262" s="966"/>
      <c r="AQ262" s="966"/>
      <c r="AR262" s="966"/>
      <c r="AS262" s="966"/>
      <c r="AT262" s="966"/>
      <c r="AU262" s="966"/>
      <c r="AV262" s="966"/>
      <c r="AW262" s="966"/>
      <c r="AX262" s="966"/>
      <c r="AY262" s="966"/>
      <c r="AZ262" s="966"/>
      <c r="BA262" s="966"/>
      <c r="BB262" s="966"/>
      <c r="BC262" s="993">
        <f>22.4/4</f>
        <v>5.6</v>
      </c>
      <c r="BD262" s="993">
        <f>22.4/4</f>
        <v>5.6</v>
      </c>
      <c r="BE262" s="993">
        <f>22.4/4</f>
        <v>5.6</v>
      </c>
      <c r="BF262" s="993">
        <f>BF263-BE263</f>
        <v>5.5399999999999636</v>
      </c>
      <c r="BG262" s="966"/>
      <c r="BH262" s="966"/>
      <c r="BI262" s="977">
        <f>BI263-BF263</f>
        <v>5.8310000000000173</v>
      </c>
      <c r="BJ262" s="977">
        <f>BJ263-BI263</f>
        <v>5.7589999999999577</v>
      </c>
      <c r="BK262" s="977">
        <f>BK263-BJ263</f>
        <v>5.9910000000000423</v>
      </c>
      <c r="BL262" s="993">
        <f>BL263-BK263</f>
        <v>6.0299999999999727</v>
      </c>
      <c r="BM262" s="966"/>
      <c r="BN262" s="966"/>
      <c r="BO262" s="977">
        <f>BO263-BL263</f>
        <v>6.1770000000000209</v>
      </c>
      <c r="BP262" s="977">
        <f>BP263-BO263</f>
        <v>6.2069999999999936</v>
      </c>
      <c r="BQ262" s="977">
        <f>BQ263-BP263</f>
        <v>6.3579999999999472</v>
      </c>
      <c r="BR262" s="977">
        <f>BR263-BQ263</f>
        <v>6.3870000000000573</v>
      </c>
      <c r="BS262" s="966"/>
      <c r="BT262" s="966"/>
      <c r="BU262" s="993">
        <f>BR262</f>
        <v>6.3870000000000573</v>
      </c>
      <c r="BV262" s="993">
        <f t="shared" si="132"/>
        <v>6.3870000000000573</v>
      </c>
      <c r="BW262" s="993">
        <f t="shared" si="132"/>
        <v>6.3870000000000573</v>
      </c>
      <c r="BX262" s="993">
        <f t="shared" si="132"/>
        <v>6.3870000000000573</v>
      </c>
      <c r="BY262" s="966"/>
      <c r="BZ262" s="966"/>
      <c r="CA262" s="993">
        <f>BX262</f>
        <v>6.3870000000000573</v>
      </c>
      <c r="CB262" s="993">
        <f t="shared" si="133"/>
        <v>6.3870000000000573</v>
      </c>
      <c r="CC262" s="993">
        <f t="shared" si="133"/>
        <v>6.3870000000000573</v>
      </c>
      <c r="CD262" s="993">
        <f t="shared" si="133"/>
        <v>6.3870000000000573</v>
      </c>
      <c r="CE262" s="966"/>
      <c r="CF262" s="966"/>
      <c r="CG262" s="993">
        <f>CD262</f>
        <v>6.3870000000000573</v>
      </c>
      <c r="CH262" s="993">
        <f>CG262</f>
        <v>6.3870000000000573</v>
      </c>
      <c r="CI262" s="993"/>
      <c r="CJ262" s="993"/>
      <c r="CK262" s="966"/>
      <c r="CL262" s="966"/>
      <c r="CM262" s="993"/>
      <c r="CN262" s="993"/>
      <c r="CO262" s="993"/>
      <c r="CP262" s="993"/>
      <c r="CQ262" s="966"/>
      <c r="CR262" s="966"/>
      <c r="CS262" s="993"/>
      <c r="CT262" s="993"/>
      <c r="CU262" s="993"/>
      <c r="CV262" s="993"/>
      <c r="CW262" s="966"/>
      <c r="CX262" s="966"/>
      <c r="CY262" s="993"/>
      <c r="CZ262" s="993"/>
      <c r="DA262" s="993"/>
      <c r="DB262" s="993"/>
      <c r="DC262" s="966"/>
      <c r="DD262" s="966"/>
      <c r="DE262" s="993"/>
      <c r="DF262" s="993"/>
      <c r="DG262" s="993"/>
      <c r="DH262" s="993"/>
      <c r="DI262" s="966"/>
      <c r="DJ262" s="966"/>
      <c r="DK262" s="993"/>
      <c r="DL262" s="993"/>
      <c r="DM262" s="993"/>
      <c r="DN262" s="993"/>
      <c r="DO262" s="966"/>
      <c r="DP262" s="966"/>
      <c r="DQ262" s="966"/>
    </row>
    <row r="263" spans="1:121">
      <c r="A263" s="966" t="s">
        <v>602</v>
      </c>
      <c r="B263" s="966"/>
      <c r="C263" s="966"/>
      <c r="D263" s="966"/>
      <c r="E263" s="966"/>
      <c r="F263" s="966"/>
      <c r="G263" s="966"/>
      <c r="H263" s="966"/>
      <c r="I263" s="966"/>
      <c r="J263" s="966"/>
      <c r="K263" s="966"/>
      <c r="L263" s="966"/>
      <c r="M263" s="966"/>
      <c r="N263" s="966"/>
      <c r="O263" s="966"/>
      <c r="P263" s="966"/>
      <c r="Q263" s="966"/>
      <c r="R263" s="966"/>
      <c r="S263" s="966"/>
      <c r="T263" s="966"/>
      <c r="U263" s="966"/>
      <c r="V263" s="966"/>
      <c r="W263" s="966"/>
      <c r="X263" s="966"/>
      <c r="Y263" s="966"/>
      <c r="Z263" s="966"/>
      <c r="AA263" s="966"/>
      <c r="AB263" s="966"/>
      <c r="AC263" s="966"/>
      <c r="AD263" s="966"/>
      <c r="AE263" s="966"/>
      <c r="AF263" s="966"/>
      <c r="AG263" s="966"/>
      <c r="AH263" s="966"/>
      <c r="AI263" s="966"/>
      <c r="AJ263" s="966"/>
      <c r="AK263" s="966"/>
      <c r="AL263" s="966"/>
      <c r="AM263" s="966"/>
      <c r="AN263" s="966"/>
      <c r="AO263" s="966"/>
      <c r="AP263" s="966"/>
      <c r="AQ263" s="966"/>
      <c r="AR263" s="966"/>
      <c r="AS263" s="966"/>
      <c r="AT263" s="966"/>
      <c r="AU263" s="966"/>
      <c r="AV263" s="966"/>
      <c r="AW263" s="966"/>
      <c r="AX263" s="966"/>
      <c r="AY263" s="966"/>
      <c r="AZ263" s="993">
        <f>AZ40</f>
        <v>450.19799999999998</v>
      </c>
      <c r="BA263" s="966"/>
      <c r="BB263" s="966"/>
      <c r="BC263" s="993">
        <f>AZ263+BC262</f>
        <v>455.798</v>
      </c>
      <c r="BD263" s="993">
        <f>BC263+BD262</f>
        <v>461.39800000000002</v>
      </c>
      <c r="BE263" s="993">
        <f>BD263+BE262</f>
        <v>466.99800000000005</v>
      </c>
      <c r="BF263" s="993">
        <f>BF40</f>
        <v>472.53800000000001</v>
      </c>
      <c r="BG263" s="966"/>
      <c r="BH263" s="966"/>
      <c r="BI263" s="993">
        <f>BI34</f>
        <v>478.36900000000003</v>
      </c>
      <c r="BJ263" s="993">
        <f>BJ34</f>
        <v>484.12799999999999</v>
      </c>
      <c r="BK263" s="993">
        <f>BK34</f>
        <v>490.11900000000003</v>
      </c>
      <c r="BL263" s="993">
        <f>BL34</f>
        <v>496.149</v>
      </c>
      <c r="BM263" s="966"/>
      <c r="BN263" s="966"/>
      <c r="BO263" s="993">
        <f>BO40</f>
        <v>502.32600000000002</v>
      </c>
      <c r="BP263" s="993">
        <f>BP34</f>
        <v>508.53300000000002</v>
      </c>
      <c r="BQ263" s="993">
        <f>BQ34</f>
        <v>514.89099999999996</v>
      </c>
      <c r="BR263" s="993">
        <f>BR34</f>
        <v>521.27800000000002</v>
      </c>
      <c r="BS263" s="966"/>
      <c r="BT263" s="966"/>
      <c r="BU263" s="993">
        <f>BR263+BU262</f>
        <v>527.66500000000008</v>
      </c>
      <c r="BV263" s="993">
        <f>BU263+BV262</f>
        <v>534.05200000000013</v>
      </c>
      <c r="BW263" s="993">
        <f>BV263+BW262</f>
        <v>540.43900000000019</v>
      </c>
      <c r="BX263" s="993">
        <f>BW263+BX262</f>
        <v>546.82600000000025</v>
      </c>
      <c r="BY263" s="966"/>
      <c r="BZ263" s="966"/>
      <c r="CA263" s="993">
        <f>BX263+CA262-280</f>
        <v>273.21300000000031</v>
      </c>
      <c r="CB263" s="993">
        <f>CA263+CB262</f>
        <v>279.60000000000036</v>
      </c>
      <c r="CC263" s="993">
        <f>CB263+CC262</f>
        <v>285.98700000000042</v>
      </c>
      <c r="CD263" s="993">
        <f>CC263+CD262</f>
        <v>292.37400000000048</v>
      </c>
      <c r="CE263" s="966"/>
      <c r="CF263" s="966"/>
      <c r="CG263" s="993">
        <f>CD263+CG262-280</f>
        <v>18.761000000000536</v>
      </c>
      <c r="CH263" s="993">
        <f>CG263+CH262</f>
        <v>25.148000000000593</v>
      </c>
      <c r="CI263" s="993"/>
      <c r="CJ263" s="993"/>
      <c r="CK263" s="966"/>
      <c r="CL263" s="966"/>
      <c r="CM263" s="993"/>
      <c r="CN263" s="993"/>
      <c r="CO263" s="993"/>
      <c r="CP263" s="993"/>
      <c r="CQ263" s="966"/>
      <c r="CR263" s="966"/>
      <c r="CS263" s="993"/>
      <c r="CT263" s="993"/>
      <c r="CU263" s="993"/>
      <c r="CV263" s="993"/>
      <c r="CW263" s="966"/>
      <c r="CX263" s="966"/>
      <c r="CY263" s="993"/>
      <c r="CZ263" s="993"/>
      <c r="DA263" s="993"/>
      <c r="DB263" s="993"/>
      <c r="DC263" s="966"/>
      <c r="DD263" s="966"/>
      <c r="DE263" s="993"/>
      <c r="DF263" s="993"/>
      <c r="DG263" s="993"/>
      <c r="DH263" s="993"/>
      <c r="DI263" s="966"/>
      <c r="DJ263" s="966"/>
      <c r="DK263" s="993"/>
      <c r="DL263" s="993"/>
      <c r="DM263" s="993"/>
      <c r="DN263" s="993"/>
      <c r="DO263" s="966"/>
      <c r="DP263" s="966"/>
      <c r="DQ263" s="966"/>
    </row>
    <row r="264" spans="1:121">
      <c r="A264" s="966" t="s">
        <v>603</v>
      </c>
      <c r="B264" s="966"/>
      <c r="C264" s="966"/>
      <c r="D264" s="966"/>
      <c r="E264" s="966"/>
      <c r="F264" s="966"/>
      <c r="G264" s="966"/>
      <c r="H264" s="966"/>
      <c r="I264" s="966"/>
      <c r="J264" s="966"/>
      <c r="K264" s="966"/>
      <c r="L264" s="966"/>
      <c r="M264" s="966"/>
      <c r="N264" s="966"/>
      <c r="O264" s="966"/>
      <c r="P264" s="966"/>
      <c r="Q264" s="966"/>
      <c r="R264" s="966"/>
      <c r="S264" s="966"/>
      <c r="T264" s="966"/>
      <c r="U264" s="966"/>
      <c r="V264" s="966"/>
      <c r="W264" s="966"/>
      <c r="X264" s="966"/>
      <c r="Y264" s="966"/>
      <c r="Z264" s="966"/>
      <c r="AA264" s="966"/>
      <c r="AB264" s="966"/>
      <c r="AC264" s="966"/>
      <c r="AD264" s="966"/>
      <c r="AE264" s="966"/>
      <c r="AF264" s="966"/>
      <c r="AG264" s="966"/>
      <c r="AH264" s="966"/>
      <c r="AI264" s="966"/>
      <c r="AJ264" s="966"/>
      <c r="AK264" s="966"/>
      <c r="AL264" s="966"/>
      <c r="AM264" s="966"/>
      <c r="AN264" s="966"/>
      <c r="AO264" s="966"/>
      <c r="AP264" s="966"/>
      <c r="AQ264" s="966"/>
      <c r="AR264" s="966"/>
      <c r="AS264" s="966"/>
      <c r="AT264" s="966"/>
      <c r="AU264" s="966"/>
      <c r="AV264" s="966"/>
      <c r="AW264" s="966"/>
      <c r="AX264" s="966"/>
      <c r="AY264" s="966"/>
      <c r="AZ264" s="993">
        <f>AZ260-AZ263</f>
        <v>124.80200000000002</v>
      </c>
      <c r="BA264" s="966"/>
      <c r="BB264" s="966"/>
      <c r="BC264" s="993">
        <f>BC260-BC263</f>
        <v>119.202</v>
      </c>
      <c r="BD264" s="993">
        <f>BD260-BD263</f>
        <v>113.60199999999998</v>
      </c>
      <c r="BE264" s="993">
        <f>BE260-BE263</f>
        <v>108.00199999999995</v>
      </c>
      <c r="BF264" s="993">
        <f>BF260-BF263</f>
        <v>102.46199999999999</v>
      </c>
      <c r="BG264" s="966"/>
      <c r="BH264" s="966"/>
      <c r="BI264" s="993">
        <f>BI260-BI263</f>
        <v>96.630999999999972</v>
      </c>
      <c r="BJ264" s="993">
        <f>BJ260-BJ263</f>
        <v>90.872000000000014</v>
      </c>
      <c r="BK264" s="993">
        <f>BK260-BK263</f>
        <v>84.880999999999972</v>
      </c>
      <c r="BL264" s="993">
        <f>BL260-BL263</f>
        <v>78.850999999999999</v>
      </c>
      <c r="BM264" s="966"/>
      <c r="BN264" s="966"/>
      <c r="BO264" s="993">
        <f>BO260-BO263</f>
        <v>72.673999999999978</v>
      </c>
      <c r="BP264" s="993">
        <f>BP260-BP263</f>
        <v>66.466999999999985</v>
      </c>
      <c r="BQ264" s="993">
        <f>BQ260-BQ263</f>
        <v>60.109000000000037</v>
      </c>
      <c r="BR264" s="993">
        <f>BR260-BR263</f>
        <v>53.72199999999998</v>
      </c>
      <c r="BS264" s="966"/>
      <c r="BT264" s="966"/>
      <c r="BU264" s="993">
        <f>BU260-BU263</f>
        <v>47.334999999999923</v>
      </c>
      <c r="BV264" s="993">
        <f>BV260-BV263</f>
        <v>40.947999999999865</v>
      </c>
      <c r="BW264" s="993">
        <f>BW260-BW263</f>
        <v>34.560999999999808</v>
      </c>
      <c r="BX264" s="993">
        <f>BX260-BX263</f>
        <v>28.173999999999751</v>
      </c>
      <c r="BY264" s="966"/>
      <c r="BZ264" s="966"/>
      <c r="CA264" s="993">
        <f>CA260-CA263</f>
        <v>301.78699999999969</v>
      </c>
      <c r="CB264" s="993">
        <f>CB260-CB263</f>
        <v>295.39999999999964</v>
      </c>
      <c r="CC264" s="993">
        <f>CC260-CC263</f>
        <v>289.01299999999958</v>
      </c>
      <c r="CD264" s="993">
        <f>CD260-CD263</f>
        <v>282.62599999999952</v>
      </c>
      <c r="CE264" s="966"/>
      <c r="CF264" s="966"/>
      <c r="CG264" s="993">
        <f>CG260-CG263</f>
        <v>556.23899999999946</v>
      </c>
      <c r="CH264" s="993">
        <f>CH260-CH263</f>
        <v>549.85199999999941</v>
      </c>
      <c r="CI264" s="993"/>
      <c r="CJ264" s="993"/>
      <c r="CK264" s="966"/>
      <c r="CL264" s="966"/>
      <c r="CM264" s="993"/>
      <c r="CN264" s="993"/>
      <c r="CO264" s="993"/>
      <c r="CP264" s="993"/>
      <c r="CQ264" s="966"/>
      <c r="CR264" s="966"/>
      <c r="CS264" s="993"/>
      <c r="CT264" s="993"/>
      <c r="CU264" s="993"/>
      <c r="CV264" s="993"/>
      <c r="CW264" s="966"/>
      <c r="CX264" s="966"/>
      <c r="CY264" s="993"/>
      <c r="CZ264" s="993"/>
      <c r="DA264" s="993"/>
      <c r="DB264" s="993"/>
      <c r="DC264" s="966"/>
      <c r="DD264" s="966"/>
      <c r="DE264" s="993"/>
      <c r="DF264" s="993"/>
      <c r="DG264" s="993"/>
      <c r="DH264" s="993"/>
      <c r="DI264" s="966"/>
      <c r="DJ264" s="966"/>
      <c r="DK264" s="993"/>
      <c r="DL264" s="993"/>
      <c r="DM264" s="993"/>
      <c r="DN264" s="993"/>
      <c r="DO264" s="966"/>
      <c r="DP264" s="966"/>
      <c r="DQ264" s="966"/>
    </row>
    <row r="265" spans="1:121">
      <c r="BR265" s="1268"/>
    </row>
    <row r="266" spans="1:121">
      <c r="A266" s="966" t="s">
        <v>48</v>
      </c>
      <c r="B266" s="966"/>
      <c r="C266" s="966"/>
      <c r="D266" s="966"/>
      <c r="E266" s="966"/>
      <c r="F266" s="966"/>
      <c r="G266" s="966"/>
      <c r="H266" s="966"/>
      <c r="I266" s="966"/>
      <c r="J266" s="966"/>
      <c r="K266" s="966"/>
      <c r="L266" s="966"/>
      <c r="M266" s="966"/>
      <c r="N266" s="966"/>
      <c r="O266" s="966"/>
      <c r="P266" s="966"/>
      <c r="Q266" s="966"/>
      <c r="R266" s="966"/>
      <c r="S266" s="966"/>
      <c r="T266" s="966"/>
      <c r="U266" s="966"/>
      <c r="V266" s="966"/>
      <c r="W266" s="966"/>
      <c r="X266" s="966"/>
      <c r="Y266" s="966"/>
      <c r="Z266" s="966"/>
      <c r="AA266" s="966"/>
      <c r="AB266" s="966"/>
      <c r="AC266" s="966"/>
      <c r="AD266" s="966"/>
      <c r="AE266" s="966"/>
      <c r="AF266" s="966"/>
      <c r="AG266" s="966"/>
      <c r="AH266" s="966"/>
      <c r="AI266" s="966"/>
      <c r="AJ266" s="966"/>
      <c r="AK266" s="966"/>
      <c r="AL266" s="966"/>
      <c r="AM266" s="966"/>
      <c r="AN266" s="966"/>
      <c r="AO266" s="966"/>
      <c r="AP266" s="966"/>
      <c r="AQ266" s="966"/>
      <c r="AR266" s="966"/>
      <c r="AS266" s="966"/>
      <c r="AT266" s="966"/>
      <c r="AU266" s="966"/>
      <c r="AV266" s="966"/>
      <c r="AW266" s="966"/>
      <c r="AX266" s="966"/>
      <c r="AY266" s="966"/>
      <c r="AZ266" s="966"/>
      <c r="BA266" s="966"/>
      <c r="BB266" s="966"/>
      <c r="BC266" s="966"/>
      <c r="BD266" s="966"/>
      <c r="BE266" s="966"/>
      <c r="BF266" s="966"/>
      <c r="BG266" s="966"/>
      <c r="BH266" s="966"/>
      <c r="BI266" s="966"/>
      <c r="BJ266" s="966"/>
      <c r="BK266" s="966"/>
      <c r="BL266" s="966"/>
      <c r="BM266" s="966"/>
      <c r="BN266" s="966"/>
      <c r="BO266" s="966"/>
      <c r="BP266" s="966"/>
      <c r="BQ266" s="966"/>
      <c r="BR266" s="966"/>
      <c r="BS266" s="966"/>
      <c r="BT266" s="966"/>
      <c r="BU266" s="966">
        <v>1150</v>
      </c>
      <c r="BV266" s="966">
        <f>BU266</f>
        <v>1150</v>
      </c>
      <c r="BW266" s="966">
        <f>BV266</f>
        <v>1150</v>
      </c>
      <c r="BX266" s="966">
        <f>BW266</f>
        <v>1150</v>
      </c>
      <c r="BY266" s="966"/>
      <c r="BZ266" s="966"/>
      <c r="CA266" s="966">
        <f>BU266</f>
        <v>1150</v>
      </c>
      <c r="CB266" s="966">
        <f>CA266</f>
        <v>1150</v>
      </c>
      <c r="CC266" s="966">
        <f>BW266</f>
        <v>1150</v>
      </c>
      <c r="CD266" s="966">
        <f>BX266</f>
        <v>1150</v>
      </c>
      <c r="CE266" s="966"/>
      <c r="CF266" s="966"/>
      <c r="CG266" s="966">
        <f>CA266</f>
        <v>1150</v>
      </c>
      <c r="CH266" s="966">
        <f>CB266</f>
        <v>1150</v>
      </c>
      <c r="CI266" s="966">
        <f>CC266</f>
        <v>1150</v>
      </c>
      <c r="CJ266" s="966">
        <f>CD266</f>
        <v>1150</v>
      </c>
      <c r="CK266" s="966"/>
      <c r="CL266" s="966"/>
      <c r="CM266" s="966">
        <f>CG266</f>
        <v>1150</v>
      </c>
      <c r="CN266" s="966">
        <f>CH266</f>
        <v>1150</v>
      </c>
      <c r="CO266" s="966">
        <f>CI266</f>
        <v>1150</v>
      </c>
      <c r="CP266" s="966">
        <f>CJ266</f>
        <v>1150</v>
      </c>
      <c r="CQ266" s="966"/>
      <c r="CR266" s="966"/>
      <c r="CS266" s="966">
        <f>CM266</f>
        <v>1150</v>
      </c>
      <c r="CT266" s="966">
        <f>CN266</f>
        <v>1150</v>
      </c>
      <c r="CU266" s="966">
        <f>CO266</f>
        <v>1150</v>
      </c>
      <c r="CV266" s="966">
        <f>CP266</f>
        <v>1150</v>
      </c>
      <c r="CW266" s="966"/>
      <c r="CX266" s="966"/>
      <c r="CY266" s="966">
        <f>CS266</f>
        <v>1150</v>
      </c>
      <c r="CZ266" s="966">
        <f>CT266</f>
        <v>1150</v>
      </c>
      <c r="DA266" s="966">
        <f>CU266</f>
        <v>1150</v>
      </c>
      <c r="DB266" s="966">
        <f>CV266</f>
        <v>1150</v>
      </c>
      <c r="DC266" s="966"/>
      <c r="DD266" s="966"/>
      <c r="DE266" s="966">
        <f>CY266</f>
        <v>1150</v>
      </c>
      <c r="DF266" s="966">
        <f>CZ266</f>
        <v>1150</v>
      </c>
      <c r="DG266" s="966">
        <f>DA266</f>
        <v>1150</v>
      </c>
      <c r="DH266" s="966">
        <f>DB266</f>
        <v>1150</v>
      </c>
      <c r="DI266" s="966"/>
      <c r="DJ266" s="966"/>
      <c r="DK266" s="966">
        <f>DE266</f>
        <v>1150</v>
      </c>
      <c r="DL266" s="966">
        <f>DF266</f>
        <v>1150</v>
      </c>
      <c r="DM266" s="966">
        <f>DG266</f>
        <v>1150</v>
      </c>
      <c r="DN266" s="966">
        <f>DH266</f>
        <v>1150</v>
      </c>
      <c r="DO266" s="966"/>
      <c r="DP266" s="966"/>
      <c r="DQ266" s="966"/>
    </row>
    <row r="267" spans="1:121">
      <c r="A267" s="966" t="s">
        <v>600</v>
      </c>
      <c r="B267" s="966"/>
      <c r="C267" s="966"/>
      <c r="D267" s="966"/>
      <c r="E267" s="966"/>
      <c r="F267" s="966"/>
      <c r="G267" s="966"/>
      <c r="H267" s="966"/>
      <c r="I267" s="966"/>
      <c r="J267" s="966"/>
      <c r="K267" s="966"/>
      <c r="L267" s="966"/>
      <c r="M267" s="966"/>
      <c r="N267" s="966"/>
      <c r="O267" s="966"/>
      <c r="P267" s="966"/>
      <c r="Q267" s="966"/>
      <c r="R267" s="966"/>
      <c r="S267" s="966"/>
      <c r="T267" s="966"/>
      <c r="U267" s="966"/>
      <c r="V267" s="966"/>
      <c r="W267" s="966"/>
      <c r="X267" s="966"/>
      <c r="Y267" s="966"/>
      <c r="Z267" s="966"/>
      <c r="AA267" s="966"/>
      <c r="AB267" s="966"/>
      <c r="AC267" s="966"/>
      <c r="AD267" s="966"/>
      <c r="AE267" s="966"/>
      <c r="AF267" s="966"/>
      <c r="AG267" s="966"/>
      <c r="AH267" s="966"/>
      <c r="AI267" s="966"/>
      <c r="AJ267" s="966"/>
      <c r="AK267" s="966"/>
      <c r="AL267" s="966"/>
      <c r="AM267" s="966"/>
      <c r="AN267" s="966"/>
      <c r="AO267" s="966"/>
      <c r="AP267" s="966"/>
      <c r="AQ267" s="966"/>
      <c r="AR267" s="966"/>
      <c r="AS267" s="966"/>
      <c r="AT267" s="966"/>
      <c r="AU267" s="966"/>
      <c r="AV267" s="966"/>
      <c r="AW267" s="966"/>
      <c r="AX267" s="966"/>
      <c r="AY267" s="966"/>
      <c r="AZ267" s="966"/>
      <c r="BA267" s="966"/>
      <c r="BB267" s="966"/>
      <c r="BC267" s="993"/>
      <c r="BD267" s="993"/>
      <c r="BE267" s="993"/>
      <c r="BF267" s="993"/>
      <c r="BG267" s="966"/>
      <c r="BH267" s="966"/>
      <c r="BI267" s="993"/>
      <c r="BJ267" s="993"/>
      <c r="BK267" s="993"/>
      <c r="BL267" s="993"/>
      <c r="BM267" s="966"/>
      <c r="BN267" s="966"/>
      <c r="BO267" s="993"/>
      <c r="BP267" s="993"/>
      <c r="BQ267" s="993"/>
      <c r="BR267" s="993"/>
      <c r="BS267" s="966"/>
      <c r="BT267" s="966"/>
      <c r="BU267" s="993"/>
      <c r="BV267" s="993">
        <f>-BV266*0.25%/4</f>
        <v>-0.71875</v>
      </c>
      <c r="BW267" s="993">
        <f>BV267</f>
        <v>-0.71875</v>
      </c>
      <c r="BX267" s="993">
        <f>BW267</f>
        <v>-0.71875</v>
      </c>
      <c r="BY267" s="966"/>
      <c r="BZ267" s="966"/>
      <c r="CA267" s="993">
        <f>BX267</f>
        <v>-0.71875</v>
      </c>
      <c r="CB267" s="993">
        <f>-CB266*0.25%/4</f>
        <v>-0.71875</v>
      </c>
      <c r="CC267" s="993">
        <f>CB267</f>
        <v>-0.71875</v>
      </c>
      <c r="CD267" s="993">
        <f>CC267</f>
        <v>-0.71875</v>
      </c>
      <c r="CE267" s="966"/>
      <c r="CF267" s="966"/>
      <c r="CG267" s="993">
        <f>CD267</f>
        <v>-0.71875</v>
      </c>
      <c r="CH267" s="993">
        <f t="shared" ref="CH267:CJ268" si="134">CG267</f>
        <v>-0.71875</v>
      </c>
      <c r="CI267" s="993">
        <f t="shared" si="134"/>
        <v>-0.71875</v>
      </c>
      <c r="CJ267" s="993">
        <f t="shared" si="134"/>
        <v>-0.71875</v>
      </c>
      <c r="CK267" s="966"/>
      <c r="CL267" s="966"/>
      <c r="CM267" s="993">
        <f>CJ267</f>
        <v>-0.71875</v>
      </c>
      <c r="CN267" s="993">
        <f t="shared" ref="CN267:CP268" si="135">CM267</f>
        <v>-0.71875</v>
      </c>
      <c r="CO267" s="993">
        <f t="shared" si="135"/>
        <v>-0.71875</v>
      </c>
      <c r="CP267" s="993">
        <f t="shared" si="135"/>
        <v>-0.71875</v>
      </c>
      <c r="CQ267" s="966"/>
      <c r="CR267" s="966"/>
      <c r="CS267" s="993">
        <f>CP267</f>
        <v>-0.71875</v>
      </c>
      <c r="CT267" s="993">
        <f t="shared" ref="CT267:CT268" si="136">CS267</f>
        <v>-0.71875</v>
      </c>
      <c r="CU267" s="993">
        <f t="shared" ref="CU267:CV268" si="137">CT267</f>
        <v>-0.71875</v>
      </c>
      <c r="CV267" s="993">
        <f t="shared" si="137"/>
        <v>-0.71875</v>
      </c>
      <c r="CW267" s="966"/>
      <c r="CX267" s="966"/>
      <c r="CY267" s="993">
        <f>CV267</f>
        <v>-0.71875</v>
      </c>
      <c r="CZ267" s="993">
        <f t="shared" ref="CZ267:DB268" si="138">CY267</f>
        <v>-0.71875</v>
      </c>
      <c r="DA267" s="993">
        <f t="shared" si="138"/>
        <v>-0.71875</v>
      </c>
      <c r="DB267" s="993">
        <f t="shared" si="138"/>
        <v>-0.71875</v>
      </c>
      <c r="DC267" s="966"/>
      <c r="DD267" s="966"/>
      <c r="DE267" s="993">
        <f>DB267</f>
        <v>-0.71875</v>
      </c>
      <c r="DF267" s="993">
        <f t="shared" ref="DF267:DF268" si="139">DE267</f>
        <v>-0.71875</v>
      </c>
      <c r="DG267" s="993">
        <f t="shared" ref="DG267:DG268" si="140">DF267</f>
        <v>-0.71875</v>
      </c>
      <c r="DH267" s="993">
        <f t="shared" ref="DH267:DH268" si="141">DG267</f>
        <v>-0.71875</v>
      </c>
      <c r="DI267" s="966"/>
      <c r="DJ267" s="966"/>
      <c r="DK267" s="993">
        <f>DH267</f>
        <v>-0.71875</v>
      </c>
      <c r="DL267" s="993">
        <f t="shared" ref="DL267:DL268" si="142">DK267</f>
        <v>-0.71875</v>
      </c>
      <c r="DM267" s="993">
        <f t="shared" ref="DM267:DM268" si="143">DL267</f>
        <v>-0.71875</v>
      </c>
      <c r="DN267" s="993">
        <f t="shared" ref="DN267:DN268" si="144">DM267</f>
        <v>-0.71875</v>
      </c>
      <c r="DO267" s="966"/>
      <c r="DP267" s="966"/>
      <c r="DQ267" s="966"/>
    </row>
    <row r="268" spans="1:121">
      <c r="A268" s="966" t="s">
        <v>601</v>
      </c>
      <c r="B268" s="966"/>
      <c r="C268" s="966"/>
      <c r="D268" s="966"/>
      <c r="E268" s="966"/>
      <c r="F268" s="966"/>
      <c r="G268" s="966"/>
      <c r="H268" s="966"/>
      <c r="I268" s="966"/>
      <c r="J268" s="966"/>
      <c r="K268" s="966"/>
      <c r="L268" s="966"/>
      <c r="M268" s="966"/>
      <c r="N268" s="966"/>
      <c r="O268" s="966"/>
      <c r="P268" s="966"/>
      <c r="Q268" s="966"/>
      <c r="R268" s="966"/>
      <c r="S268" s="966"/>
      <c r="T268" s="966"/>
      <c r="U268" s="966"/>
      <c r="V268" s="966"/>
      <c r="W268" s="966"/>
      <c r="X268" s="966"/>
      <c r="Y268" s="966"/>
      <c r="Z268" s="966"/>
      <c r="AA268" s="966"/>
      <c r="AB268" s="966"/>
      <c r="AC268" s="966"/>
      <c r="AD268" s="966"/>
      <c r="AE268" s="966"/>
      <c r="AF268" s="966"/>
      <c r="AG268" s="966"/>
      <c r="AH268" s="966"/>
      <c r="AI268" s="966"/>
      <c r="AJ268" s="966"/>
      <c r="AK268" s="966"/>
      <c r="AL268" s="966"/>
      <c r="AM268" s="966"/>
      <c r="AN268" s="966"/>
      <c r="AO268" s="966"/>
      <c r="AP268" s="966"/>
      <c r="AQ268" s="966"/>
      <c r="AR268" s="966"/>
      <c r="AS268" s="966"/>
      <c r="AT268" s="966"/>
      <c r="AU268" s="966"/>
      <c r="AV268" s="966"/>
      <c r="AW268" s="966"/>
      <c r="AX268" s="966"/>
      <c r="AY268" s="966"/>
      <c r="AZ268" s="966"/>
      <c r="BA268" s="966"/>
      <c r="BB268" s="966"/>
      <c r="BC268" s="993"/>
      <c r="BD268" s="993"/>
      <c r="BE268" s="993"/>
      <c r="BF268" s="993"/>
      <c r="BG268" s="966"/>
      <c r="BH268" s="966"/>
      <c r="BI268" s="977"/>
      <c r="BJ268" s="977"/>
      <c r="BK268" s="977"/>
      <c r="BL268" s="993"/>
      <c r="BM268" s="966"/>
      <c r="BN268" s="966"/>
      <c r="BO268" s="977"/>
      <c r="BP268" s="977"/>
      <c r="BQ268" s="977"/>
      <c r="BR268" s="993"/>
      <c r="BS268" s="966"/>
      <c r="BT268" s="966"/>
      <c r="BU268" s="993"/>
      <c r="BV268" s="993">
        <v>6</v>
      </c>
      <c r="BW268" s="993">
        <f>BV268</f>
        <v>6</v>
      </c>
      <c r="BX268" s="993">
        <f>BW268</f>
        <v>6</v>
      </c>
      <c r="BY268" s="966"/>
      <c r="BZ268" s="966"/>
      <c r="CA268" s="993">
        <f>BX268</f>
        <v>6</v>
      </c>
      <c r="CB268" s="993">
        <v>6</v>
      </c>
      <c r="CC268" s="993">
        <f>CB268</f>
        <v>6</v>
      </c>
      <c r="CD268" s="993">
        <f>CC268</f>
        <v>6</v>
      </c>
      <c r="CE268" s="966"/>
      <c r="CF268" s="966"/>
      <c r="CG268" s="993">
        <f>CD268</f>
        <v>6</v>
      </c>
      <c r="CH268" s="993">
        <f t="shared" si="134"/>
        <v>6</v>
      </c>
      <c r="CI268" s="993">
        <f t="shared" si="134"/>
        <v>6</v>
      </c>
      <c r="CJ268" s="993">
        <f t="shared" si="134"/>
        <v>6</v>
      </c>
      <c r="CK268" s="966"/>
      <c r="CL268" s="966"/>
      <c r="CM268" s="993">
        <f>CJ268</f>
        <v>6</v>
      </c>
      <c r="CN268" s="993">
        <f t="shared" si="135"/>
        <v>6</v>
      </c>
      <c r="CO268" s="993">
        <f t="shared" si="135"/>
        <v>6</v>
      </c>
      <c r="CP268" s="993">
        <f t="shared" si="135"/>
        <v>6</v>
      </c>
      <c r="CQ268" s="966"/>
      <c r="CR268" s="966"/>
      <c r="CS268" s="993">
        <f>CP268</f>
        <v>6</v>
      </c>
      <c r="CT268" s="993">
        <f t="shared" si="136"/>
        <v>6</v>
      </c>
      <c r="CU268" s="993">
        <f t="shared" si="137"/>
        <v>6</v>
      </c>
      <c r="CV268" s="993">
        <f t="shared" si="137"/>
        <v>6</v>
      </c>
      <c r="CW268" s="966"/>
      <c r="CX268" s="966"/>
      <c r="CY268" s="993">
        <f>CV268</f>
        <v>6</v>
      </c>
      <c r="CZ268" s="993">
        <f t="shared" si="138"/>
        <v>6</v>
      </c>
      <c r="DA268" s="993">
        <f t="shared" si="138"/>
        <v>6</v>
      </c>
      <c r="DB268" s="993">
        <f t="shared" si="138"/>
        <v>6</v>
      </c>
      <c r="DC268" s="966"/>
      <c r="DD268" s="966"/>
      <c r="DE268" s="993">
        <f>DB268</f>
        <v>6</v>
      </c>
      <c r="DF268" s="993">
        <f t="shared" si="139"/>
        <v>6</v>
      </c>
      <c r="DG268" s="993">
        <f t="shared" si="140"/>
        <v>6</v>
      </c>
      <c r="DH268" s="993">
        <f t="shared" si="141"/>
        <v>6</v>
      </c>
      <c r="DI268" s="966"/>
      <c r="DJ268" s="966"/>
      <c r="DK268" s="993">
        <f>DH268</f>
        <v>6</v>
      </c>
      <c r="DL268" s="993">
        <f t="shared" si="142"/>
        <v>6</v>
      </c>
      <c r="DM268" s="993">
        <f t="shared" si="143"/>
        <v>6</v>
      </c>
      <c r="DN268" s="993">
        <f t="shared" si="144"/>
        <v>6</v>
      </c>
      <c r="DO268" s="966"/>
      <c r="DP268" s="966"/>
      <c r="DQ268" s="966"/>
    </row>
    <row r="269" spans="1:121">
      <c r="A269" s="966" t="s">
        <v>602</v>
      </c>
      <c r="B269" s="966"/>
      <c r="C269" s="966"/>
      <c r="D269" s="966"/>
      <c r="E269" s="966"/>
      <c r="F269" s="966"/>
      <c r="G269" s="966"/>
      <c r="H269" s="966"/>
      <c r="I269" s="966"/>
      <c r="J269" s="966"/>
      <c r="K269" s="966"/>
      <c r="L269" s="966"/>
      <c r="M269" s="966"/>
      <c r="N269" s="966"/>
      <c r="O269" s="966"/>
      <c r="P269" s="966"/>
      <c r="Q269" s="966"/>
      <c r="R269" s="966"/>
      <c r="S269" s="966"/>
      <c r="T269" s="966"/>
      <c r="U269" s="966"/>
      <c r="V269" s="966"/>
      <c r="W269" s="966"/>
      <c r="X269" s="966"/>
      <c r="Y269" s="966"/>
      <c r="Z269" s="966"/>
      <c r="AA269" s="966"/>
      <c r="AB269" s="966"/>
      <c r="AC269" s="966"/>
      <c r="AD269" s="966"/>
      <c r="AE269" s="966"/>
      <c r="AF269" s="966"/>
      <c r="AG269" s="966"/>
      <c r="AH269" s="966"/>
      <c r="AI269" s="966"/>
      <c r="AJ269" s="966"/>
      <c r="AK269" s="966"/>
      <c r="AL269" s="966"/>
      <c r="AM269" s="966"/>
      <c r="AN269" s="966"/>
      <c r="AO269" s="966"/>
      <c r="AP269" s="966"/>
      <c r="AQ269" s="966"/>
      <c r="AR269" s="966"/>
      <c r="AS269" s="966"/>
      <c r="AT269" s="966"/>
      <c r="AU269" s="966"/>
      <c r="AV269" s="966"/>
      <c r="AW269" s="966"/>
      <c r="AX269" s="966"/>
      <c r="AY269" s="966"/>
      <c r="AZ269" s="993"/>
      <c r="BA269" s="966"/>
      <c r="BB269" s="966"/>
      <c r="BC269" s="993"/>
      <c r="BD269" s="993"/>
      <c r="BE269" s="993"/>
      <c r="BF269" s="993"/>
      <c r="BG269" s="966"/>
      <c r="BH269" s="966"/>
      <c r="BI269" s="993"/>
      <c r="BJ269" s="993"/>
      <c r="BK269" s="993"/>
      <c r="BL269" s="993"/>
      <c r="BM269" s="966"/>
      <c r="BN269" s="966"/>
      <c r="BO269" s="993"/>
      <c r="BP269" s="993"/>
      <c r="BQ269" s="993"/>
      <c r="BR269" s="993"/>
      <c r="BS269" s="966"/>
      <c r="BT269" s="966"/>
      <c r="BU269" s="993">
        <v>1029.4949999999999</v>
      </c>
      <c r="BV269" s="993">
        <f>BU269+BV268</f>
        <v>1035.4949999999999</v>
      </c>
      <c r="BW269" s="993">
        <f>BV269+BW268</f>
        <v>1041.4949999999999</v>
      </c>
      <c r="BX269" s="993">
        <f>BW269+BX268</f>
        <v>1047.4949999999999</v>
      </c>
      <c r="BY269" s="966"/>
      <c r="BZ269" s="966"/>
      <c r="CA269" s="993">
        <f>BX269+CA268</f>
        <v>1053.4949999999999</v>
      </c>
      <c r="CB269" s="993">
        <f>CA269+CB268</f>
        <v>1059.4949999999999</v>
      </c>
      <c r="CC269" s="993">
        <f>CB269+CC268</f>
        <v>1065.4949999999999</v>
      </c>
      <c r="CD269" s="993">
        <f>CC269+CD268</f>
        <v>1071.4949999999999</v>
      </c>
      <c r="CE269" s="966"/>
      <c r="CF269" s="966"/>
      <c r="CG269" s="993">
        <f>CD269+CG268</f>
        <v>1077.4949999999999</v>
      </c>
      <c r="CH269" s="993">
        <f>CG269+CH268</f>
        <v>1083.4949999999999</v>
      </c>
      <c r="CI269" s="993">
        <f>CH269+CI268</f>
        <v>1089.4949999999999</v>
      </c>
      <c r="CJ269" s="993">
        <f>CI269+CJ268</f>
        <v>1095.4949999999999</v>
      </c>
      <c r="CK269" s="966"/>
      <c r="CL269" s="966"/>
      <c r="CM269" s="993">
        <f>CJ269+CM268</f>
        <v>1101.4949999999999</v>
      </c>
      <c r="CN269" s="993">
        <f>CM269+CN268</f>
        <v>1107.4949999999999</v>
      </c>
      <c r="CO269" s="993">
        <f>CN269+CO268</f>
        <v>1113.4949999999999</v>
      </c>
      <c r="CP269" s="993">
        <f>CO269+CP268</f>
        <v>1119.4949999999999</v>
      </c>
      <c r="CQ269" s="966"/>
      <c r="CR269" s="966"/>
      <c r="CS269" s="993">
        <f>CP269+CS268</f>
        <v>1125.4949999999999</v>
      </c>
      <c r="CT269" s="993">
        <f>CS269+CT268</f>
        <v>1131.4949999999999</v>
      </c>
      <c r="CU269" s="993">
        <f>CT269+CU268</f>
        <v>1137.4949999999999</v>
      </c>
      <c r="CV269" s="993">
        <f>CU269+CV268</f>
        <v>1143.4949999999999</v>
      </c>
      <c r="CW269" s="966"/>
      <c r="CX269" s="966"/>
      <c r="CY269" s="993">
        <f>CV269+CY268</f>
        <v>1149.4949999999999</v>
      </c>
      <c r="CZ269" s="993">
        <f>CY269+CZ268</f>
        <v>1155.4949999999999</v>
      </c>
      <c r="DA269" s="993">
        <f>CZ269+DA268</f>
        <v>1161.4949999999999</v>
      </c>
      <c r="DB269" s="993">
        <f>DA269+DB268</f>
        <v>1167.4949999999999</v>
      </c>
      <c r="DC269" s="966"/>
      <c r="DD269" s="966"/>
      <c r="DE269" s="993">
        <f>DB269+DE268</f>
        <v>1173.4949999999999</v>
      </c>
      <c r="DF269" s="993">
        <f>DE269+DF268</f>
        <v>1179.4949999999999</v>
      </c>
      <c r="DG269" s="993">
        <f>DF269+DG268</f>
        <v>1185.4949999999999</v>
      </c>
      <c r="DH269" s="993">
        <f>DG269+DH268</f>
        <v>1191.4949999999999</v>
      </c>
      <c r="DI269" s="966"/>
      <c r="DJ269" s="966"/>
      <c r="DK269" s="993">
        <f>DH269+DK268</f>
        <v>1197.4949999999999</v>
      </c>
      <c r="DL269" s="993">
        <f>DK269+DL268</f>
        <v>1203.4949999999999</v>
      </c>
      <c r="DM269" s="993">
        <f>DL269+DM268</f>
        <v>1209.4949999999999</v>
      </c>
      <c r="DN269" s="993">
        <f>DM269+DN268</f>
        <v>1215.4949999999999</v>
      </c>
      <c r="DO269" s="966"/>
      <c r="DP269" s="966"/>
      <c r="DQ269" s="966"/>
    </row>
    <row r="270" spans="1:121">
      <c r="A270" s="966" t="s">
        <v>603</v>
      </c>
      <c r="B270" s="966"/>
      <c r="C270" s="966"/>
      <c r="D270" s="966"/>
      <c r="E270" s="966"/>
      <c r="F270" s="966"/>
      <c r="G270" s="966"/>
      <c r="H270" s="966"/>
      <c r="I270" s="966"/>
      <c r="J270" s="966"/>
      <c r="K270" s="966"/>
      <c r="L270" s="966"/>
      <c r="M270" s="966"/>
      <c r="N270" s="966"/>
      <c r="O270" s="966"/>
      <c r="P270" s="966"/>
      <c r="Q270" s="966"/>
      <c r="R270" s="966"/>
      <c r="S270" s="966"/>
      <c r="T270" s="966"/>
      <c r="U270" s="966"/>
      <c r="V270" s="966"/>
      <c r="W270" s="966"/>
      <c r="X270" s="966"/>
      <c r="Y270" s="966"/>
      <c r="Z270" s="966"/>
      <c r="AA270" s="966"/>
      <c r="AB270" s="966"/>
      <c r="AC270" s="966"/>
      <c r="AD270" s="966"/>
      <c r="AE270" s="966"/>
      <c r="AF270" s="966"/>
      <c r="AG270" s="966"/>
      <c r="AH270" s="966"/>
      <c r="AI270" s="966"/>
      <c r="AJ270" s="966"/>
      <c r="AK270" s="966"/>
      <c r="AL270" s="966"/>
      <c r="AM270" s="966"/>
      <c r="AN270" s="966"/>
      <c r="AO270" s="966"/>
      <c r="AP270" s="966"/>
      <c r="AQ270" s="966"/>
      <c r="AR270" s="966"/>
      <c r="AS270" s="966"/>
      <c r="AT270" s="966"/>
      <c r="AU270" s="966"/>
      <c r="AV270" s="966"/>
      <c r="AW270" s="966"/>
      <c r="AX270" s="966"/>
      <c r="AY270" s="966"/>
      <c r="AZ270" s="993"/>
      <c r="BA270" s="966"/>
      <c r="BB270" s="966"/>
      <c r="BC270" s="993"/>
      <c r="BD270" s="993"/>
      <c r="BE270" s="993"/>
      <c r="BF270" s="993"/>
      <c r="BG270" s="966"/>
      <c r="BH270" s="966"/>
      <c r="BI270" s="993"/>
      <c r="BJ270" s="993"/>
      <c r="BK270" s="993"/>
      <c r="BL270" s="993"/>
      <c r="BM270" s="966"/>
      <c r="BN270" s="966"/>
      <c r="BO270" s="993"/>
      <c r="BP270" s="993"/>
      <c r="BQ270" s="993"/>
      <c r="BR270" s="993"/>
      <c r="BS270" s="966"/>
      <c r="BT270" s="966"/>
      <c r="BU270" s="993">
        <f>BU266-BU269</f>
        <v>120.50500000000011</v>
      </c>
      <c r="BV270" s="993">
        <f>BV266-BV269</f>
        <v>114.50500000000011</v>
      </c>
      <c r="BW270" s="993">
        <f>BW266-BW269</f>
        <v>108.50500000000011</v>
      </c>
      <c r="BX270" s="993">
        <f>BX266-BX269</f>
        <v>102.50500000000011</v>
      </c>
      <c r="BY270" s="966"/>
      <c r="BZ270" s="966"/>
      <c r="CA270" s="993">
        <f>CA266-CA269</f>
        <v>96.505000000000109</v>
      </c>
      <c r="CB270" s="993">
        <f>CB266-CB269</f>
        <v>90.505000000000109</v>
      </c>
      <c r="CC270" s="993">
        <f>CC266-CC269</f>
        <v>84.505000000000109</v>
      </c>
      <c r="CD270" s="993">
        <f>CD266-CD269</f>
        <v>78.505000000000109</v>
      </c>
      <c r="CE270" s="966"/>
      <c r="CF270" s="966"/>
      <c r="CG270" s="993">
        <f>CG266-CG269</f>
        <v>72.505000000000109</v>
      </c>
      <c r="CH270" s="993">
        <f>CH266-CH269</f>
        <v>66.505000000000109</v>
      </c>
      <c r="CI270" s="993">
        <f>CI266-CI269</f>
        <v>60.505000000000109</v>
      </c>
      <c r="CJ270" s="993">
        <f>CJ266-CJ269</f>
        <v>54.505000000000109</v>
      </c>
      <c r="CK270" s="966"/>
      <c r="CL270" s="966"/>
      <c r="CM270" s="993">
        <f>CM266-CM269</f>
        <v>48.505000000000109</v>
      </c>
      <c r="CN270" s="993">
        <f>CN266-CN269</f>
        <v>42.505000000000109</v>
      </c>
      <c r="CO270" s="993">
        <f>CO266-CO269</f>
        <v>36.505000000000109</v>
      </c>
      <c r="CP270" s="993">
        <f>CP266-CP269</f>
        <v>30.505000000000109</v>
      </c>
      <c r="CQ270" s="966"/>
      <c r="CR270" s="966"/>
      <c r="CS270" s="993">
        <f>CS266-CS269</f>
        <v>24.505000000000109</v>
      </c>
      <c r="CT270" s="993">
        <f>CT266-CT269</f>
        <v>18.505000000000109</v>
      </c>
      <c r="CU270" s="993">
        <f>CU266-CU269</f>
        <v>12.505000000000109</v>
      </c>
      <c r="CV270" s="993">
        <f>CV266-CV269</f>
        <v>6.5050000000001091</v>
      </c>
      <c r="CW270" s="966"/>
      <c r="CX270" s="966"/>
      <c r="CY270" s="993">
        <f>CY266-CY269</f>
        <v>0.50500000000010914</v>
      </c>
      <c r="CZ270" s="993">
        <f>CZ266-CZ269</f>
        <v>-5.4949999999998909</v>
      </c>
      <c r="DA270" s="993">
        <f>DA266-DA269</f>
        <v>-11.494999999999891</v>
      </c>
      <c r="DB270" s="993">
        <f>DB266-DB269</f>
        <v>-17.494999999999891</v>
      </c>
      <c r="DC270" s="966"/>
      <c r="DD270" s="966"/>
      <c r="DE270" s="993">
        <f>DE266-DE269</f>
        <v>-23.494999999999891</v>
      </c>
      <c r="DF270" s="993">
        <f>DF266-DF269</f>
        <v>-29.494999999999891</v>
      </c>
      <c r="DG270" s="993">
        <f>DG266-DG269</f>
        <v>-35.494999999999891</v>
      </c>
      <c r="DH270" s="993">
        <f>DH266-DH269</f>
        <v>-41.494999999999891</v>
      </c>
      <c r="DI270" s="966"/>
      <c r="DJ270" s="966"/>
      <c r="DK270" s="993">
        <f>DK266-DK269</f>
        <v>-47.494999999999891</v>
      </c>
      <c r="DL270" s="993">
        <f>DL266-DL269</f>
        <v>-53.494999999999891</v>
      </c>
      <c r="DM270" s="993">
        <f>DM266-DM269</f>
        <v>-59.494999999999891</v>
      </c>
      <c r="DN270" s="993">
        <f>DN266-DN269</f>
        <v>-65.494999999999891</v>
      </c>
      <c r="DO270" s="966"/>
      <c r="DP270" s="966"/>
      <c r="DQ270" s="966"/>
    </row>
    <row r="272" spans="1:121">
      <c r="A272" s="966" t="s">
        <v>923</v>
      </c>
      <c r="BU272" s="966"/>
      <c r="BV272" s="966">
        <v>300</v>
      </c>
      <c r="BW272" s="977">
        <f>BW41+BW35</f>
        <v>292.5</v>
      </c>
      <c r="BX272" s="966">
        <f>BX41+BX35</f>
        <v>285</v>
      </c>
      <c r="BY272" s="966"/>
      <c r="BZ272" s="966"/>
      <c r="CA272" s="966">
        <f>CA41+CA35</f>
        <v>277.5</v>
      </c>
      <c r="CB272" s="966">
        <v>300</v>
      </c>
      <c r="CC272" s="966">
        <f>CC41+CC35</f>
        <v>300</v>
      </c>
      <c r="CD272" s="966">
        <f>CD41+CD35</f>
        <v>300</v>
      </c>
      <c r="CE272" s="966"/>
      <c r="CF272" s="966"/>
      <c r="CG272" s="966">
        <f>CG41+CG35</f>
        <v>0</v>
      </c>
      <c r="CH272" s="966">
        <f>CH41+CH35</f>
        <v>0</v>
      </c>
      <c r="CI272" s="966">
        <f>CI41+CI35</f>
        <v>0</v>
      </c>
      <c r="CJ272" s="966">
        <f>CJ41+CJ35</f>
        <v>0</v>
      </c>
      <c r="CK272" s="966"/>
      <c r="CL272" s="966"/>
      <c r="CM272" s="966">
        <f>CM41+CM35</f>
        <v>0</v>
      </c>
      <c r="CN272" s="966">
        <f>CM272</f>
        <v>0</v>
      </c>
      <c r="CO272" s="966">
        <f>CO41+CO35</f>
        <v>496.93400000000003</v>
      </c>
      <c r="CP272" s="966">
        <f>CP41+CP35</f>
        <v>497.221</v>
      </c>
      <c r="CQ272" s="966"/>
      <c r="CR272" s="966"/>
      <c r="CS272" s="966">
        <f t="shared" ref="CS272:CV272" si="145">CR272</f>
        <v>0</v>
      </c>
      <c r="CT272" s="966">
        <f>CS272</f>
        <v>0</v>
      </c>
      <c r="CU272" s="966">
        <f t="shared" si="145"/>
        <v>0</v>
      </c>
      <c r="CV272" s="966">
        <f t="shared" si="145"/>
        <v>0</v>
      </c>
      <c r="CW272" s="966"/>
      <c r="CX272" s="966"/>
      <c r="CY272" s="966">
        <f>CY41+CY35</f>
        <v>496.64600000000002</v>
      </c>
      <c r="CZ272" s="966">
        <f>CZ41+CZ35</f>
        <v>496.64600000000002</v>
      </c>
      <c r="DA272" s="966">
        <f>DA41+DA35</f>
        <v>496.64600000000002</v>
      </c>
      <c r="DB272" s="966">
        <f>DB41+DB35</f>
        <v>496.64600000000002</v>
      </c>
      <c r="DC272" s="966"/>
      <c r="DD272" s="966"/>
      <c r="DE272" s="966">
        <f>DE41+DE35</f>
        <v>496.64600000000002</v>
      </c>
      <c r="DF272" s="966">
        <f>DF41+DF35</f>
        <v>496.64600000000002</v>
      </c>
      <c r="DG272" s="966">
        <f>DG41+DG35</f>
        <v>496.64600000000002</v>
      </c>
      <c r="DH272" s="966">
        <f>DH41+DH35</f>
        <v>496.64600000000002</v>
      </c>
      <c r="DI272" s="966"/>
      <c r="DJ272" s="966"/>
      <c r="DK272" s="966">
        <f>DK41+DK35</f>
        <v>496.64600000000002</v>
      </c>
      <c r="DL272" s="966">
        <f>DL41+DL35</f>
        <v>496.64600000000002</v>
      </c>
      <c r="DM272" s="966">
        <f>DM41+DM35</f>
        <v>496.64600000000002</v>
      </c>
      <c r="DN272" s="966">
        <f>DN41+DN35</f>
        <v>496.64600000000002</v>
      </c>
      <c r="DO272" s="966"/>
      <c r="DP272" s="966"/>
    </row>
    <row r="273" spans="1:120">
      <c r="A273" s="966" t="s">
        <v>588</v>
      </c>
      <c r="BU273" s="993"/>
      <c r="BV273" s="993">
        <f>BV272*-2%/4*(2/13)</f>
        <v>-0.23076923076923078</v>
      </c>
      <c r="BW273" s="993">
        <f>BW272*-4%/4</f>
        <v>-2.9250000000000003</v>
      </c>
      <c r="BX273" s="993">
        <f>BW273</f>
        <v>-2.9250000000000003</v>
      </c>
      <c r="BY273" s="966"/>
      <c r="BZ273" s="966"/>
      <c r="CA273" s="993">
        <f>BX273</f>
        <v>-2.9250000000000003</v>
      </c>
      <c r="CB273" s="993">
        <f>CB272*-2%/4*(2/13)</f>
        <v>-0.23076923076923078</v>
      </c>
      <c r="CC273" s="993">
        <f>CB273</f>
        <v>-0.23076923076923078</v>
      </c>
      <c r="CD273" s="993">
        <f>CC273</f>
        <v>-0.23076923076923078</v>
      </c>
      <c r="CE273" s="966"/>
      <c r="CF273" s="966"/>
      <c r="CG273" s="993">
        <f>CD273</f>
        <v>-0.23076923076923078</v>
      </c>
      <c r="CH273" s="993">
        <f>CG273</f>
        <v>-0.23076923076923078</v>
      </c>
      <c r="CI273" s="993">
        <f>CH273</f>
        <v>-0.23076923076923078</v>
      </c>
      <c r="CJ273" s="993">
        <f>CI273</f>
        <v>-0.23076923076923078</v>
      </c>
      <c r="CK273" s="966"/>
      <c r="CL273" s="966"/>
      <c r="CM273" s="993">
        <f>CJ273</f>
        <v>-0.23076923076923078</v>
      </c>
      <c r="CN273" s="993">
        <f>CM273</f>
        <v>-0.23076923076923078</v>
      </c>
      <c r="CO273" s="993">
        <f>CN273</f>
        <v>-0.23076923076923078</v>
      </c>
      <c r="CP273" s="993">
        <f>CO273</f>
        <v>-0.23076923076923078</v>
      </c>
      <c r="CQ273" s="966"/>
      <c r="CR273" s="966"/>
      <c r="CS273" s="993">
        <f>CP273</f>
        <v>-0.23076923076923078</v>
      </c>
      <c r="CT273" s="993">
        <f>CS273</f>
        <v>-0.23076923076923078</v>
      </c>
      <c r="CU273" s="993">
        <f>CT273</f>
        <v>-0.23076923076923078</v>
      </c>
      <c r="CV273" s="993">
        <f>CU273</f>
        <v>-0.23076923076923078</v>
      </c>
      <c r="CW273" s="966"/>
      <c r="CX273" s="966"/>
      <c r="CY273" s="993">
        <f>CV273</f>
        <v>-0.23076923076923078</v>
      </c>
      <c r="CZ273" s="993">
        <f>CY273</f>
        <v>-0.23076923076923078</v>
      </c>
      <c r="DA273" s="993">
        <f>CZ273</f>
        <v>-0.23076923076923078</v>
      </c>
      <c r="DB273" s="993">
        <f>DA273</f>
        <v>-0.23076923076923078</v>
      </c>
      <c r="DC273" s="966"/>
      <c r="DD273" s="966"/>
      <c r="DE273" s="993">
        <f>DB273</f>
        <v>-0.23076923076923078</v>
      </c>
      <c r="DF273" s="993">
        <f>DE273</f>
        <v>-0.23076923076923078</v>
      </c>
      <c r="DG273" s="993">
        <f>DF273</f>
        <v>-0.23076923076923078</v>
      </c>
      <c r="DH273" s="993">
        <f>DG273</f>
        <v>-0.23076923076923078</v>
      </c>
      <c r="DI273" s="966"/>
      <c r="DJ273" s="966"/>
      <c r="DK273" s="993">
        <f>DH273</f>
        <v>-0.23076923076923078</v>
      </c>
      <c r="DL273" s="993">
        <f>DK273</f>
        <v>-0.23076923076923078</v>
      </c>
      <c r="DM273" s="993">
        <f>DL273</f>
        <v>-0.23076923076923078</v>
      </c>
      <c r="DN273" s="993">
        <f>DM273</f>
        <v>-0.23076923076923078</v>
      </c>
      <c r="DO273" s="966"/>
      <c r="DP273" s="966"/>
    </row>
    <row r="274" spans="1:120">
      <c r="BU274" s="993"/>
      <c r="BV274" s="993"/>
      <c r="BW274" s="993"/>
      <c r="BX274" s="993"/>
      <c r="BY274" s="966"/>
      <c r="BZ274" s="966"/>
      <c r="CA274" s="993"/>
      <c r="CB274" s="993"/>
      <c r="CC274" s="993"/>
      <c r="CD274" s="993"/>
      <c r="CE274" s="966"/>
      <c r="CF274" s="966"/>
      <c r="CG274" s="993"/>
      <c r="CH274" s="993"/>
      <c r="CI274" s="993"/>
      <c r="CJ274" s="993"/>
      <c r="CK274" s="966"/>
      <c r="CL274" s="966"/>
      <c r="CM274" s="993"/>
      <c r="CN274" s="993"/>
      <c r="CO274" s="993"/>
      <c r="CP274" s="993"/>
      <c r="CQ274" s="966"/>
      <c r="CR274" s="966"/>
      <c r="CS274" s="993"/>
      <c r="CT274" s="993"/>
      <c r="CU274" s="993"/>
      <c r="CV274" s="993"/>
      <c r="CW274" s="966"/>
      <c r="CX274" s="966"/>
      <c r="CY274" s="993"/>
      <c r="CZ274" s="993"/>
      <c r="DA274" s="993"/>
      <c r="DB274" s="993"/>
      <c r="DC274" s="966"/>
      <c r="DD274" s="966"/>
      <c r="DE274" s="993"/>
      <c r="DF274" s="993"/>
      <c r="DG274" s="993"/>
      <c r="DH274" s="993"/>
      <c r="DI274" s="966"/>
      <c r="DJ274" s="966"/>
      <c r="DK274" s="993"/>
      <c r="DL274" s="993"/>
      <c r="DM274" s="993"/>
      <c r="DN274" s="993"/>
      <c r="DO274" s="966"/>
      <c r="DP274" s="966"/>
    </row>
    <row r="275" spans="1:120">
      <c r="A275" s="1699" t="s">
        <v>1134</v>
      </c>
      <c r="BU275" s="993"/>
      <c r="BV275" s="993"/>
      <c r="BW275" s="993"/>
      <c r="BX275" s="993"/>
      <c r="BY275" s="966"/>
      <c r="BZ275" s="966"/>
      <c r="CA275" s="993"/>
      <c r="CB275" s="993"/>
      <c r="CC275" s="993"/>
      <c r="CD275" s="993"/>
      <c r="CE275" s="966"/>
      <c r="CF275" s="966"/>
      <c r="CG275" s="993"/>
      <c r="CH275" s="993"/>
      <c r="CI275" s="993"/>
      <c r="CJ275" s="993"/>
      <c r="CK275" s="966"/>
      <c r="CL275" s="966"/>
      <c r="CM275" s="993"/>
      <c r="CN275" s="993">
        <v>496.64600000000002</v>
      </c>
      <c r="CO275" s="993">
        <f>CO41</f>
        <v>496.93400000000003</v>
      </c>
      <c r="CP275" s="993">
        <f>CO275</f>
        <v>496.93400000000003</v>
      </c>
      <c r="CQ275" s="993"/>
      <c r="CR275" s="993"/>
      <c r="CS275" s="993">
        <f>CP275</f>
        <v>496.93400000000003</v>
      </c>
      <c r="CT275" s="993">
        <v>496.64600000000002</v>
      </c>
      <c r="CU275" s="993">
        <f>CT275</f>
        <v>496.64600000000002</v>
      </c>
      <c r="CV275" s="993">
        <f>CU275</f>
        <v>496.64600000000002</v>
      </c>
      <c r="CW275" s="993"/>
      <c r="CX275" s="993"/>
      <c r="CY275" s="993">
        <f>CV275</f>
        <v>496.64600000000002</v>
      </c>
      <c r="CZ275" s="993">
        <f>CY275</f>
        <v>496.64600000000002</v>
      </c>
      <c r="DA275" s="993">
        <f t="shared" ref="DA275:DB275" si="146">CZ275</f>
        <v>496.64600000000002</v>
      </c>
      <c r="DB275" s="993">
        <f t="shared" si="146"/>
        <v>496.64600000000002</v>
      </c>
      <c r="DC275" s="966"/>
      <c r="DD275" s="993"/>
      <c r="DE275" s="993">
        <f>DB275</f>
        <v>496.64600000000002</v>
      </c>
      <c r="DF275" s="993">
        <f>DE275</f>
        <v>496.64600000000002</v>
      </c>
      <c r="DG275" s="993">
        <f t="shared" ref="DG275" si="147">DF275</f>
        <v>496.64600000000002</v>
      </c>
      <c r="DH275" s="993">
        <f t="shared" ref="DH275" si="148">DG275</f>
        <v>496.64600000000002</v>
      </c>
      <c r="DI275" s="966"/>
      <c r="DJ275" s="993"/>
      <c r="DK275" s="993">
        <f>DH275</f>
        <v>496.64600000000002</v>
      </c>
      <c r="DL275" s="993">
        <f>DK275</f>
        <v>496.64600000000002</v>
      </c>
      <c r="DM275" s="993">
        <f t="shared" ref="DM275" si="149">DL275</f>
        <v>496.64600000000002</v>
      </c>
      <c r="DN275" s="993">
        <f t="shared" ref="DN275" si="150">DM275</f>
        <v>496.64600000000002</v>
      </c>
      <c r="DO275" s="966"/>
      <c r="DP275" s="966"/>
    </row>
    <row r="276" spans="1:120">
      <c r="A276" s="1699" t="s">
        <v>1133</v>
      </c>
      <c r="BU276" s="993"/>
      <c r="BV276" s="993"/>
      <c r="BW276" s="993"/>
      <c r="BX276" s="993"/>
      <c r="BY276" s="966"/>
      <c r="BZ276" s="966"/>
      <c r="CA276" s="993"/>
      <c r="CB276" s="993"/>
      <c r="CC276" s="993"/>
      <c r="CD276" s="993"/>
      <c r="CE276" s="966"/>
      <c r="CF276" s="966"/>
      <c r="CG276" s="993"/>
      <c r="CH276" s="993"/>
      <c r="CI276" s="993"/>
      <c r="CJ276" s="993"/>
      <c r="CK276" s="966"/>
      <c r="CL276" s="966"/>
      <c r="CM276" s="993"/>
      <c r="CN276" s="993">
        <f>CN275*-3%/4</f>
        <v>-3.7248450000000002</v>
      </c>
      <c r="CO276" s="993">
        <f>CO275*-3%/4</f>
        <v>-3.7270050000000001</v>
      </c>
      <c r="CP276" s="993">
        <f>CO276</f>
        <v>-3.7270050000000001</v>
      </c>
      <c r="CQ276" s="966"/>
      <c r="CR276" s="966"/>
      <c r="CS276" s="993">
        <f>CS275*-3%/4</f>
        <v>-3.7270050000000001</v>
      </c>
      <c r="CT276" s="993">
        <f>CT275*-3%/4</f>
        <v>-3.7248450000000002</v>
      </c>
      <c r="CU276" s="993">
        <f t="shared" ref="CU276:CV276" si="151">CU275*-3%/4</f>
        <v>-3.7248450000000002</v>
      </c>
      <c r="CV276" s="993">
        <f t="shared" si="151"/>
        <v>-3.7248450000000002</v>
      </c>
      <c r="CW276" s="993"/>
      <c r="CX276" s="993"/>
      <c r="CY276" s="993">
        <f>CY275*-3%/4</f>
        <v>-3.7248450000000002</v>
      </c>
      <c r="CZ276" s="993">
        <f t="shared" ref="CZ276:DB276" si="152">CZ275*-3%/4</f>
        <v>-3.7248450000000002</v>
      </c>
      <c r="DA276" s="993">
        <f t="shared" si="152"/>
        <v>-3.7248450000000002</v>
      </c>
      <c r="DB276" s="993">
        <f t="shared" si="152"/>
        <v>-3.7248450000000002</v>
      </c>
      <c r="DC276" s="966"/>
      <c r="DD276" s="993"/>
      <c r="DE276" s="993">
        <f>DE275*-3%/4</f>
        <v>-3.7248450000000002</v>
      </c>
      <c r="DF276" s="993">
        <f t="shared" ref="DF276:DH276" si="153">DF275*-3%/4</f>
        <v>-3.7248450000000002</v>
      </c>
      <c r="DG276" s="993">
        <f t="shared" si="153"/>
        <v>-3.7248450000000002</v>
      </c>
      <c r="DH276" s="993">
        <f t="shared" si="153"/>
        <v>-3.7248450000000002</v>
      </c>
      <c r="DI276" s="966"/>
      <c r="DJ276" s="993"/>
      <c r="DK276" s="993">
        <f>DK275*-3%/4</f>
        <v>-3.7248450000000002</v>
      </c>
      <c r="DL276" s="993">
        <f t="shared" ref="DL276:DN276" si="154">DL275*-3%/4</f>
        <v>-3.7248450000000002</v>
      </c>
      <c r="DM276" s="993">
        <f t="shared" si="154"/>
        <v>-3.7248450000000002</v>
      </c>
      <c r="DN276" s="993">
        <f t="shared" si="154"/>
        <v>-3.7248450000000002</v>
      </c>
      <c r="DO276" s="966"/>
      <c r="DP276" s="966"/>
    </row>
    <row r="277" spans="1:120">
      <c r="A277" s="1699"/>
      <c r="CO277" s="1639"/>
      <c r="CP277" s="1639"/>
      <c r="CQ277" s="1639"/>
      <c r="CR277" s="1639"/>
      <c r="CS277" s="1639"/>
      <c r="CT277" s="1639"/>
      <c r="CU277" s="1639"/>
      <c r="CV277" s="1639"/>
      <c r="CW277" s="1639"/>
      <c r="CX277" s="1639"/>
      <c r="CY277" s="1639"/>
      <c r="CZ277" s="1639"/>
      <c r="DA277" s="1639"/>
      <c r="DB277" s="1639"/>
      <c r="DD277" s="1639"/>
      <c r="DE277" s="1639"/>
      <c r="DF277" s="1639"/>
      <c r="DG277" s="1639"/>
      <c r="DH277" s="1639"/>
      <c r="DJ277" s="1639"/>
      <c r="DK277" s="1639"/>
      <c r="DL277" s="1639"/>
      <c r="DM277" s="1639"/>
      <c r="DN277" s="1639"/>
    </row>
  </sheetData>
  <mergeCells count="7">
    <mergeCell ref="DK6:DN6"/>
    <mergeCell ref="DE6:DH6"/>
    <mergeCell ref="CY6:DB6"/>
    <mergeCell ref="CA6:CD6"/>
    <mergeCell ref="CG6:CJ6"/>
    <mergeCell ref="CM6:CP6"/>
    <mergeCell ref="CS6:CV6"/>
  </mergeCells>
  <phoneticPr fontId="4" type="noConversion"/>
  <pageMargins left="0" right="0" top="0" bottom="0" header="0" footer="0"/>
  <pageSetup paperSize="5" orientation="landscape" r:id="rId1"/>
  <headerFooter alignWithMargins="0">
    <oddFooter>&amp;L&amp;"Arial,Bold"&amp;8Morgan Stanley Research</oddFooter>
  </headerFooter>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indexed="10"/>
    <pageSetUpPr autoPageBreaks="0" fitToPage="1"/>
  </sheetPr>
  <dimension ref="A1:DY165"/>
  <sheetViews>
    <sheetView zoomScaleNormal="100" workbookViewId="0">
      <pane xSplit="76" ySplit="7" topLeftCell="BY48" activePane="bottomRight" state="frozen"/>
      <selection pane="topRight" activeCell="BY1" sqref="BY1"/>
      <selection pane="bottomLeft" activeCell="A8" sqref="A8"/>
      <selection pane="bottomRight" activeCell="A76" sqref="A76:DO149"/>
    </sheetView>
  </sheetViews>
  <sheetFormatPr defaultRowHeight="12.75" outlineLevelRow="1" outlineLevelCol="2"/>
  <cols>
    <col min="1" max="1" width="37" style="949" customWidth="1"/>
    <col min="2" max="2" width="7.85546875" style="949" customWidth="1"/>
    <col min="3" max="5" width="7.7109375" style="949" hidden="1" customWidth="1" outlineLevel="1"/>
    <col min="6" max="6" width="3" style="949" hidden="1" customWidth="1" outlineLevel="2"/>
    <col min="7" max="10" width="7.7109375" style="949" hidden="1" customWidth="1" outlineLevel="2"/>
    <col min="11" max="11" width="7.7109375" style="949" hidden="1" customWidth="1" outlineLevel="1" collapsed="1"/>
    <col min="12" max="12" width="1.7109375" style="949" hidden="1" customWidth="1" outlineLevel="2"/>
    <col min="13" max="16" width="7.5703125" style="949" hidden="1" customWidth="1" outlineLevel="2"/>
    <col min="17" max="17" width="7.5703125" style="949" hidden="1" customWidth="1" outlineLevel="1" collapsed="1"/>
    <col min="18" max="18" width="1.7109375" style="949" hidden="1" customWidth="1" outlineLevel="2"/>
    <col min="19" max="22" width="6.42578125" style="949" hidden="1" customWidth="1" outlineLevel="2"/>
    <col min="23" max="23" width="6.42578125" style="949" hidden="1" customWidth="1" outlineLevel="1" collapsed="1"/>
    <col min="24" max="24" width="1.7109375" style="949" hidden="1" customWidth="1" outlineLevel="1"/>
    <col min="25" max="28" width="6.5703125" style="949" hidden="1" customWidth="1" outlineLevel="2"/>
    <col min="29" max="29" width="6.5703125" style="949" hidden="1" customWidth="1" outlineLevel="1" collapsed="1"/>
    <col min="30" max="30" width="1.7109375" style="949" hidden="1" customWidth="1" outlineLevel="1" collapsed="1"/>
    <col min="31" max="35" width="6.5703125" style="949" hidden="1" customWidth="1" outlineLevel="2"/>
    <col min="36" max="36" width="1.7109375" style="949" hidden="1" customWidth="1" outlineLevel="2"/>
    <col min="37" max="40" width="6.5703125" style="949" hidden="1" customWidth="1" outlineLevel="2"/>
    <col min="41" max="41" width="6.5703125" style="949" hidden="1" customWidth="1" outlineLevel="1" collapsed="1"/>
    <col min="42" max="42" width="1.7109375" style="949" hidden="1" customWidth="1" outlineLevel="1" collapsed="1"/>
    <col min="43" max="45" width="6.5703125" style="949" hidden="1" customWidth="1" outlineLevel="2"/>
    <col min="46" max="46" width="6.85546875" style="949" hidden="1" customWidth="1" outlineLevel="2"/>
    <col min="47" max="47" width="6.5703125" style="949" hidden="1" customWidth="1" outlineLevel="1" collapsed="1"/>
    <col min="48" max="48" width="1.7109375" style="949" hidden="1" customWidth="1" collapsed="1"/>
    <col min="49" max="52" width="6.7109375" style="949" hidden="1" customWidth="1" outlineLevel="1"/>
    <col min="53" max="53" width="6.7109375" style="949" hidden="1" customWidth="1" collapsed="1"/>
    <col min="54" max="54" width="1.7109375" style="949" hidden="1" customWidth="1"/>
    <col min="55" max="58" width="6.7109375" style="949" hidden="1" customWidth="1" outlineLevel="1"/>
    <col min="59" max="59" width="6.7109375" style="949" hidden="1" customWidth="1" collapsed="1"/>
    <col min="60" max="60" width="1.7109375" style="949" hidden="1" customWidth="1"/>
    <col min="61" max="64" width="6.7109375" style="949" hidden="1" customWidth="1" outlineLevel="1"/>
    <col min="65" max="65" width="6.7109375" style="949" hidden="1" customWidth="1" collapsed="1"/>
    <col min="66" max="66" width="1.7109375" style="949" hidden="1" customWidth="1"/>
    <col min="67" max="70" width="6.7109375" style="949" hidden="1" customWidth="1" outlineLevel="1"/>
    <col min="71" max="71" width="6.7109375" style="949" hidden="1" customWidth="1" collapsed="1"/>
    <col min="72" max="72" width="1.7109375" style="949" hidden="1" customWidth="1"/>
    <col min="73" max="76" width="6.7109375" style="949" hidden="1" customWidth="1" outlineLevel="1"/>
    <col min="77" max="77" width="6.7109375" style="949" customWidth="1" collapsed="1"/>
    <col min="78" max="78" width="1.7109375" style="949" customWidth="1"/>
    <col min="79" max="82" width="6.7109375" style="949" hidden="1" customWidth="1" outlineLevel="1"/>
    <col min="83" max="83" width="6.7109375" style="949" customWidth="1" collapsed="1"/>
    <col min="84" max="84" width="1.7109375" style="949" customWidth="1"/>
    <col min="85" max="88" width="6.7109375" style="949" hidden="1" customWidth="1" outlineLevel="1"/>
    <col min="89" max="89" width="6.7109375" style="949" customWidth="1" collapsed="1"/>
    <col min="90" max="90" width="1.7109375" style="949" customWidth="1"/>
    <col min="91" max="94" width="6.7109375" style="949" hidden="1" customWidth="1" outlineLevel="1"/>
    <col min="95" max="95" width="6.7109375" style="949" customWidth="1" collapsed="1"/>
    <col min="96" max="96" width="1.7109375" style="949" customWidth="1"/>
    <col min="97" max="100" width="6.7109375" style="949" customWidth="1" outlineLevel="1"/>
    <col min="101" max="101" width="6.7109375" style="949" customWidth="1"/>
    <col min="102" max="102" width="1.7109375" style="949" customWidth="1"/>
    <col min="103" max="106" width="6.7109375" style="949" customWidth="1" outlineLevel="1"/>
    <col min="107" max="107" width="6.7109375" style="949" customWidth="1"/>
    <col min="108" max="108" width="1.7109375" style="949" customWidth="1"/>
    <col min="109" max="112" width="6.7109375" style="949" hidden="1" customWidth="1" outlineLevel="1"/>
    <col min="113" max="113" width="6.7109375" style="949" customWidth="1" collapsed="1"/>
    <col min="114" max="114" width="1.7109375" style="949" customWidth="1"/>
    <col min="115" max="118" width="6.7109375" style="949" hidden="1" customWidth="1" outlineLevel="1"/>
    <col min="119" max="119" width="6.7109375" style="949" customWidth="1" collapsed="1"/>
    <col min="120" max="120" width="7.7109375" style="949" hidden="1" customWidth="1" outlineLevel="1"/>
    <col min="121" max="121" width="7.7109375" style="949" customWidth="1" collapsed="1"/>
    <col min="122" max="122" width="1.42578125" style="949" bestFit="1" customWidth="1"/>
    <col min="123" max="123" width="21.5703125" hidden="1" customWidth="1" outlineLevel="1"/>
    <col min="124" max="128" width="7.7109375" hidden="1" customWidth="1" outlineLevel="1"/>
    <col min="129" max="129" width="9.140625" style="949" collapsed="1"/>
    <col min="130" max="16384" width="9.140625" style="949"/>
  </cols>
  <sheetData>
    <row r="1" spans="1:128" ht="17.25" customHeight="1">
      <c r="A1" s="1270" t="str">
        <f>Model!A1</f>
        <v>salesforce.com</v>
      </c>
      <c r="B1" s="950"/>
      <c r="C1" s="974"/>
      <c r="D1" s="974"/>
      <c r="E1" s="974"/>
      <c r="F1" s="974"/>
      <c r="G1" s="970"/>
      <c r="H1" s="974"/>
      <c r="I1" s="974"/>
      <c r="J1" s="974"/>
      <c r="K1" s="974"/>
      <c r="L1" s="974"/>
      <c r="M1" s="974"/>
      <c r="N1" s="974"/>
      <c r="O1" s="974"/>
      <c r="P1" s="974"/>
      <c r="Q1" s="1271"/>
      <c r="R1" s="974"/>
      <c r="S1" s="974"/>
      <c r="T1" s="974"/>
      <c r="U1" s="974"/>
      <c r="V1" s="974"/>
      <c r="W1" s="1271"/>
      <c r="X1" s="974"/>
      <c r="Y1" s="974"/>
      <c r="Z1" s="974"/>
      <c r="AA1" s="974"/>
      <c r="AB1" s="974"/>
      <c r="AC1" s="1271"/>
      <c r="AD1" s="974"/>
      <c r="AE1" s="974"/>
      <c r="AF1" s="974"/>
      <c r="AG1" s="974"/>
      <c r="AH1" s="974"/>
      <c r="AI1" s="1271"/>
      <c r="AJ1" s="974"/>
      <c r="AK1" s="974"/>
      <c r="AL1" s="974"/>
      <c r="AM1" s="974"/>
      <c r="AN1" s="974"/>
      <c r="AO1" s="974"/>
      <c r="AP1" s="974"/>
      <c r="AQ1" s="974"/>
      <c r="AR1" s="974"/>
      <c r="AS1" s="974"/>
      <c r="AT1" s="974"/>
      <c r="AU1" s="1271"/>
      <c r="AV1" s="974"/>
      <c r="AW1" s="974"/>
      <c r="AX1" s="974"/>
      <c r="AY1" s="974"/>
      <c r="AZ1" s="974"/>
      <c r="BA1" s="1271"/>
      <c r="BB1" s="974"/>
      <c r="BC1" s="974"/>
      <c r="BD1" s="974"/>
      <c r="BE1" s="974"/>
      <c r="BF1" s="974"/>
      <c r="BG1" s="1271"/>
      <c r="BH1" s="974"/>
      <c r="BI1" s="974"/>
      <c r="BJ1" s="974"/>
      <c r="BK1" s="974"/>
      <c r="BL1" s="974"/>
      <c r="BM1" s="1271"/>
      <c r="BN1" s="974"/>
      <c r="BO1" s="974"/>
      <c r="BP1" s="974"/>
      <c r="BQ1" s="974"/>
      <c r="BR1" s="974"/>
      <c r="BS1" s="1271"/>
      <c r="BT1" s="974"/>
      <c r="BU1" s="974"/>
      <c r="BV1" s="974"/>
      <c r="BW1" s="974"/>
      <c r="BX1" s="974"/>
      <c r="BY1" s="1271"/>
      <c r="BZ1" s="974"/>
      <c r="CA1" s="974"/>
      <c r="CB1" s="974"/>
      <c r="CC1" s="974"/>
      <c r="CD1" s="974"/>
      <c r="CE1" s="1271"/>
      <c r="CF1" s="974"/>
      <c r="CG1" s="1637"/>
      <c r="CH1" s="974"/>
      <c r="CI1" s="974"/>
      <c r="CJ1" s="974"/>
      <c r="CK1" s="1271"/>
      <c r="CL1" s="974"/>
      <c r="CM1" s="974"/>
      <c r="CN1" s="974"/>
      <c r="CO1" s="974"/>
      <c r="CP1" s="974"/>
      <c r="CQ1" s="1271"/>
      <c r="CR1" s="974"/>
      <c r="CS1" s="974"/>
      <c r="CT1" s="974"/>
      <c r="CU1" s="974"/>
      <c r="CV1" s="974"/>
      <c r="CW1" s="1271"/>
      <c r="CX1" s="974"/>
      <c r="CY1" s="974"/>
      <c r="CZ1" s="974"/>
      <c r="DA1" s="974"/>
      <c r="DB1" s="974"/>
      <c r="DC1" s="1271"/>
      <c r="DD1" s="974"/>
      <c r="DE1" s="974"/>
      <c r="DF1" s="974"/>
      <c r="DG1" s="974"/>
      <c r="DH1" s="974"/>
      <c r="DI1" s="1271"/>
      <c r="DJ1" s="974"/>
      <c r="DK1" s="974"/>
      <c r="DL1" s="974"/>
      <c r="DM1" s="974"/>
      <c r="DN1" s="974"/>
      <c r="DO1" s="1271"/>
      <c r="DP1" s="948" t="s">
        <v>630</v>
      </c>
      <c r="DQ1" s="948"/>
      <c r="DR1" s="948"/>
    </row>
    <row r="2" spans="1:128" ht="21" customHeight="1">
      <c r="A2" s="1109" t="s">
        <v>441</v>
      </c>
      <c r="B2" s="950"/>
      <c r="C2" s="1110"/>
      <c r="D2" s="1110"/>
      <c r="E2" s="1110"/>
      <c r="F2" s="975"/>
      <c r="G2" s="1110"/>
      <c r="H2" s="1110"/>
      <c r="I2" s="1110"/>
      <c r="J2" s="975"/>
      <c r="K2" s="1110"/>
      <c r="L2" s="975"/>
      <c r="M2" s="975"/>
      <c r="N2" s="975"/>
      <c r="O2" s="975"/>
      <c r="P2" s="975"/>
      <c r="Q2" s="1272"/>
      <c r="R2" s="975"/>
      <c r="S2" s="975"/>
      <c r="T2" s="975"/>
      <c r="U2" s="975"/>
      <c r="V2" s="975"/>
      <c r="W2" s="1272"/>
      <c r="X2" s="975"/>
      <c r="Y2" s="975"/>
      <c r="Z2" s="975"/>
      <c r="AA2" s="975"/>
      <c r="AB2" s="975"/>
      <c r="AC2" s="1272"/>
      <c r="AD2" s="975"/>
      <c r="AE2" s="975"/>
      <c r="AF2" s="975"/>
      <c r="AG2" s="975"/>
      <c r="AH2" s="975"/>
      <c r="AI2" s="1272"/>
      <c r="AJ2" s="975"/>
      <c r="AK2" s="975"/>
      <c r="AL2" s="975"/>
      <c r="AM2" s="975"/>
      <c r="AN2" s="975"/>
      <c r="AO2" s="975"/>
      <c r="AP2" s="975"/>
      <c r="AQ2" s="975"/>
      <c r="AR2" s="975"/>
      <c r="AS2" s="1273"/>
      <c r="AT2" s="975"/>
      <c r="AU2" s="1272"/>
      <c r="AV2" s="975"/>
      <c r="AW2" s="975"/>
      <c r="AX2" s="975"/>
      <c r="AY2" s="975"/>
      <c r="AZ2" s="975"/>
      <c r="BA2" s="1272"/>
      <c r="BB2" s="975"/>
      <c r="BC2" s="975"/>
      <c r="BD2" s="975"/>
      <c r="BE2" s="975"/>
      <c r="BF2" s="975"/>
      <c r="BG2" s="1272"/>
      <c r="BH2" s="975"/>
      <c r="BI2" s="975"/>
      <c r="BJ2" s="975"/>
      <c r="BK2" s="975"/>
      <c r="BL2" s="975"/>
      <c r="BM2" s="1272"/>
      <c r="BN2" s="975"/>
      <c r="BO2" s="975"/>
      <c r="BP2" s="975"/>
      <c r="BQ2" s="975"/>
      <c r="BR2" s="975"/>
      <c r="BS2" s="1272"/>
      <c r="BT2" s="975"/>
      <c r="BU2" s="975"/>
      <c r="BV2" s="975"/>
      <c r="BW2" s="975"/>
      <c r="BX2" s="975"/>
      <c r="BY2" s="1272"/>
      <c r="BZ2" s="975"/>
      <c r="CA2" s="975"/>
      <c r="CB2" s="975"/>
      <c r="CC2" s="975"/>
      <c r="CD2" s="975"/>
      <c r="CE2" s="1606"/>
      <c r="CF2" s="975"/>
      <c r="CG2" s="975"/>
      <c r="CH2" s="975"/>
      <c r="CI2" s="975"/>
      <c r="CJ2" s="975"/>
      <c r="CK2" s="1272"/>
      <c r="CL2" s="975"/>
      <c r="CM2" s="975"/>
      <c r="CN2" s="975"/>
      <c r="CO2" s="975"/>
      <c r="CP2" s="975"/>
      <c r="CQ2" s="1272"/>
      <c r="CR2" s="975"/>
      <c r="CS2" s="975"/>
      <c r="CT2" s="975"/>
      <c r="CU2" s="975"/>
      <c r="CV2" s="975"/>
      <c r="CW2" s="1272"/>
      <c r="CX2" s="975"/>
      <c r="CY2" s="975"/>
      <c r="CZ2" s="975"/>
      <c r="DA2" s="975"/>
      <c r="DB2" s="975"/>
      <c r="DC2" s="1272"/>
      <c r="DD2" s="975"/>
      <c r="DE2" s="975"/>
      <c r="DF2" s="975"/>
      <c r="DG2" s="975"/>
      <c r="DH2" s="975"/>
      <c r="DI2" s="1272"/>
      <c r="DJ2" s="975"/>
      <c r="DK2" s="975"/>
      <c r="DL2" s="975"/>
      <c r="DM2" s="975"/>
      <c r="DN2" s="975"/>
      <c r="DO2" s="1272"/>
      <c r="DP2" s="948"/>
      <c r="DQ2" s="948"/>
      <c r="DR2" s="948"/>
    </row>
    <row r="3" spans="1:128" customFormat="1" ht="12" hidden="1" customHeight="1" outlineLevel="1"/>
    <row r="4" spans="1:128" ht="12" customHeight="1" collapsed="1">
      <c r="A4" s="1274" t="s">
        <v>151</v>
      </c>
      <c r="B4" s="950"/>
      <c r="C4" s="1275"/>
      <c r="D4" s="1275"/>
      <c r="E4" s="1275"/>
      <c r="F4" s="1275"/>
      <c r="G4" s="951"/>
      <c r="H4" s="951"/>
      <c r="I4" s="951"/>
      <c r="J4" s="951"/>
      <c r="K4" s="1275"/>
      <c r="L4" s="1275"/>
      <c r="M4" s="1275"/>
      <c r="N4" s="1275"/>
      <c r="O4" s="1275"/>
      <c r="P4" s="1275"/>
      <c r="Q4" s="1275"/>
      <c r="R4" s="1275"/>
      <c r="S4" s="1275"/>
      <c r="T4" s="1275"/>
      <c r="U4" s="1275"/>
      <c r="V4" s="1275"/>
      <c r="W4" s="1275"/>
      <c r="X4" s="1275"/>
      <c r="Y4" s="1275"/>
      <c r="Z4" s="1275"/>
      <c r="AA4" s="1275"/>
      <c r="AB4" s="1275"/>
      <c r="AC4" s="1275"/>
      <c r="AD4" s="1275"/>
      <c r="AE4" s="1275"/>
      <c r="AF4" s="1275"/>
      <c r="AG4" s="1275"/>
      <c r="AH4" s="1275"/>
      <c r="AI4" s="1275"/>
      <c r="AJ4" s="1275"/>
      <c r="AK4" s="1275"/>
      <c r="AL4" s="1275"/>
      <c r="AM4" s="1275"/>
      <c r="AN4" s="1275"/>
      <c r="AO4" s="1275"/>
      <c r="AP4" s="1275"/>
      <c r="AQ4" s="1275"/>
      <c r="AR4" s="1275"/>
      <c r="AS4" s="1275"/>
      <c r="AT4" s="1275"/>
      <c r="AU4" s="1275"/>
      <c r="AV4" s="1275"/>
      <c r="AW4" s="1275"/>
      <c r="AX4" s="1275"/>
      <c r="AY4" s="1275"/>
      <c r="AZ4" s="1275"/>
      <c r="BA4" s="1275"/>
      <c r="BB4" s="1275"/>
      <c r="BC4" s="1275"/>
      <c r="BD4" s="1275"/>
      <c r="BE4" s="1275"/>
      <c r="BF4" s="1275"/>
      <c r="BG4" s="1275"/>
      <c r="BH4" s="1275"/>
      <c r="BI4" s="1275"/>
      <c r="BJ4" s="1275"/>
      <c r="BK4" s="1275"/>
      <c r="BL4" s="1275"/>
      <c r="BM4" s="1275"/>
      <c r="BN4" s="1275"/>
      <c r="BO4" s="1275"/>
      <c r="BP4" s="1275"/>
      <c r="BQ4" s="1275"/>
      <c r="BR4" s="1275"/>
      <c r="BS4" s="1275"/>
      <c r="BT4" s="1275"/>
      <c r="BU4" s="1275"/>
      <c r="BV4" s="1275"/>
      <c r="BW4" s="1275"/>
      <c r="BX4" s="1275"/>
      <c r="BY4" s="1275"/>
      <c r="BZ4" s="1275"/>
      <c r="CA4" s="1275"/>
      <c r="CB4" s="1275"/>
      <c r="CC4" s="1275"/>
      <c r="CD4" s="1275"/>
      <c r="CE4" s="1275"/>
      <c r="CF4" s="1275"/>
      <c r="CG4" s="1275"/>
      <c r="CH4" s="1275"/>
      <c r="CI4" s="1275"/>
      <c r="CJ4" s="1275"/>
      <c r="CK4" s="1275"/>
      <c r="CL4" s="1275"/>
      <c r="CM4" s="1275"/>
      <c r="CN4" s="1275"/>
      <c r="CO4" s="1275"/>
      <c r="CP4" s="1275"/>
      <c r="CQ4" s="1275"/>
      <c r="CR4" s="1275"/>
      <c r="CS4" s="1275"/>
      <c r="CT4" s="1275"/>
      <c r="CU4" s="1275"/>
      <c r="CV4" s="1275"/>
      <c r="CW4" s="1275"/>
      <c r="CX4" s="1275"/>
      <c r="CY4" s="1275"/>
      <c r="CZ4" s="1275"/>
      <c r="DA4" s="1275"/>
      <c r="DB4" s="1275"/>
      <c r="DC4" s="1275"/>
      <c r="DD4" s="1275"/>
      <c r="DE4" s="1275"/>
      <c r="DF4" s="1275"/>
      <c r="DG4" s="1275"/>
      <c r="DH4" s="1275"/>
      <c r="DI4" s="1275"/>
      <c r="DJ4" s="1275"/>
      <c r="DK4" s="948"/>
      <c r="DL4" s="948"/>
      <c r="DM4" s="948"/>
      <c r="DN4" s="948"/>
      <c r="DO4" s="948"/>
      <c r="DP4" s="1697"/>
      <c r="DQ4" s="951"/>
      <c r="DR4" s="951"/>
    </row>
    <row r="5" spans="1:128" s="1705" customFormat="1" ht="12" hidden="1" customHeight="1" outlineLevel="1">
      <c r="A5" s="1923"/>
      <c r="B5" s="1924"/>
      <c r="C5" s="1925"/>
      <c r="D5" s="1925"/>
      <c r="E5" s="1925"/>
      <c r="F5" s="1925"/>
      <c r="G5" s="1926" t="s">
        <v>163</v>
      </c>
      <c r="H5" s="1926" t="s">
        <v>164</v>
      </c>
      <c r="I5" s="1926" t="s">
        <v>902</v>
      </c>
      <c r="J5" s="1926" t="s">
        <v>903</v>
      </c>
      <c r="K5" s="1925" t="s">
        <v>618</v>
      </c>
      <c r="L5" s="1925"/>
      <c r="M5" s="1925" t="s">
        <v>619</v>
      </c>
      <c r="N5" s="1925" t="s">
        <v>998</v>
      </c>
      <c r="O5" s="1925" t="s">
        <v>463</v>
      </c>
      <c r="P5" s="1925" t="s">
        <v>464</v>
      </c>
      <c r="Q5" s="1925" t="s">
        <v>465</v>
      </c>
      <c r="R5" s="1925"/>
      <c r="S5" s="1925" t="s">
        <v>466</v>
      </c>
      <c r="T5" s="1925" t="s">
        <v>467</v>
      </c>
      <c r="U5" s="1925" t="s">
        <v>468</v>
      </c>
      <c r="V5" s="1925" t="s">
        <v>469</v>
      </c>
      <c r="W5" s="1925" t="s">
        <v>470</v>
      </c>
      <c r="X5" s="1925"/>
      <c r="Y5" s="1925" t="s">
        <v>471</v>
      </c>
      <c r="Z5" s="1925" t="s">
        <v>472</v>
      </c>
      <c r="AA5" s="1925" t="s">
        <v>473</v>
      </c>
      <c r="AB5" s="1925" t="s">
        <v>474</v>
      </c>
      <c r="AC5" s="1925" t="s">
        <v>475</v>
      </c>
      <c r="AD5" s="1925"/>
      <c r="AE5" s="1925" t="s">
        <v>150</v>
      </c>
      <c r="AF5" s="1925" t="s">
        <v>336</v>
      </c>
      <c r="AG5" s="1925" t="s">
        <v>337</v>
      </c>
      <c r="AH5" s="1925" t="s">
        <v>452</v>
      </c>
      <c r="AI5" s="1925" t="s">
        <v>453</v>
      </c>
      <c r="AJ5" s="1925"/>
      <c r="AK5" s="1925" t="s">
        <v>365</v>
      </c>
      <c r="AL5" s="1925" t="s">
        <v>138</v>
      </c>
      <c r="AM5" s="1925" t="s">
        <v>139</v>
      </c>
      <c r="AN5" s="1925" t="s">
        <v>140</v>
      </c>
      <c r="AO5" s="1925" t="s">
        <v>364</v>
      </c>
      <c r="AP5" s="1925"/>
      <c r="AQ5" s="1925" t="s">
        <v>508</v>
      </c>
      <c r="AR5" s="1925" t="s">
        <v>509</v>
      </c>
      <c r="AS5" s="1925" t="s">
        <v>995</v>
      </c>
      <c r="AT5" s="1925" t="s">
        <v>996</v>
      </c>
      <c r="AU5" s="1925" t="s">
        <v>997</v>
      </c>
      <c r="AV5" s="1925"/>
      <c r="AW5" s="1925" t="s">
        <v>196</v>
      </c>
      <c r="AX5" s="1925" t="s">
        <v>346</v>
      </c>
      <c r="AY5" s="1925" t="s">
        <v>197</v>
      </c>
      <c r="AZ5" s="1925" t="s">
        <v>198</v>
      </c>
      <c r="BA5" s="1925" t="s">
        <v>199</v>
      </c>
      <c r="BB5" s="1925"/>
      <c r="BC5" s="1925" t="s">
        <v>886</v>
      </c>
      <c r="BD5" s="1925" t="s">
        <v>887</v>
      </c>
      <c r="BE5" s="1925" t="s">
        <v>888</v>
      </c>
      <c r="BF5" s="1925" t="s">
        <v>889</v>
      </c>
      <c r="BG5" s="1925" t="s">
        <v>890</v>
      </c>
      <c r="BH5" s="1925"/>
      <c r="BI5" s="1925" t="s">
        <v>646</v>
      </c>
      <c r="BJ5" s="1925" t="s">
        <v>647</v>
      </c>
      <c r="BK5" s="1925" t="s">
        <v>648</v>
      </c>
      <c r="BL5" s="1925" t="s">
        <v>649</v>
      </c>
      <c r="BM5" s="1925" t="s">
        <v>400</v>
      </c>
      <c r="BN5" s="1925"/>
      <c r="BO5" s="1925" t="s">
        <v>11</v>
      </c>
      <c r="BP5" s="1925" t="s">
        <v>12</v>
      </c>
      <c r="BQ5" s="1925" t="s">
        <v>13</v>
      </c>
      <c r="BR5" s="1925" t="s">
        <v>14</v>
      </c>
      <c r="BS5" s="1925" t="s">
        <v>15</v>
      </c>
      <c r="BT5" s="1925"/>
      <c r="BU5" s="1925" t="s">
        <v>517</v>
      </c>
      <c r="BV5" s="1925" t="s">
        <v>518</v>
      </c>
      <c r="BW5" s="1925" t="s">
        <v>519</v>
      </c>
      <c r="BX5" s="1925" t="s">
        <v>520</v>
      </c>
      <c r="BY5" s="1925" t="s">
        <v>521</v>
      </c>
      <c r="BZ5" s="1925"/>
      <c r="CA5" s="1925" t="s">
        <v>176</v>
      </c>
      <c r="CB5" s="1925" t="s">
        <v>177</v>
      </c>
      <c r="CC5" s="1925" t="s">
        <v>178</v>
      </c>
      <c r="CD5" s="1925" t="s">
        <v>179</v>
      </c>
      <c r="CE5" s="1925" t="s">
        <v>180</v>
      </c>
      <c r="CF5" s="1925"/>
      <c r="CG5" s="1925" t="s">
        <v>557</v>
      </c>
      <c r="CH5" s="1925" t="s">
        <v>558</v>
      </c>
      <c r="CI5" s="1925" t="s">
        <v>203</v>
      </c>
      <c r="CJ5" s="1925" t="s">
        <v>550</v>
      </c>
      <c r="CK5" s="1925" t="s">
        <v>551</v>
      </c>
      <c r="CL5" s="1925"/>
      <c r="CM5" s="1925" t="s">
        <v>1026</v>
      </c>
      <c r="CN5" s="1925" t="s">
        <v>1027</v>
      </c>
      <c r="CO5" s="1925" t="s">
        <v>1028</v>
      </c>
      <c r="CP5" s="1925" t="s">
        <v>1029</v>
      </c>
      <c r="CQ5" s="1925" t="s">
        <v>1030</v>
      </c>
      <c r="CR5" s="1925"/>
      <c r="CS5" s="1925" t="s">
        <v>1062</v>
      </c>
      <c r="CT5" s="1925" t="s">
        <v>1063</v>
      </c>
      <c r="CU5" s="1925" t="s">
        <v>1064</v>
      </c>
      <c r="CV5" s="1925" t="s">
        <v>1065</v>
      </c>
      <c r="CW5" s="1925" t="s">
        <v>1066</v>
      </c>
      <c r="CX5" s="1925"/>
      <c r="CY5" s="1925" t="s">
        <v>1115</v>
      </c>
      <c r="CZ5" s="1925" t="s">
        <v>1116</v>
      </c>
      <c r="DA5" s="1925" t="s">
        <v>1117</v>
      </c>
      <c r="DB5" s="1925" t="s">
        <v>1118</v>
      </c>
      <c r="DC5" s="1925" t="s">
        <v>1119</v>
      </c>
      <c r="DD5" s="1925"/>
      <c r="DE5" s="1925" t="s">
        <v>1192</v>
      </c>
      <c r="DF5" s="1925" t="s">
        <v>1193</v>
      </c>
      <c r="DG5" s="1925" t="s">
        <v>1194</v>
      </c>
      <c r="DH5" s="1925" t="s">
        <v>1195</v>
      </c>
      <c r="DI5" s="1925" t="s">
        <v>1196</v>
      </c>
      <c r="DJ5" s="1925"/>
      <c r="DK5" s="948" t="s">
        <v>1233</v>
      </c>
      <c r="DL5" s="948" t="s">
        <v>1234</v>
      </c>
      <c r="DM5" s="948" t="s">
        <v>1235</v>
      </c>
      <c r="DN5" s="948" t="s">
        <v>1236</v>
      </c>
      <c r="DO5" s="948" t="s">
        <v>1237</v>
      </c>
      <c r="DP5" s="1926"/>
      <c r="DQ5" s="1926"/>
      <c r="DR5" s="1926"/>
      <c r="DS5"/>
      <c r="DT5"/>
      <c r="DU5"/>
      <c r="DV5"/>
      <c r="DW5"/>
      <c r="DX5"/>
    </row>
    <row r="6" spans="1:128" ht="12" customHeight="1" collapsed="1">
      <c r="A6" s="1276"/>
      <c r="B6" s="966"/>
      <c r="C6" s="1277" t="s">
        <v>68</v>
      </c>
      <c r="D6" s="1277"/>
      <c r="E6" s="1277"/>
      <c r="F6" s="962"/>
      <c r="G6" s="1278">
        <f>Model!G6</f>
        <v>2003</v>
      </c>
      <c r="H6" s="1277"/>
      <c r="I6" s="1279"/>
      <c r="J6" s="1277"/>
      <c r="K6" s="1277"/>
      <c r="L6" s="962"/>
      <c r="M6" s="1278" t="str">
        <f>Model!M6</f>
        <v>2004</v>
      </c>
      <c r="N6" s="1277"/>
      <c r="O6" s="1279"/>
      <c r="P6" s="1277"/>
      <c r="Q6" s="1277"/>
      <c r="R6" s="962"/>
      <c r="S6" s="1278" t="str">
        <f>Model!S6</f>
        <v>2005</v>
      </c>
      <c r="T6" s="1277"/>
      <c r="U6" s="1279"/>
      <c r="V6" s="1277"/>
      <c r="W6" s="1277"/>
      <c r="X6" s="962"/>
      <c r="Y6" s="1278">
        <f>Model!Y6</f>
        <v>2006</v>
      </c>
      <c r="Z6" s="1277"/>
      <c r="AA6" s="1279"/>
      <c r="AB6" s="1277"/>
      <c r="AC6" s="1277"/>
      <c r="AD6" s="962"/>
      <c r="AE6" s="1278">
        <f>Model!AE6</f>
        <v>2007</v>
      </c>
      <c r="AF6" s="1277"/>
      <c r="AG6" s="1279"/>
      <c r="AH6" s="1277"/>
      <c r="AI6" s="1280"/>
      <c r="AJ6" s="962"/>
      <c r="AK6" s="1281">
        <f>Model!AK6</f>
        <v>2008</v>
      </c>
      <c r="AL6" s="1280"/>
      <c r="AM6" s="1280"/>
      <c r="AN6" s="1280"/>
      <c r="AO6" s="1280"/>
      <c r="AP6" s="962"/>
      <c r="AQ6" s="1281">
        <f>Model!AQ6</f>
        <v>2009</v>
      </c>
      <c r="AR6" s="1280"/>
      <c r="AS6" s="1282"/>
      <c r="AT6" s="1280"/>
      <c r="AU6" s="1280"/>
      <c r="AV6" s="962"/>
      <c r="AW6" s="1281">
        <f>Model!AW6</f>
        <v>2010</v>
      </c>
      <c r="AX6" s="1280"/>
      <c r="AY6" s="1282"/>
      <c r="AZ6" s="1280"/>
      <c r="BA6" s="1280"/>
      <c r="BB6" s="962"/>
      <c r="BC6" s="1281">
        <f>Model!BC6</f>
        <v>2011</v>
      </c>
      <c r="BD6" s="1280"/>
      <c r="BE6" s="1282"/>
      <c r="BF6" s="1280"/>
      <c r="BH6" s="962"/>
      <c r="BI6" s="1281">
        <f>Model!BI6</f>
        <v>2012</v>
      </c>
      <c r="BJ6" s="1280"/>
      <c r="BK6" s="1282"/>
      <c r="BL6" s="1280"/>
      <c r="BN6" s="962"/>
      <c r="BO6" s="1281">
        <f>Model!BO6</f>
        <v>2013</v>
      </c>
      <c r="BP6" s="1280"/>
      <c r="BQ6" s="1282"/>
      <c r="BR6" s="1280"/>
      <c r="BS6" s="1280"/>
      <c r="BT6" s="962"/>
      <c r="BU6" s="1281">
        <f>Model!BU6</f>
        <v>2014</v>
      </c>
      <c r="BV6" s="1280"/>
      <c r="BW6" s="1282"/>
      <c r="BX6" s="1280"/>
      <c r="BY6" s="1280"/>
      <c r="BZ6" s="962"/>
      <c r="CA6" s="2027">
        <f>Model!CA6</f>
        <v>2015</v>
      </c>
      <c r="CB6" s="2027"/>
      <c r="CC6" s="2027"/>
      <c r="CD6" s="2027"/>
      <c r="CE6" s="1280"/>
      <c r="CF6" s="962"/>
      <c r="CG6" s="2027">
        <f>Model!CG6</f>
        <v>2016</v>
      </c>
      <c r="CH6" s="2027"/>
      <c r="CI6" s="2027"/>
      <c r="CJ6" s="2027"/>
      <c r="CK6" s="1280"/>
      <c r="CL6" s="962"/>
      <c r="CM6" s="2027">
        <f>Model!CM6</f>
        <v>2017</v>
      </c>
      <c r="CN6" s="2027"/>
      <c r="CO6" s="2027"/>
      <c r="CP6" s="2027"/>
      <c r="CQ6" s="1280"/>
      <c r="CR6" s="962"/>
      <c r="CS6" s="2027">
        <f>Model!CS6</f>
        <v>2018</v>
      </c>
      <c r="CT6" s="2027"/>
      <c r="CU6" s="2027"/>
      <c r="CV6" s="2027"/>
      <c r="CW6" s="1280"/>
      <c r="CX6" s="962"/>
      <c r="CY6" s="2027" t="str">
        <f>Model!CY6</f>
        <v xml:space="preserve">  2019E</v>
      </c>
      <c r="CZ6" s="2027"/>
      <c r="DA6" s="2027"/>
      <c r="DB6" s="2027"/>
      <c r="DC6" s="1280"/>
      <c r="DD6" s="962"/>
      <c r="DE6" s="2027" t="str">
        <f>Model!DE6</f>
        <v xml:space="preserve">  2020E</v>
      </c>
      <c r="DF6" s="2027"/>
      <c r="DG6" s="2027"/>
      <c r="DH6" s="2027"/>
      <c r="DI6" s="1280"/>
      <c r="DJ6" s="962"/>
      <c r="DK6" s="2027" t="str">
        <f>Model!DK6</f>
        <v xml:space="preserve">  2021E</v>
      </c>
      <c r="DL6" s="2027"/>
      <c r="DM6" s="2027"/>
      <c r="DN6" s="2027"/>
      <c r="DO6" s="1280"/>
      <c r="DP6" s="952"/>
      <c r="DQ6" s="952"/>
      <c r="DR6" s="952"/>
    </row>
    <row r="7" spans="1:128">
      <c r="A7" s="1283"/>
      <c r="B7" s="966"/>
      <c r="C7" s="1284" t="str">
        <f>Model!C7</f>
        <v>FY00</v>
      </c>
      <c r="D7" s="1284" t="str">
        <f>Model!D7</f>
        <v>FY01</v>
      </c>
      <c r="E7" s="1284" t="str">
        <f>Model!E7</f>
        <v>FY02</v>
      </c>
      <c r="F7" s="1284"/>
      <c r="G7" s="1284" t="str">
        <f>Model!G7</f>
        <v>4/02</v>
      </c>
      <c r="H7" s="1284" t="str">
        <f>Model!H7</f>
        <v>7/02</v>
      </c>
      <c r="I7" s="1284" t="str">
        <f>Model!I7</f>
        <v>10/02</v>
      </c>
      <c r="J7" s="1284" t="str">
        <f>Model!J7</f>
        <v>1/03</v>
      </c>
      <c r="K7" s="1284" t="str">
        <f>Model!K7</f>
        <v>FY03</v>
      </c>
      <c r="L7" s="1284"/>
      <c r="M7" s="1284" t="str">
        <f>Model!M7</f>
        <v>4/03</v>
      </c>
      <c r="N7" s="1284" t="str">
        <f>Model!N7</f>
        <v>7/03</v>
      </c>
      <c r="O7" s="1284" t="str">
        <f>Model!O7</f>
        <v>10/03</v>
      </c>
      <c r="P7" s="1284" t="str">
        <f>Model!P7</f>
        <v>1/04</v>
      </c>
      <c r="Q7" s="1284" t="str">
        <f>Model!Q7</f>
        <v>FY04</v>
      </c>
      <c r="R7" s="1284"/>
      <c r="S7" s="1284" t="str">
        <f>Model!S7</f>
        <v>4/04</v>
      </c>
      <c r="T7" s="1284" t="str">
        <f>Model!T7</f>
        <v xml:space="preserve"> 7/04</v>
      </c>
      <c r="U7" s="1284" t="str">
        <f>Model!U7</f>
        <v xml:space="preserve"> 10/04</v>
      </c>
      <c r="V7" s="1284" t="str">
        <f>Model!V7</f>
        <v>1/05</v>
      </c>
      <c r="W7" s="1284" t="str">
        <f>Model!W7</f>
        <v>FY05</v>
      </c>
      <c r="X7" s="1284"/>
      <c r="Y7" s="1284" t="str">
        <f>Model!Y7</f>
        <v>4/05</v>
      </c>
      <c r="Z7" s="1284" t="str">
        <f>Model!Z7</f>
        <v xml:space="preserve"> 7/05</v>
      </c>
      <c r="AA7" s="1284" t="str">
        <f>Model!AA7</f>
        <v xml:space="preserve"> 10/05</v>
      </c>
      <c r="AB7" s="1284" t="str">
        <f>Model!AB7</f>
        <v>1/06</v>
      </c>
      <c r="AC7" s="1284" t="str">
        <f>Model!AC7</f>
        <v>FY06</v>
      </c>
      <c r="AD7" s="1284"/>
      <c r="AE7" s="1284" t="str">
        <f>Model!AE7</f>
        <v>4/06</v>
      </c>
      <c r="AF7" s="1284" t="str">
        <f>Model!AF7</f>
        <v xml:space="preserve"> 7/06</v>
      </c>
      <c r="AG7" s="1284" t="str">
        <f>Model!AG7</f>
        <v xml:space="preserve"> 10/06</v>
      </c>
      <c r="AH7" s="1284" t="str">
        <f>Model!AH7</f>
        <v>1/07</v>
      </c>
      <c r="AI7" s="1285" t="str">
        <f>Model!AI7</f>
        <v>FY07</v>
      </c>
      <c r="AJ7" s="1286"/>
      <c r="AK7" s="1286" t="str">
        <f>Model!AK7</f>
        <v>4/07</v>
      </c>
      <c r="AL7" s="1286" t="str">
        <f>Model!AL7</f>
        <v xml:space="preserve"> 7/07</v>
      </c>
      <c r="AM7" s="1286" t="str">
        <f>Model!AM7</f>
        <v xml:space="preserve"> 10/07</v>
      </c>
      <c r="AN7" s="1286" t="str">
        <f>Model!AN7</f>
        <v>1/08</v>
      </c>
      <c r="AO7" s="1285" t="str">
        <f>Model!AO7</f>
        <v>FY08</v>
      </c>
      <c r="AP7" s="1286"/>
      <c r="AQ7" s="1286" t="str">
        <f>Model!AQ7</f>
        <v>4/08</v>
      </c>
      <c r="AR7" s="1286" t="str">
        <f>Model!AR7</f>
        <v xml:space="preserve"> 7/08</v>
      </c>
      <c r="AS7" s="1286" t="str">
        <f>Model!AS7</f>
        <v xml:space="preserve"> 10/08</v>
      </c>
      <c r="AT7" s="1286" t="str">
        <f>Model!AT7</f>
        <v>1/09</v>
      </c>
      <c r="AU7" s="1285" t="str">
        <f>Model!AU7</f>
        <v>FY09</v>
      </c>
      <c r="AV7" s="1286"/>
      <c r="AW7" s="1286" t="str">
        <f>Model!AW7</f>
        <v>4/09</v>
      </c>
      <c r="AX7" s="1286" t="str">
        <f>Model!AX7</f>
        <v xml:space="preserve"> 7/09</v>
      </c>
      <c r="AY7" s="1286" t="str">
        <f>Model!AY7</f>
        <v xml:space="preserve"> 10/09</v>
      </c>
      <c r="AZ7" s="1286" t="str">
        <f>Model!AZ7</f>
        <v>1/10</v>
      </c>
      <c r="BA7" s="1285" t="str">
        <f>Model!BA7</f>
        <v>FY10</v>
      </c>
      <c r="BB7" s="1286"/>
      <c r="BC7" s="1286" t="str">
        <f>Model!BC7</f>
        <v>4/10</v>
      </c>
      <c r="BD7" s="1286" t="str">
        <f>Model!BD7</f>
        <v xml:space="preserve"> 7/10</v>
      </c>
      <c r="BE7" s="1286" t="str">
        <f>Model!BE7</f>
        <v xml:space="preserve"> 10/10</v>
      </c>
      <c r="BF7" s="1286" t="str">
        <f>Model!BF7</f>
        <v>1/11</v>
      </c>
      <c r="BG7" s="1285" t="str">
        <f>Model!BG7</f>
        <v>FY11</v>
      </c>
      <c r="BH7" s="1286"/>
      <c r="BI7" s="1286" t="str">
        <f>Model!BI7</f>
        <v>4/11</v>
      </c>
      <c r="BJ7" s="1286" t="str">
        <f>Model!BJ7</f>
        <v xml:space="preserve"> 7/11</v>
      </c>
      <c r="BK7" s="1286" t="str">
        <f>Model!BK7</f>
        <v xml:space="preserve"> 10/11</v>
      </c>
      <c r="BL7" s="1286" t="str">
        <f>Model!BL7</f>
        <v>1/12</v>
      </c>
      <c r="BM7" s="1285" t="str">
        <f>Model!BM7</f>
        <v>FY12</v>
      </c>
      <c r="BN7" s="1286"/>
      <c r="BO7" s="1286" t="str">
        <f>Model!BO7</f>
        <v>4/12</v>
      </c>
      <c r="BP7" s="1286" t="str">
        <f>Model!BP7</f>
        <v xml:space="preserve"> 7/12</v>
      </c>
      <c r="BQ7" s="1286" t="str">
        <f>Model!BQ7</f>
        <v xml:space="preserve"> 10/12</v>
      </c>
      <c r="BR7" s="1286" t="str">
        <f>Model!BR7</f>
        <v>1/13</v>
      </c>
      <c r="BS7" s="1285" t="str">
        <f>Model!BS7</f>
        <v>FY13</v>
      </c>
      <c r="BT7" s="1286"/>
      <c r="BU7" s="1286" t="str">
        <f>Model!BU7</f>
        <v>4/13</v>
      </c>
      <c r="BV7" s="1286" t="str">
        <f>Model!BV7</f>
        <v xml:space="preserve"> 7/13</v>
      </c>
      <c r="BW7" s="1286" t="str">
        <f>Model!BW7</f>
        <v xml:space="preserve"> 10/13</v>
      </c>
      <c r="BX7" s="1286" t="str">
        <f>Model!BX7</f>
        <v>1/14</v>
      </c>
      <c r="BY7" s="1285" t="str">
        <f>Model!BY7</f>
        <v>FY14</v>
      </c>
      <c r="BZ7" s="1286"/>
      <c r="CA7" s="1286" t="str">
        <f>Model!CA7</f>
        <v>4/14</v>
      </c>
      <c r="CB7" s="1286" t="str">
        <f>Model!CB7</f>
        <v xml:space="preserve"> 7/14</v>
      </c>
      <c r="CC7" s="1286" t="str">
        <f>Model!CC7</f>
        <v xml:space="preserve"> 10/14</v>
      </c>
      <c r="CD7" s="1286" t="str">
        <f>Model!CD7</f>
        <v>1/15</v>
      </c>
      <c r="CE7" s="1285" t="str">
        <f>Model!CE7</f>
        <v>FY15</v>
      </c>
      <c r="CF7" s="1286"/>
      <c r="CG7" s="1286" t="str">
        <f>Model!CG7</f>
        <v>4/15</v>
      </c>
      <c r="CH7" s="1286" t="str">
        <f>Model!CH7</f>
        <v xml:space="preserve"> 7/15</v>
      </c>
      <c r="CI7" s="1286" t="str">
        <f>Model!CI7</f>
        <v xml:space="preserve"> 10/15</v>
      </c>
      <c r="CJ7" s="1286" t="str">
        <f>Model!CJ7</f>
        <v>1/16</v>
      </c>
      <c r="CK7" s="1285" t="str">
        <f>Model!CK7</f>
        <v>FY16</v>
      </c>
      <c r="CL7" s="1286"/>
      <c r="CM7" s="1286" t="str">
        <f>Model!CM7</f>
        <v>4/16</v>
      </c>
      <c r="CN7" s="1286" t="str">
        <f>Model!CN7</f>
        <v xml:space="preserve"> 7/16</v>
      </c>
      <c r="CO7" s="1286" t="str">
        <f>Model!CO7</f>
        <v xml:space="preserve"> 10/16</v>
      </c>
      <c r="CP7" s="1286" t="str">
        <f>Model!CP7</f>
        <v>1/17</v>
      </c>
      <c r="CQ7" s="1285" t="str">
        <f>Model!CQ7</f>
        <v>FY17</v>
      </c>
      <c r="CR7" s="1286"/>
      <c r="CS7" s="1286" t="str">
        <f>Model!CS7</f>
        <v>4/17</v>
      </c>
      <c r="CT7" s="1286" t="str">
        <f>Model!CT7</f>
        <v xml:space="preserve"> 7/17</v>
      </c>
      <c r="CU7" s="1286" t="str">
        <f>Model!CU7</f>
        <v xml:space="preserve"> 10/17</v>
      </c>
      <c r="CV7" s="1286" t="str">
        <f>Model!CV7</f>
        <v>1/18</v>
      </c>
      <c r="CW7" s="1285" t="str">
        <f>Model!CW7</f>
        <v>FY18</v>
      </c>
      <c r="CX7" s="1286"/>
      <c r="CY7" s="1286" t="str">
        <f>Model!CY7</f>
        <v>4/18E</v>
      </c>
      <c r="CZ7" s="1286" t="str">
        <f>Model!CZ7</f>
        <v xml:space="preserve"> 7/18E</v>
      </c>
      <c r="DA7" s="1286" t="str">
        <f>Model!DA7</f>
        <v xml:space="preserve"> 10/18E</v>
      </c>
      <c r="DB7" s="1286" t="str">
        <f>Model!DB7</f>
        <v>1/19E</v>
      </c>
      <c r="DC7" s="1285" t="str">
        <f>Model!DC7</f>
        <v>FY19E</v>
      </c>
      <c r="DD7" s="1286"/>
      <c r="DE7" s="1286" t="str">
        <f>Model!DE7</f>
        <v>4/19E</v>
      </c>
      <c r="DF7" s="1286" t="str">
        <f>Model!DF7</f>
        <v xml:space="preserve"> 7/19E</v>
      </c>
      <c r="DG7" s="1286" t="str">
        <f>Model!DG7</f>
        <v xml:space="preserve"> 10/19E</v>
      </c>
      <c r="DH7" s="1286" t="str">
        <f>Model!DH7</f>
        <v>1/20E</v>
      </c>
      <c r="DI7" s="1285" t="str">
        <f>Model!DI7</f>
        <v>FY20E</v>
      </c>
      <c r="DJ7" s="1286"/>
      <c r="DK7" s="1286" t="str">
        <f>Model!DK7</f>
        <v>4/20E</v>
      </c>
      <c r="DL7" s="1286" t="str">
        <f>Model!DL7</f>
        <v xml:space="preserve"> 7/20E</v>
      </c>
      <c r="DM7" s="1286" t="str">
        <f>Model!DM7</f>
        <v xml:space="preserve"> 10/20E</v>
      </c>
      <c r="DN7" s="1286" t="str">
        <f>Model!DN7</f>
        <v>1/21E</v>
      </c>
      <c r="DO7" s="1285" t="str">
        <f>Model!DO7</f>
        <v>FY21E</v>
      </c>
      <c r="DP7" s="953"/>
      <c r="DQ7" s="953"/>
      <c r="DR7" s="953"/>
    </row>
    <row r="8" spans="1:128" ht="5.25" customHeight="1">
      <c r="A8" s="1287"/>
      <c r="B8" s="950"/>
      <c r="C8" s="1288"/>
      <c r="D8" s="1288"/>
      <c r="E8" s="1288"/>
      <c r="F8" s="1288"/>
      <c r="G8" s="1288"/>
      <c r="H8" s="1288"/>
      <c r="I8" s="1288"/>
      <c r="J8" s="1288"/>
      <c r="K8" s="1288"/>
      <c r="L8" s="1288"/>
      <c r="M8" s="1288"/>
      <c r="N8" s="1288"/>
      <c r="O8" s="1288"/>
      <c r="P8" s="1288"/>
      <c r="Q8" s="1288"/>
      <c r="R8" s="1288"/>
      <c r="S8" s="1288"/>
      <c r="T8" s="1288"/>
      <c r="U8" s="1288"/>
      <c r="V8" s="1288"/>
      <c r="W8" s="1288"/>
      <c r="X8" s="1288"/>
      <c r="Y8" s="1288"/>
      <c r="Z8" s="1288"/>
      <c r="AA8" s="1288"/>
      <c r="AB8" s="1288"/>
      <c r="AC8" s="1288"/>
      <c r="AD8" s="1288"/>
      <c r="AE8" s="1288"/>
      <c r="AF8" s="1288"/>
      <c r="AG8" s="1288"/>
      <c r="AH8" s="1288"/>
      <c r="AI8" s="1289"/>
      <c r="AJ8" s="1288"/>
      <c r="AK8" s="1288"/>
      <c r="AL8" s="1288"/>
      <c r="AM8" s="1288"/>
      <c r="AN8" s="1288"/>
      <c r="AO8" s="1289"/>
      <c r="AP8" s="1288" t="s">
        <v>946</v>
      </c>
      <c r="AQ8" s="1288"/>
      <c r="AR8" s="1288"/>
      <c r="AS8" s="1288"/>
      <c r="AT8" s="1288"/>
      <c r="AU8" s="1289"/>
      <c r="AV8" s="1288"/>
      <c r="AW8" s="1288"/>
      <c r="AX8" s="1288"/>
      <c r="AY8" s="1288"/>
      <c r="AZ8" s="1288"/>
      <c r="BA8" s="1289"/>
      <c r="BB8" s="1288"/>
      <c r="BC8" s="1288"/>
      <c r="BD8" s="1288"/>
      <c r="BE8" s="1288"/>
      <c r="BF8" s="1288"/>
      <c r="BG8" s="1289"/>
      <c r="BH8" s="1288"/>
      <c r="BI8" s="1288"/>
      <c r="BJ8" s="1288"/>
      <c r="BK8" s="1288"/>
      <c r="BL8" s="1288"/>
      <c r="BM8" s="1289"/>
      <c r="BN8" s="1288"/>
      <c r="BO8" s="1288"/>
      <c r="BP8" s="1288"/>
      <c r="BQ8" s="1288"/>
      <c r="BR8" s="1288"/>
      <c r="BS8" s="1289"/>
      <c r="BT8" s="1288"/>
      <c r="BU8" s="1288"/>
      <c r="BV8" s="1288"/>
      <c r="BW8" s="1288"/>
      <c r="BX8" s="1288"/>
      <c r="BY8" s="1289"/>
      <c r="BZ8" s="1288"/>
      <c r="CA8" s="1288"/>
      <c r="CB8" s="1288"/>
      <c r="CC8" s="1288"/>
      <c r="CD8" s="1288"/>
      <c r="CE8" s="1289"/>
      <c r="CF8" s="1288"/>
      <c r="CG8" s="1288"/>
      <c r="CH8" s="1288"/>
      <c r="CI8" s="1288"/>
      <c r="CJ8" s="1288"/>
      <c r="CK8" s="1289"/>
      <c r="CL8" s="1288"/>
      <c r="CM8" s="1288"/>
      <c r="CN8" s="1288"/>
      <c r="CO8" s="1288"/>
      <c r="CP8" s="1288"/>
      <c r="CQ8" s="1289"/>
      <c r="CR8" s="1288"/>
      <c r="CS8" s="1288"/>
      <c r="CT8" s="1288"/>
      <c r="CU8" s="1288"/>
      <c r="CV8" s="1288"/>
      <c r="CW8" s="1289"/>
      <c r="CX8" s="1288"/>
      <c r="CY8" s="1288"/>
      <c r="CZ8" s="1288"/>
      <c r="DA8" s="1288"/>
      <c r="DB8" s="1288"/>
      <c r="DC8" s="1289"/>
      <c r="DD8" s="1288"/>
      <c r="DE8" s="1288"/>
      <c r="DF8" s="1288"/>
      <c r="DG8" s="1288"/>
      <c r="DH8" s="1288"/>
      <c r="DI8" s="1289"/>
      <c r="DJ8" s="1288"/>
      <c r="DK8" s="1288"/>
      <c r="DL8" s="1288"/>
      <c r="DM8" s="1288"/>
      <c r="DN8" s="1288"/>
      <c r="DO8" s="1289"/>
      <c r="DP8" s="1288"/>
      <c r="DQ8" s="1288"/>
      <c r="DR8" s="1288"/>
    </row>
    <row r="9" spans="1:128" ht="10.5" customHeight="1">
      <c r="A9" s="1129" t="s">
        <v>387</v>
      </c>
      <c r="B9" s="966"/>
      <c r="C9" s="1290"/>
      <c r="D9" s="1290"/>
      <c r="E9" s="1290"/>
      <c r="F9" s="1290"/>
      <c r="G9" s="1290"/>
      <c r="H9" s="1290"/>
      <c r="I9" s="1291"/>
      <c r="J9" s="1291"/>
      <c r="K9" s="1290"/>
      <c r="L9" s="1290"/>
      <c r="M9" s="1291"/>
      <c r="N9" s="1291"/>
      <c r="O9" s="1291"/>
      <c r="P9" s="1291"/>
      <c r="Q9" s="1290"/>
      <c r="R9" s="1290"/>
      <c r="S9" s="1291"/>
      <c r="T9" s="1291"/>
      <c r="U9" s="1291"/>
      <c r="V9" s="1291"/>
      <c r="W9" s="1290"/>
      <c r="X9" s="1290"/>
      <c r="Y9" s="1291"/>
      <c r="Z9" s="1291"/>
      <c r="AA9" s="1291"/>
      <c r="AB9" s="1291"/>
      <c r="AC9" s="1290"/>
      <c r="AD9" s="1290"/>
      <c r="AE9" s="1291"/>
      <c r="AF9" s="1291"/>
      <c r="AG9" s="1291"/>
      <c r="AH9" s="1291"/>
      <c r="AI9" s="1292"/>
      <c r="AJ9" s="1290"/>
      <c r="AK9" s="1291"/>
      <c r="AL9" s="1291"/>
      <c r="AM9" s="1291"/>
      <c r="AN9" s="1291"/>
      <c r="AO9" s="1293"/>
      <c r="AP9" s="1290"/>
      <c r="AQ9" s="1291"/>
      <c r="AR9" s="1291"/>
      <c r="AS9" s="1291"/>
      <c r="AT9" s="1291"/>
      <c r="AU9" s="1292"/>
      <c r="AV9" s="1290"/>
      <c r="AW9" s="1291"/>
      <c r="AX9" s="1291"/>
      <c r="AY9" s="1291"/>
      <c r="AZ9" s="1291"/>
      <c r="BA9" s="1292"/>
      <c r="BB9" s="1290"/>
      <c r="BC9" s="1291"/>
      <c r="BD9" s="1291"/>
      <c r="BE9" s="1291"/>
      <c r="BF9" s="1291"/>
      <c r="BG9" s="1292"/>
      <c r="BH9" s="1290"/>
      <c r="BI9" s="1291"/>
      <c r="BJ9" s="1291"/>
      <c r="BK9" s="1291"/>
      <c r="BL9" s="1291"/>
      <c r="BM9" s="1292"/>
      <c r="BN9" s="1290"/>
      <c r="BO9" s="1291"/>
      <c r="BP9" s="1291"/>
      <c r="BQ9" s="1291"/>
      <c r="BR9" s="1291"/>
      <c r="BS9" s="1292"/>
      <c r="BT9" s="1290"/>
      <c r="BU9" s="1291"/>
      <c r="BV9" s="1291"/>
      <c r="BW9" s="1291"/>
      <c r="BX9" s="1291"/>
      <c r="BY9" s="1292"/>
      <c r="BZ9" s="1290"/>
      <c r="CA9" s="1291"/>
      <c r="CB9" s="1291"/>
      <c r="CC9" s="1291"/>
      <c r="CD9" s="1291"/>
      <c r="CE9" s="1292"/>
      <c r="CF9" s="1290"/>
      <c r="CG9" s="1291"/>
      <c r="CH9" s="1291"/>
      <c r="CI9" s="1291"/>
      <c r="CJ9" s="1291"/>
      <c r="CK9" s="1292"/>
      <c r="CL9" s="1290"/>
      <c r="CM9" s="1291"/>
      <c r="CN9" s="1291"/>
      <c r="CO9" s="1291"/>
      <c r="CP9" s="1291"/>
      <c r="CQ9" s="1292"/>
      <c r="CR9" s="1290"/>
      <c r="CS9" s="1291"/>
      <c r="CT9" s="1291"/>
      <c r="CU9" s="1291"/>
      <c r="CV9" s="1291"/>
      <c r="CW9" s="1292"/>
      <c r="CX9" s="1290"/>
      <c r="CY9" s="1291"/>
      <c r="CZ9" s="1291"/>
      <c r="DA9" s="1291"/>
      <c r="DB9" s="1291"/>
      <c r="DC9" s="1292"/>
      <c r="DD9" s="1290"/>
      <c r="DE9" s="1291"/>
      <c r="DF9" s="1291"/>
      <c r="DG9" s="1291"/>
      <c r="DH9" s="1291"/>
      <c r="DI9" s="1292"/>
      <c r="DJ9" s="1290"/>
      <c r="DK9" s="1291"/>
      <c r="DL9" s="1291"/>
      <c r="DM9" s="1291"/>
      <c r="DN9" s="1291"/>
      <c r="DO9" s="1292"/>
      <c r="DP9" s="1700"/>
      <c r="DQ9" s="1294"/>
      <c r="DR9" s="1294"/>
    </row>
    <row r="10" spans="1:128" ht="10.5" customHeight="1">
      <c r="A10" s="1295" t="s">
        <v>442</v>
      </c>
      <c r="B10" s="990"/>
      <c r="C10" s="1296">
        <f>C82</f>
        <v>-5.452</v>
      </c>
      <c r="D10" s="1296">
        <f>D82</f>
        <v>-31.670999999999999</v>
      </c>
      <c r="E10" s="1296">
        <f>E82</f>
        <v>-28.609000000000002</v>
      </c>
      <c r="F10" s="990"/>
      <c r="G10" s="1296">
        <f>G82</f>
        <v>-1.5620000000000001</v>
      </c>
      <c r="H10" s="1297">
        <f>G10+H82</f>
        <v>-2.6879999999999997</v>
      </c>
      <c r="I10" s="1297">
        <f>H10+I82</f>
        <v>-7.5289999999999999</v>
      </c>
      <c r="J10" s="1297">
        <f>I10+J82</f>
        <v>-9.7159999999999993</v>
      </c>
      <c r="K10" s="1297">
        <f>J10</f>
        <v>-9.7159999999999993</v>
      </c>
      <c r="L10" s="990"/>
      <c r="M10" s="1296">
        <f>M82</f>
        <v>0.36799999999999999</v>
      </c>
      <c r="N10" s="1297">
        <f>M10+N82</f>
        <v>0.49</v>
      </c>
      <c r="O10" s="1297">
        <f>N10+O82</f>
        <v>4.2789999999999999</v>
      </c>
      <c r="P10" s="1297">
        <f>O10+P82</f>
        <v>3.5139999999999998</v>
      </c>
      <c r="Q10" s="1296">
        <f>P10</f>
        <v>3.5139999999999998</v>
      </c>
      <c r="R10" s="990"/>
      <c r="S10" s="1296">
        <f>S82</f>
        <v>0.437</v>
      </c>
      <c r="T10" s="1297">
        <v>1.607</v>
      </c>
      <c r="U10" s="1297">
        <v>3.76</v>
      </c>
      <c r="V10" s="1297">
        <v>7.3460000000000001</v>
      </c>
      <c r="W10" s="1296">
        <f>V10</f>
        <v>7.3460000000000001</v>
      </c>
      <c r="X10" s="990"/>
      <c r="Y10" s="1297">
        <v>4.38</v>
      </c>
      <c r="Z10" s="1297">
        <v>9.42</v>
      </c>
      <c r="AA10" s="1297">
        <v>22.516999999999999</v>
      </c>
      <c r="AB10" s="1297">
        <v>28.474</v>
      </c>
      <c r="AC10" s="1296">
        <f>AB10</f>
        <v>28.474</v>
      </c>
      <c r="AD10" s="990"/>
      <c r="AE10" s="1297">
        <v>-0.22900000000000001</v>
      </c>
      <c r="AF10" s="1297">
        <v>-0.374</v>
      </c>
      <c r="AG10" s="1297">
        <v>-3.5000000000000003E-2</v>
      </c>
      <c r="AH10" s="1297">
        <f>Model!AH106+AG10</f>
        <v>0.48061785141323998</v>
      </c>
      <c r="AI10" s="1298">
        <f>AH10</f>
        <v>0.48061785141323998</v>
      </c>
      <c r="AJ10" s="990"/>
      <c r="AK10" s="1297">
        <f>Model!AK106</f>
        <v>0.73000000000000353</v>
      </c>
      <c r="AL10" s="1297">
        <v>4.4649999999999999</v>
      </c>
      <c r="AM10" s="1297">
        <v>10.977</v>
      </c>
      <c r="AN10" s="1297">
        <v>18.356000000000002</v>
      </c>
      <c r="AO10" s="1299">
        <f>AN10</f>
        <v>18.356000000000002</v>
      </c>
      <c r="AP10" s="990"/>
      <c r="AQ10" s="1297">
        <v>9.5549999999999997</v>
      </c>
      <c r="AR10" s="1297">
        <v>19.550999999999998</v>
      </c>
      <c r="AS10" s="1297">
        <v>29.675000000000001</v>
      </c>
      <c r="AT10" s="1297">
        <v>43.427999999999997</v>
      </c>
      <c r="AU10" s="1298">
        <f>AT10</f>
        <v>43.427999999999997</v>
      </c>
      <c r="AV10" s="990"/>
      <c r="AW10" s="1297">
        <f>AX10-21.841</f>
        <v>18.993000000000002</v>
      </c>
      <c r="AX10" s="1297">
        <v>40.834000000000003</v>
      </c>
      <c r="AY10" s="1297">
        <f>Model!AY106+AX10</f>
        <v>61.524999999999991</v>
      </c>
      <c r="AZ10" s="1297">
        <v>84.691999999999993</v>
      </c>
      <c r="BA10" s="1298">
        <f>AZ10</f>
        <v>84.691999999999993</v>
      </c>
      <c r="BB10" s="990"/>
      <c r="BC10" s="1297">
        <v>19.876000000000001</v>
      </c>
      <c r="BD10" s="1297">
        <v>36.459000000000003</v>
      </c>
      <c r="BE10" s="1297">
        <v>58.826999999999998</v>
      </c>
      <c r="BF10" s="1297">
        <v>69.697000000000003</v>
      </c>
      <c r="BG10" s="1298">
        <f>BF10</f>
        <v>69.697000000000003</v>
      </c>
      <c r="BH10" s="990"/>
      <c r="BI10" s="1297">
        <v>0.53</v>
      </c>
      <c r="BJ10" s="1297">
        <v>-3.738</v>
      </c>
      <c r="BK10" s="1297">
        <v>-7.4939999999999998</v>
      </c>
      <c r="BL10" s="1297">
        <v>-11.571999999999999</v>
      </c>
      <c r="BM10" s="1298">
        <f>BL10</f>
        <v>-11.571999999999999</v>
      </c>
      <c r="BN10" s="990"/>
      <c r="BO10" s="1297">
        <v>-19.475000000000001</v>
      </c>
      <c r="BP10" s="1297">
        <v>-29.303999999999998</v>
      </c>
      <c r="BQ10" s="1297">
        <v>-249.601</v>
      </c>
      <c r="BR10" s="1297">
        <v>-270.44499999999999</v>
      </c>
      <c r="BS10" s="1298">
        <f>BR10</f>
        <v>-270.44499999999999</v>
      </c>
      <c r="BT10" s="990"/>
      <c r="BU10" s="1297">
        <v>-67.721000000000004</v>
      </c>
      <c r="BV10" s="1297">
        <v>8.8819999999999997</v>
      </c>
      <c r="BW10" s="1297">
        <v>-115.55200000000001</v>
      </c>
      <c r="BX10" s="1297">
        <v>-232.17500000000001</v>
      </c>
      <c r="BY10" s="1298">
        <f>BX10</f>
        <v>-232.17500000000001</v>
      </c>
      <c r="BZ10" s="990"/>
      <c r="CA10" s="1297">
        <v>-96.911000000000001</v>
      </c>
      <c r="CB10" s="1297">
        <v>-157.999</v>
      </c>
      <c r="CC10" s="1297">
        <v>-196.923</v>
      </c>
      <c r="CD10" s="1297">
        <v>-262.68799999999999</v>
      </c>
      <c r="CE10" s="1298">
        <f>CD10</f>
        <v>-262.68799999999999</v>
      </c>
      <c r="CF10" s="990"/>
      <c r="CG10" s="1297">
        <v>4.0919999999999996</v>
      </c>
      <c r="CH10" s="1297">
        <v>3.24</v>
      </c>
      <c r="CI10" s="1297">
        <v>-21.917000000000002</v>
      </c>
      <c r="CJ10" s="1297">
        <v>-47.426000000000002</v>
      </c>
      <c r="CK10" s="1298">
        <f>CJ10</f>
        <v>-47.426000000000002</v>
      </c>
      <c r="CL10" s="990"/>
      <c r="CM10" s="1297">
        <v>38.759</v>
      </c>
      <c r="CN10" s="1297">
        <v>268.38099999999997</v>
      </c>
      <c r="CO10" s="1297">
        <v>231.072</v>
      </c>
      <c r="CP10" s="1297">
        <v>179.63200000000001</v>
      </c>
      <c r="CQ10" s="1298">
        <f>CP10</f>
        <v>179.63200000000001</v>
      </c>
      <c r="CR10" s="990"/>
      <c r="CS10" s="1297">
        <f>Model!CS106</f>
        <v>-9.2070000000000931</v>
      </c>
      <c r="CT10" s="1297">
        <f>Model!CT106+CS10</f>
        <v>8.5289999999997406</v>
      </c>
      <c r="CU10" s="1297">
        <f>Model!CU106+CT10</f>
        <v>59.922999999999739</v>
      </c>
      <c r="CV10" s="1297">
        <f>Model!CV106+CU10</f>
        <v>127.4779999999997</v>
      </c>
      <c r="CW10" s="1298">
        <f>CV10</f>
        <v>127.4779999999997</v>
      </c>
      <c r="CX10" s="990"/>
      <c r="CY10" s="1297">
        <f>Model!CY106</f>
        <v>97.809190844782123</v>
      </c>
      <c r="CZ10" s="1297">
        <f>Model!CZ106+CY10</f>
        <v>271.13171378110695</v>
      </c>
      <c r="DA10" s="1297">
        <f>Model!DA106+CZ10</f>
        <v>504.66312447716456</v>
      </c>
      <c r="DB10" s="1297">
        <f>Model!DB106+DA10</f>
        <v>708.76759292157476</v>
      </c>
      <c r="DC10" s="1298">
        <f>DB10</f>
        <v>708.76759292157476</v>
      </c>
      <c r="DD10" s="990"/>
      <c r="DE10" s="1297">
        <f>Model!DE106</f>
        <v>227.15016487057653</v>
      </c>
      <c r="DF10" s="1297">
        <f>Model!DF106+DE10</f>
        <v>546.1823192430976</v>
      </c>
      <c r="DG10" s="1297">
        <f>Model!DG106+DF10</f>
        <v>924.95522525513786</v>
      </c>
      <c r="DH10" s="1297">
        <f>Model!DH106+DG10</f>
        <v>1305.9217584693974</v>
      </c>
      <c r="DI10" s="1298">
        <f>DH10</f>
        <v>1305.9217584693974</v>
      </c>
      <c r="DJ10" s="990"/>
      <c r="DK10" s="1297">
        <f>Model!DK106</f>
        <v>395.79980077232744</v>
      </c>
      <c r="DL10" s="1297">
        <f>Model!DL106+DK10</f>
        <v>905.65168142140681</v>
      </c>
      <c r="DM10" s="1297">
        <f>Model!DM106+DL10</f>
        <v>1483.7506896369041</v>
      </c>
      <c r="DN10" s="1297">
        <f>Model!DN106+DM10</f>
        <v>2084.4775037967261</v>
      </c>
      <c r="DO10" s="1298">
        <f>DN10</f>
        <v>2084.4775037967261</v>
      </c>
      <c r="DP10" s="958"/>
      <c r="DQ10" s="958"/>
      <c r="DR10" s="958"/>
    </row>
    <row r="11" spans="1:128" ht="5.25" customHeight="1">
      <c r="A11" s="1219"/>
      <c r="B11" s="993"/>
      <c r="C11" s="980"/>
      <c r="D11" s="980"/>
      <c r="E11" s="980"/>
      <c r="F11" s="959"/>
      <c r="G11" s="980"/>
      <c r="H11" s="959"/>
      <c r="I11" s="959"/>
      <c r="J11" s="959"/>
      <c r="K11" s="959"/>
      <c r="L11" s="959"/>
      <c r="M11" s="980"/>
      <c r="N11" s="959"/>
      <c r="O11" s="959"/>
      <c r="P11" s="959"/>
      <c r="Q11" s="959"/>
      <c r="R11" s="959"/>
      <c r="S11" s="980"/>
      <c r="T11" s="959"/>
      <c r="U11" s="959"/>
      <c r="V11" s="959"/>
      <c r="W11" s="959"/>
      <c r="X11" s="959"/>
      <c r="Y11" s="1219"/>
      <c r="Z11" s="959"/>
      <c r="AA11" s="959"/>
      <c r="AB11" s="959"/>
      <c r="AC11" s="959"/>
      <c r="AD11" s="959"/>
      <c r="AE11" s="1219"/>
      <c r="AF11" s="1219"/>
      <c r="AG11" s="1219"/>
      <c r="AH11" s="1219"/>
      <c r="AI11" s="1300"/>
      <c r="AJ11" s="959"/>
      <c r="AK11" s="959"/>
      <c r="AL11" s="959"/>
      <c r="AM11" s="959"/>
      <c r="AN11" s="959"/>
      <c r="AO11" s="1300"/>
      <c r="AP11" s="959"/>
      <c r="AQ11" s="959"/>
      <c r="AR11" s="1219"/>
      <c r="AS11" s="1219"/>
      <c r="AT11" s="1219"/>
      <c r="AU11" s="1300"/>
      <c r="AV11" s="959"/>
      <c r="AW11" s="959"/>
      <c r="AX11" s="1219"/>
      <c r="AY11" s="1301"/>
      <c r="AZ11" s="1301"/>
      <c r="BA11" s="1300"/>
      <c r="BB11" s="959"/>
      <c r="BC11" s="1219"/>
      <c r="BD11" s="1219"/>
      <c r="BE11" s="1219"/>
      <c r="BF11" s="1219"/>
      <c r="BG11" s="1300"/>
      <c r="BH11" s="959"/>
      <c r="BI11" s="959"/>
      <c r="BJ11" s="959"/>
      <c r="BK11" s="959"/>
      <c r="BL11" s="959"/>
      <c r="BM11" s="1300"/>
      <c r="BN11" s="959"/>
      <c r="BO11" s="959"/>
      <c r="BP11" s="959"/>
      <c r="BQ11" s="959"/>
      <c r="BR11" s="959"/>
      <c r="BS11" s="1300"/>
      <c r="BT11" s="959"/>
      <c r="BU11" s="959"/>
      <c r="BV11" s="959"/>
      <c r="BW11" s="959"/>
      <c r="BX11" s="959"/>
      <c r="BY11" s="1300"/>
      <c r="BZ11" s="959"/>
      <c r="CA11" s="959"/>
      <c r="CB11" s="959"/>
      <c r="CC11" s="959"/>
      <c r="CD11" s="959"/>
      <c r="CE11" s="1300"/>
      <c r="CF11" s="959"/>
      <c r="CG11" s="959"/>
      <c r="CH11" s="959"/>
      <c r="CI11" s="959"/>
      <c r="CJ11" s="959"/>
      <c r="CK11" s="1300"/>
      <c r="CL11" s="959"/>
      <c r="CM11" s="959"/>
      <c r="CN11" s="959"/>
      <c r="CO11" s="959"/>
      <c r="CP11" s="959"/>
      <c r="CQ11" s="1300"/>
      <c r="CR11" s="959"/>
      <c r="CS11" s="959"/>
      <c r="CT11" s="959"/>
      <c r="CU11" s="959"/>
      <c r="CV11" s="959"/>
      <c r="CW11" s="1300"/>
      <c r="CX11" s="959"/>
      <c r="CY11" s="959"/>
      <c r="CZ11" s="959"/>
      <c r="DA11" s="959"/>
      <c r="DB11" s="959"/>
      <c r="DC11" s="1300"/>
      <c r="DD11" s="959"/>
      <c r="DE11" s="959"/>
      <c r="DF11" s="959"/>
      <c r="DG11" s="959"/>
      <c r="DH11" s="959"/>
      <c r="DI11" s="1300"/>
      <c r="DJ11" s="959"/>
      <c r="DK11" s="959"/>
      <c r="DL11" s="959"/>
      <c r="DM11" s="959"/>
      <c r="DN11" s="959"/>
      <c r="DO11" s="1300"/>
      <c r="DP11" s="959"/>
      <c r="DQ11" s="959"/>
      <c r="DR11" s="959"/>
    </row>
    <row r="12" spans="1:128" ht="10.5" customHeight="1">
      <c r="A12" s="1302" t="s">
        <v>388</v>
      </c>
      <c r="B12" s="1087"/>
      <c r="C12" s="1303"/>
      <c r="D12" s="1303"/>
      <c r="E12" s="1303"/>
      <c r="F12" s="1087"/>
      <c r="G12" s="1303"/>
      <c r="H12" s="1087"/>
      <c r="I12" s="1087"/>
      <c r="J12" s="1087"/>
      <c r="K12" s="1087"/>
      <c r="L12" s="1087"/>
      <c r="M12" s="1303"/>
      <c r="N12" s="1087"/>
      <c r="O12" s="1087"/>
      <c r="P12" s="1087"/>
      <c r="Q12" s="1137"/>
      <c r="R12" s="1087"/>
      <c r="S12" s="1303"/>
      <c r="T12" s="1077"/>
      <c r="U12" s="1077"/>
      <c r="V12" s="1077"/>
      <c r="W12" s="1137"/>
      <c r="X12" s="1087"/>
      <c r="Y12" s="1087"/>
      <c r="Z12" s="1077"/>
      <c r="AA12" s="1077"/>
      <c r="AB12" s="1077"/>
      <c r="AC12" s="1137"/>
      <c r="AD12" s="1087"/>
      <c r="AE12" s="1087"/>
      <c r="AF12" s="1087"/>
      <c r="AG12" s="1087"/>
      <c r="AH12" s="1087"/>
      <c r="AI12" s="1304"/>
      <c r="AJ12" s="1087"/>
      <c r="AK12" s="1077"/>
      <c r="AL12" s="1077"/>
      <c r="AM12" s="1077"/>
      <c r="AN12" s="1077"/>
      <c r="AO12" s="1305"/>
      <c r="AP12" s="1087"/>
      <c r="AQ12" s="1077"/>
      <c r="AR12" s="1087"/>
      <c r="AS12" s="1087"/>
      <c r="AT12" s="1087"/>
      <c r="AU12" s="1304"/>
      <c r="AV12" s="1087"/>
      <c r="AW12" s="1077"/>
      <c r="AX12" s="1087"/>
      <c r="AY12" s="1306"/>
      <c r="AZ12" s="1306"/>
      <c r="BA12" s="1304"/>
      <c r="BB12" s="1087"/>
      <c r="BC12" s="1087"/>
      <c r="BD12" s="1087"/>
      <c r="BE12" s="1087"/>
      <c r="BF12" s="1087"/>
      <c r="BG12" s="1304"/>
      <c r="BH12" s="1087"/>
      <c r="BI12" s="1077"/>
      <c r="BJ12" s="1077"/>
      <c r="BK12" s="1077"/>
      <c r="BL12" s="1077"/>
      <c r="BM12" s="1304"/>
      <c r="BN12" s="1087"/>
      <c r="BO12" s="1077"/>
      <c r="BP12" s="1077"/>
      <c r="BQ12" s="1077"/>
      <c r="BR12" s="1077"/>
      <c r="BS12" s="1304"/>
      <c r="BT12" s="1087"/>
      <c r="BU12" s="1077"/>
      <c r="BV12" s="1077"/>
      <c r="BW12" s="1077"/>
      <c r="BX12" s="1077"/>
      <c r="BY12" s="1304"/>
      <c r="BZ12" s="1087"/>
      <c r="CA12" s="1077"/>
      <c r="CB12" s="1077"/>
      <c r="CC12" s="1077"/>
      <c r="CD12" s="1077"/>
      <c r="CE12" s="1304"/>
      <c r="CF12" s="1087"/>
      <c r="CG12" s="1077"/>
      <c r="CH12" s="1077"/>
      <c r="CI12" s="1077"/>
      <c r="CJ12" s="1077"/>
      <c r="CK12" s="1304"/>
      <c r="CL12" s="1087"/>
      <c r="CM12" s="1077"/>
      <c r="CN12" s="1077"/>
      <c r="CO12" s="1077"/>
      <c r="CP12" s="1077"/>
      <c r="CQ12" s="1304"/>
      <c r="CR12" s="1087"/>
      <c r="CS12" s="1077"/>
      <c r="CT12" s="1077"/>
      <c r="CU12" s="1077"/>
      <c r="CV12" s="1077"/>
      <c r="CW12" s="1304"/>
      <c r="CX12" s="1087"/>
      <c r="CY12" s="1077"/>
      <c r="CZ12" s="1077"/>
      <c r="DA12" s="1077"/>
      <c r="DB12" s="1077"/>
      <c r="DC12" s="1304"/>
      <c r="DD12" s="1087"/>
      <c r="DE12" s="1077"/>
      <c r="DF12" s="1077"/>
      <c r="DG12" s="1077"/>
      <c r="DH12" s="1077"/>
      <c r="DI12" s="1304"/>
      <c r="DJ12" s="1087"/>
      <c r="DK12" s="1077"/>
      <c r="DL12" s="1077"/>
      <c r="DM12" s="1077"/>
      <c r="DN12" s="1077"/>
      <c r="DO12" s="1304"/>
      <c r="DP12" s="1307"/>
      <c r="DQ12" s="1307"/>
      <c r="DR12" s="1307"/>
    </row>
    <row r="13" spans="1:128" ht="10.5" customHeight="1">
      <c r="A13" s="1295" t="s">
        <v>389</v>
      </c>
      <c r="B13" s="990"/>
      <c r="C13" s="1296">
        <f t="shared" ref="C13:E15" si="0">C85</f>
        <v>9.8000000000000004E-2</v>
      </c>
      <c r="D13" s="1296">
        <f t="shared" si="0"/>
        <v>0.86099999999999999</v>
      </c>
      <c r="E13" s="1296">
        <f t="shared" si="0"/>
        <v>2.403</v>
      </c>
      <c r="F13" s="990"/>
      <c r="G13" s="1296">
        <f>G85</f>
        <v>0.63300000000000001</v>
      </c>
      <c r="H13" s="1297">
        <f t="shared" ref="H13:J15" si="1">G13+H85</f>
        <v>1.298</v>
      </c>
      <c r="I13" s="1297">
        <f t="shared" si="1"/>
        <v>1.9410000000000001</v>
      </c>
      <c r="J13" s="1297">
        <f t="shared" si="1"/>
        <v>2.6640000000000001</v>
      </c>
      <c r="K13" s="1297">
        <f t="shared" ref="K13:K29" si="2">J13</f>
        <v>2.6640000000000001</v>
      </c>
      <c r="L13" s="990"/>
      <c r="M13" s="1296">
        <f>M85</f>
        <v>0.61799999999999999</v>
      </c>
      <c r="N13" s="1297">
        <f t="shared" ref="N13:P15" si="3">M13+N85</f>
        <v>1.325</v>
      </c>
      <c r="O13" s="1297">
        <f t="shared" si="3"/>
        <v>1.956</v>
      </c>
      <c r="P13" s="1297">
        <f t="shared" si="3"/>
        <v>2.5910000000000002</v>
      </c>
      <c r="Q13" s="1296">
        <f t="shared" ref="Q13:Q24" si="4">P13</f>
        <v>2.5910000000000002</v>
      </c>
      <c r="R13" s="990"/>
      <c r="S13" s="1296">
        <f>S85</f>
        <v>0.748</v>
      </c>
      <c r="T13" s="1297">
        <v>1.427</v>
      </c>
      <c r="U13" s="1297">
        <v>2.2269999999999999</v>
      </c>
      <c r="V13" s="1297">
        <v>3.1469999999999998</v>
      </c>
      <c r="W13" s="1296">
        <f t="shared" ref="W13:W28" si="5">V13</f>
        <v>3.1469999999999998</v>
      </c>
      <c r="X13" s="1297"/>
      <c r="Y13" s="1297">
        <v>1.121</v>
      </c>
      <c r="Z13" s="1297">
        <v>2.589</v>
      </c>
      <c r="AA13" s="1297">
        <v>4.0789999999999997</v>
      </c>
      <c r="AB13" s="1297">
        <v>6.0270000000000001</v>
      </c>
      <c r="AC13" s="1296">
        <f t="shared" ref="AC13:AC22" si="6">AB13</f>
        <v>6.0270000000000001</v>
      </c>
      <c r="AD13" s="1297"/>
      <c r="AE13" s="1297">
        <v>2.2360000000000002</v>
      </c>
      <c r="AF13" s="1297">
        <v>4.798</v>
      </c>
      <c r="AG13" s="1297">
        <v>8.7669999999999995</v>
      </c>
      <c r="AH13" s="1297">
        <f>AG13+3.129</f>
        <v>11.895999999999999</v>
      </c>
      <c r="AI13" s="1298">
        <f t="shared" ref="AI13:AI22" si="7">AH13</f>
        <v>11.895999999999999</v>
      </c>
      <c r="AJ13" s="1297"/>
      <c r="AK13" s="1297">
        <v>4.8479999999999999</v>
      </c>
      <c r="AL13" s="1297">
        <v>10.893000000000001</v>
      </c>
      <c r="AM13" s="1297">
        <v>17.651</v>
      </c>
      <c r="AN13" s="1297">
        <v>24.219000000000001</v>
      </c>
      <c r="AO13" s="1299">
        <f t="shared" ref="AO13:AO22" si="8">AN13</f>
        <v>24.219000000000001</v>
      </c>
      <c r="AP13" s="1297"/>
      <c r="AQ13" s="1297">
        <v>8.1579999999999995</v>
      </c>
      <c r="AR13" s="1297">
        <v>17.027999999999999</v>
      </c>
      <c r="AS13" s="1297">
        <v>24.937999999999999</v>
      </c>
      <c r="AT13" s="1297">
        <v>35.970999999999997</v>
      </c>
      <c r="AU13" s="1298">
        <f t="shared" ref="AU13:AU22" si="9">AT13</f>
        <v>35.970999999999997</v>
      </c>
      <c r="AV13" s="1297"/>
      <c r="AW13" s="1308">
        <v>12.145</v>
      </c>
      <c r="AX13" s="1297">
        <v>24.289000000000001</v>
      </c>
      <c r="AY13" s="1297">
        <v>37.89</v>
      </c>
      <c r="AZ13" s="1297">
        <v>53.177</v>
      </c>
      <c r="BA13" s="1298">
        <f t="shared" ref="BA13:BA22" si="10">AZ13</f>
        <v>53.177</v>
      </c>
      <c r="BB13" s="1297"/>
      <c r="BC13" s="1297">
        <v>14.505000000000001</v>
      </c>
      <c r="BD13" s="1297">
        <v>32.298000000000002</v>
      </c>
      <c r="BE13" s="1297">
        <v>52.008000000000003</v>
      </c>
      <c r="BF13" s="1297">
        <v>75.745999999999995</v>
      </c>
      <c r="BG13" s="1298">
        <f t="shared" ref="BG13:BG22" si="11">BF13</f>
        <v>75.745999999999995</v>
      </c>
      <c r="BH13" s="1297"/>
      <c r="BI13" s="1309">
        <v>29.593</v>
      </c>
      <c r="BJ13" s="1309">
        <v>69.831999999999994</v>
      </c>
      <c r="BK13" s="1309">
        <v>111.38500000000001</v>
      </c>
      <c r="BL13" s="1309">
        <v>157.286</v>
      </c>
      <c r="BM13" s="1298">
        <f t="shared" ref="BM13:BM22" si="12">BL13</f>
        <v>157.286</v>
      </c>
      <c r="BN13" s="1297"/>
      <c r="BO13" s="1309">
        <v>49.441000000000003</v>
      </c>
      <c r="BP13" s="1309">
        <v>99.44</v>
      </c>
      <c r="BQ13" s="1309">
        <v>159.4</v>
      </c>
      <c r="BR13" s="1309">
        <v>216.79499999999999</v>
      </c>
      <c r="BS13" s="1298">
        <f t="shared" ref="BS13:BS22" si="13">BR13</f>
        <v>216.79499999999999</v>
      </c>
      <c r="BT13" s="1297"/>
      <c r="BU13" s="1309">
        <v>62.296999999999997</v>
      </c>
      <c r="BV13" s="1309">
        <v>140.26300000000001</v>
      </c>
      <c r="BW13" s="1309">
        <v>254.61</v>
      </c>
      <c r="BX13" s="1309">
        <v>369.423</v>
      </c>
      <c r="BY13" s="1298">
        <f t="shared" ref="BY13:BY23" si="14">BX13</f>
        <v>369.423</v>
      </c>
      <c r="BZ13" s="1297"/>
      <c r="CA13" s="1309">
        <v>110.80800000000001</v>
      </c>
      <c r="CB13" s="1309">
        <v>218.404</v>
      </c>
      <c r="CC13" s="1309">
        <v>330.358</v>
      </c>
      <c r="CD13" s="1309">
        <v>448.29599999999999</v>
      </c>
      <c r="CE13" s="1298">
        <f t="shared" ref="CE13:CE22" si="15">CD13</f>
        <v>448.29599999999999</v>
      </c>
      <c r="CF13" s="1297"/>
      <c r="CG13" s="1309">
        <v>127.92700000000001</v>
      </c>
      <c r="CH13" s="1309">
        <v>259.60199999999998</v>
      </c>
      <c r="CI13" s="1309">
        <v>393.83800000000002</v>
      </c>
      <c r="CJ13" s="1309">
        <v>525.75</v>
      </c>
      <c r="CK13" s="1298">
        <f t="shared" ref="CK13:CK22" si="16">CJ13</f>
        <v>525.75</v>
      </c>
      <c r="CL13" s="1297"/>
      <c r="CM13" s="1309">
        <v>132.77199999999999</v>
      </c>
      <c r="CN13" s="1309">
        <v>282.13299999999998</v>
      </c>
      <c r="CO13" s="1309">
        <v>451.47899999999998</v>
      </c>
      <c r="CP13" s="1309">
        <v>632.245</v>
      </c>
      <c r="CQ13" s="1298">
        <f t="shared" ref="CQ13:CQ22" si="17">CP13</f>
        <v>632.245</v>
      </c>
      <c r="CR13" s="1297"/>
      <c r="CS13" s="1309">
        <v>185.108</v>
      </c>
      <c r="CT13" s="1309">
        <v>377.36500000000001</v>
      </c>
      <c r="CU13" s="1309">
        <v>564.91099999999994</v>
      </c>
      <c r="CV13" s="1309">
        <v>752.6</v>
      </c>
      <c r="CW13" s="1298">
        <f t="shared" ref="CW13:CW22" si="18">CV13</f>
        <v>752.6</v>
      </c>
      <c r="CX13" s="1297"/>
      <c r="CY13" s="1309">
        <f>BS!CY109+Model!CY55</f>
        <v>213.97960099019826</v>
      </c>
      <c r="CZ13" s="1309">
        <f>CY13+BS!CZ109+Model!CZ55</f>
        <v>433.69632764120695</v>
      </c>
      <c r="DA13" s="1309">
        <f>CZ13+BS!DA109+Model!DA55</f>
        <v>657.85193817998857</v>
      </c>
      <c r="DB13" s="1309">
        <f>DA13+BS!DB109+Model!DB55</f>
        <v>886.55253757215303</v>
      </c>
      <c r="DC13" s="1298">
        <f t="shared" ref="DC13:DC22" si="19">DB13</f>
        <v>886.55253757215303</v>
      </c>
      <c r="DD13" s="1297"/>
      <c r="DE13" s="1309">
        <f>BS!DE109+Model!DE55</f>
        <v>234.82955940627937</v>
      </c>
      <c r="DF13" s="1309">
        <f>DE13+BS!DF109+Model!DF55</f>
        <v>476.18180582117145</v>
      </c>
      <c r="DG13" s="1309">
        <f>DF13+BS!DG109+Model!DG55</f>
        <v>722.87413377243081</v>
      </c>
      <c r="DH13" s="1309">
        <f>DG13+BS!DH109+Model!DH55</f>
        <v>975.0159203457232</v>
      </c>
      <c r="DI13" s="1298">
        <f t="shared" ref="DI13:DI22" si="20">DH13</f>
        <v>975.0159203457232</v>
      </c>
      <c r="DJ13" s="1297"/>
      <c r="DK13" s="1309">
        <f>BS!DK109+Model!DK55</f>
        <v>258.58365399901686</v>
      </c>
      <c r="DL13" s="1309">
        <f>DK13+BS!DL109+Model!DL55</f>
        <v>524.07500327239188</v>
      </c>
      <c r="DM13" s="1309">
        <f>DL13+BS!DM109+Model!DM55</f>
        <v>795.94047611490532</v>
      </c>
      <c r="DN13" s="1309">
        <f>DM13+BS!DN109+Model!DN55</f>
        <v>1074.8112695743378</v>
      </c>
      <c r="DO13" s="1298">
        <f t="shared" ref="DO13:DO22" si="21">DN13</f>
        <v>1074.8112695743378</v>
      </c>
      <c r="DP13" s="958"/>
      <c r="DQ13" s="958"/>
      <c r="DR13" s="958"/>
    </row>
    <row r="14" spans="1:128" ht="10.5" customHeight="1">
      <c r="A14" s="1115" t="s">
        <v>119</v>
      </c>
      <c r="B14" s="993"/>
      <c r="C14" s="982">
        <f t="shared" si="0"/>
        <v>1.0980000000000001</v>
      </c>
      <c r="D14" s="982">
        <f t="shared" si="0"/>
        <v>3.452</v>
      </c>
      <c r="E14" s="982">
        <f t="shared" si="0"/>
        <v>4.4509999999999996</v>
      </c>
      <c r="F14" s="993"/>
      <c r="G14" s="982">
        <f>G86</f>
        <v>0.85799999999999998</v>
      </c>
      <c r="H14" s="977">
        <f t="shared" si="1"/>
        <v>1.77</v>
      </c>
      <c r="I14" s="977">
        <f t="shared" si="1"/>
        <v>3.4850000000000003</v>
      </c>
      <c r="J14" s="977">
        <f t="shared" si="1"/>
        <v>4.7670000000000003</v>
      </c>
      <c r="K14" s="977">
        <f t="shared" si="2"/>
        <v>4.7670000000000003</v>
      </c>
      <c r="L14" s="993"/>
      <c r="M14" s="982">
        <f>M86</f>
        <v>1.0840000000000001</v>
      </c>
      <c r="N14" s="977">
        <f t="shared" si="3"/>
        <v>2.1280000000000001</v>
      </c>
      <c r="O14" s="977">
        <f t="shared" si="3"/>
        <v>3.137</v>
      </c>
      <c r="P14" s="977">
        <f t="shared" si="3"/>
        <v>4.359</v>
      </c>
      <c r="Q14" s="982">
        <f t="shared" si="4"/>
        <v>4.359</v>
      </c>
      <c r="R14" s="993"/>
      <c r="S14" s="982">
        <f>S86</f>
        <v>0.877</v>
      </c>
      <c r="T14" s="977">
        <v>1.9770000000000001</v>
      </c>
      <c r="U14" s="977">
        <v>3.1680000000000001</v>
      </c>
      <c r="V14" s="977">
        <v>3.6139999999999999</v>
      </c>
      <c r="W14" s="982">
        <f t="shared" si="5"/>
        <v>3.6139999999999999</v>
      </c>
      <c r="X14" s="977"/>
      <c r="Y14" s="977">
        <v>0.85599999999999998</v>
      </c>
      <c r="Z14" s="977">
        <v>1.794</v>
      </c>
      <c r="AA14" s="977">
        <v>2.6190000000000002</v>
      </c>
      <c r="AB14" s="977">
        <v>3.448</v>
      </c>
      <c r="AC14" s="982">
        <f t="shared" si="6"/>
        <v>3.448</v>
      </c>
      <c r="AD14" s="977"/>
      <c r="AE14" s="977">
        <v>7.6059999999999999</v>
      </c>
      <c r="AF14" s="977">
        <v>17.798999999999999</v>
      </c>
      <c r="AG14" s="977">
        <v>28.039000000000001</v>
      </c>
      <c r="AH14" s="977">
        <f>AG14+11.166</f>
        <v>39.204999999999998</v>
      </c>
      <c r="AI14" s="983">
        <f t="shared" si="7"/>
        <v>39.204999999999998</v>
      </c>
      <c r="AJ14" s="977"/>
      <c r="AK14" s="977">
        <v>12.012</v>
      </c>
      <c r="AL14" s="977">
        <v>25.443000000000001</v>
      </c>
      <c r="AM14" s="977">
        <v>39.621000000000002</v>
      </c>
      <c r="AN14" s="977">
        <v>55.207000000000001</v>
      </c>
      <c r="AO14" s="978">
        <f t="shared" si="8"/>
        <v>55.207000000000001</v>
      </c>
      <c r="AP14" s="977"/>
      <c r="AQ14" s="977">
        <v>18.065000000000001</v>
      </c>
      <c r="AR14" s="977">
        <v>36.948999999999998</v>
      </c>
      <c r="AS14" s="977">
        <v>56.225000000000001</v>
      </c>
      <c r="AT14" s="977">
        <v>77.366</v>
      </c>
      <c r="AU14" s="983">
        <f t="shared" si="9"/>
        <v>77.366</v>
      </c>
      <c r="AV14" s="977"/>
      <c r="AW14" s="1310">
        <v>21.663</v>
      </c>
      <c r="AX14" s="977">
        <v>42.54</v>
      </c>
      <c r="AY14" s="977">
        <v>62.947000000000003</v>
      </c>
      <c r="AZ14" s="977">
        <v>88.891999999999996</v>
      </c>
      <c r="BA14" s="983">
        <f t="shared" si="10"/>
        <v>88.891999999999996</v>
      </c>
      <c r="BB14" s="977"/>
      <c r="BC14" s="977">
        <v>26.468</v>
      </c>
      <c r="BD14" s="977">
        <v>53.082999999999998</v>
      </c>
      <c r="BE14" s="977">
        <v>78.715000000000003</v>
      </c>
      <c r="BF14" s="977">
        <v>120.429</v>
      </c>
      <c r="BG14" s="983">
        <f t="shared" si="11"/>
        <v>120.429</v>
      </c>
      <c r="BH14" s="977"/>
      <c r="BI14" s="979">
        <v>47.558</v>
      </c>
      <c r="BJ14" s="979">
        <v>102.152</v>
      </c>
      <c r="BK14" s="979">
        <v>159.15799999999999</v>
      </c>
      <c r="BL14" s="979">
        <v>229.25800000000001</v>
      </c>
      <c r="BM14" s="983">
        <f t="shared" si="12"/>
        <v>229.25800000000001</v>
      </c>
      <c r="BN14" s="977"/>
      <c r="BO14" s="979">
        <v>81.266000000000005</v>
      </c>
      <c r="BP14" s="979">
        <v>166.68299999999999</v>
      </c>
      <c r="BQ14" s="979">
        <v>271.79500000000002</v>
      </c>
      <c r="BR14" s="979">
        <v>379.35</v>
      </c>
      <c r="BS14" s="983">
        <f t="shared" si="13"/>
        <v>379.35</v>
      </c>
      <c r="BT14" s="977"/>
      <c r="BU14" s="979">
        <v>114.729</v>
      </c>
      <c r="BV14" s="979">
        <v>225.20500000000001</v>
      </c>
      <c r="BW14" s="979">
        <v>366.74099999999999</v>
      </c>
      <c r="BX14" s="979">
        <v>503.28</v>
      </c>
      <c r="BY14" s="983">
        <f t="shared" si="14"/>
        <v>503.28</v>
      </c>
      <c r="BZ14" s="977"/>
      <c r="CA14" s="979">
        <v>131.09200000000001</v>
      </c>
      <c r="CB14" s="979">
        <v>273.50299999999999</v>
      </c>
      <c r="CC14" s="979">
        <v>412.96300000000002</v>
      </c>
      <c r="CD14" s="979">
        <v>564.76499999999999</v>
      </c>
      <c r="CE14" s="983">
        <f t="shared" si="15"/>
        <v>564.76499999999999</v>
      </c>
      <c r="CF14" s="977"/>
      <c r="CG14" s="979">
        <v>142.56</v>
      </c>
      <c r="CH14" s="979">
        <v>290.339</v>
      </c>
      <c r="CI14" s="979">
        <v>434.65600000000001</v>
      </c>
      <c r="CJ14" s="979">
        <v>593.62800000000004</v>
      </c>
      <c r="CK14" s="983">
        <f t="shared" si="16"/>
        <v>593.62800000000004</v>
      </c>
      <c r="CL14" s="977"/>
      <c r="CM14" s="979">
        <v>188.91900000000001</v>
      </c>
      <c r="CN14" s="979">
        <v>371.22899999999998</v>
      </c>
      <c r="CO14" s="979">
        <v>575.98</v>
      </c>
      <c r="CP14" s="979">
        <v>820.36699999999996</v>
      </c>
      <c r="CQ14" s="983">
        <f t="shared" si="17"/>
        <v>820.36699999999996</v>
      </c>
      <c r="CR14" s="977"/>
      <c r="CS14" s="979">
        <v>251.56899999999999</v>
      </c>
      <c r="CT14" s="979">
        <v>508.05399999999997</v>
      </c>
      <c r="CU14" s="979">
        <v>759.33100000000002</v>
      </c>
      <c r="CV14" s="979">
        <v>997.01300000000003</v>
      </c>
      <c r="CW14" s="983">
        <f t="shared" si="18"/>
        <v>997.01300000000003</v>
      </c>
      <c r="CX14" s="977"/>
      <c r="CY14" s="979">
        <f>Model!CY56</f>
        <v>264.14744999999999</v>
      </c>
      <c r="CZ14" s="979">
        <f>Model!CZ56+CY14</f>
        <v>546.28095000000008</v>
      </c>
      <c r="DA14" s="979">
        <f>Model!DA56+CZ14</f>
        <v>822.68565000000012</v>
      </c>
      <c r="DB14" s="979">
        <f>Model!DB56+DA14</f>
        <v>1084.1358500000001</v>
      </c>
      <c r="DC14" s="983">
        <f t="shared" si="19"/>
        <v>1084.1358500000001</v>
      </c>
      <c r="DD14" s="977"/>
      <c r="DE14" s="979">
        <f>Model!DE56</f>
        <v>277.35482250000001</v>
      </c>
      <c r="DF14" s="979">
        <f>Model!DF56+DE14</f>
        <v>573.59499750000009</v>
      </c>
      <c r="DG14" s="979">
        <f>Model!DG56+DF14</f>
        <v>863.81993250000005</v>
      </c>
      <c r="DH14" s="979">
        <f>Model!DH56+DG14</f>
        <v>1138.3426425</v>
      </c>
      <c r="DI14" s="983">
        <f t="shared" si="20"/>
        <v>1138.3426425</v>
      </c>
      <c r="DJ14" s="977"/>
      <c r="DK14" s="979">
        <f>Model!DK56</f>
        <v>291.22256362500002</v>
      </c>
      <c r="DL14" s="979">
        <f>Model!DL56+DK14</f>
        <v>602.27474737500006</v>
      </c>
      <c r="DM14" s="979">
        <f>Model!DM56+DL14</f>
        <v>907.01092912500008</v>
      </c>
      <c r="DN14" s="979">
        <f>Model!DN56+DM14</f>
        <v>1195.2597746250001</v>
      </c>
      <c r="DO14" s="983">
        <f t="shared" si="21"/>
        <v>1195.2597746250001</v>
      </c>
      <c r="DP14" s="1698"/>
      <c r="DQ14" s="956"/>
      <c r="DR14" s="956"/>
    </row>
    <row r="15" spans="1:128" ht="10.5" customHeight="1">
      <c r="A15" s="1115" t="s">
        <v>436</v>
      </c>
      <c r="B15" s="993"/>
      <c r="C15" s="982">
        <f t="shared" si="0"/>
        <v>0</v>
      </c>
      <c r="D15" s="982">
        <f t="shared" si="0"/>
        <v>0</v>
      </c>
      <c r="E15" s="982">
        <f t="shared" si="0"/>
        <v>0.24099999999999999</v>
      </c>
      <c r="F15" s="993"/>
      <c r="G15" s="982">
        <f>G87</f>
        <v>0.35499999999999998</v>
      </c>
      <c r="H15" s="977">
        <f t="shared" si="1"/>
        <v>0.91100000000000003</v>
      </c>
      <c r="I15" s="977">
        <f t="shared" si="1"/>
        <v>1.71</v>
      </c>
      <c r="J15" s="977">
        <f t="shared" si="1"/>
        <v>2.8849999999999998</v>
      </c>
      <c r="K15" s="977">
        <f t="shared" si="2"/>
        <v>2.8849999999999998</v>
      </c>
      <c r="L15" s="993"/>
      <c r="M15" s="982">
        <f>M87</f>
        <v>1.452</v>
      </c>
      <c r="N15" s="977">
        <f t="shared" si="3"/>
        <v>3.2509999999999999</v>
      </c>
      <c r="O15" s="977">
        <f t="shared" si="3"/>
        <v>5.4830000000000005</v>
      </c>
      <c r="P15" s="977">
        <f t="shared" si="3"/>
        <v>8.5990000000000002</v>
      </c>
      <c r="Q15" s="982">
        <f t="shared" si="4"/>
        <v>8.5990000000000002</v>
      </c>
      <c r="R15" s="993"/>
      <c r="S15" s="982">
        <f>S87</f>
        <v>3.593</v>
      </c>
      <c r="T15" s="977">
        <v>7.468</v>
      </c>
      <c r="U15" s="977">
        <v>11.723000000000001</v>
      </c>
      <c r="V15" s="977">
        <v>15.598000000000001</v>
      </c>
      <c r="W15" s="982">
        <f t="shared" si="5"/>
        <v>15.598000000000001</v>
      </c>
      <c r="X15" s="977"/>
      <c r="Y15" s="977">
        <v>3.4020000000000001</v>
      </c>
      <c r="Z15" s="977">
        <v>6.7279999999999998</v>
      </c>
      <c r="AA15" s="977">
        <v>10.356999999999999</v>
      </c>
      <c r="AB15" s="977">
        <v>14.606</v>
      </c>
      <c r="AC15" s="982">
        <f t="shared" si="6"/>
        <v>14.606</v>
      </c>
      <c r="AD15" s="977"/>
      <c r="AE15" s="977">
        <v>5.1269999999999998</v>
      </c>
      <c r="AF15" s="977">
        <v>10.778</v>
      </c>
      <c r="AG15" s="977">
        <v>16.605</v>
      </c>
      <c r="AH15" s="977">
        <f>AG15+6.776</f>
        <v>23.381</v>
      </c>
      <c r="AI15" s="983">
        <f t="shared" si="7"/>
        <v>23.381</v>
      </c>
      <c r="AJ15" s="977"/>
      <c r="AK15" s="977">
        <v>9.0389999999999997</v>
      </c>
      <c r="AL15" s="977">
        <v>18.683</v>
      </c>
      <c r="AM15" s="977">
        <v>29.727</v>
      </c>
      <c r="AN15" s="977">
        <v>42.195</v>
      </c>
      <c r="AO15" s="978">
        <f t="shared" si="8"/>
        <v>42.195</v>
      </c>
      <c r="AP15" s="977"/>
      <c r="AQ15" s="977">
        <v>14.723000000000001</v>
      </c>
      <c r="AR15" s="977">
        <v>28.63</v>
      </c>
      <c r="AS15" s="977">
        <v>43.414000000000001</v>
      </c>
      <c r="AT15" s="977">
        <v>58.731999999999999</v>
      </c>
      <c r="AU15" s="983">
        <f t="shared" si="9"/>
        <v>58.731999999999999</v>
      </c>
      <c r="AV15" s="977"/>
      <c r="AW15" s="1310">
        <v>14.946</v>
      </c>
      <c r="AX15" s="977">
        <v>30.260999999999999</v>
      </c>
      <c r="AY15" s="977">
        <v>45.959000000000003</v>
      </c>
      <c r="AZ15" s="977">
        <v>63.890999999999998</v>
      </c>
      <c r="BA15" s="983">
        <f t="shared" si="10"/>
        <v>63.890999999999998</v>
      </c>
      <c r="BB15" s="977"/>
      <c r="BC15" s="977">
        <v>19.489000000000001</v>
      </c>
      <c r="BD15" s="977">
        <v>37.594999999999999</v>
      </c>
      <c r="BE15" s="977">
        <v>57.554000000000002</v>
      </c>
      <c r="BF15" s="977">
        <v>80.159000000000006</v>
      </c>
      <c r="BG15" s="983">
        <f t="shared" si="11"/>
        <v>80.159000000000006</v>
      </c>
      <c r="BH15" s="977"/>
      <c r="BI15" s="979">
        <v>24.675000000000001</v>
      </c>
      <c r="BJ15" s="979">
        <v>49.591000000000001</v>
      </c>
      <c r="BK15" s="979">
        <v>76.453000000000003</v>
      </c>
      <c r="BL15" s="979">
        <v>107.19499999999999</v>
      </c>
      <c r="BM15" s="983">
        <f t="shared" si="12"/>
        <v>107.19499999999999</v>
      </c>
      <c r="BN15" s="977"/>
      <c r="BO15" s="979">
        <v>36.246000000000002</v>
      </c>
      <c r="BP15" s="979">
        <v>72.028999999999996</v>
      </c>
      <c r="BQ15" s="979">
        <v>111.099</v>
      </c>
      <c r="BR15" s="979">
        <v>154.81800000000001</v>
      </c>
      <c r="BS15" s="983">
        <f t="shared" si="13"/>
        <v>154.81800000000001</v>
      </c>
      <c r="BT15" s="977"/>
      <c r="BU15" s="979">
        <v>45.667000000000002</v>
      </c>
      <c r="BV15" s="979">
        <v>91.855999999999995</v>
      </c>
      <c r="BW15" s="979">
        <v>139.864</v>
      </c>
      <c r="BX15" s="979">
        <v>194.553</v>
      </c>
      <c r="BY15" s="983">
        <f t="shared" si="14"/>
        <v>194.553</v>
      </c>
      <c r="BZ15" s="977"/>
      <c r="CA15" s="979">
        <v>59.854999999999997</v>
      </c>
      <c r="CB15" s="979">
        <v>121.155</v>
      </c>
      <c r="CC15" s="979">
        <v>186.52600000000001</v>
      </c>
      <c r="CD15" s="979">
        <v>257.642</v>
      </c>
      <c r="CE15" s="983">
        <f t="shared" si="15"/>
        <v>257.642</v>
      </c>
      <c r="CF15" s="977"/>
      <c r="CG15" s="979">
        <v>77.155000000000001</v>
      </c>
      <c r="CH15" s="979">
        <v>153.834</v>
      </c>
      <c r="CI15" s="979">
        <v>232.768</v>
      </c>
      <c r="CJ15" s="979">
        <v>319.07400000000001</v>
      </c>
      <c r="CK15" s="983">
        <f t="shared" si="16"/>
        <v>319.07400000000001</v>
      </c>
      <c r="CL15" s="977"/>
      <c r="CM15" s="979">
        <v>88.513999999999996</v>
      </c>
      <c r="CN15" s="979">
        <v>177.297</v>
      </c>
      <c r="CO15" s="979">
        <v>270.52699999999999</v>
      </c>
      <c r="CP15" s="979">
        <v>371.541</v>
      </c>
      <c r="CQ15" s="983">
        <f t="shared" si="17"/>
        <v>371.541</v>
      </c>
      <c r="CR15" s="977"/>
      <c r="CS15" s="979">
        <v>106.142</v>
      </c>
      <c r="CT15" s="979">
        <v>214.01</v>
      </c>
      <c r="CU15" s="979">
        <v>331.68700000000001</v>
      </c>
      <c r="CV15" s="979">
        <v>464.66199999999998</v>
      </c>
      <c r="CW15" s="983">
        <f t="shared" si="18"/>
        <v>464.66199999999998</v>
      </c>
      <c r="CX15" s="977"/>
      <c r="CY15" s="979">
        <f>BS!CY73</f>
        <v>180.70835440066861</v>
      </c>
      <c r="CZ15" s="979">
        <f>CY15+BS!CZ73</f>
        <v>351.09898834469902</v>
      </c>
      <c r="DA15" s="979">
        <f>CZ15+BS!DA73</f>
        <v>519.83769302963628</v>
      </c>
      <c r="DB15" s="979">
        <f>DA15+BS!DB73</f>
        <v>718.87872897927434</v>
      </c>
      <c r="DC15" s="983">
        <f t="shared" si="19"/>
        <v>718.87872897927434</v>
      </c>
      <c r="DD15" s="977"/>
      <c r="DE15" s="979">
        <f>BS!DE73</f>
        <v>236.82292681023489</v>
      </c>
      <c r="DF15" s="979">
        <f>DE15+BS!DF73</f>
        <v>453.15457736569203</v>
      </c>
      <c r="DG15" s="979">
        <f>DF15+BS!DG73</f>
        <v>661.4640943265008</v>
      </c>
      <c r="DH15" s="979">
        <f>DG15+BS!DH73</f>
        <v>892.94438184524358</v>
      </c>
      <c r="DI15" s="983">
        <f t="shared" si="20"/>
        <v>892.94438184524358</v>
      </c>
      <c r="DJ15" s="977"/>
      <c r="DK15" s="979">
        <f>BS!DK73</f>
        <v>289.90056342832298</v>
      </c>
      <c r="DL15" s="979">
        <f>DK15+BS!DL73</f>
        <v>548.3353705970095</v>
      </c>
      <c r="DM15" s="979">
        <f>DL15+BS!DM73</f>
        <v>792.32565488149316</v>
      </c>
      <c r="DN15" s="979">
        <f>DM15+BS!DN73</f>
        <v>1051.6945229927996</v>
      </c>
      <c r="DO15" s="983">
        <f t="shared" si="21"/>
        <v>1051.6945229927996</v>
      </c>
      <c r="DP15" s="1698"/>
      <c r="DQ15" s="956"/>
      <c r="DR15" s="956"/>
    </row>
    <row r="16" spans="1:128" ht="10.5" customHeight="1">
      <c r="A16" s="1115" t="s">
        <v>47</v>
      </c>
      <c r="B16" s="993"/>
      <c r="C16" s="982"/>
      <c r="D16" s="982"/>
      <c r="E16" s="982"/>
      <c r="F16" s="993"/>
      <c r="G16" s="982"/>
      <c r="H16" s="977"/>
      <c r="I16" s="977"/>
      <c r="J16" s="977"/>
      <c r="K16" s="977"/>
      <c r="L16" s="993"/>
      <c r="M16" s="982"/>
      <c r="N16" s="977"/>
      <c r="O16" s="977"/>
      <c r="P16" s="977"/>
      <c r="Q16" s="982"/>
      <c r="R16" s="993"/>
      <c r="S16" s="982"/>
      <c r="T16" s="977"/>
      <c r="U16" s="977"/>
      <c r="V16" s="977"/>
      <c r="W16" s="982"/>
      <c r="X16" s="977"/>
      <c r="Y16" s="977">
        <v>0</v>
      </c>
      <c r="Z16" s="977">
        <v>0</v>
      </c>
      <c r="AA16" s="977">
        <v>0</v>
      </c>
      <c r="AB16" s="977">
        <v>0</v>
      </c>
      <c r="AC16" s="982">
        <f t="shared" si="6"/>
        <v>0</v>
      </c>
      <c r="AD16" s="977"/>
      <c r="AE16" s="977">
        <v>8.8999999999999996E-2</v>
      </c>
      <c r="AF16" s="977">
        <v>0.63</v>
      </c>
      <c r="AG16" s="977">
        <v>0</v>
      </c>
      <c r="AH16" s="977">
        <v>0.60799999999999998</v>
      </c>
      <c r="AI16" s="983">
        <f t="shared" si="7"/>
        <v>0.60799999999999998</v>
      </c>
      <c r="AJ16" s="977"/>
      <c r="AK16" s="977">
        <v>0</v>
      </c>
      <c r="AL16" s="977">
        <v>0</v>
      </c>
      <c r="AM16" s="977">
        <v>0</v>
      </c>
      <c r="AN16" s="977">
        <v>0</v>
      </c>
      <c r="AO16" s="978">
        <f t="shared" si="8"/>
        <v>0</v>
      </c>
      <c r="AP16" s="977"/>
      <c r="AQ16" s="977">
        <v>0</v>
      </c>
      <c r="AR16" s="977">
        <v>0</v>
      </c>
      <c r="AS16" s="977">
        <v>0</v>
      </c>
      <c r="AT16" s="977">
        <v>0</v>
      </c>
      <c r="AU16" s="983">
        <f t="shared" si="9"/>
        <v>0</v>
      </c>
      <c r="AV16" s="977"/>
      <c r="AW16" s="1310">
        <v>0</v>
      </c>
      <c r="AX16" s="977">
        <v>0</v>
      </c>
      <c r="AY16" s="977">
        <v>0</v>
      </c>
      <c r="AZ16" s="977">
        <v>0.72799999999999998</v>
      </c>
      <c r="BA16" s="983">
        <f t="shared" si="10"/>
        <v>0.72799999999999998</v>
      </c>
      <c r="BB16" s="977"/>
      <c r="BC16" s="977">
        <v>0</v>
      </c>
      <c r="BD16" s="977">
        <v>10.984</v>
      </c>
      <c r="BE16" s="977">
        <v>17.638999999999999</v>
      </c>
      <c r="BF16" s="977">
        <v>19.620999999999999</v>
      </c>
      <c r="BG16" s="983">
        <f t="shared" si="11"/>
        <v>19.620999999999999</v>
      </c>
      <c r="BH16" s="977"/>
      <c r="BI16" s="979">
        <v>2.2549999999999999</v>
      </c>
      <c r="BJ16" s="979">
        <v>4.3319999999999999</v>
      </c>
      <c r="BK16" s="979">
        <v>6.47</v>
      </c>
      <c r="BL16" s="979">
        <v>10.347</v>
      </c>
      <c r="BM16" s="983">
        <f t="shared" si="12"/>
        <v>10.347</v>
      </c>
      <c r="BN16" s="977"/>
      <c r="BO16" s="979">
        <v>4.6689999999999996</v>
      </c>
      <c r="BP16" s="979">
        <v>11.04</v>
      </c>
      <c r="BQ16" s="979">
        <v>17.510999999999999</v>
      </c>
      <c r="BR16" s="979">
        <v>24.085999999999999</v>
      </c>
      <c r="BS16" s="983">
        <f t="shared" si="13"/>
        <v>24.085999999999999</v>
      </c>
      <c r="BT16" s="977"/>
      <c r="BU16" s="979">
        <v>9.67</v>
      </c>
      <c r="BV16" s="979">
        <v>22.864000000000001</v>
      </c>
      <c r="BW16" s="979">
        <v>36.207000000000001</v>
      </c>
      <c r="BX16" s="979">
        <v>49.795999999999999</v>
      </c>
      <c r="BY16" s="983">
        <f t="shared" si="14"/>
        <v>49.795999999999999</v>
      </c>
      <c r="BZ16" s="977"/>
      <c r="CA16" s="979">
        <f>11.791+8.529</f>
        <v>20.32</v>
      </c>
      <c r="CB16" s="979">
        <f>21.74+8.89</f>
        <v>30.63</v>
      </c>
      <c r="CC16" s="979">
        <v>31.16</v>
      </c>
      <c r="CD16" s="979">
        <v>39.619999999999997</v>
      </c>
      <c r="CE16" s="983">
        <f t="shared" si="15"/>
        <v>39.619999999999997</v>
      </c>
      <c r="CF16" s="977"/>
      <c r="CG16" s="979">
        <v>5.8609999999999998</v>
      </c>
      <c r="CH16" s="979">
        <f>13.152</f>
        <v>13.151999999999999</v>
      </c>
      <c r="CI16" s="979">
        <v>20.29</v>
      </c>
      <c r="CJ16" s="979">
        <v>27.466999999999999</v>
      </c>
      <c r="CK16" s="983">
        <f t="shared" si="16"/>
        <v>27.466999999999999</v>
      </c>
      <c r="CL16" s="977"/>
      <c r="CM16" s="979">
        <v>7.1849999999999996</v>
      </c>
      <c r="CN16" s="979">
        <v>14.053000000000001</v>
      </c>
      <c r="CO16" s="979">
        <v>21.334</v>
      </c>
      <c r="CP16" s="979">
        <v>30.541</v>
      </c>
      <c r="CQ16" s="983">
        <f t="shared" si="17"/>
        <v>30.541</v>
      </c>
      <c r="CR16" s="977"/>
      <c r="CS16" s="979">
        <v>7.7169999999999996</v>
      </c>
      <c r="CT16" s="979">
        <v>15.47</v>
      </c>
      <c r="CU16" s="979">
        <v>23.265000000000001</v>
      </c>
      <c r="CV16" s="979">
        <v>31.266999999999999</v>
      </c>
      <c r="CW16" s="983">
        <f t="shared" si="18"/>
        <v>31.266999999999999</v>
      </c>
      <c r="CX16" s="977"/>
      <c r="CY16" s="979">
        <f>(BS!CY34-BS!CV34)+(BS!CY40-BS!CV40)</f>
        <v>124.77799999999979</v>
      </c>
      <c r="CZ16" s="979">
        <f>CY16+(BS!CZ34-BS!CY34)+(BS!CZ40-BS!CY40)</f>
        <v>130.77799999999979</v>
      </c>
      <c r="DA16" s="979">
        <f>CZ16+(BS!DA34-BS!CZ34)+(BS!DA40-BS!CZ40)</f>
        <v>136.77799999999979</v>
      </c>
      <c r="DB16" s="979">
        <f>DA16+(BS!DB34-BS!DA34)+(BS!DB40-BS!DA40)</f>
        <v>142.77799999999979</v>
      </c>
      <c r="DC16" s="983">
        <f t="shared" si="19"/>
        <v>142.77799999999979</v>
      </c>
      <c r="DD16" s="977"/>
      <c r="DE16" s="979">
        <f>(BS!DE34-BS!DB34)+(BS!DE40-BS!DB40)</f>
        <v>6</v>
      </c>
      <c r="DF16" s="979">
        <f>DE16+(BS!DF34-BS!DE34)+(BS!DF40-BS!DE40)</f>
        <v>12</v>
      </c>
      <c r="DG16" s="979">
        <f>DF16+(BS!DG34-BS!DF34)+(BS!DG40-BS!DF40)</f>
        <v>18</v>
      </c>
      <c r="DH16" s="979">
        <f>DG16+(BS!DH34-BS!DG34)+(BS!DH40-BS!DG40)</f>
        <v>24</v>
      </c>
      <c r="DI16" s="983">
        <f t="shared" si="20"/>
        <v>24</v>
      </c>
      <c r="DJ16" s="977"/>
      <c r="DK16" s="979">
        <f>(BS!DK34-BS!DH34)+(BS!DK40-BS!DH40)</f>
        <v>6</v>
      </c>
      <c r="DL16" s="979">
        <f>DK16+(BS!DL34-BS!DK34)+(BS!DL40-BS!DK40)</f>
        <v>12</v>
      </c>
      <c r="DM16" s="979">
        <f>DL16+(BS!DM34-BS!DL34)+(BS!DM40-BS!DL40)</f>
        <v>18</v>
      </c>
      <c r="DN16" s="979">
        <f>DM16+(BS!DN34-BS!DM34)+(BS!DN40-BS!DM40)</f>
        <v>24</v>
      </c>
      <c r="DO16" s="983">
        <f t="shared" si="21"/>
        <v>24</v>
      </c>
      <c r="DP16" s="1698"/>
      <c r="DQ16" s="956"/>
      <c r="DR16" s="956"/>
    </row>
    <row r="17" spans="1:122" ht="10.5" customHeight="1">
      <c r="A17" s="1115" t="s">
        <v>729</v>
      </c>
      <c r="B17" s="993"/>
      <c r="C17" s="982">
        <f t="shared" ref="C17:C29" si="22">C89</f>
        <v>0</v>
      </c>
      <c r="D17" s="982">
        <f t="shared" ref="D17:D29" si="23">D89</f>
        <v>0</v>
      </c>
      <c r="E17" s="982">
        <f t="shared" ref="E17:G29" si="24">E89</f>
        <v>0</v>
      </c>
      <c r="F17" s="993"/>
      <c r="G17" s="982">
        <f t="shared" si="24"/>
        <v>0</v>
      </c>
      <c r="H17" s="977">
        <f t="shared" ref="H17:J22" si="25">G17+H89</f>
        <v>0</v>
      </c>
      <c r="I17" s="977">
        <f t="shared" si="25"/>
        <v>0</v>
      </c>
      <c r="J17" s="977">
        <f t="shared" si="25"/>
        <v>0</v>
      </c>
      <c r="K17" s="977">
        <f t="shared" si="2"/>
        <v>0</v>
      </c>
      <c r="L17" s="993"/>
      <c r="M17" s="982">
        <f t="shared" ref="M17:M22" si="26">M89</f>
        <v>0</v>
      </c>
      <c r="N17" s="977">
        <f t="shared" ref="N17:P22" si="27">M17+N89</f>
        <v>0</v>
      </c>
      <c r="O17" s="977">
        <f t="shared" si="27"/>
        <v>0</v>
      </c>
      <c r="P17" s="977">
        <f t="shared" si="27"/>
        <v>0</v>
      </c>
      <c r="Q17" s="982">
        <f t="shared" si="4"/>
        <v>0</v>
      </c>
      <c r="R17" s="993"/>
      <c r="S17" s="982">
        <f t="shared" ref="S17:S22" si="28">S89</f>
        <v>0</v>
      </c>
      <c r="T17" s="977">
        <v>0</v>
      </c>
      <c r="U17" s="977">
        <v>0</v>
      </c>
      <c r="V17" s="977">
        <v>0.79800000000000004</v>
      </c>
      <c r="W17" s="982">
        <f t="shared" si="5"/>
        <v>0.79800000000000004</v>
      </c>
      <c r="X17" s="977"/>
      <c r="Y17" s="977">
        <v>0</v>
      </c>
      <c r="Z17" s="977">
        <v>0</v>
      </c>
      <c r="AA17" s="977">
        <v>0</v>
      </c>
      <c r="AB17" s="977">
        <v>3.6619999999999999</v>
      </c>
      <c r="AC17" s="982">
        <f t="shared" si="6"/>
        <v>3.6619999999999999</v>
      </c>
      <c r="AD17" s="977"/>
      <c r="AE17" s="977">
        <v>0</v>
      </c>
      <c r="AF17" s="977">
        <v>-5.9279999999999999</v>
      </c>
      <c r="AG17" s="977">
        <v>-10.805999999999999</v>
      </c>
      <c r="AH17" s="977">
        <f>AG17-5.768</f>
        <v>-16.573999999999998</v>
      </c>
      <c r="AI17" s="983">
        <f t="shared" si="7"/>
        <v>-16.573999999999998</v>
      </c>
      <c r="AJ17" s="977"/>
      <c r="AK17" s="977">
        <v>-6.2859999999999996</v>
      </c>
      <c r="AL17" s="977">
        <v>-15.206</v>
      </c>
      <c r="AM17" s="977">
        <v>-24.504000000000001</v>
      </c>
      <c r="AN17" s="977">
        <v>-31.978000000000002</v>
      </c>
      <c r="AO17" s="978">
        <f t="shared" si="8"/>
        <v>-31.978000000000002</v>
      </c>
      <c r="AP17" s="977"/>
      <c r="AQ17" s="977">
        <v>-12.698</v>
      </c>
      <c r="AR17" s="977">
        <v>-24.541</v>
      </c>
      <c r="AS17" s="977">
        <v>-42.247</v>
      </c>
      <c r="AT17" s="977">
        <v>-54.597000000000001</v>
      </c>
      <c r="AU17" s="983">
        <f t="shared" si="9"/>
        <v>-54.597000000000001</v>
      </c>
      <c r="AV17" s="977"/>
      <c r="AW17" s="1310">
        <v>-9.4480000000000004</v>
      </c>
      <c r="AX17" s="977">
        <v>-25.135000000000002</v>
      </c>
      <c r="AY17" s="977">
        <v>-32.536000000000001</v>
      </c>
      <c r="AZ17" s="977">
        <v>-51.539000000000001</v>
      </c>
      <c r="BA17" s="983">
        <f t="shared" si="10"/>
        <v>-51.539000000000001</v>
      </c>
      <c r="BB17" s="977"/>
      <c r="BC17" s="977">
        <v>-9.2880000000000003</v>
      </c>
      <c r="BD17" s="977">
        <v>-32.19</v>
      </c>
      <c r="BE17" s="977">
        <v>-46.768000000000001</v>
      </c>
      <c r="BF17" s="977">
        <v>-35.991</v>
      </c>
      <c r="BG17" s="983">
        <f t="shared" si="11"/>
        <v>-35.991</v>
      </c>
      <c r="BH17" s="977"/>
      <c r="BI17" s="979">
        <v>-2.0339999999999998</v>
      </c>
      <c r="BJ17" s="979">
        <v>-4.12</v>
      </c>
      <c r="BK17" s="979">
        <v>-11.012</v>
      </c>
      <c r="BL17" s="979">
        <v>-6.0179999999999998</v>
      </c>
      <c r="BM17" s="983">
        <f t="shared" si="12"/>
        <v>-6.0179999999999998</v>
      </c>
      <c r="BN17" s="977"/>
      <c r="BO17" s="979">
        <v>-11.042999999999999</v>
      </c>
      <c r="BP17" s="979">
        <v>-25.745000000000001</v>
      </c>
      <c r="BQ17" s="979">
        <v>-28.905000000000001</v>
      </c>
      <c r="BR17" s="979">
        <v>-14.933</v>
      </c>
      <c r="BS17" s="983">
        <f t="shared" si="13"/>
        <v>-14.933</v>
      </c>
      <c r="BT17" s="977"/>
      <c r="BU17" s="979">
        <v>-1.8660000000000001</v>
      </c>
      <c r="BV17" s="979">
        <v>-0.58799999999999997</v>
      </c>
      <c r="BW17" s="979">
        <v>-2.1659999999999999</v>
      </c>
      <c r="BX17" s="979">
        <v>-8.1440000000000001</v>
      </c>
      <c r="BY17" s="983">
        <f t="shared" si="14"/>
        <v>-8.1440000000000001</v>
      </c>
      <c r="BZ17" s="977"/>
      <c r="CA17" s="979">
        <v>-9.0410000000000004</v>
      </c>
      <c r="CB17" s="979">
        <v>-2.226</v>
      </c>
      <c r="CC17" s="979">
        <v>-3.4470000000000001</v>
      </c>
      <c r="CD17" s="979">
        <v>-7.73</v>
      </c>
      <c r="CE17" s="983">
        <f t="shared" si="15"/>
        <v>-7.73</v>
      </c>
      <c r="CF17" s="977"/>
      <c r="CG17" s="979">
        <v>-4.2240000000000002</v>
      </c>
      <c r="CH17" s="979">
        <v>-4.0910000000000002</v>
      </c>
      <c r="CI17" s="979">
        <v>-48.698</v>
      </c>
      <c r="CJ17" s="979">
        <v>-59.496000000000002</v>
      </c>
      <c r="CK17" s="983">
        <f t="shared" si="16"/>
        <v>-59.496000000000002</v>
      </c>
      <c r="CL17" s="977"/>
      <c r="CM17" s="979">
        <v>0</v>
      </c>
      <c r="CN17" s="979">
        <v>0</v>
      </c>
      <c r="CO17" s="979">
        <v>0</v>
      </c>
      <c r="CP17" s="979">
        <v>0</v>
      </c>
      <c r="CQ17" s="983">
        <f t="shared" si="17"/>
        <v>0</v>
      </c>
      <c r="CR17" s="977"/>
      <c r="CS17" s="979">
        <v>0</v>
      </c>
      <c r="CT17" s="979">
        <v>0</v>
      </c>
      <c r="CU17" s="979">
        <v>0</v>
      </c>
      <c r="CV17" s="979">
        <v>0</v>
      </c>
      <c r="CW17" s="983">
        <f t="shared" si="18"/>
        <v>0</v>
      </c>
      <c r="CX17" s="977"/>
      <c r="CY17" s="979">
        <v>-5</v>
      </c>
      <c r="CZ17" s="979">
        <f>CY17-5</f>
        <v>-10</v>
      </c>
      <c r="DA17" s="979">
        <f>CZ17-5</f>
        <v>-15</v>
      </c>
      <c r="DB17" s="979">
        <f>DA17-5</f>
        <v>-20</v>
      </c>
      <c r="DC17" s="983">
        <f t="shared" si="19"/>
        <v>-20</v>
      </c>
      <c r="DD17" s="977"/>
      <c r="DE17" s="979">
        <v>-5</v>
      </c>
      <c r="DF17" s="979">
        <f>DE17-5</f>
        <v>-10</v>
      </c>
      <c r="DG17" s="979">
        <f>DF17-5</f>
        <v>-15</v>
      </c>
      <c r="DH17" s="979">
        <f>DG17-5</f>
        <v>-20</v>
      </c>
      <c r="DI17" s="983">
        <f t="shared" si="20"/>
        <v>-20</v>
      </c>
      <c r="DJ17" s="977"/>
      <c r="DK17" s="979">
        <v>-5</v>
      </c>
      <c r="DL17" s="979">
        <f>DK17-5</f>
        <v>-10</v>
      </c>
      <c r="DM17" s="979">
        <f>DL17-5</f>
        <v>-15</v>
      </c>
      <c r="DN17" s="979">
        <f>DM17-5</f>
        <v>-20</v>
      </c>
      <c r="DO17" s="983">
        <f t="shared" si="21"/>
        <v>-20</v>
      </c>
      <c r="DP17" s="1698"/>
      <c r="DQ17" s="956"/>
      <c r="DR17" s="956"/>
    </row>
    <row r="18" spans="1:122" ht="10.5" customHeight="1">
      <c r="A18" s="1115" t="s">
        <v>549</v>
      </c>
      <c r="B18" s="993"/>
      <c r="C18" s="982">
        <f t="shared" si="22"/>
        <v>0</v>
      </c>
      <c r="D18" s="982">
        <f t="shared" si="23"/>
        <v>0</v>
      </c>
      <c r="E18" s="982">
        <f t="shared" si="24"/>
        <v>0</v>
      </c>
      <c r="F18" s="993"/>
      <c r="G18" s="982">
        <f t="shared" si="24"/>
        <v>0</v>
      </c>
      <c r="H18" s="977">
        <f t="shared" si="25"/>
        <v>0</v>
      </c>
      <c r="I18" s="977">
        <f t="shared" si="25"/>
        <v>0</v>
      </c>
      <c r="J18" s="977">
        <f t="shared" si="25"/>
        <v>0</v>
      </c>
      <c r="K18" s="977">
        <f t="shared" si="2"/>
        <v>0</v>
      </c>
      <c r="L18" s="993"/>
      <c r="M18" s="982">
        <f t="shared" si="26"/>
        <v>0</v>
      </c>
      <c r="N18" s="977">
        <f t="shared" si="27"/>
        <v>0</v>
      </c>
      <c r="O18" s="977">
        <f t="shared" si="27"/>
        <v>0</v>
      </c>
      <c r="P18" s="977">
        <f t="shared" si="27"/>
        <v>0</v>
      </c>
      <c r="Q18" s="982">
        <f t="shared" si="4"/>
        <v>0</v>
      </c>
      <c r="R18" s="993"/>
      <c r="S18" s="982">
        <f t="shared" si="28"/>
        <v>0</v>
      </c>
      <c r="T18" s="977">
        <v>0</v>
      </c>
      <c r="U18" s="977">
        <v>0</v>
      </c>
      <c r="V18" s="977">
        <v>0</v>
      </c>
      <c r="W18" s="982">
        <f t="shared" si="5"/>
        <v>0</v>
      </c>
      <c r="X18" s="977"/>
      <c r="Y18" s="977">
        <v>0</v>
      </c>
      <c r="Z18" s="977">
        <v>0</v>
      </c>
      <c r="AA18" s="977">
        <v>0</v>
      </c>
      <c r="AB18" s="977">
        <v>0</v>
      </c>
      <c r="AC18" s="982">
        <f t="shared" si="6"/>
        <v>0</v>
      </c>
      <c r="AD18" s="977"/>
      <c r="AE18" s="977">
        <v>0</v>
      </c>
      <c r="AF18" s="977">
        <v>0</v>
      </c>
      <c r="AG18" s="977">
        <v>0</v>
      </c>
      <c r="AH18" s="977">
        <f>AG18</f>
        <v>0</v>
      </c>
      <c r="AI18" s="983">
        <f t="shared" si="7"/>
        <v>0</v>
      </c>
      <c r="AJ18" s="977"/>
      <c r="AK18" s="977">
        <f>AH18</f>
        <v>0</v>
      </c>
      <c r="AL18" s="977">
        <v>0</v>
      </c>
      <c r="AM18" s="977">
        <v>0</v>
      </c>
      <c r="AN18" s="977">
        <f>AM18</f>
        <v>0</v>
      </c>
      <c r="AO18" s="978">
        <f t="shared" si="8"/>
        <v>0</v>
      </c>
      <c r="AP18" s="977"/>
      <c r="AQ18" s="977">
        <v>0</v>
      </c>
      <c r="AR18" s="977">
        <v>0</v>
      </c>
      <c r="AS18" s="977">
        <f>AR18</f>
        <v>0</v>
      </c>
      <c r="AT18" s="977">
        <v>0</v>
      </c>
      <c r="AU18" s="983">
        <f t="shared" si="9"/>
        <v>0</v>
      </c>
      <c r="AV18" s="977"/>
      <c r="AW18" s="1310">
        <v>0</v>
      </c>
      <c r="AX18" s="977">
        <v>0</v>
      </c>
      <c r="AY18" s="977">
        <f>AX18</f>
        <v>0</v>
      </c>
      <c r="AZ18" s="977">
        <v>0</v>
      </c>
      <c r="BA18" s="983">
        <f t="shared" si="10"/>
        <v>0</v>
      </c>
      <c r="BB18" s="977"/>
      <c r="BC18" s="977">
        <v>0</v>
      </c>
      <c r="BD18" s="977">
        <f t="shared" ref="BD18:BF20" si="29">BC18</f>
        <v>0</v>
      </c>
      <c r="BE18" s="977">
        <f t="shared" si="29"/>
        <v>0</v>
      </c>
      <c r="BF18" s="977">
        <f t="shared" si="29"/>
        <v>0</v>
      </c>
      <c r="BG18" s="983">
        <f t="shared" si="11"/>
        <v>0</v>
      </c>
      <c r="BH18" s="977"/>
      <c r="BI18" s="979">
        <v>0</v>
      </c>
      <c r="BJ18" s="979">
        <v>0</v>
      </c>
      <c r="BK18" s="979">
        <v>0</v>
      </c>
      <c r="BL18" s="979">
        <v>0</v>
      </c>
      <c r="BM18" s="983">
        <f t="shared" si="12"/>
        <v>0</v>
      </c>
      <c r="BN18" s="977"/>
      <c r="BO18" s="979">
        <v>0</v>
      </c>
      <c r="BP18" s="979">
        <v>0</v>
      </c>
      <c r="BQ18" s="979">
        <v>0</v>
      </c>
      <c r="BR18" s="979">
        <v>0</v>
      </c>
      <c r="BS18" s="983">
        <f t="shared" si="13"/>
        <v>0</v>
      </c>
      <c r="BT18" s="977"/>
      <c r="BU18" s="979">
        <v>0</v>
      </c>
      <c r="BV18" s="979">
        <v>0</v>
      </c>
      <c r="BW18" s="979">
        <v>0</v>
      </c>
      <c r="BX18" s="979">
        <v>0</v>
      </c>
      <c r="BY18" s="983">
        <f t="shared" si="14"/>
        <v>0</v>
      </c>
      <c r="BZ18" s="977"/>
      <c r="CA18" s="979">
        <v>0</v>
      </c>
      <c r="CB18" s="979">
        <v>0</v>
      </c>
      <c r="CC18" s="979">
        <v>0</v>
      </c>
      <c r="CD18" s="979">
        <v>0</v>
      </c>
      <c r="CE18" s="983">
        <f t="shared" si="15"/>
        <v>0</v>
      </c>
      <c r="CF18" s="977"/>
      <c r="CG18" s="979">
        <v>0</v>
      </c>
      <c r="CH18" s="979">
        <v>0</v>
      </c>
      <c r="CI18" s="979">
        <v>0</v>
      </c>
      <c r="CJ18" s="979">
        <v>0</v>
      </c>
      <c r="CK18" s="983">
        <f t="shared" si="16"/>
        <v>0</v>
      </c>
      <c r="CL18" s="977"/>
      <c r="CM18" s="979">
        <v>0</v>
      </c>
      <c r="CN18" s="979">
        <v>0</v>
      </c>
      <c r="CO18" s="979">
        <v>0</v>
      </c>
      <c r="CP18" s="979">
        <v>0</v>
      </c>
      <c r="CQ18" s="983">
        <f t="shared" si="17"/>
        <v>0</v>
      </c>
      <c r="CR18" s="977"/>
      <c r="CS18" s="979">
        <v>0</v>
      </c>
      <c r="CT18" s="979">
        <f t="shared" ref="CT18:CT20" si="30">CS18</f>
        <v>0</v>
      </c>
      <c r="CU18" s="979">
        <v>0</v>
      </c>
      <c r="CV18" s="979">
        <v>0</v>
      </c>
      <c r="CW18" s="983">
        <f t="shared" si="18"/>
        <v>0</v>
      </c>
      <c r="CX18" s="977"/>
      <c r="CY18" s="979">
        <f>CV18</f>
        <v>0</v>
      </c>
      <c r="CZ18" s="979">
        <f t="shared" ref="CZ18:DB20" si="31">CY18</f>
        <v>0</v>
      </c>
      <c r="DA18" s="979">
        <f t="shared" si="31"/>
        <v>0</v>
      </c>
      <c r="DB18" s="979">
        <f t="shared" si="31"/>
        <v>0</v>
      </c>
      <c r="DC18" s="983">
        <f t="shared" si="19"/>
        <v>0</v>
      </c>
      <c r="DD18" s="977"/>
      <c r="DE18" s="979">
        <f>DB18</f>
        <v>0</v>
      </c>
      <c r="DF18" s="979">
        <f t="shared" ref="DF18:DF20" si="32">DE18</f>
        <v>0</v>
      </c>
      <c r="DG18" s="979">
        <f t="shared" ref="DG18:DG20" si="33">DF18</f>
        <v>0</v>
      </c>
      <c r="DH18" s="979">
        <f t="shared" ref="DH18:DH20" si="34">DG18</f>
        <v>0</v>
      </c>
      <c r="DI18" s="983">
        <f t="shared" si="20"/>
        <v>0</v>
      </c>
      <c r="DJ18" s="977"/>
      <c r="DK18" s="979">
        <f>DH18</f>
        <v>0</v>
      </c>
      <c r="DL18" s="979">
        <f t="shared" ref="DL18:DL20" si="35">DK18</f>
        <v>0</v>
      </c>
      <c r="DM18" s="979">
        <f t="shared" ref="DM18:DM20" si="36">DL18</f>
        <v>0</v>
      </c>
      <c r="DN18" s="979">
        <f t="shared" ref="DN18:DN20" si="37">DM18</f>
        <v>0</v>
      </c>
      <c r="DO18" s="983">
        <f t="shared" si="21"/>
        <v>0</v>
      </c>
      <c r="DP18" s="1698"/>
      <c r="DQ18" s="956"/>
      <c r="DR18" s="956"/>
    </row>
    <row r="19" spans="1:122" ht="10.5" customHeight="1">
      <c r="A19" s="1115" t="s">
        <v>670</v>
      </c>
      <c r="B19" s="993"/>
      <c r="C19" s="982">
        <f t="shared" si="22"/>
        <v>0</v>
      </c>
      <c r="D19" s="982">
        <f t="shared" si="23"/>
        <v>0</v>
      </c>
      <c r="E19" s="982">
        <f t="shared" si="24"/>
        <v>0</v>
      </c>
      <c r="F19" s="993"/>
      <c r="G19" s="982">
        <f t="shared" si="24"/>
        <v>7.8E-2</v>
      </c>
      <c r="H19" s="977">
        <f t="shared" si="25"/>
        <v>0.16799999999999998</v>
      </c>
      <c r="I19" s="977">
        <f t="shared" si="25"/>
        <v>0.45799999999999996</v>
      </c>
      <c r="J19" s="977">
        <f t="shared" si="25"/>
        <v>0.58899999999999997</v>
      </c>
      <c r="K19" s="977">
        <f t="shared" si="2"/>
        <v>0.58899999999999997</v>
      </c>
      <c r="L19" s="993"/>
      <c r="M19" s="982">
        <f t="shared" si="26"/>
        <v>1.7000000000000001E-2</v>
      </c>
      <c r="N19" s="977">
        <f t="shared" si="27"/>
        <v>4.2999999999999997E-2</v>
      </c>
      <c r="O19" s="977">
        <f t="shared" si="27"/>
        <v>6.8000000000000005E-2</v>
      </c>
      <c r="P19" s="977">
        <f t="shared" si="27"/>
        <v>6.8000000000000005E-2</v>
      </c>
      <c r="Q19" s="982">
        <f t="shared" si="4"/>
        <v>6.8000000000000005E-2</v>
      </c>
      <c r="R19" s="993"/>
      <c r="S19" s="982">
        <f t="shared" si="28"/>
        <v>0</v>
      </c>
      <c r="T19" s="977">
        <v>0</v>
      </c>
      <c r="U19" s="977">
        <v>0</v>
      </c>
      <c r="V19" s="977">
        <v>0</v>
      </c>
      <c r="W19" s="982">
        <f t="shared" si="5"/>
        <v>0</v>
      </c>
      <c r="X19" s="977"/>
      <c r="Y19" s="977">
        <v>0</v>
      </c>
      <c r="Z19" s="977">
        <v>0</v>
      </c>
      <c r="AA19" s="977">
        <v>0</v>
      </c>
      <c r="AB19" s="977">
        <v>0</v>
      </c>
      <c r="AC19" s="982">
        <f t="shared" si="6"/>
        <v>0</v>
      </c>
      <c r="AD19" s="977"/>
      <c r="AE19" s="977">
        <v>0</v>
      </c>
      <c r="AF19" s="977">
        <v>0</v>
      </c>
      <c r="AG19" s="977">
        <v>0</v>
      </c>
      <c r="AH19" s="977">
        <f>AG19</f>
        <v>0</v>
      </c>
      <c r="AI19" s="983">
        <f t="shared" si="7"/>
        <v>0</v>
      </c>
      <c r="AJ19" s="977"/>
      <c r="AK19" s="977">
        <f>AH19</f>
        <v>0</v>
      </c>
      <c r="AL19" s="977">
        <v>0</v>
      </c>
      <c r="AM19" s="977">
        <v>0</v>
      </c>
      <c r="AN19" s="977">
        <f>AM19</f>
        <v>0</v>
      </c>
      <c r="AO19" s="978">
        <f t="shared" si="8"/>
        <v>0</v>
      </c>
      <c r="AP19" s="977"/>
      <c r="AQ19" s="977">
        <v>0</v>
      </c>
      <c r="AR19" s="977">
        <v>0</v>
      </c>
      <c r="AS19" s="977">
        <f>AR19</f>
        <v>0</v>
      </c>
      <c r="AT19" s="977">
        <v>0</v>
      </c>
      <c r="AU19" s="983">
        <f t="shared" si="9"/>
        <v>0</v>
      </c>
      <c r="AV19" s="977"/>
      <c r="AW19" s="1310">
        <v>0</v>
      </c>
      <c r="AX19" s="977">
        <v>0</v>
      </c>
      <c r="AY19" s="977">
        <f>AX19</f>
        <v>0</v>
      </c>
      <c r="AZ19" s="977">
        <v>0</v>
      </c>
      <c r="BA19" s="983">
        <f t="shared" si="10"/>
        <v>0</v>
      </c>
      <c r="BB19" s="977"/>
      <c r="BC19" s="977">
        <v>0</v>
      </c>
      <c r="BD19" s="977">
        <f t="shared" si="29"/>
        <v>0</v>
      </c>
      <c r="BE19" s="977">
        <f t="shared" si="29"/>
        <v>0</v>
      </c>
      <c r="BF19" s="977">
        <f t="shared" si="29"/>
        <v>0</v>
      </c>
      <c r="BG19" s="983">
        <f t="shared" si="11"/>
        <v>0</v>
      </c>
      <c r="BH19" s="977"/>
      <c r="BI19" s="979">
        <v>0</v>
      </c>
      <c r="BJ19" s="979">
        <v>0</v>
      </c>
      <c r="BK19" s="979">
        <v>0</v>
      </c>
      <c r="BL19" s="979">
        <v>0</v>
      </c>
      <c r="BM19" s="983">
        <f t="shared" si="12"/>
        <v>0</v>
      </c>
      <c r="BN19" s="977"/>
      <c r="BO19" s="979">
        <v>0</v>
      </c>
      <c r="BP19" s="979">
        <v>0</v>
      </c>
      <c r="BQ19" s="979">
        <v>0</v>
      </c>
      <c r="BR19" s="979">
        <v>0</v>
      </c>
      <c r="BS19" s="983">
        <f t="shared" si="13"/>
        <v>0</v>
      </c>
      <c r="BT19" s="977"/>
      <c r="BU19" s="979">
        <v>0</v>
      </c>
      <c r="BV19" s="979">
        <v>0</v>
      </c>
      <c r="BW19" s="979">
        <v>0</v>
      </c>
      <c r="BX19" s="979">
        <v>0</v>
      </c>
      <c r="BY19" s="983">
        <f t="shared" si="14"/>
        <v>0</v>
      </c>
      <c r="BZ19" s="977"/>
      <c r="CA19" s="979">
        <v>0</v>
      </c>
      <c r="CB19" s="979">
        <v>0</v>
      </c>
      <c r="CC19" s="979">
        <f>CB19</f>
        <v>0</v>
      </c>
      <c r="CD19" s="979">
        <v>0</v>
      </c>
      <c r="CE19" s="983">
        <f t="shared" si="15"/>
        <v>0</v>
      </c>
      <c r="CF19" s="977"/>
      <c r="CG19" s="979">
        <v>0</v>
      </c>
      <c r="CH19" s="979">
        <v>0</v>
      </c>
      <c r="CI19" s="979">
        <v>0</v>
      </c>
      <c r="CJ19" s="979">
        <v>0</v>
      </c>
      <c r="CK19" s="983">
        <f t="shared" si="16"/>
        <v>0</v>
      </c>
      <c r="CL19" s="977"/>
      <c r="CM19" s="979">
        <v>0</v>
      </c>
      <c r="CN19" s="979">
        <v>0</v>
      </c>
      <c r="CO19" s="979">
        <v>0</v>
      </c>
      <c r="CP19" s="979">
        <v>0</v>
      </c>
      <c r="CQ19" s="983">
        <f t="shared" si="17"/>
        <v>0</v>
      </c>
      <c r="CR19" s="977"/>
      <c r="CS19" s="979">
        <v>0</v>
      </c>
      <c r="CT19" s="979">
        <f t="shared" si="30"/>
        <v>0</v>
      </c>
      <c r="CU19" s="979">
        <v>0</v>
      </c>
      <c r="CV19" s="979">
        <v>0</v>
      </c>
      <c r="CW19" s="983">
        <f t="shared" si="18"/>
        <v>0</v>
      </c>
      <c r="CX19" s="977"/>
      <c r="CY19" s="979">
        <f>CV19</f>
        <v>0</v>
      </c>
      <c r="CZ19" s="979">
        <f t="shared" si="31"/>
        <v>0</v>
      </c>
      <c r="DA19" s="979">
        <f t="shared" si="31"/>
        <v>0</v>
      </c>
      <c r="DB19" s="979">
        <f t="shared" si="31"/>
        <v>0</v>
      </c>
      <c r="DC19" s="983">
        <f t="shared" si="19"/>
        <v>0</v>
      </c>
      <c r="DD19" s="977"/>
      <c r="DE19" s="979">
        <f>DB19</f>
        <v>0</v>
      </c>
      <c r="DF19" s="979">
        <f t="shared" si="32"/>
        <v>0</v>
      </c>
      <c r="DG19" s="979">
        <f t="shared" si="33"/>
        <v>0</v>
      </c>
      <c r="DH19" s="979">
        <f t="shared" si="34"/>
        <v>0</v>
      </c>
      <c r="DI19" s="983">
        <f t="shared" si="20"/>
        <v>0</v>
      </c>
      <c r="DJ19" s="977"/>
      <c r="DK19" s="979">
        <f>DH19</f>
        <v>0</v>
      </c>
      <c r="DL19" s="979">
        <f t="shared" si="35"/>
        <v>0</v>
      </c>
      <c r="DM19" s="979">
        <f t="shared" si="36"/>
        <v>0</v>
      </c>
      <c r="DN19" s="979">
        <f t="shared" si="37"/>
        <v>0</v>
      </c>
      <c r="DO19" s="983">
        <f t="shared" si="21"/>
        <v>0</v>
      </c>
      <c r="DP19" s="1698"/>
      <c r="DQ19" s="956"/>
      <c r="DR19" s="956"/>
    </row>
    <row r="20" spans="1:122" ht="10.5" customHeight="1">
      <c r="A20" s="1115" t="s">
        <v>575</v>
      </c>
      <c r="B20" s="993"/>
      <c r="C20" s="982">
        <f t="shared" si="22"/>
        <v>0</v>
      </c>
      <c r="D20" s="982">
        <f t="shared" si="23"/>
        <v>0</v>
      </c>
      <c r="E20" s="982">
        <f t="shared" si="24"/>
        <v>0</v>
      </c>
      <c r="F20" s="993"/>
      <c r="G20" s="982">
        <f t="shared" si="24"/>
        <v>0</v>
      </c>
      <c r="H20" s="977">
        <f t="shared" si="25"/>
        <v>0</v>
      </c>
      <c r="I20" s="977">
        <f t="shared" si="25"/>
        <v>0</v>
      </c>
      <c r="J20" s="977">
        <f t="shared" si="25"/>
        <v>0</v>
      </c>
      <c r="K20" s="977">
        <f t="shared" si="2"/>
        <v>0</v>
      </c>
      <c r="L20" s="993"/>
      <c r="M20" s="982">
        <f t="shared" si="26"/>
        <v>0</v>
      </c>
      <c r="N20" s="977">
        <f t="shared" si="27"/>
        <v>0</v>
      </c>
      <c r="O20" s="977">
        <f t="shared" si="27"/>
        <v>0</v>
      </c>
      <c r="P20" s="977">
        <f t="shared" si="27"/>
        <v>0</v>
      </c>
      <c r="Q20" s="982">
        <f t="shared" si="4"/>
        <v>0</v>
      </c>
      <c r="R20" s="993"/>
      <c r="S20" s="982">
        <f t="shared" si="28"/>
        <v>0</v>
      </c>
      <c r="T20" s="977">
        <v>0</v>
      </c>
      <c r="U20" s="977">
        <v>0</v>
      </c>
      <c r="V20" s="977">
        <v>0</v>
      </c>
      <c r="W20" s="982">
        <f t="shared" si="5"/>
        <v>0</v>
      </c>
      <c r="X20" s="977"/>
      <c r="Y20" s="977">
        <v>0</v>
      </c>
      <c r="Z20" s="977">
        <v>0</v>
      </c>
      <c r="AA20" s="977">
        <v>0</v>
      </c>
      <c r="AB20" s="977">
        <v>0</v>
      </c>
      <c r="AC20" s="982">
        <f t="shared" si="6"/>
        <v>0</v>
      </c>
      <c r="AD20" s="977"/>
      <c r="AE20" s="977">
        <v>0</v>
      </c>
      <c r="AF20" s="977">
        <v>0</v>
      </c>
      <c r="AG20" s="977">
        <v>0</v>
      </c>
      <c r="AH20" s="977">
        <f>AG20</f>
        <v>0</v>
      </c>
      <c r="AI20" s="983">
        <f t="shared" si="7"/>
        <v>0</v>
      </c>
      <c r="AJ20" s="977"/>
      <c r="AK20" s="977">
        <f>AH20</f>
        <v>0</v>
      </c>
      <c r="AL20" s="977">
        <v>0</v>
      </c>
      <c r="AM20" s="977">
        <v>-1.272</v>
      </c>
      <c r="AN20" s="977">
        <v>-1.272</v>
      </c>
      <c r="AO20" s="978">
        <f t="shared" si="8"/>
        <v>-1.272</v>
      </c>
      <c r="AP20" s="977"/>
      <c r="AQ20" s="977">
        <v>0</v>
      </c>
      <c r="AR20" s="977">
        <v>0</v>
      </c>
      <c r="AS20" s="977">
        <f>AR20</f>
        <v>0</v>
      </c>
      <c r="AT20" s="977">
        <v>1.7829999999999999</v>
      </c>
      <c r="AU20" s="983">
        <f t="shared" si="9"/>
        <v>1.7829999999999999</v>
      </c>
      <c r="AV20" s="977"/>
      <c r="AW20" s="1310">
        <v>0</v>
      </c>
      <c r="AX20" s="977">
        <v>0</v>
      </c>
      <c r="AY20" s="977">
        <f>AX20</f>
        <v>0</v>
      </c>
      <c r="AZ20" s="977">
        <v>0</v>
      </c>
      <c r="BA20" s="983">
        <f t="shared" si="10"/>
        <v>0</v>
      </c>
      <c r="BB20" s="977"/>
      <c r="BC20" s="977">
        <v>0</v>
      </c>
      <c r="BD20" s="977">
        <f t="shared" si="29"/>
        <v>0</v>
      </c>
      <c r="BE20" s="977">
        <f t="shared" si="29"/>
        <v>0</v>
      </c>
      <c r="BF20" s="977">
        <f t="shared" si="29"/>
        <v>0</v>
      </c>
      <c r="BG20" s="983">
        <f t="shared" si="11"/>
        <v>0</v>
      </c>
      <c r="BH20" s="977"/>
      <c r="BI20" s="979">
        <v>0</v>
      </c>
      <c r="BJ20" s="979">
        <v>0</v>
      </c>
      <c r="BK20" s="979">
        <v>0</v>
      </c>
      <c r="BL20" s="979">
        <v>0</v>
      </c>
      <c r="BM20" s="983">
        <f t="shared" si="12"/>
        <v>0</v>
      </c>
      <c r="BN20" s="977"/>
      <c r="BO20" s="979">
        <v>0</v>
      </c>
      <c r="BP20" s="979">
        <v>0</v>
      </c>
      <c r="BQ20" s="979">
        <v>0</v>
      </c>
      <c r="BR20" s="979">
        <v>0</v>
      </c>
      <c r="BS20" s="983">
        <f t="shared" si="13"/>
        <v>0</v>
      </c>
      <c r="BT20" s="977"/>
      <c r="BU20" s="979">
        <v>0</v>
      </c>
      <c r="BV20" s="979">
        <v>0</v>
      </c>
      <c r="BW20" s="979">
        <v>0</v>
      </c>
      <c r="BX20" s="979">
        <v>0</v>
      </c>
      <c r="BY20" s="983">
        <f t="shared" si="14"/>
        <v>0</v>
      </c>
      <c r="BZ20" s="977"/>
      <c r="CA20" s="979">
        <v>0</v>
      </c>
      <c r="CB20" s="979">
        <v>0</v>
      </c>
      <c r="CC20" s="979">
        <f>CB20</f>
        <v>0</v>
      </c>
      <c r="CD20" s="979">
        <v>0</v>
      </c>
      <c r="CE20" s="983">
        <f t="shared" si="15"/>
        <v>0</v>
      </c>
      <c r="CF20" s="977"/>
      <c r="CG20" s="979">
        <v>0</v>
      </c>
      <c r="CH20" s="979">
        <v>0</v>
      </c>
      <c r="CI20" s="979">
        <v>0</v>
      </c>
      <c r="CJ20" s="979">
        <v>0</v>
      </c>
      <c r="CK20" s="983">
        <f t="shared" si="16"/>
        <v>0</v>
      </c>
      <c r="CL20" s="977"/>
      <c r="CM20" s="979">
        <v>0</v>
      </c>
      <c r="CN20" s="979">
        <v>0</v>
      </c>
      <c r="CO20" s="979">
        <v>0</v>
      </c>
      <c r="CP20" s="979">
        <v>0</v>
      </c>
      <c r="CQ20" s="983">
        <f t="shared" si="17"/>
        <v>0</v>
      </c>
      <c r="CR20" s="977"/>
      <c r="CS20" s="979">
        <v>0</v>
      </c>
      <c r="CT20" s="979">
        <f t="shared" si="30"/>
        <v>0</v>
      </c>
      <c r="CU20" s="979">
        <v>0</v>
      </c>
      <c r="CV20" s="979">
        <v>0</v>
      </c>
      <c r="CW20" s="983">
        <f t="shared" si="18"/>
        <v>0</v>
      </c>
      <c r="CX20" s="977"/>
      <c r="CY20" s="979">
        <f>CV20</f>
        <v>0</v>
      </c>
      <c r="CZ20" s="979">
        <f t="shared" si="31"/>
        <v>0</v>
      </c>
      <c r="DA20" s="979">
        <f t="shared" si="31"/>
        <v>0</v>
      </c>
      <c r="DB20" s="979">
        <f t="shared" si="31"/>
        <v>0</v>
      </c>
      <c r="DC20" s="983">
        <f t="shared" si="19"/>
        <v>0</v>
      </c>
      <c r="DD20" s="977"/>
      <c r="DE20" s="979">
        <f>DB20</f>
        <v>0</v>
      </c>
      <c r="DF20" s="979">
        <f t="shared" si="32"/>
        <v>0</v>
      </c>
      <c r="DG20" s="979">
        <f t="shared" si="33"/>
        <v>0</v>
      </c>
      <c r="DH20" s="979">
        <f t="shared" si="34"/>
        <v>0</v>
      </c>
      <c r="DI20" s="983">
        <f t="shared" si="20"/>
        <v>0</v>
      </c>
      <c r="DJ20" s="977"/>
      <c r="DK20" s="979">
        <f>DH20</f>
        <v>0</v>
      </c>
      <c r="DL20" s="979">
        <f t="shared" si="35"/>
        <v>0</v>
      </c>
      <c r="DM20" s="979">
        <f t="shared" si="36"/>
        <v>0</v>
      </c>
      <c r="DN20" s="979">
        <f t="shared" si="37"/>
        <v>0</v>
      </c>
      <c r="DO20" s="983">
        <f t="shared" si="21"/>
        <v>0</v>
      </c>
      <c r="DP20" s="1698"/>
      <c r="DQ20" s="956"/>
      <c r="DR20" s="956"/>
    </row>
    <row r="21" spans="1:122" ht="10.5" customHeight="1">
      <c r="A21" s="1115" t="s">
        <v>577</v>
      </c>
      <c r="B21" s="993"/>
      <c r="C21" s="982">
        <f t="shared" si="22"/>
        <v>0</v>
      </c>
      <c r="D21" s="982">
        <f t="shared" si="23"/>
        <v>-0.193</v>
      </c>
      <c r="E21" s="982">
        <f t="shared" si="24"/>
        <v>-0.42499999999999999</v>
      </c>
      <c r="F21" s="993"/>
      <c r="G21" s="982">
        <f t="shared" si="24"/>
        <v>-4.2999999999999997E-2</v>
      </c>
      <c r="H21" s="977">
        <f t="shared" si="25"/>
        <v>-0.12</v>
      </c>
      <c r="I21" s="977">
        <f t="shared" si="25"/>
        <v>-0.17499999999999999</v>
      </c>
      <c r="J21" s="977">
        <f t="shared" si="25"/>
        <v>-0.29199999999999998</v>
      </c>
      <c r="K21" s="977">
        <f t="shared" si="2"/>
        <v>-0.29199999999999998</v>
      </c>
      <c r="L21" s="993"/>
      <c r="M21" s="982">
        <f t="shared" si="26"/>
        <v>-1.6E-2</v>
      </c>
      <c r="N21" s="977">
        <f t="shared" si="27"/>
        <v>-1.0999999999999999E-2</v>
      </c>
      <c r="O21" s="977">
        <f t="shared" si="27"/>
        <v>0.10200000000000001</v>
      </c>
      <c r="P21" s="977">
        <f t="shared" si="27"/>
        <v>0.184</v>
      </c>
      <c r="Q21" s="982">
        <f t="shared" si="4"/>
        <v>0.184</v>
      </c>
      <c r="R21" s="993"/>
      <c r="S21" s="982">
        <f>S93</f>
        <v>1.7000000000000001E-2</v>
      </c>
      <c r="T21" s="977">
        <v>0.16300000000000001</v>
      </c>
      <c r="U21" s="977">
        <v>0.24</v>
      </c>
      <c r="V21" s="977">
        <v>0.59</v>
      </c>
      <c r="W21" s="982">
        <f t="shared" si="5"/>
        <v>0.59</v>
      </c>
      <c r="X21" s="977"/>
      <c r="Y21" s="977">
        <v>0.224</v>
      </c>
      <c r="Z21" s="977">
        <v>0.42599999999999999</v>
      </c>
      <c r="AA21" s="977">
        <v>0.76700000000000002</v>
      </c>
      <c r="AB21" s="977">
        <v>1.034</v>
      </c>
      <c r="AC21" s="982">
        <f t="shared" si="6"/>
        <v>1.034</v>
      </c>
      <c r="AD21" s="977"/>
      <c r="AE21" s="977">
        <v>0.48399999999999999</v>
      </c>
      <c r="AF21" s="977">
        <v>0.94399999999999995</v>
      </c>
      <c r="AG21" s="977">
        <v>1.5049999999999999</v>
      </c>
      <c r="AH21" s="977">
        <f>AG21+0.715</f>
        <v>2.2199999999999998</v>
      </c>
      <c r="AI21" s="983">
        <f t="shared" si="7"/>
        <v>2.2199999999999998</v>
      </c>
      <c r="AJ21" s="977"/>
      <c r="AK21" s="977">
        <v>0.71799999999999997</v>
      </c>
      <c r="AL21" s="977">
        <v>1.5720000000000001</v>
      </c>
      <c r="AM21" s="977">
        <v>2.6970000000000001</v>
      </c>
      <c r="AN21" s="977">
        <v>4.4720000000000004</v>
      </c>
      <c r="AO21" s="978">
        <f t="shared" si="8"/>
        <v>4.4720000000000004</v>
      </c>
      <c r="AP21" s="977"/>
      <c r="AQ21" s="977">
        <v>1.514</v>
      </c>
      <c r="AR21" s="977">
        <v>2.9260000000000002</v>
      </c>
      <c r="AS21" s="977">
        <v>4.4850000000000003</v>
      </c>
      <c r="AT21" s="977">
        <v>4.6070000000000002</v>
      </c>
      <c r="AU21" s="983">
        <f t="shared" si="9"/>
        <v>4.6070000000000002</v>
      </c>
      <c r="AV21" s="977"/>
      <c r="AW21" s="1310">
        <v>0.55700000000000005</v>
      </c>
      <c r="AX21" s="977">
        <v>0</v>
      </c>
      <c r="AY21" s="977">
        <f>62.277-AY10</f>
        <v>0.75200000000000955</v>
      </c>
      <c r="AZ21" s="977">
        <v>0</v>
      </c>
      <c r="BA21" s="983">
        <f t="shared" si="10"/>
        <v>0</v>
      </c>
      <c r="BB21" s="977"/>
      <c r="BC21" s="977">
        <v>0</v>
      </c>
      <c r="BD21" s="977">
        <v>0</v>
      </c>
      <c r="BE21" s="977">
        <v>0</v>
      </c>
      <c r="BF21" s="977">
        <v>0</v>
      </c>
      <c r="BG21" s="983">
        <f t="shared" si="11"/>
        <v>0</v>
      </c>
      <c r="BH21" s="977"/>
      <c r="BI21" s="979">
        <v>0</v>
      </c>
      <c r="BJ21" s="979">
        <v>0</v>
      </c>
      <c r="BK21" s="979">
        <v>0</v>
      </c>
      <c r="BL21" s="979">
        <v>0</v>
      </c>
      <c r="BM21" s="983">
        <f t="shared" si="12"/>
        <v>0</v>
      </c>
      <c r="BN21" s="977"/>
      <c r="BO21" s="979">
        <v>0</v>
      </c>
      <c r="BP21" s="979">
        <v>0</v>
      </c>
      <c r="BQ21" s="979">
        <v>0</v>
      </c>
      <c r="BR21" s="979">
        <v>0</v>
      </c>
      <c r="BS21" s="983">
        <f t="shared" si="13"/>
        <v>0</v>
      </c>
      <c r="BT21" s="977"/>
      <c r="BU21" s="979">
        <v>0</v>
      </c>
      <c r="BV21" s="979">
        <v>0</v>
      </c>
      <c r="BW21" s="979">
        <v>0</v>
      </c>
      <c r="BX21" s="979">
        <v>0</v>
      </c>
      <c r="BY21" s="983">
        <f t="shared" si="14"/>
        <v>0</v>
      </c>
      <c r="BZ21" s="977"/>
      <c r="CA21" s="979">
        <v>0</v>
      </c>
      <c r="CB21" s="979">
        <v>0</v>
      </c>
      <c r="CC21" s="979">
        <v>0</v>
      </c>
      <c r="CD21" s="979">
        <v>0</v>
      </c>
      <c r="CE21" s="983">
        <f t="shared" si="15"/>
        <v>0</v>
      </c>
      <c r="CF21" s="977"/>
      <c r="CG21" s="979">
        <v>0</v>
      </c>
      <c r="CH21" s="979">
        <v>0</v>
      </c>
      <c r="CI21" s="979">
        <v>0</v>
      </c>
      <c r="CJ21" s="979">
        <v>0</v>
      </c>
      <c r="CK21" s="983">
        <f t="shared" si="16"/>
        <v>0</v>
      </c>
      <c r="CL21" s="977"/>
      <c r="CM21" s="979">
        <v>0</v>
      </c>
      <c r="CN21" s="979">
        <v>0</v>
      </c>
      <c r="CO21" s="979">
        <v>0</v>
      </c>
      <c r="CP21" s="979">
        <v>0</v>
      </c>
      <c r="CQ21" s="983">
        <f t="shared" si="17"/>
        <v>0</v>
      </c>
      <c r="CR21" s="977"/>
      <c r="CS21" s="979">
        <v>0</v>
      </c>
      <c r="CT21" s="979">
        <v>0</v>
      </c>
      <c r="CU21" s="979">
        <v>0</v>
      </c>
      <c r="CV21" s="979">
        <v>0</v>
      </c>
      <c r="CW21" s="983">
        <f t="shared" si="18"/>
        <v>0</v>
      </c>
      <c r="CX21" s="977"/>
      <c r="CY21" s="979">
        <v>0</v>
      </c>
      <c r="CZ21" s="979">
        <v>0</v>
      </c>
      <c r="DA21" s="979">
        <v>0</v>
      </c>
      <c r="DB21" s="979">
        <v>0</v>
      </c>
      <c r="DC21" s="983">
        <f t="shared" si="19"/>
        <v>0</v>
      </c>
      <c r="DD21" s="977"/>
      <c r="DE21" s="979">
        <v>0</v>
      </c>
      <c r="DF21" s="979">
        <v>0</v>
      </c>
      <c r="DG21" s="979">
        <v>0</v>
      </c>
      <c r="DH21" s="979">
        <v>0</v>
      </c>
      <c r="DI21" s="983">
        <f t="shared" si="20"/>
        <v>0</v>
      </c>
      <c r="DJ21" s="977"/>
      <c r="DK21" s="979">
        <v>0</v>
      </c>
      <c r="DL21" s="979">
        <v>0</v>
      </c>
      <c r="DM21" s="979">
        <v>0</v>
      </c>
      <c r="DN21" s="979">
        <v>0</v>
      </c>
      <c r="DO21" s="983">
        <f t="shared" si="21"/>
        <v>0</v>
      </c>
      <c r="DP21" s="1698"/>
      <c r="DQ21" s="956"/>
      <c r="DR21" s="956"/>
    </row>
    <row r="22" spans="1:122" ht="10.5" customHeight="1">
      <c r="A22" s="1115" t="s">
        <v>671</v>
      </c>
      <c r="B22" s="993"/>
      <c r="C22" s="982">
        <f t="shared" si="22"/>
        <v>0</v>
      </c>
      <c r="D22" s="982">
        <f t="shared" si="23"/>
        <v>0</v>
      </c>
      <c r="E22" s="982">
        <f t="shared" si="24"/>
        <v>7.569</v>
      </c>
      <c r="F22" s="993"/>
      <c r="G22" s="982">
        <f t="shared" si="24"/>
        <v>0</v>
      </c>
      <c r="H22" s="977">
        <f t="shared" si="25"/>
        <v>0</v>
      </c>
      <c r="I22" s="977">
        <f t="shared" si="25"/>
        <v>0</v>
      </c>
      <c r="J22" s="977">
        <f t="shared" si="25"/>
        <v>-8.8999999999999996E-2</v>
      </c>
      <c r="K22" s="977">
        <f t="shared" si="2"/>
        <v>-8.8999999999999996E-2</v>
      </c>
      <c r="L22" s="993"/>
      <c r="M22" s="982">
        <f t="shared" si="26"/>
        <v>-2.1000000000000001E-2</v>
      </c>
      <c r="N22" s="977">
        <f t="shared" si="27"/>
        <v>-0.1</v>
      </c>
      <c r="O22" s="977">
        <f t="shared" si="27"/>
        <v>-4.4419999999999993</v>
      </c>
      <c r="P22" s="977">
        <f t="shared" si="27"/>
        <v>-3.544999999999999</v>
      </c>
      <c r="Q22" s="982">
        <f t="shared" si="4"/>
        <v>-3.544999999999999</v>
      </c>
      <c r="R22" s="993"/>
      <c r="S22" s="982">
        <f t="shared" si="28"/>
        <v>-2.4E-2</v>
      </c>
      <c r="T22" s="977">
        <v>0</v>
      </c>
      <c r="U22" s="977">
        <v>0</v>
      </c>
      <c r="V22" s="977">
        <v>0</v>
      </c>
      <c r="W22" s="982">
        <f t="shared" si="5"/>
        <v>0</v>
      </c>
      <c r="X22" s="977"/>
      <c r="Y22" s="977">
        <v>-0.28499999999999998</v>
      </c>
      <c r="Z22" s="977">
        <v>-0.28499999999999998</v>
      </c>
      <c r="AA22" s="977">
        <v>-0.28499999999999998</v>
      </c>
      <c r="AB22" s="977">
        <f>-0.285-7.225+0.048</f>
        <v>-7.4619999999999997</v>
      </c>
      <c r="AC22" s="982">
        <f t="shared" si="6"/>
        <v>-7.4619999999999997</v>
      </c>
      <c r="AD22" s="956"/>
      <c r="AE22" s="977">
        <v>0</v>
      </c>
      <c r="AF22" s="977">
        <v>0</v>
      </c>
      <c r="AG22" s="977">
        <v>0</v>
      </c>
      <c r="AH22" s="977">
        <f>AG22+Model!AH54</f>
        <v>0</v>
      </c>
      <c r="AI22" s="983">
        <f t="shared" si="7"/>
        <v>0</v>
      </c>
      <c r="AJ22" s="956"/>
      <c r="AK22" s="977">
        <v>0</v>
      </c>
      <c r="AL22" s="977">
        <v>0</v>
      </c>
      <c r="AM22" s="977">
        <v>0</v>
      </c>
      <c r="AN22" s="977">
        <v>-0.97</v>
      </c>
      <c r="AO22" s="978">
        <f t="shared" si="8"/>
        <v>-0.97</v>
      </c>
      <c r="AP22" s="956"/>
      <c r="AQ22" s="977">
        <v>0</v>
      </c>
      <c r="AR22" s="977">
        <v>0</v>
      </c>
      <c r="AS22" s="977">
        <v>2.052</v>
      </c>
      <c r="AT22" s="977">
        <v>0</v>
      </c>
      <c r="AU22" s="983">
        <f t="shared" si="9"/>
        <v>0</v>
      </c>
      <c r="AV22" s="956"/>
      <c r="AW22" s="1310">
        <v>0</v>
      </c>
      <c r="AX22" s="977">
        <v>0</v>
      </c>
      <c r="AY22" s="977">
        <f>AX22+Model!AY54</f>
        <v>0</v>
      </c>
      <c r="AZ22" s="977">
        <v>0</v>
      </c>
      <c r="BA22" s="983">
        <f t="shared" si="10"/>
        <v>0</v>
      </c>
      <c r="BB22" s="956"/>
      <c r="BC22" s="977">
        <v>5.4509999999999996</v>
      </c>
      <c r="BD22" s="977">
        <v>0</v>
      </c>
      <c r="BE22" s="977">
        <f>BD22+Model!BE54</f>
        <v>0</v>
      </c>
      <c r="BF22" s="977">
        <f>BE22+Model!BF54</f>
        <v>0</v>
      </c>
      <c r="BG22" s="983">
        <f t="shared" si="11"/>
        <v>0</v>
      </c>
      <c r="BH22" s="956"/>
      <c r="BI22" s="979">
        <v>0</v>
      </c>
      <c r="BJ22" s="979">
        <v>0</v>
      </c>
      <c r="BK22" s="979">
        <v>0</v>
      </c>
      <c r="BL22" s="979">
        <v>0</v>
      </c>
      <c r="BM22" s="983">
        <f t="shared" si="12"/>
        <v>0</v>
      </c>
      <c r="BN22" s="956"/>
      <c r="BO22" s="979">
        <v>0</v>
      </c>
      <c r="BP22" s="979">
        <v>0</v>
      </c>
      <c r="BQ22" s="979">
        <v>149.14699999999999</v>
      </c>
      <c r="BR22" s="979">
        <v>0</v>
      </c>
      <c r="BS22" s="983">
        <f t="shared" si="13"/>
        <v>0</v>
      </c>
      <c r="BT22" s="956"/>
      <c r="BU22" s="979">
        <v>0</v>
      </c>
      <c r="BV22" s="979">
        <v>0</v>
      </c>
      <c r="BW22" s="979">
        <v>0</v>
      </c>
      <c r="BX22" s="979">
        <v>0</v>
      </c>
      <c r="BY22" s="983">
        <f t="shared" si="14"/>
        <v>0</v>
      </c>
      <c r="BZ22" s="956"/>
      <c r="CA22" s="979">
        <v>0</v>
      </c>
      <c r="CB22" s="979">
        <v>0</v>
      </c>
      <c r="CC22" s="979">
        <f>+-15.625+10.23</f>
        <v>-5.3949999999999996</v>
      </c>
      <c r="CD22" s="979">
        <f>-15.625+10.326</f>
        <v>-5.2989999999999995</v>
      </c>
      <c r="CE22" s="983">
        <f t="shared" si="15"/>
        <v>-5.2989999999999995</v>
      </c>
      <c r="CF22" s="956"/>
      <c r="CG22" s="979">
        <v>-36.616999999999997</v>
      </c>
      <c r="CH22" s="979">
        <v>-36.616999999999997</v>
      </c>
      <c r="CI22" s="979">
        <f>-36.617-21.792+7.086</f>
        <v>-51.323</v>
      </c>
      <c r="CJ22" s="979">
        <f>-21.792-36.617</f>
        <v>-58.408999999999999</v>
      </c>
      <c r="CK22" s="983">
        <f t="shared" si="16"/>
        <v>-58.408999999999999</v>
      </c>
      <c r="CL22" s="956"/>
      <c r="CM22" s="979">
        <f>-12.864</f>
        <v>-12.864000000000001</v>
      </c>
      <c r="CN22" s="979">
        <v>-12.864000000000001</v>
      </c>
      <c r="CO22" s="979">
        <v>-13.696999999999999</v>
      </c>
      <c r="CP22" s="979">
        <v>-13.696999999999999</v>
      </c>
      <c r="CQ22" s="983">
        <f t="shared" si="17"/>
        <v>-13.696999999999999</v>
      </c>
      <c r="CR22" s="956"/>
      <c r="CS22" s="979">
        <v>0</v>
      </c>
      <c r="CT22" s="979">
        <f>CS22+Model!CT54</f>
        <v>0</v>
      </c>
      <c r="CU22" s="979">
        <v>0</v>
      </c>
      <c r="CV22" s="979">
        <v>0</v>
      </c>
      <c r="CW22" s="983">
        <f t="shared" si="18"/>
        <v>0</v>
      </c>
      <c r="CX22" s="956"/>
      <c r="CY22" s="979">
        <f>Model!CY54</f>
        <v>0</v>
      </c>
      <c r="CZ22" s="979">
        <f>CY22+Model!CZ54</f>
        <v>0</v>
      </c>
      <c r="DA22" s="979">
        <f>CZ22+Model!DA54</f>
        <v>0</v>
      </c>
      <c r="DB22" s="979">
        <f>DA22+Model!DB54</f>
        <v>0</v>
      </c>
      <c r="DC22" s="983">
        <f t="shared" si="19"/>
        <v>0</v>
      </c>
      <c r="DD22" s="956"/>
      <c r="DE22" s="979">
        <f>Model!DE54</f>
        <v>0</v>
      </c>
      <c r="DF22" s="979">
        <f>DE22+Model!DF54</f>
        <v>0</v>
      </c>
      <c r="DG22" s="979">
        <f>DF22+Model!DG54</f>
        <v>0</v>
      </c>
      <c r="DH22" s="979">
        <f>DG22+Model!DH54</f>
        <v>0</v>
      </c>
      <c r="DI22" s="983">
        <f t="shared" si="20"/>
        <v>0</v>
      </c>
      <c r="DJ22" s="956"/>
      <c r="DK22" s="979">
        <f>Model!DK54</f>
        <v>0</v>
      </c>
      <c r="DL22" s="979">
        <f>DK22+Model!DL54</f>
        <v>0</v>
      </c>
      <c r="DM22" s="979">
        <f>DL22+Model!DM54</f>
        <v>0</v>
      </c>
      <c r="DN22" s="979">
        <f>DM22+Model!DN54</f>
        <v>0</v>
      </c>
      <c r="DO22" s="983">
        <f t="shared" si="21"/>
        <v>0</v>
      </c>
      <c r="DP22" s="1698"/>
      <c r="DQ22" s="956"/>
      <c r="DR22" s="956"/>
    </row>
    <row r="23" spans="1:122" ht="5.25" customHeight="1">
      <c r="A23" s="1219"/>
      <c r="B23" s="993"/>
      <c r="C23" s="982"/>
      <c r="D23" s="982"/>
      <c r="E23" s="982"/>
      <c r="F23" s="959"/>
      <c r="G23" s="982"/>
      <c r="H23" s="959"/>
      <c r="I23" s="959"/>
      <c r="J23" s="959"/>
      <c r="K23" s="959"/>
      <c r="L23" s="959"/>
      <c r="M23" s="982"/>
      <c r="N23" s="959"/>
      <c r="O23" s="959"/>
      <c r="P23" s="959"/>
      <c r="Q23" s="982"/>
      <c r="R23" s="959"/>
      <c r="S23" s="982"/>
      <c r="T23" s="959"/>
      <c r="U23" s="959"/>
      <c r="V23" s="1219"/>
      <c r="W23" s="982"/>
      <c r="X23" s="980"/>
      <c r="Y23" s="1055"/>
      <c r="Z23" s="980"/>
      <c r="AA23" s="1055"/>
      <c r="AB23" s="1055"/>
      <c r="AC23" s="982"/>
      <c r="AD23" s="980"/>
      <c r="AE23" s="1055"/>
      <c r="AF23" s="1055"/>
      <c r="AG23" s="1055"/>
      <c r="AH23" s="1055"/>
      <c r="AI23" s="983"/>
      <c r="AJ23" s="980"/>
      <c r="AK23" s="980"/>
      <c r="AL23" s="1055"/>
      <c r="AM23" s="1055"/>
      <c r="AN23" s="1055"/>
      <c r="AO23" s="1311"/>
      <c r="AP23" s="980"/>
      <c r="AQ23" s="1055"/>
      <c r="AR23" s="980"/>
      <c r="AS23" s="1055"/>
      <c r="AT23" s="980"/>
      <c r="AU23" s="983"/>
      <c r="AV23" s="980"/>
      <c r="AW23" s="1312"/>
      <c r="AX23" s="1055"/>
      <c r="AY23" s="1055"/>
      <c r="AZ23" s="1055"/>
      <c r="BA23" s="983"/>
      <c r="BB23" s="980"/>
      <c r="BC23" s="1055"/>
      <c r="BD23" s="1055"/>
      <c r="BE23" s="1055"/>
      <c r="BF23" s="1055"/>
      <c r="BG23" s="983"/>
      <c r="BH23" s="980"/>
      <c r="BI23" s="980"/>
      <c r="BJ23" s="980"/>
      <c r="BK23" s="980"/>
      <c r="BL23" s="980"/>
      <c r="BM23" s="983"/>
      <c r="BN23" s="980"/>
      <c r="BO23" s="980"/>
      <c r="BP23" s="980"/>
      <c r="BQ23" s="980"/>
      <c r="BR23" s="980"/>
      <c r="BS23" s="983"/>
      <c r="BT23" s="980"/>
      <c r="BU23" s="980"/>
      <c r="BV23" s="980"/>
      <c r="BW23" s="980"/>
      <c r="BX23" s="980"/>
      <c r="BY23" s="983">
        <f t="shared" si="14"/>
        <v>0</v>
      </c>
      <c r="BZ23" s="980"/>
      <c r="CA23" s="980"/>
      <c r="CB23" s="980"/>
      <c r="CC23" s="980"/>
      <c r="CD23" s="980"/>
      <c r="CE23" s="983"/>
      <c r="CF23" s="980"/>
      <c r="CG23" s="1335"/>
      <c r="CH23" s="980"/>
      <c r="CI23" s="980"/>
      <c r="CJ23" s="980"/>
      <c r="CK23" s="983"/>
      <c r="CL23" s="980"/>
      <c r="CM23" s="1335"/>
      <c r="CN23" s="980"/>
      <c r="CO23" s="980"/>
      <c r="CP23" s="980"/>
      <c r="CQ23" s="983"/>
      <c r="CR23" s="980"/>
      <c r="CS23" s="980"/>
      <c r="CT23" s="980"/>
      <c r="CU23" s="980"/>
      <c r="CV23" s="980"/>
      <c r="CW23" s="983"/>
      <c r="CX23" s="980"/>
      <c r="CY23" s="980"/>
      <c r="CZ23" s="980"/>
      <c r="DA23" s="980"/>
      <c r="DB23" s="980"/>
      <c r="DC23" s="983"/>
      <c r="DD23" s="980"/>
      <c r="DE23" s="980"/>
      <c r="DF23" s="980"/>
      <c r="DG23" s="980"/>
      <c r="DH23" s="980"/>
      <c r="DI23" s="983"/>
      <c r="DJ23" s="980"/>
      <c r="DK23" s="980"/>
      <c r="DL23" s="980"/>
      <c r="DM23" s="980"/>
      <c r="DN23" s="980"/>
      <c r="DO23" s="983"/>
      <c r="DP23" s="959"/>
      <c r="DQ23" s="959"/>
      <c r="DR23" s="959"/>
    </row>
    <row r="24" spans="1:122" ht="10.5" customHeight="1">
      <c r="A24" s="1295" t="s">
        <v>658</v>
      </c>
      <c r="B24" s="990"/>
      <c r="C24" s="1296">
        <f t="shared" si="22"/>
        <v>0.495</v>
      </c>
      <c r="D24" s="1296">
        <f t="shared" si="23"/>
        <v>0.86499999999999999</v>
      </c>
      <c r="E24" s="1296">
        <f t="shared" si="24"/>
        <v>1.2039999999999997</v>
      </c>
      <c r="F24" s="990"/>
      <c r="G24" s="1296">
        <f t="shared" si="24"/>
        <v>2.2370000000000001</v>
      </c>
      <c r="H24" s="1297">
        <f t="shared" ref="H24:J29" si="38">G24+H96</f>
        <v>3.6870000000000003</v>
      </c>
      <c r="I24" s="1297">
        <f t="shared" si="38"/>
        <v>5.0090000000000003</v>
      </c>
      <c r="J24" s="1297">
        <f t="shared" si="38"/>
        <v>4.4050000000000002</v>
      </c>
      <c r="K24" s="1297">
        <f t="shared" si="2"/>
        <v>4.4050000000000002</v>
      </c>
      <c r="L24" s="990"/>
      <c r="M24" s="1296">
        <f t="shared" ref="M24:M29" si="39">M96</f>
        <v>1.2589999999999999</v>
      </c>
      <c r="N24" s="1297">
        <f>M24+N96</f>
        <v>1.621</v>
      </c>
      <c r="O24" s="1297">
        <f>N24+O96</f>
        <v>5.0519999999999996</v>
      </c>
      <c r="P24" s="1297">
        <f>O24+P96</f>
        <v>6.0109999999999992</v>
      </c>
      <c r="Q24" s="1296">
        <f t="shared" si="4"/>
        <v>6.0109999999999992</v>
      </c>
      <c r="R24" s="990"/>
      <c r="S24" s="1296">
        <f t="shared" ref="S24:S29" si="40">S96</f>
        <v>1.0109999999999995</v>
      </c>
      <c r="T24" s="1297">
        <v>8.952</v>
      </c>
      <c r="U24" s="1297">
        <v>13.625999999999999</v>
      </c>
      <c r="V24" s="1297">
        <v>24.779</v>
      </c>
      <c r="W24" s="1296">
        <f>V24</f>
        <v>24.779</v>
      </c>
      <c r="X24" s="1297"/>
      <c r="Y24" s="1297">
        <v>8.2119999999999997</v>
      </c>
      <c r="Z24" s="1297">
        <v>11.31</v>
      </c>
      <c r="AA24" s="1297">
        <f>2.712+13.787</f>
        <v>16.499000000000002</v>
      </c>
      <c r="AB24" s="1297">
        <f>SUM(AB25:AB29)</f>
        <v>46.103999999999999</v>
      </c>
      <c r="AC24" s="1296">
        <f t="shared" ref="AC24:AC30" si="41">AB24</f>
        <v>46.103999999999999</v>
      </c>
      <c r="AD24" s="1297"/>
      <c r="AE24" s="1297">
        <v>-2.8969999999999998</v>
      </c>
      <c r="AF24" s="1297">
        <v>13.791</v>
      </c>
      <c r="AG24" s="1297">
        <v>28.99</v>
      </c>
      <c r="AH24" s="1297">
        <f>AG24+21.017</f>
        <v>50.006999999999998</v>
      </c>
      <c r="AI24" s="1298">
        <f t="shared" ref="AI24:AI29" si="42">AH24</f>
        <v>50.006999999999998</v>
      </c>
      <c r="AJ24" s="1297"/>
      <c r="AK24" s="1297">
        <v>15.769</v>
      </c>
      <c r="AL24" s="1297">
        <v>25.634</v>
      </c>
      <c r="AM24" s="1297">
        <v>48.585000000000001</v>
      </c>
      <c r="AN24" s="1297">
        <v>94.046000000000006</v>
      </c>
      <c r="AO24" s="1299">
        <f>AN24</f>
        <v>94.046000000000006</v>
      </c>
      <c r="AP24" s="1297"/>
      <c r="AQ24" s="1297">
        <v>44.515000000000001</v>
      </c>
      <c r="AR24" s="1297">
        <v>56.363999999999997</v>
      </c>
      <c r="AS24" s="1297">
        <v>35.485999999999997</v>
      </c>
      <c r="AT24" s="1297">
        <v>62.267000000000003</v>
      </c>
      <c r="AU24" s="1298">
        <f t="shared" ref="AU24:AU30" si="43">AT24</f>
        <v>62.267000000000003</v>
      </c>
      <c r="AV24" s="1297"/>
      <c r="AW24" s="1308">
        <v>39.677</v>
      </c>
      <c r="AX24" s="1297">
        <f>SUM(AX25:AX29)</f>
        <v>31.042000000000009</v>
      </c>
      <c r="AY24" s="1297">
        <f>SUM(AY25:AY29)</f>
        <v>2.8140000000000001</v>
      </c>
      <c r="AZ24" s="1297">
        <f>SUM(AZ25:AZ29)</f>
        <v>31.069999999999993</v>
      </c>
      <c r="BA24" s="1298">
        <f t="shared" ref="BA24:BA30" si="44">AZ24</f>
        <v>31.069999999999993</v>
      </c>
      <c r="BB24" s="1297"/>
      <c r="BC24" s="1297">
        <f>SUM(BC25:BC29)</f>
        <v>66.681999999999988</v>
      </c>
      <c r="BD24" s="1297">
        <f>SUM(BD25:BD29)</f>
        <v>81.05</v>
      </c>
      <c r="BE24" s="1297">
        <f>SUM(BE25:BE29)</f>
        <v>75.343999999999994</v>
      </c>
      <c r="BF24" s="1297">
        <f>SUM(BF25:BF29)</f>
        <v>129.41999999999999</v>
      </c>
      <c r="BG24" s="1298">
        <f t="shared" ref="BG24:BG29" si="45">BF24</f>
        <v>129.41999999999999</v>
      </c>
      <c r="BH24" s="1297"/>
      <c r="BI24" s="1309">
        <f>SUM(BI25:BI29)</f>
        <v>36.940999999999988</v>
      </c>
      <c r="BJ24" s="1309">
        <f>SUM(BJ25:BJ29)</f>
        <v>4.402000000000001</v>
      </c>
      <c r="BK24" s="1309">
        <f>SUM(BK25:BK29)</f>
        <v>16.200000000000006</v>
      </c>
      <c r="BL24" s="1309">
        <f>SUM(BL25:BL29)</f>
        <v>105.01099999999997</v>
      </c>
      <c r="BM24" s="1298">
        <f t="shared" ref="BM24:BM30" si="46">BL24</f>
        <v>105.01099999999997</v>
      </c>
      <c r="BN24" s="1297"/>
      <c r="BO24" s="1309">
        <f>SUM(BO25:BO29)</f>
        <v>72.108000000000047</v>
      </c>
      <c r="BP24" s="1309">
        <f>SUM(BP25:BP29)</f>
        <v>55.266000000000012</v>
      </c>
      <c r="BQ24" s="1309">
        <f>SUM(BQ25:BQ29)</f>
        <v>24.878000000000029</v>
      </c>
      <c r="BR24" s="1309">
        <f>SUM(BR25:BR29)</f>
        <v>247.226</v>
      </c>
      <c r="BS24" s="1298">
        <f t="shared" ref="BS24:BS30" si="47">BR24</f>
        <v>247.226</v>
      </c>
      <c r="BT24" s="1297"/>
      <c r="BU24" s="1309">
        <f>SUM(BU25:BU29)</f>
        <v>120.41299999999998</v>
      </c>
      <c r="BV24" s="1309">
        <f>SUM(BV25:BV29)</f>
        <v>-22.110000000000028</v>
      </c>
      <c r="BW24" s="1309">
        <f>SUM(BW25:BW29)</f>
        <v>-75.473000000000013</v>
      </c>
      <c r="BX24" s="1309">
        <f>SUM(BX25:BX29)</f>
        <v>-1.26400000000001</v>
      </c>
      <c r="BY24" s="1298">
        <f t="shared" ref="BY24:BY30" si="48">BX24</f>
        <v>-1.26400000000001</v>
      </c>
      <c r="BZ24" s="1297"/>
      <c r="CA24" s="1309">
        <f>SUM(CA25:CA29)</f>
        <v>256.964</v>
      </c>
      <c r="CB24" s="1309">
        <f>SUM(CB25:CB29)</f>
        <v>235.51299999999998</v>
      </c>
      <c r="CC24" s="1309">
        <f>SUM(CC25:CC29)</f>
        <v>86.24900000000008</v>
      </c>
      <c r="CD24" s="1309">
        <f>SUM(CD25:CD29)</f>
        <v>139.10800000000006</v>
      </c>
      <c r="CE24" s="1298">
        <f t="shared" ref="CE24:CE30" si="49">CD24</f>
        <v>139.10800000000006</v>
      </c>
      <c r="CF24" s="1297"/>
      <c r="CG24" s="1309">
        <f>SUM(CG25:CG29)</f>
        <v>414.10299999999995</v>
      </c>
      <c r="CH24" s="1309">
        <f>SUM(CH25:CH29)</f>
        <v>355.80899999999991</v>
      </c>
      <c r="CI24" s="1309">
        <f>SUM(CI25:CI29)</f>
        <v>193.56099999999998</v>
      </c>
      <c r="CJ24" s="1309">
        <f>SUM(CJ25:CJ29)</f>
        <v>311.99700000000007</v>
      </c>
      <c r="CK24" s="1298">
        <f t="shared" ref="CK24:CK30" si="50">CJ24</f>
        <v>311.99700000000007</v>
      </c>
      <c r="CL24" s="1297"/>
      <c r="CM24" s="1309">
        <f>SUM(CM25:CM29)</f>
        <v>607.77699999999982</v>
      </c>
      <c r="CN24" s="1309">
        <f>SUM(CN25:CN29)</f>
        <v>201.51100000000008</v>
      </c>
      <c r="CO24" s="1309">
        <f>SUM(CO25:CO29)</f>
        <v>-80.642999999999915</v>
      </c>
      <c r="CP24" s="1309">
        <f>SUM(CP25:CP29)</f>
        <v>141.56899999999996</v>
      </c>
      <c r="CQ24" s="1298">
        <f t="shared" ref="CQ24:CQ30" si="51">CP24</f>
        <v>141.56899999999996</v>
      </c>
      <c r="CR24" s="1297"/>
      <c r="CS24" s="1309">
        <f>SUM(CS25:CS29)</f>
        <v>688.255</v>
      </c>
      <c r="CT24" s="1309">
        <f>SUM(CT25:CT29)</f>
        <v>437.42499999999984</v>
      </c>
      <c r="CU24" s="1309">
        <f>SUM(CU25:CU29)</f>
        <v>-52.472000000000207</v>
      </c>
      <c r="CV24" s="1309">
        <f>SUM(CV25:CV29)</f>
        <v>364.94500000000016</v>
      </c>
      <c r="CW24" s="1298">
        <f t="shared" ref="CW24:CW30" si="52">CV24</f>
        <v>364.94500000000016</v>
      </c>
      <c r="CX24" s="1297"/>
      <c r="CY24" s="1309">
        <f>SUM(CY25:CY29)</f>
        <v>728.62809878327425</v>
      </c>
      <c r="CZ24" s="1309">
        <f>SUM(CZ25:CZ29)</f>
        <v>296.1189931908882</v>
      </c>
      <c r="DA24" s="1309">
        <f>SUM(DA25:DA29)</f>
        <v>-357.04875330097616</v>
      </c>
      <c r="DB24" s="1309">
        <f>SUM(DB25:DB29)</f>
        <v>-39.863530483267823</v>
      </c>
      <c r="DC24" s="1298">
        <f t="shared" ref="DC24:DC30" si="53">DB24</f>
        <v>-39.863530483267823</v>
      </c>
      <c r="DD24" s="1297"/>
      <c r="DE24" s="1309">
        <f>SUM(DE25:DE29)</f>
        <v>901.78206199189754</v>
      </c>
      <c r="DF24" s="1309">
        <f>SUM(DF25:DF29)</f>
        <v>283.57051221731626</v>
      </c>
      <c r="DG24" s="1309">
        <f>SUM(DG25:DG29)</f>
        <v>-534.34634545673134</v>
      </c>
      <c r="DH24" s="1309">
        <f>SUM(DH25:DH29)</f>
        <v>134.30028455596084</v>
      </c>
      <c r="DI24" s="1298">
        <f t="shared" ref="DI24:DI30" si="54">DH24</f>
        <v>134.30028455596084</v>
      </c>
      <c r="DJ24" s="1297"/>
      <c r="DK24" s="1309">
        <f>SUM(DK25:DK29)</f>
        <v>1020.0611719734152</v>
      </c>
      <c r="DL24" s="1309">
        <f>SUM(DL25:DL29)</f>
        <v>376.0273869353955</v>
      </c>
      <c r="DM24" s="1309">
        <f>SUM(DM25:DM29)</f>
        <v>-573.02627550757825</v>
      </c>
      <c r="DN24" s="1309">
        <f>SUM(DN25:DN29)</f>
        <v>187.40528596651575</v>
      </c>
      <c r="DO24" s="1298">
        <f t="shared" ref="DO24:DO30" si="55">DN24</f>
        <v>187.40528596651575</v>
      </c>
      <c r="DP24" s="958"/>
      <c r="DQ24" s="958"/>
      <c r="DR24" s="958"/>
    </row>
    <row r="25" spans="1:122" ht="10.5" customHeight="1">
      <c r="A25" s="1115" t="s">
        <v>672</v>
      </c>
      <c r="B25" s="993"/>
      <c r="C25" s="982">
        <f t="shared" si="22"/>
        <v>0</v>
      </c>
      <c r="D25" s="982">
        <f t="shared" si="23"/>
        <v>0</v>
      </c>
      <c r="E25" s="982">
        <f t="shared" si="24"/>
        <v>-3.9910000000000001</v>
      </c>
      <c r="F25" s="993"/>
      <c r="G25" s="982">
        <f t="shared" si="24"/>
        <v>0</v>
      </c>
      <c r="H25" s="977">
        <f t="shared" si="38"/>
        <v>0</v>
      </c>
      <c r="I25" s="977">
        <f t="shared" si="38"/>
        <v>0</v>
      </c>
      <c r="J25" s="977">
        <f t="shared" si="38"/>
        <v>0</v>
      </c>
      <c r="K25" s="977">
        <f t="shared" si="2"/>
        <v>0</v>
      </c>
      <c r="L25" s="993"/>
      <c r="M25" s="982">
        <f t="shared" si="39"/>
        <v>-2.5430000000000001</v>
      </c>
      <c r="N25" s="1313">
        <f t="shared" ref="N25:O27" si="56">($P25-$M25)/3+M25</f>
        <v>-7.3469999999999995</v>
      </c>
      <c r="O25" s="1313">
        <f t="shared" si="56"/>
        <v>-12.151</v>
      </c>
      <c r="P25" s="1313">
        <f>Q25</f>
        <v>-16.954999999999998</v>
      </c>
      <c r="Q25" s="982">
        <f>Q97</f>
        <v>-16.954999999999998</v>
      </c>
      <c r="R25" s="993"/>
      <c r="S25" s="982">
        <f t="shared" si="40"/>
        <v>2.0459999999999998</v>
      </c>
      <c r="T25" s="1314">
        <f>BS!S12-BS!T12+S25</f>
        <v>-3.4080000000000008</v>
      </c>
      <c r="U25" s="1314">
        <f>BS!T12-BS!U12+T25</f>
        <v>-10.998999999999999</v>
      </c>
      <c r="V25" s="1314">
        <f>BS!U12-BS!V12+U25</f>
        <v>-22.338000000000005</v>
      </c>
      <c r="W25" s="982">
        <f t="shared" si="5"/>
        <v>-22.338000000000005</v>
      </c>
      <c r="X25" s="977"/>
      <c r="Y25" s="1314">
        <f>BS!V12-BS!Y12</f>
        <v>6.4909999999999997</v>
      </c>
      <c r="Z25" s="1314">
        <f>BS!Y12-BS!Z12+Y25</f>
        <v>-1.3099999999999952</v>
      </c>
      <c r="AA25" s="1314">
        <f>BS!Z12-BS!AA12+Z25</f>
        <v>-4.5329999999999941</v>
      </c>
      <c r="AB25" s="977">
        <v>-27.254000000000001</v>
      </c>
      <c r="AC25" s="982">
        <f t="shared" si="41"/>
        <v>-27.254000000000001</v>
      </c>
      <c r="AD25" s="977"/>
      <c r="AE25" s="1313">
        <f>BS!AB12-BS!AE12</f>
        <v>3.7909999999999968</v>
      </c>
      <c r="AF25" s="1313">
        <f>BS!AE12-BS!AF12+AE25</f>
        <v>0.42400000000000659</v>
      </c>
      <c r="AG25" s="1313">
        <f>BS!AF12-BS!AG12+AF25</f>
        <v>-6.6800000000000068</v>
      </c>
      <c r="AH25" s="985">
        <v>-52.523000000000003</v>
      </c>
      <c r="AI25" s="983">
        <f t="shared" si="42"/>
        <v>-52.523000000000003</v>
      </c>
      <c r="AJ25" s="977"/>
      <c r="AK25" s="1313">
        <f>BS!AH12-BS!AK12</f>
        <v>23.680000000000007</v>
      </c>
      <c r="AL25" s="1313">
        <f>BS!AK12-BS!AL12+AK25</f>
        <v>14.647000000000006</v>
      </c>
      <c r="AM25" s="1313">
        <f>BS!AL12-BS!AM12+AL25</f>
        <v>6.7320000000000135</v>
      </c>
      <c r="AN25" s="985">
        <v>-91.367999999999995</v>
      </c>
      <c r="AO25" s="978">
        <f t="shared" ref="AO25:AO30" si="57">AN25</f>
        <v>-91.367999999999995</v>
      </c>
      <c r="AP25" s="977"/>
      <c r="AQ25" s="1313">
        <f>BS!AN12-BS!AQ12</f>
        <v>76.152000000000015</v>
      </c>
      <c r="AR25" s="1313">
        <f>BS!AQ12-BS!AR12+AQ25</f>
        <v>73.079000000000008</v>
      </c>
      <c r="AS25" s="1313">
        <v>62.381</v>
      </c>
      <c r="AT25" s="985">
        <v>-44.798000000000002</v>
      </c>
      <c r="AU25" s="983">
        <f t="shared" si="43"/>
        <v>-44.798000000000002</v>
      </c>
      <c r="AV25" s="977"/>
      <c r="AW25" s="977">
        <f>AX25+22.816</f>
        <v>120.68600000000001</v>
      </c>
      <c r="AX25" s="977">
        <v>97.87</v>
      </c>
      <c r="AY25" s="977">
        <v>75.355000000000004</v>
      </c>
      <c r="AZ25" s="977">
        <v>-54.521999999999998</v>
      </c>
      <c r="BA25" s="983">
        <f t="shared" si="44"/>
        <v>-54.521999999999998</v>
      </c>
      <c r="BB25" s="977"/>
      <c r="BC25" s="977">
        <v>138.95099999999999</v>
      </c>
      <c r="BD25" s="977">
        <v>97.537999999999997</v>
      </c>
      <c r="BE25" s="977">
        <v>67.325999999999993</v>
      </c>
      <c r="BF25" s="977">
        <v>-102.50700000000001</v>
      </c>
      <c r="BG25" s="983">
        <f t="shared" si="45"/>
        <v>-102.50700000000001</v>
      </c>
      <c r="BH25" s="977"/>
      <c r="BI25" s="977">
        <v>156.12700000000001</v>
      </c>
      <c r="BJ25" s="977">
        <v>90.051000000000002</v>
      </c>
      <c r="BK25" s="977">
        <v>120.152</v>
      </c>
      <c r="BL25" s="977">
        <v>-244.947</v>
      </c>
      <c r="BM25" s="983">
        <f t="shared" si="46"/>
        <v>-244.947</v>
      </c>
      <c r="BN25" s="977"/>
      <c r="BO25" s="977">
        <v>312.66000000000003</v>
      </c>
      <c r="BP25" s="977">
        <v>237.13800000000001</v>
      </c>
      <c r="BQ25" s="977">
        <v>270.80200000000002</v>
      </c>
      <c r="BR25" s="977">
        <v>-183.24199999999999</v>
      </c>
      <c r="BS25" s="983">
        <f t="shared" si="47"/>
        <v>-183.24199999999999</v>
      </c>
      <c r="BT25" s="977"/>
      <c r="BU25" s="977">
        <v>369.88900000000001</v>
      </c>
      <c r="BV25" s="977">
        <v>336.59199999999998</v>
      </c>
      <c r="BW25" s="977">
        <v>332.09</v>
      </c>
      <c r="BX25" s="977">
        <v>-424.702</v>
      </c>
      <c r="BY25" s="983">
        <f t="shared" si="48"/>
        <v>-424.702</v>
      </c>
      <c r="BZ25" s="977"/>
      <c r="CA25" s="977">
        <v>676.68200000000002</v>
      </c>
      <c r="CB25" s="977">
        <v>526.51400000000001</v>
      </c>
      <c r="CC25" s="977">
        <v>566.30600000000004</v>
      </c>
      <c r="CD25" s="977">
        <v>-544.61</v>
      </c>
      <c r="CE25" s="983">
        <f t="shared" si="49"/>
        <v>-544.61</v>
      </c>
      <c r="CF25" s="977"/>
      <c r="CG25" s="977">
        <v>979.17</v>
      </c>
      <c r="CH25" s="977">
        <v>837.75199999999995</v>
      </c>
      <c r="CI25" s="977">
        <v>853.01400000000001</v>
      </c>
      <c r="CJ25" s="977">
        <v>-582.42499999999995</v>
      </c>
      <c r="CK25" s="983">
        <f t="shared" si="50"/>
        <v>-582.42499999999995</v>
      </c>
      <c r="CL25" s="977"/>
      <c r="CM25" s="977">
        <v>1307.3119999999999</v>
      </c>
      <c r="CN25" s="977">
        <v>1234.145</v>
      </c>
      <c r="CO25" s="977">
        <v>1276.798</v>
      </c>
      <c r="CP25" s="977">
        <v>-628.47699999999998</v>
      </c>
      <c r="CQ25" s="983">
        <f t="shared" si="51"/>
        <v>-628.47699999999998</v>
      </c>
      <c r="CR25" s="977"/>
      <c r="CS25" s="977">
        <v>1757.5070000000001</v>
      </c>
      <c r="CT25" s="977">
        <v>1628.06</v>
      </c>
      <c r="CU25" s="977">
        <v>1677.4659999999999</v>
      </c>
      <c r="CV25" s="977">
        <v>-720.01900000000001</v>
      </c>
      <c r="CW25" s="983">
        <f t="shared" si="52"/>
        <v>-720.01900000000001</v>
      </c>
      <c r="CX25" s="977"/>
      <c r="CY25" s="977">
        <f>BS!CV12-BS!CY12</f>
        <v>2078.8822471409226</v>
      </c>
      <c r="CZ25" s="977">
        <f>BS!CY12-BS!CZ12+CY25</f>
        <v>1951.5149689193818</v>
      </c>
      <c r="DA25" s="977">
        <f>BS!CZ12-BS!DA12+CZ25</f>
        <v>1962.736032869828</v>
      </c>
      <c r="DB25" s="977">
        <f>BS!DA12-BS!DB12+DA25</f>
        <v>-1103.5995141465417</v>
      </c>
      <c r="DC25" s="983">
        <f t="shared" si="53"/>
        <v>-1103.5995141465417</v>
      </c>
      <c r="DD25" s="977"/>
      <c r="DE25" s="977">
        <f>BS!DB12-BS!DE12</f>
        <v>2652.3669368883584</v>
      </c>
      <c r="DF25" s="977">
        <f>BS!DE12-BS!DF12+DE25</f>
        <v>2406.2855857976988</v>
      </c>
      <c r="DG25" s="977">
        <f>BS!DF12-BS!DG12+DF25</f>
        <v>2386.129084041811</v>
      </c>
      <c r="DH25" s="977">
        <f>BS!DG12-BS!DH12+DG25</f>
        <v>-1217.2107702159055</v>
      </c>
      <c r="DI25" s="983">
        <f t="shared" si="54"/>
        <v>-1217.2107702159055</v>
      </c>
      <c r="DJ25" s="977"/>
      <c r="DK25" s="977">
        <f>BS!DH12-BS!DK12</f>
        <v>3248.9939053692228</v>
      </c>
      <c r="DL25" s="977">
        <f>BS!DK12-BS!DL12+DK25</f>
        <v>3028.5255556099301</v>
      </c>
      <c r="DM25" s="977">
        <f>BS!DL12-BS!DM12+DL25</f>
        <v>3001.7447022772708</v>
      </c>
      <c r="DN25" s="977">
        <f>BS!DM12-BS!DN12+DM25</f>
        <v>-1514.5083948716961</v>
      </c>
      <c r="DO25" s="983">
        <f t="shared" si="55"/>
        <v>-1514.5083948716961</v>
      </c>
      <c r="DP25" s="1698"/>
      <c r="DQ25" s="956"/>
      <c r="DR25" s="956"/>
    </row>
    <row r="26" spans="1:122" ht="10.5" customHeight="1">
      <c r="A26" s="1115" t="s">
        <v>673</v>
      </c>
      <c r="B26" s="993"/>
      <c r="C26" s="982">
        <f t="shared" si="22"/>
        <v>0</v>
      </c>
      <c r="D26" s="982">
        <f t="shared" si="23"/>
        <v>0</v>
      </c>
      <c r="E26" s="982">
        <f t="shared" si="24"/>
        <v>-0.46899999999999992</v>
      </c>
      <c r="F26" s="993"/>
      <c r="G26" s="982">
        <f t="shared" si="24"/>
        <v>0</v>
      </c>
      <c r="H26" s="977">
        <f t="shared" si="38"/>
        <v>0</v>
      </c>
      <c r="I26" s="977">
        <f t="shared" si="38"/>
        <v>0</v>
      </c>
      <c r="J26" s="977">
        <f t="shared" si="38"/>
        <v>0</v>
      </c>
      <c r="K26" s="977">
        <f t="shared" si="2"/>
        <v>0</v>
      </c>
      <c r="L26" s="993"/>
      <c r="M26" s="982">
        <f t="shared" si="39"/>
        <v>-2.165</v>
      </c>
      <c r="N26" s="1313">
        <f t="shared" si="56"/>
        <v>-7.8630000000000004</v>
      </c>
      <c r="O26" s="1313">
        <f t="shared" si="56"/>
        <v>-13.561</v>
      </c>
      <c r="P26" s="1313">
        <f>Q26</f>
        <v>-19.259</v>
      </c>
      <c r="Q26" s="982">
        <f>Q98</f>
        <v>-19.259</v>
      </c>
      <c r="R26" s="993"/>
      <c r="S26" s="982">
        <f t="shared" si="40"/>
        <v>-3.6480000000000001</v>
      </c>
      <c r="T26" s="1314">
        <f>SUM(BS!S14,BS!S15,BS!S16)-SUM(BS!T14,BS!T15,BS!T16)+S26-T87</f>
        <v>-5.9279999999999973</v>
      </c>
      <c r="U26" s="1314">
        <f>SUM(BS!T14,BS!T15,BS!T16)-SUM(BS!U14,BS!U15,BS!U16)+T26-U87</f>
        <v>-10.296999999999999</v>
      </c>
      <c r="V26" s="1314">
        <f>SUM(BS!U14,BS!U15,BS!U16)-SUM(BS!V14,BS!V15,BS!V16)+U26-V87</f>
        <v>-14.206999999999999</v>
      </c>
      <c r="W26" s="982">
        <f t="shared" si="5"/>
        <v>-14.206999999999999</v>
      </c>
      <c r="X26" s="977"/>
      <c r="Y26" s="1314">
        <f>SUM(BS!V14,BS!V15,BS!V16)-SUM(BS!Y14,BS!Y15,BS!Y16)-Y87</f>
        <v>-5.0549999999999988</v>
      </c>
      <c r="Z26" s="1314">
        <f>SUM(BS!Y14,BS!Y15,BS!Y16)-SUM(BS!Z14,BS!Z15,BS!Z16)+Y26-Z87</f>
        <v>-10.932</v>
      </c>
      <c r="AA26" s="1314">
        <f>SUM(BS!Z14,BS!Z15,BS!Z16)-SUM(BS!AA14,BS!AA15,BS!AA16)+Z26-AA87</f>
        <v>-18.065999999999999</v>
      </c>
      <c r="AB26" s="977">
        <f>-22.068-2.871-1.62</f>
        <v>-26.559000000000001</v>
      </c>
      <c r="AC26" s="982">
        <f t="shared" si="41"/>
        <v>-26.559000000000001</v>
      </c>
      <c r="AD26" s="977"/>
      <c r="AE26" s="1313">
        <f>SUM(BS!AB14,BS!AB15,BS!AB16)-SUM(BS!AE14,BS!AE15,BS!AE16)-AE87</f>
        <v>-8.7249999999999979</v>
      </c>
      <c r="AF26" s="1313">
        <f>SUM(BS!AE14,BS!AE15,BS!AE16)-SUM(BS!AF14,BS!AF15,BS!AF16)+AE26-AF87</f>
        <v>-18.524999999999999</v>
      </c>
      <c r="AG26" s="1313">
        <f>SUM(BS!AF14,BS!AF15,BS!AF16)-SUM(BS!AG14,BS!AG15,BS!AG16)+AF26-AG87</f>
        <v>-25.308999999999997</v>
      </c>
      <c r="AH26" s="985">
        <f>-37.856-8.157-1.709</f>
        <v>-47.722000000000008</v>
      </c>
      <c r="AI26" s="983">
        <f t="shared" si="42"/>
        <v>-47.722000000000008</v>
      </c>
      <c r="AJ26" s="977"/>
      <c r="AK26" s="1313">
        <f>SUM(BS!AH14,BS!AH15,BS!AH16)-SUM(BS!AK14,BS!AK15,BS!AK16)-AK87</f>
        <v>-15.807</v>
      </c>
      <c r="AL26" s="1313">
        <f>SUM(BS!AK14,BS!AK15,BS!AK16)-SUM(BS!AL14,BS!AL15,BS!AL16)+AK26-AL87</f>
        <v>-35.999000000000002</v>
      </c>
      <c r="AM26" s="1313">
        <f>SUM(BS!AL14,BS!AL15,BS!AL16)-SUM(BS!AM14,BS!AM15,BS!AM16)+AL26-AM87</f>
        <v>-50.668999999999997</v>
      </c>
      <c r="AN26" s="985">
        <f>-62.759-11.376-7.669</f>
        <v>-81.804000000000002</v>
      </c>
      <c r="AO26" s="978">
        <f t="shared" si="57"/>
        <v>-81.804000000000002</v>
      </c>
      <c r="AP26" s="977"/>
      <c r="AQ26" s="1313">
        <f>SUM(BS!AN14,BS!AN15,BS!AN16)-SUM(BS!AQ14,BS!AQ15,BS!AQ16)-AQ87</f>
        <v>-19.23299999999999</v>
      </c>
      <c r="AR26" s="1313">
        <f>SUM(BS!AQ14,BS!AQ15,BS!AQ16)-SUM(BS!AR14,BS!AR15,BS!AR16)+AQ26-AR87</f>
        <v>-35.527999999999992</v>
      </c>
      <c r="AS26" s="1313">
        <v>-71.498495686133751</v>
      </c>
      <c r="AT26" s="985">
        <f>-63.701-4.746-1.292</f>
        <v>-69.739000000000004</v>
      </c>
      <c r="AU26" s="983">
        <f t="shared" si="43"/>
        <v>-69.739000000000004</v>
      </c>
      <c r="AV26" s="977"/>
      <c r="AW26" s="977">
        <f>AX26+14.136-1.308-2.683</f>
        <v>-16.796999999999997</v>
      </c>
      <c r="AX26" s="977">
        <f>-25.005-1.819-0.118</f>
        <v>-26.941999999999997</v>
      </c>
      <c r="AY26" s="977">
        <f>-43.018-14.711-0.624</f>
        <v>-58.353000000000002</v>
      </c>
      <c r="AZ26" s="977">
        <f>-82.336-3.899-1.405</f>
        <v>-87.64</v>
      </c>
      <c r="BA26" s="983">
        <f t="shared" si="44"/>
        <v>-87.64</v>
      </c>
      <c r="BB26" s="977"/>
      <c r="BC26" s="977">
        <f>-19.308+9.939-1.439</f>
        <v>-10.808</v>
      </c>
      <c r="BD26" s="977">
        <f>10.12+-39.556-4.142</f>
        <v>-33.578000000000003</v>
      </c>
      <c r="BE26" s="977">
        <f>-6.463+-9.405+-65.243</f>
        <v>-81.11099999999999</v>
      </c>
      <c r="BF26" s="977">
        <v>-121.247</v>
      </c>
      <c r="BG26" s="983">
        <f t="shared" si="45"/>
        <v>-121.247</v>
      </c>
      <c r="BH26" s="977"/>
      <c r="BI26" s="977">
        <v>-9.3829999999999991</v>
      </c>
      <c r="BJ26" s="977">
        <f>-18.994+-4.626</f>
        <v>-23.62</v>
      </c>
      <c r="BK26" s="977">
        <f>-9.959+0.067</f>
        <v>-9.8919999999999995</v>
      </c>
      <c r="BL26" s="977">
        <f>-167.199+-10.736+2.883</f>
        <v>-175.05199999999999</v>
      </c>
      <c r="BM26" s="983">
        <f t="shared" si="46"/>
        <v>-175.05199999999999</v>
      </c>
      <c r="BN26" s="977"/>
      <c r="BO26" s="977">
        <f>-20.349+1.755+-32.118</f>
        <v>-50.712000000000003</v>
      </c>
      <c r="BP26" s="977">
        <f>-56.096+0.864+-67.34</f>
        <v>-122.572</v>
      </c>
      <c r="BQ26" s="977">
        <f>-16.706+7.639</f>
        <v>-9.0670000000000002</v>
      </c>
      <c r="BR26" s="977">
        <f>-20.84+11.122</f>
        <v>-9.718</v>
      </c>
      <c r="BS26" s="983">
        <f t="shared" si="47"/>
        <v>-9.718</v>
      </c>
      <c r="BT26" s="977"/>
      <c r="BU26" s="977">
        <f>-7.872+-17.483+1.522</f>
        <v>-23.833000000000002</v>
      </c>
      <c r="BV26" s="977">
        <f>-10.862+-62.83+1.582</f>
        <v>-72.11</v>
      </c>
      <c r="BW26" s="977">
        <f>-120.798+14.542</f>
        <v>-106.256</v>
      </c>
      <c r="BX26" s="977">
        <f>-265.08+105.218</f>
        <v>-159.86199999999997</v>
      </c>
      <c r="BY26" s="983">
        <f t="shared" si="48"/>
        <v>-159.86199999999997</v>
      </c>
      <c r="BZ26" s="977"/>
      <c r="CA26" s="977">
        <f>-40.896+4.277</f>
        <v>-36.619</v>
      </c>
      <c r="CB26" s="977">
        <f>-106.742+27.913</f>
        <v>-78.829000000000008</v>
      </c>
      <c r="CC26" s="977">
        <f>+-171.022+34.501</f>
        <v>-136.52099999999999</v>
      </c>
      <c r="CD26" s="977">
        <f>-320.904+45.819</f>
        <v>-275.08499999999998</v>
      </c>
      <c r="CE26" s="983">
        <f t="shared" si="49"/>
        <v>-275.08499999999998</v>
      </c>
      <c r="CF26" s="977"/>
      <c r="CG26" s="977">
        <f>-50.092-11.274</f>
        <v>-61.366</v>
      </c>
      <c r="CH26" s="977">
        <f>-120.837-29.346</f>
        <v>-150.18299999999999</v>
      </c>
      <c r="CI26" s="977">
        <f>-200.867+4.495</f>
        <v>-196.37199999999999</v>
      </c>
      <c r="CJ26" s="977">
        <f>-380.022+50.772</f>
        <v>-329.25</v>
      </c>
      <c r="CK26" s="983">
        <f t="shared" si="50"/>
        <v>-329.25</v>
      </c>
      <c r="CL26" s="977"/>
      <c r="CM26" s="977">
        <f>-56.671-63.519</f>
        <v>-120.19</v>
      </c>
      <c r="CN26" s="977">
        <f>-134.162-66.399</f>
        <v>-200.56100000000001</v>
      </c>
      <c r="CO26" s="977">
        <f>-226.965-25.723</f>
        <v>-252.68799999999999</v>
      </c>
      <c r="CP26" s="977">
        <f>-462.03-28.85</f>
        <v>-490.88</v>
      </c>
      <c r="CQ26" s="983">
        <f t="shared" si="51"/>
        <v>-490.88</v>
      </c>
      <c r="CR26" s="977"/>
      <c r="CS26" s="977">
        <f>+-183.411-84.449</f>
        <v>-267.86</v>
      </c>
      <c r="CT26" s="977">
        <f>-151.115-201.152</f>
        <v>-352.267</v>
      </c>
      <c r="CU26" s="977">
        <f>-166.784-372.714</f>
        <v>-539.49800000000005</v>
      </c>
      <c r="CV26" s="977">
        <f>24.14-799.305</f>
        <v>-775.16499999999996</v>
      </c>
      <c r="CW26" s="983">
        <f t="shared" si="52"/>
        <v>-775.16499999999996</v>
      </c>
      <c r="CX26" s="977"/>
      <c r="CY26" s="977">
        <f>SUM(BS!CV15,BS!CV16,BS!CV25)-SUM(BS!CY15,BS!CY16,BS!CY25)-BS!CY71</f>
        <v>-298.42564357615663</v>
      </c>
      <c r="CZ26" s="977">
        <f>SUM(BS!CY15,BS!CY16,BS!CY25)-SUM(BS!CZ15,BS!CZ16,BS!CZ25)+CY26-BS!CZ71</f>
        <v>-438.13208721221304</v>
      </c>
      <c r="DA26" s="977">
        <f>SUM(BS!CZ15,BS!CZ16,BS!CZ25)-SUM(BS!DA15,BS!DA16,BS!DA25)+CZ26-BS!DA71</f>
        <v>-722.02695086558651</v>
      </c>
      <c r="DB26" s="977">
        <f>SUM(BS!DA15,BS!DA16,BS!DA25)-SUM(BS!DB15,BS!DB16,BS!DB25)+DA26-BS!DB71</f>
        <v>-1190.2280690859939</v>
      </c>
      <c r="DC26" s="983">
        <f t="shared" si="53"/>
        <v>-1190.2280690859939</v>
      </c>
      <c r="DD26" s="977"/>
      <c r="DE26" s="977">
        <f>SUM(BS!DB15,BS!DB16,BS!DB25)-SUM(BS!DE15,BS!DE16,BS!DE25)-BS!DE71</f>
        <v>-329.41716780558062</v>
      </c>
      <c r="DF26" s="977">
        <f>SUM(BS!DE15,BS!DE16,BS!DE25)-SUM(BS!DF15,BS!DF16,BS!DF25)+DE26-BS!DF71</f>
        <v>-472.01249540994661</v>
      </c>
      <c r="DG26" s="977">
        <f>SUM(BS!DF15,BS!DF16,BS!DF25)-SUM(BS!DG15,BS!DG16,BS!DG25)+DF26-BS!DG71</f>
        <v>-790.34081795210511</v>
      </c>
      <c r="DH26" s="977">
        <f>SUM(BS!DG15,BS!DG16,BS!DG25)-SUM(BS!DH15,BS!DH16,BS!DH25)+DG26-BS!DH71</f>
        <v>-1329.4306372853346</v>
      </c>
      <c r="DI26" s="983">
        <f t="shared" si="54"/>
        <v>-1329.4306372853346</v>
      </c>
      <c r="DJ26" s="977"/>
      <c r="DK26" s="977">
        <f>SUM(BS!DH15,BS!DH16,BS!DH25)-SUM(BS!DK15,BS!DK16,BS!DK25)-BS!DK71</f>
        <v>-370.89352482773796</v>
      </c>
      <c r="DL26" s="977">
        <f>SUM(BS!DK15,BS!DK16,BS!DK25)-SUM(BS!DL15,BS!DL16,BS!DL25)+DK26-BS!DL71</f>
        <v>-519.16999063148842</v>
      </c>
      <c r="DM26" s="977">
        <f>SUM(BS!DL15,BS!DL16,BS!DL25)-SUM(BS!DM15,BS!DM16,BS!DM25)+DL26-BS!DM71</f>
        <v>-879.03458076194192</v>
      </c>
      <c r="DN26" s="977">
        <f>SUM(BS!DM15,BS!DM16,BS!DM25)-SUM(BS!DN15,BS!DN16,BS!DN25)+DM26-BS!DN71</f>
        <v>-1494.8783396864646</v>
      </c>
      <c r="DO26" s="983">
        <f t="shared" si="55"/>
        <v>-1494.8783396864646</v>
      </c>
      <c r="DP26" s="1698"/>
      <c r="DQ26" s="956"/>
      <c r="DR26" s="956"/>
    </row>
    <row r="27" spans="1:122" ht="10.5" customHeight="1">
      <c r="A27" s="1115" t="s">
        <v>204</v>
      </c>
      <c r="B27" s="993"/>
      <c r="C27" s="982">
        <f t="shared" si="22"/>
        <v>0</v>
      </c>
      <c r="D27" s="982">
        <f t="shared" si="23"/>
        <v>0</v>
      </c>
      <c r="E27" s="982">
        <f t="shared" si="24"/>
        <v>0.316</v>
      </c>
      <c r="F27" s="993"/>
      <c r="G27" s="982">
        <f t="shared" si="24"/>
        <v>0</v>
      </c>
      <c r="H27" s="977">
        <f t="shared" si="38"/>
        <v>0</v>
      </c>
      <c r="I27" s="977">
        <f t="shared" si="38"/>
        <v>0</v>
      </c>
      <c r="J27" s="977">
        <f t="shared" si="38"/>
        <v>0</v>
      </c>
      <c r="K27" s="977">
        <f t="shared" si="2"/>
        <v>0</v>
      </c>
      <c r="L27" s="993"/>
      <c r="M27" s="982">
        <f t="shared" si="39"/>
        <v>1.1419999999999999</v>
      </c>
      <c r="N27" s="1313">
        <f t="shared" si="56"/>
        <v>4.8620000000000001</v>
      </c>
      <c r="O27" s="1313">
        <f t="shared" si="56"/>
        <v>8.5820000000000007</v>
      </c>
      <c r="P27" s="1313">
        <f>Q27</f>
        <v>12.302000000000001</v>
      </c>
      <c r="Q27" s="982">
        <f>Q99</f>
        <v>12.302000000000001</v>
      </c>
      <c r="R27" s="993"/>
      <c r="S27" s="982">
        <f t="shared" si="40"/>
        <v>9.9000000000000005E-2</v>
      </c>
      <c r="T27" s="1314">
        <f>BS!T30-BS!S30+S27</f>
        <v>6.6739999999999995</v>
      </c>
      <c r="U27" s="1314">
        <f>BS!U30-BS!T30+T27</f>
        <v>10.122</v>
      </c>
      <c r="V27" s="1314">
        <f>BS!V30-BS!U30+U27</f>
        <v>14.100999999999999</v>
      </c>
      <c r="W27" s="982">
        <f t="shared" si="5"/>
        <v>14.100999999999999</v>
      </c>
      <c r="X27" s="977"/>
      <c r="Y27" s="1314">
        <f>BS!Y30-BS!V30</f>
        <v>-3.4679999999999964</v>
      </c>
      <c r="Z27" s="1314">
        <f>BS!Z30-BS!Y30+Y27</f>
        <v>1.034000000000006</v>
      </c>
      <c r="AA27" s="1314">
        <f>BS!AA30-BS!Z30+Z27</f>
        <v>9.5160000000000053</v>
      </c>
      <c r="AB27" s="977">
        <f>7.687+16.521</f>
        <v>24.208000000000002</v>
      </c>
      <c r="AC27" s="982">
        <f t="shared" si="41"/>
        <v>24.208000000000002</v>
      </c>
      <c r="AD27" s="977"/>
      <c r="AE27" s="1313">
        <f>BS!AE30-BS!AB30</f>
        <v>-7.730000000000004</v>
      </c>
      <c r="AF27" s="1313">
        <f>BS!AF30-BS!AE30+AE27</f>
        <v>-3.7180000000000035</v>
      </c>
      <c r="AG27" s="1313">
        <f>BS!AG30-BS!AF30+AF27</f>
        <v>5.6910000000000025</v>
      </c>
      <c r="AH27" s="985">
        <f>-1.764+27.926</f>
        <v>26.161999999999999</v>
      </c>
      <c r="AI27" s="983">
        <f t="shared" si="42"/>
        <v>26.161999999999999</v>
      </c>
      <c r="AJ27" s="977"/>
      <c r="AK27" s="1313">
        <f>BS!AK30-BS!AH30</f>
        <v>-5.6970000000000027</v>
      </c>
      <c r="AL27" s="1313">
        <f>BS!AL30-BS!AK30+AK27</f>
        <v>2.5520000000000067</v>
      </c>
      <c r="AM27" s="1313">
        <f>BS!AM30-BS!AL30+AL27</f>
        <v>19.97</v>
      </c>
      <c r="AN27" s="985">
        <f>-1.392+48.95</f>
        <v>47.558</v>
      </c>
      <c r="AO27" s="978">
        <f t="shared" si="57"/>
        <v>47.558</v>
      </c>
      <c r="AP27" s="977"/>
      <c r="AQ27" s="1313">
        <f>BS!AQ30-BS!AN30</f>
        <v>-11.562999999999988</v>
      </c>
      <c r="AR27" s="1313">
        <f>BS!AR30-BS!AQ30+AQ27</f>
        <v>-1.8659999999999854</v>
      </c>
      <c r="AS27" s="1313">
        <v>22.001000000000005</v>
      </c>
      <c r="AT27" s="985">
        <f>8.512+28.602</f>
        <v>37.114000000000004</v>
      </c>
      <c r="AU27" s="983">
        <f t="shared" si="43"/>
        <v>37.114000000000004</v>
      </c>
      <c r="AV27" s="977"/>
      <c r="AW27" s="977">
        <f>AX27+2.368-27.057</f>
        <v>-19.558999999999997</v>
      </c>
      <c r="AX27" s="977">
        <f>-2.99+8.12</f>
        <v>5.129999999999999</v>
      </c>
      <c r="AY27" s="977">
        <f>-0.762+35.165</f>
        <v>34.402999999999999</v>
      </c>
      <c r="AZ27" s="977">
        <f>-1.588+64.498</f>
        <v>62.910000000000004</v>
      </c>
      <c r="BA27" s="983">
        <f t="shared" si="44"/>
        <v>62.910000000000004</v>
      </c>
      <c r="BB27" s="977"/>
      <c r="BC27" s="977">
        <f>-1.658-23.584</f>
        <v>-25.242000000000001</v>
      </c>
      <c r="BD27" s="977">
        <f>3.925+37.394</f>
        <v>41.318999999999996</v>
      </c>
      <c r="BE27" s="977">
        <f>95.32+6.5</f>
        <v>101.82</v>
      </c>
      <c r="BF27" s="977">
        <v>132.00399999999999</v>
      </c>
      <c r="BG27" s="983">
        <f t="shared" si="45"/>
        <v>132.00399999999999</v>
      </c>
      <c r="BH27" s="977"/>
      <c r="BI27" s="977">
        <f>-1.137+-65.641+-20.504</f>
        <v>-87.282000000000011</v>
      </c>
      <c r="BJ27" s="977">
        <f>2.984+-46.641</f>
        <v>-43.656999999999996</v>
      </c>
      <c r="BK27" s="977">
        <f>-80.252+8.928</f>
        <v>-71.323999999999998</v>
      </c>
      <c r="BL27" s="977">
        <f>12.644+67.692</f>
        <v>80.335999999999999</v>
      </c>
      <c r="BM27" s="983">
        <f t="shared" si="46"/>
        <v>80.335999999999999</v>
      </c>
      <c r="BN27" s="977"/>
      <c r="BO27" s="977">
        <f>-13.505+-130.755</f>
        <v>-144.26</v>
      </c>
      <c r="BP27" s="977">
        <f>36.081+-52.27</f>
        <v>-16.189</v>
      </c>
      <c r="BQ27" s="977">
        <f>21.725+-115.591-51.118</f>
        <v>-144.98399999999998</v>
      </c>
      <c r="BR27" s="977">
        <f>193.358+-232.591</f>
        <v>-39.233000000000004</v>
      </c>
      <c r="BS27" s="983">
        <f t="shared" si="47"/>
        <v>-39.233000000000004</v>
      </c>
      <c r="BT27" s="977"/>
      <c r="BU27" s="977">
        <v>-95.808000000000007</v>
      </c>
      <c r="BV27" s="977">
        <v>-166.55799999999999</v>
      </c>
      <c r="BW27" s="977">
        <v>-126.154</v>
      </c>
      <c r="BX27" s="977">
        <v>-29.042999999999999</v>
      </c>
      <c r="BY27" s="983">
        <f t="shared" si="48"/>
        <v>-29.042999999999999</v>
      </c>
      <c r="BZ27" s="977"/>
      <c r="CA27" s="977">
        <v>-185.59899999999999</v>
      </c>
      <c r="CB27" s="977">
        <v>-42.960999999999999</v>
      </c>
      <c r="CC27" s="977">
        <v>-44.893999999999998</v>
      </c>
      <c r="CD27" s="977">
        <v>159.97300000000001</v>
      </c>
      <c r="CE27" s="983">
        <f t="shared" si="49"/>
        <v>159.97300000000001</v>
      </c>
      <c r="CF27" s="977"/>
      <c r="CG27" s="977">
        <v>-239.072</v>
      </c>
      <c r="CH27" s="977">
        <v>-45.301000000000002</v>
      </c>
      <c r="CI27" s="977">
        <v>12.276</v>
      </c>
      <c r="CJ27" s="977">
        <v>253.98599999999999</v>
      </c>
      <c r="CK27" s="983">
        <f t="shared" si="50"/>
        <v>253.98599999999999</v>
      </c>
      <c r="CL27" s="977"/>
      <c r="CM27" s="977">
        <v>-286.22800000000001</v>
      </c>
      <c r="CN27" s="977">
        <v>-332.89400000000001</v>
      </c>
      <c r="CO27" s="977">
        <v>-275.05799999999999</v>
      </c>
      <c r="CP27" s="977">
        <v>49.953000000000003</v>
      </c>
      <c r="CQ27" s="983">
        <f t="shared" si="51"/>
        <v>49.953000000000003</v>
      </c>
      <c r="CR27" s="977"/>
      <c r="CS27" s="977">
        <f>+-301.242</f>
        <v>-301.24200000000002</v>
      </c>
      <c r="CT27" s="977">
        <v>-114.2</v>
      </c>
      <c r="CU27" s="977">
        <v>-39.72</v>
      </c>
      <c r="CV27" s="977">
        <v>308.22500000000002</v>
      </c>
      <c r="CW27" s="983">
        <f t="shared" si="52"/>
        <v>308.22500000000002</v>
      </c>
      <c r="CX27" s="977"/>
      <c r="CY27" s="977">
        <f>BS!CY30-BS!CV30</f>
        <v>-193.96467822164414</v>
      </c>
      <c r="CZ27" s="977">
        <f>BS!CZ30-BS!CY30+CY27</f>
        <v>-65.77400910697088</v>
      </c>
      <c r="DA27" s="977">
        <f>BS!DA30-BS!CZ30+CZ27</f>
        <v>52.337640971547444</v>
      </c>
      <c r="DB27" s="977">
        <f>BS!DB30-BS!DA30+DA27</f>
        <v>426.45777029711735</v>
      </c>
      <c r="DC27" s="983">
        <f t="shared" si="53"/>
        <v>426.45777029711735</v>
      </c>
      <c r="DD27" s="977"/>
      <c r="DE27" s="977">
        <f>BS!DE30-BS!DB30</f>
        <v>-247.76294220006957</v>
      </c>
      <c r="DF27" s="977">
        <f>BS!DF30-BS!DE30+DE27</f>
        <v>-98.705757750383782</v>
      </c>
      <c r="DG27" s="977">
        <f>BS!DG30-BS!DF30+DF27</f>
        <v>41.54299069295439</v>
      </c>
      <c r="DH27" s="977">
        <f>BS!DH30-BS!DG30+DG27</f>
        <v>489.01744659278529</v>
      </c>
      <c r="DI27" s="983">
        <f t="shared" si="54"/>
        <v>489.01744659278529</v>
      </c>
      <c r="DJ27" s="977"/>
      <c r="DK27" s="977">
        <f>BS!DK30-BS!DH30</f>
        <v>-300.46558460159304</v>
      </c>
      <c r="DL27" s="977">
        <f>BS!DL30-BS!DK30+DK27</f>
        <v>-127.02196292419831</v>
      </c>
      <c r="DM27" s="977">
        <f>BS!DM30-BS!DL30+DL27</f>
        <v>35.208280864213521</v>
      </c>
      <c r="DN27" s="977">
        <f>BS!DN30-BS!DM30+DM27</f>
        <v>567.23945946555523</v>
      </c>
      <c r="DO27" s="983">
        <f t="shared" si="55"/>
        <v>567.23945946555523</v>
      </c>
      <c r="DP27" s="1698"/>
      <c r="DQ27" s="956"/>
      <c r="DR27" s="956"/>
    </row>
    <row r="28" spans="1:122" ht="10.5" customHeight="1">
      <c r="A28" s="1115" t="s">
        <v>205</v>
      </c>
      <c r="B28" s="993"/>
      <c r="C28" s="982">
        <f t="shared" si="22"/>
        <v>0</v>
      </c>
      <c r="D28" s="982">
        <f t="shared" si="23"/>
        <v>0</v>
      </c>
      <c r="E28" s="982">
        <f t="shared" si="24"/>
        <v>5.3479999999999999</v>
      </c>
      <c r="F28" s="993"/>
      <c r="G28" s="982">
        <f t="shared" si="24"/>
        <v>0</v>
      </c>
      <c r="H28" s="977">
        <f t="shared" si="38"/>
        <v>0</v>
      </c>
      <c r="I28" s="977">
        <f t="shared" si="38"/>
        <v>0</v>
      </c>
      <c r="J28" s="977">
        <f t="shared" si="38"/>
        <v>0</v>
      </c>
      <c r="K28" s="977">
        <f t="shared" si="2"/>
        <v>0</v>
      </c>
      <c r="L28" s="993"/>
      <c r="M28" s="982">
        <f t="shared" si="39"/>
        <v>5.1390000000000002</v>
      </c>
      <c r="N28" s="1313">
        <f>N24-N25-N26-N27-N29</f>
        <v>12.372666666666666</v>
      </c>
      <c r="O28" s="1313">
        <f>O24-O25-O26-O27-O29</f>
        <v>22.675333333333331</v>
      </c>
      <c r="P28" s="1313">
        <f>Q28</f>
        <v>30.506</v>
      </c>
      <c r="Q28" s="982">
        <f>Q100</f>
        <v>30.506</v>
      </c>
      <c r="R28" s="993"/>
      <c r="S28" s="982">
        <f t="shared" si="40"/>
        <v>2.6629999999999998</v>
      </c>
      <c r="T28" s="1314">
        <f>BS!T33-BS!S33+S28</f>
        <v>11.879999999999999</v>
      </c>
      <c r="U28" s="1314">
        <f>BS!U33-BS!T33+T28</f>
        <v>24.562999999999992</v>
      </c>
      <c r="V28" s="1314">
        <f>BS!V33-BS!U33+U28</f>
        <v>46.222999999999999</v>
      </c>
      <c r="W28" s="982">
        <f t="shared" si="5"/>
        <v>46.222999999999999</v>
      </c>
      <c r="X28" s="977"/>
      <c r="Y28" s="1314">
        <f>BS!Y33-BS!V33</f>
        <v>8.7449999999999903</v>
      </c>
      <c r="Z28" s="1314">
        <f>BS!Z33-BS!Y33+Y28</f>
        <v>21.411000000000001</v>
      </c>
      <c r="AA28" s="1314">
        <f>BS!AA33-BS!Z33+Z28</f>
        <v>31.209999999999994</v>
      </c>
      <c r="AB28" s="977">
        <v>73.275000000000006</v>
      </c>
      <c r="AC28" s="982">
        <f t="shared" si="41"/>
        <v>73.275000000000006</v>
      </c>
      <c r="AD28" s="977"/>
      <c r="AE28" s="1313">
        <f>BS!AE33-BS!AB33</f>
        <v>12.86099999999999</v>
      </c>
      <c r="AF28" s="1313">
        <f>BS!AF33-BS!AE33+AE28</f>
        <v>33.661000000000001</v>
      </c>
      <c r="AG28" s="1313">
        <f>BS!AG33-BS!AF33+AF28</f>
        <v>50.256</v>
      </c>
      <c r="AH28" s="985">
        <f>BS!AH33-BS!AG33+AG28</f>
        <v>114.88799999999998</v>
      </c>
      <c r="AI28" s="983">
        <f t="shared" si="42"/>
        <v>114.88799999999998</v>
      </c>
      <c r="AJ28" s="977"/>
      <c r="AK28" s="1313">
        <f>BS!AK33-BS!AH33</f>
        <v>11.609000000000037</v>
      </c>
      <c r="AL28" s="1313">
        <f>BS!AL33-BS!AK33+AK28</f>
        <v>37.788999999999987</v>
      </c>
      <c r="AM28" s="1313">
        <f>BS!AM33-BS!AL33+AL28</f>
        <v>56.745000000000005</v>
      </c>
      <c r="AN28" s="985">
        <v>196.83099999999999</v>
      </c>
      <c r="AO28" s="978">
        <f t="shared" si="57"/>
        <v>196.83099999999999</v>
      </c>
      <c r="AP28" s="977"/>
      <c r="AQ28" s="1313">
        <f>BS!AQ33-BS!AN33</f>
        <v>-10.908000000000015</v>
      </c>
      <c r="AR28" s="1313">
        <f>BS!AR33-BS!AQ33+AQ28</f>
        <v>-1.8730000000000473</v>
      </c>
      <c r="AS28" s="1313">
        <v>-10.777000000000044</v>
      </c>
      <c r="AT28" s="985">
        <v>112.852</v>
      </c>
      <c r="AU28" s="983">
        <f t="shared" si="43"/>
        <v>112.852</v>
      </c>
      <c r="AV28" s="977"/>
      <c r="AW28" s="977">
        <f>AX28+0.363</f>
        <v>-44.652999999999999</v>
      </c>
      <c r="AX28" s="977">
        <v>-45.015999999999998</v>
      </c>
      <c r="AY28" s="977">
        <v>-48.591000000000001</v>
      </c>
      <c r="AZ28" s="977">
        <v>110.322</v>
      </c>
      <c r="BA28" s="983">
        <f t="shared" si="44"/>
        <v>110.322</v>
      </c>
      <c r="BB28" s="977"/>
      <c r="BC28" s="977">
        <v>-39.819000000000003</v>
      </c>
      <c r="BD28" s="977">
        <v>-24.228999999999999</v>
      </c>
      <c r="BE28" s="977">
        <v>-12.691000000000001</v>
      </c>
      <c r="BF28" s="977">
        <v>227.69300000000001</v>
      </c>
      <c r="BG28" s="983">
        <f t="shared" si="45"/>
        <v>227.69300000000001</v>
      </c>
      <c r="BH28" s="977"/>
      <c r="BI28" s="977">
        <v>-19.808</v>
      </c>
      <c r="BJ28" s="977">
        <v>-0.35499999999999998</v>
      </c>
      <c r="BK28" s="977">
        <v>-17.8</v>
      </c>
      <c r="BL28" s="977">
        <v>444.67399999999998</v>
      </c>
      <c r="BM28" s="983">
        <f t="shared" si="46"/>
        <v>444.67399999999998</v>
      </c>
      <c r="BN28" s="977"/>
      <c r="BO28" s="977">
        <v>-45.58</v>
      </c>
      <c r="BP28" s="977">
        <v>-43.110999999999997</v>
      </c>
      <c r="BQ28" s="977">
        <f>-91.873</f>
        <v>-91.873000000000005</v>
      </c>
      <c r="BR28" s="977">
        <f>479.419</f>
        <v>479.41899999999998</v>
      </c>
      <c r="BS28" s="983">
        <f t="shared" si="47"/>
        <v>479.41899999999998</v>
      </c>
      <c r="BT28" s="977"/>
      <c r="BU28" s="977">
        <v>-129.83500000000001</v>
      </c>
      <c r="BV28" s="977">
        <v>-120.03400000000001</v>
      </c>
      <c r="BW28" s="977">
        <v>-175.15299999999999</v>
      </c>
      <c r="BX28" s="977">
        <v>612.34299999999996</v>
      </c>
      <c r="BY28" s="983">
        <f t="shared" si="48"/>
        <v>612.34299999999996</v>
      </c>
      <c r="BZ28" s="977"/>
      <c r="CA28" s="977">
        <v>-197.5</v>
      </c>
      <c r="CB28" s="977">
        <v>-169.21100000000001</v>
      </c>
      <c r="CC28" s="977">
        <v>-298.642</v>
      </c>
      <c r="CD28" s="977">
        <v>798.83</v>
      </c>
      <c r="CE28" s="983">
        <f t="shared" si="49"/>
        <v>798.83</v>
      </c>
      <c r="CF28" s="977"/>
      <c r="CG28" s="977">
        <v>-264.62900000000002</v>
      </c>
      <c r="CH28" s="977">
        <v>-286.459</v>
      </c>
      <c r="CI28" s="977">
        <v>-475.35700000000003</v>
      </c>
      <c r="CJ28" s="977">
        <v>969.68600000000004</v>
      </c>
      <c r="CK28" s="983">
        <f t="shared" si="50"/>
        <v>969.68600000000004</v>
      </c>
      <c r="CL28" s="977"/>
      <c r="CM28" s="977">
        <v>-293.11700000000002</v>
      </c>
      <c r="CN28" s="977">
        <v>-499.17899999999997</v>
      </c>
      <c r="CO28" s="977">
        <v>-829.69500000000005</v>
      </c>
      <c r="CP28" s="977">
        <v>1210.973</v>
      </c>
      <c r="CQ28" s="983">
        <f t="shared" si="51"/>
        <v>1210.973</v>
      </c>
      <c r="CR28" s="977"/>
      <c r="CS28" s="977">
        <f>+-500.15</f>
        <v>-500.15</v>
      </c>
      <c r="CT28" s="977">
        <v>-724.16800000000001</v>
      </c>
      <c r="CU28" s="977">
        <v>-1150.72</v>
      </c>
      <c r="CV28" s="977">
        <v>1551.904</v>
      </c>
      <c r="CW28" s="983">
        <f t="shared" si="52"/>
        <v>1551.904</v>
      </c>
      <c r="CX28" s="977"/>
      <c r="CY28" s="977">
        <f>+BS!CY43-BS!CV43+BS!CY33-BS!CV33</f>
        <v>-857.86382655984744</v>
      </c>
      <c r="CZ28" s="977">
        <f>+BS!CZ43-BS!CY43+BS!CZ33-BS!CY33+CY28</f>
        <v>-1151.4898794093097</v>
      </c>
      <c r="DA28" s="977">
        <f>+BS!DA43-BS!CZ43+BS!DA33-BS!CZ33+CZ28</f>
        <v>-1650.0954762767651</v>
      </c>
      <c r="DB28" s="977">
        <f>+BS!DB43-BS!DA43+BS!DB33-BS!DA33+DA28</f>
        <v>1827.5062824521501</v>
      </c>
      <c r="DC28" s="983">
        <f t="shared" si="53"/>
        <v>1827.5062824521501</v>
      </c>
      <c r="DD28" s="977"/>
      <c r="DE28" s="977">
        <f>+BS!DE43-BS!DB43+BS!DE33-BS!DB33</f>
        <v>-1173.4047648908108</v>
      </c>
      <c r="DF28" s="977">
        <f>+BS!DF43-BS!DE43+BS!DF33-BS!DE33+DE28</f>
        <v>-1551.9968204200522</v>
      </c>
      <c r="DG28" s="977">
        <f>+BS!DG43-BS!DF43+BS!DG33-BS!DF33+DF28</f>
        <v>-2171.6776022393915</v>
      </c>
      <c r="DH28" s="977">
        <f>+BS!DH43-BS!DG43+BS!DH33-BS!DG33+DG28</f>
        <v>2191.9242454644154</v>
      </c>
      <c r="DI28" s="983">
        <f t="shared" si="54"/>
        <v>2191.9242454644154</v>
      </c>
      <c r="DJ28" s="977"/>
      <c r="DK28" s="977">
        <f>+BS!DK43-BS!DH43+BS!DK33-BS!DH33</f>
        <v>-1557.5736239664766</v>
      </c>
      <c r="DL28" s="977">
        <f>+BS!DL43-BS!DK43+BS!DL33-BS!DK33+DK28</f>
        <v>-2006.3062151188478</v>
      </c>
      <c r="DM28" s="977">
        <f>+BS!DM43-BS!DL43+BS!DM33-BS!DL33+DL28</f>
        <v>-2730.9446778871206</v>
      </c>
      <c r="DN28" s="977">
        <f>+BS!DN43-BS!DM43+BS!DN33-BS!DM33+DM28</f>
        <v>2629.5525610591212</v>
      </c>
      <c r="DO28" s="983">
        <f t="shared" si="55"/>
        <v>2629.5525610591212</v>
      </c>
      <c r="DP28" s="1698"/>
      <c r="DQ28" s="956"/>
      <c r="DR28" s="956"/>
    </row>
    <row r="29" spans="1:122" ht="10.5" customHeight="1">
      <c r="A29" s="1115" t="s">
        <v>775</v>
      </c>
      <c r="B29" s="993"/>
      <c r="C29" s="982">
        <f t="shared" si="22"/>
        <v>0</v>
      </c>
      <c r="D29" s="982">
        <f t="shared" si="23"/>
        <v>0</v>
      </c>
      <c r="E29" s="982">
        <f t="shared" si="24"/>
        <v>0</v>
      </c>
      <c r="F29" s="993"/>
      <c r="G29" s="982">
        <f t="shared" si="24"/>
        <v>0</v>
      </c>
      <c r="H29" s="977">
        <f t="shared" si="38"/>
        <v>0</v>
      </c>
      <c r="I29" s="977">
        <f t="shared" si="38"/>
        <v>0</v>
      </c>
      <c r="J29" s="977">
        <f t="shared" si="38"/>
        <v>0</v>
      </c>
      <c r="K29" s="977">
        <f t="shared" si="2"/>
        <v>0</v>
      </c>
      <c r="L29" s="993"/>
      <c r="M29" s="982">
        <f t="shared" si="39"/>
        <v>-0.314</v>
      </c>
      <c r="N29" s="1313">
        <f>($P29-$M29)/3+M29</f>
        <v>-0.40366666666666667</v>
      </c>
      <c r="O29" s="1313">
        <f>($P29-$M29)/3+N29</f>
        <v>-0.49333333333333335</v>
      </c>
      <c r="P29" s="1313">
        <f>Q29</f>
        <v>-0.58299999999999996</v>
      </c>
      <c r="Q29" s="982">
        <f>Q101</f>
        <v>-0.58299999999999996</v>
      </c>
      <c r="R29" s="993"/>
      <c r="S29" s="982">
        <f t="shared" si="40"/>
        <v>-0.14899999999999999</v>
      </c>
      <c r="T29" s="1314">
        <f>T24-T25-T26-T27-T28</f>
        <v>-0.26600000000000179</v>
      </c>
      <c r="U29" s="1314">
        <f>U24-U25-U26-U27-U28</f>
        <v>0.23700000000000543</v>
      </c>
      <c r="V29" s="1314">
        <f>V24-V25-V26-V27-V28</f>
        <v>1.0000000000000071</v>
      </c>
      <c r="W29" s="982">
        <f>V29</f>
        <v>1.0000000000000071</v>
      </c>
      <c r="X29" s="977"/>
      <c r="Y29" s="1314">
        <f>Y24-Y25-Y26-Y27-Y28</f>
        <v>1.4990000000000059</v>
      </c>
      <c r="Z29" s="1314">
        <f>Z24-Z25-Z26-Z27-Z28</f>
        <v>1.1069999999999887</v>
      </c>
      <c r="AA29" s="1314">
        <f>AA24-AA25-AA26-AA27-AA28</f>
        <v>-1.6280000000000001</v>
      </c>
      <c r="AB29" s="977">
        <v>2.4340000000000002</v>
      </c>
      <c r="AC29" s="982">
        <f t="shared" si="41"/>
        <v>2.4340000000000002</v>
      </c>
      <c r="AD29" s="977"/>
      <c r="AE29" s="1313">
        <f>AE24-AE25-AE26-AE27-AE28</f>
        <v>-3.0939999999999852</v>
      </c>
      <c r="AF29" s="1313">
        <f>AF24-AF25-AF26-AF27-AF28</f>
        <v>1.9489999999999981</v>
      </c>
      <c r="AG29" s="1313">
        <f>AG24-AG25-AG26-AG27-AG28</f>
        <v>5.0319999999999965</v>
      </c>
      <c r="AH29" s="985">
        <f>AH24-AH25-AH26-AH27-AH28</f>
        <v>9.2020000000000266</v>
      </c>
      <c r="AI29" s="983">
        <f t="shared" si="42"/>
        <v>9.2020000000000266</v>
      </c>
      <c r="AJ29" s="977"/>
      <c r="AK29" s="1313">
        <f>AK24-AK25-AK26-AK27-AK28</f>
        <v>1.9839999999999591</v>
      </c>
      <c r="AL29" s="1313">
        <f>AL24-AL25-AL26-AL27-AL28</f>
        <v>6.6450000000000031</v>
      </c>
      <c r="AM29" s="1313">
        <f>AM24-AM25-AM26-AM27-AM28</f>
        <v>15.806999999999988</v>
      </c>
      <c r="AN29" s="985">
        <v>22.829000000000001</v>
      </c>
      <c r="AO29" s="978">
        <f t="shared" si="57"/>
        <v>22.829000000000001</v>
      </c>
      <c r="AP29" s="977"/>
      <c r="AQ29" s="1313">
        <f>AQ24-AQ25-AQ26-AQ27-AQ28</f>
        <v>10.066999999999979</v>
      </c>
      <c r="AR29" s="1313">
        <f>AR24-AR25-AR26-AR27-AR28</f>
        <v>22.552000000000014</v>
      </c>
      <c r="AS29" s="1313">
        <f>AS24-AS25-AS26-AS27-AS28</f>
        <v>33.379495686133787</v>
      </c>
      <c r="AT29" s="985">
        <v>26.838000000000001</v>
      </c>
      <c r="AU29" s="983">
        <f t="shared" si="43"/>
        <v>26.838000000000001</v>
      </c>
      <c r="AV29" s="977"/>
      <c r="AW29" s="977">
        <f>AW24-AW25-AW26-AW27-AW28</f>
        <v>0</v>
      </c>
      <c r="AX29" s="977">
        <v>0</v>
      </c>
      <c r="AY29" s="977">
        <v>0</v>
      </c>
      <c r="AZ29" s="977">
        <v>0</v>
      </c>
      <c r="BA29" s="983">
        <f t="shared" si="44"/>
        <v>0</v>
      </c>
      <c r="BB29" s="977"/>
      <c r="BC29" s="977">
        <v>3.6</v>
      </c>
      <c r="BD29" s="977">
        <v>0</v>
      </c>
      <c r="BE29" s="977">
        <v>0</v>
      </c>
      <c r="BF29" s="977">
        <f>2.001-9.77+1.246</f>
        <v>-6.5229999999999997</v>
      </c>
      <c r="BG29" s="983">
        <f t="shared" si="45"/>
        <v>-6.5229999999999997</v>
      </c>
      <c r="BH29" s="977"/>
      <c r="BI29" s="977">
        <v>-2.7130000000000001</v>
      </c>
      <c r="BJ29" s="977">
        <f>-18.017</f>
        <v>-18.016999999999999</v>
      </c>
      <c r="BK29" s="977">
        <v>-4.9359999999999999</v>
      </c>
      <c r="BL29" s="977">
        <v>0</v>
      </c>
      <c r="BM29" s="983">
        <f t="shared" si="46"/>
        <v>0</v>
      </c>
      <c r="BN29" s="977"/>
      <c r="BO29" s="977">
        <v>0</v>
      </c>
      <c r="BP29" s="977">
        <v>0</v>
      </c>
      <c r="BQ29" s="977">
        <v>0</v>
      </c>
      <c r="BR29" s="977">
        <v>0</v>
      </c>
      <c r="BS29" s="983">
        <f t="shared" si="47"/>
        <v>0</v>
      </c>
      <c r="BT29" s="977"/>
      <c r="BU29" s="977">
        <f>BS!BU36-BS!BR36</f>
        <v>0</v>
      </c>
      <c r="BV29" s="977">
        <v>0</v>
      </c>
      <c r="BW29" s="977">
        <v>0</v>
      </c>
      <c r="BX29" s="977">
        <v>0</v>
      </c>
      <c r="BY29" s="983">
        <f t="shared" si="48"/>
        <v>0</v>
      </c>
      <c r="BZ29" s="977"/>
      <c r="CA29" s="977">
        <v>0</v>
      </c>
      <c r="CB29" s="977">
        <v>0</v>
      </c>
      <c r="CC29" s="977">
        <v>0</v>
      </c>
      <c r="CD29" s="977">
        <v>0</v>
      </c>
      <c r="CE29" s="983">
        <f t="shared" si="49"/>
        <v>0</v>
      </c>
      <c r="CF29" s="977"/>
      <c r="CG29" s="977">
        <v>0</v>
      </c>
      <c r="CH29" s="977">
        <v>0</v>
      </c>
      <c r="CI29" s="977">
        <v>0</v>
      </c>
      <c r="CJ29" s="977">
        <v>0</v>
      </c>
      <c r="CK29" s="983">
        <f t="shared" si="50"/>
        <v>0</v>
      </c>
      <c r="CL29" s="977"/>
      <c r="CM29" s="977">
        <v>0</v>
      </c>
      <c r="CN29" s="977">
        <v>0</v>
      </c>
      <c r="CO29" s="977">
        <v>0</v>
      </c>
      <c r="CP29" s="977">
        <v>0</v>
      </c>
      <c r="CQ29" s="983">
        <f t="shared" si="51"/>
        <v>0</v>
      </c>
      <c r="CR29" s="977"/>
      <c r="CS29" s="977">
        <v>0</v>
      </c>
      <c r="CT29" s="977">
        <f>BS!CT36-BS!CS36+CS29</f>
        <v>0</v>
      </c>
      <c r="CU29" s="977">
        <v>0</v>
      </c>
      <c r="CV29" s="977">
        <v>0</v>
      </c>
      <c r="CW29" s="983">
        <f t="shared" si="52"/>
        <v>0</v>
      </c>
      <c r="CX29" s="977"/>
      <c r="CY29" s="977">
        <f>BS!CY36-BS!CV36</f>
        <v>0</v>
      </c>
      <c r="CZ29" s="977">
        <f>BS!CZ36-BS!CY36+CY29</f>
        <v>0</v>
      </c>
      <c r="DA29" s="977">
        <f>BS!DA36-BS!CZ36+CZ29</f>
        <v>0</v>
      </c>
      <c r="DB29" s="977">
        <f>BS!DB36-BS!DA36+DA29</f>
        <v>0</v>
      </c>
      <c r="DC29" s="983">
        <f t="shared" si="53"/>
        <v>0</v>
      </c>
      <c r="DD29" s="977"/>
      <c r="DE29" s="977">
        <f>BS!DE36-BS!DB36</f>
        <v>0</v>
      </c>
      <c r="DF29" s="977">
        <f>BS!DF36-BS!DE36+DE29</f>
        <v>0</v>
      </c>
      <c r="DG29" s="977">
        <f>BS!DG36-BS!DF36+DF29</f>
        <v>0</v>
      </c>
      <c r="DH29" s="977">
        <f>BS!DH36-BS!DG36+DG29</f>
        <v>0</v>
      </c>
      <c r="DI29" s="983">
        <f t="shared" si="54"/>
        <v>0</v>
      </c>
      <c r="DJ29" s="977"/>
      <c r="DK29" s="977">
        <f>BS!DK36-BS!DH36</f>
        <v>0</v>
      </c>
      <c r="DL29" s="977">
        <f>BS!DL36-BS!DK36+DK29</f>
        <v>0</v>
      </c>
      <c r="DM29" s="977">
        <f>BS!DM36-BS!DL36+DL29</f>
        <v>0</v>
      </c>
      <c r="DN29" s="977">
        <f>BS!DN36-BS!DM36+DM29</f>
        <v>0</v>
      </c>
      <c r="DO29" s="983">
        <f t="shared" si="55"/>
        <v>0</v>
      </c>
      <c r="DP29" s="1698"/>
      <c r="DQ29" s="956"/>
      <c r="DR29" s="956"/>
    </row>
    <row r="30" spans="1:122" ht="10.5" customHeight="1">
      <c r="A30" s="1295" t="s">
        <v>319</v>
      </c>
      <c r="B30" s="990"/>
      <c r="C30" s="1296">
        <f>SUM(C10:C24)</f>
        <v>-3.7610000000000001</v>
      </c>
      <c r="D30" s="1296">
        <f>SUM(D10:D24)</f>
        <v>-26.686</v>
      </c>
      <c r="E30" s="1296">
        <f>SUM(E10:E24)</f>
        <v>-13.166000000000004</v>
      </c>
      <c r="F30" s="1297"/>
      <c r="G30" s="1296">
        <f>SUM(G10:G24)</f>
        <v>2.556</v>
      </c>
      <c r="H30" s="1296">
        <f>SUM(H10:H24)</f>
        <v>5.0260000000000007</v>
      </c>
      <c r="I30" s="1296">
        <f>SUM(I10:I24)</f>
        <v>4.8990000000000009</v>
      </c>
      <c r="J30" s="1296">
        <f>SUM(J10:J24)</f>
        <v>5.213000000000001</v>
      </c>
      <c r="K30" s="1296">
        <f>J30</f>
        <v>5.213000000000001</v>
      </c>
      <c r="L30" s="1297"/>
      <c r="M30" s="1296">
        <f>SUM(M10:M24)</f>
        <v>4.7610000000000001</v>
      </c>
      <c r="N30" s="1296">
        <f>SUM(N10:N24)</f>
        <v>8.7469999999999999</v>
      </c>
      <c r="O30" s="1296">
        <f>SUM(O10:O24)</f>
        <v>15.635000000000002</v>
      </c>
      <c r="P30" s="1296">
        <f>SUM(P10:P24)</f>
        <v>21.781000000000006</v>
      </c>
      <c r="Q30" s="1296">
        <f>P30</f>
        <v>21.781000000000006</v>
      </c>
      <c r="R30" s="1297"/>
      <c r="S30" s="1297">
        <f>SUM(S10:S22,S25:S29)</f>
        <v>6.6590000000000016</v>
      </c>
      <c r="T30" s="1297">
        <f>SUM(T10:T22,T25:T29)</f>
        <v>21.593999999999998</v>
      </c>
      <c r="U30" s="1297">
        <f>SUM(U10:U22,U25:U29)</f>
        <v>34.744</v>
      </c>
      <c r="V30" s="1297">
        <f>SUM(V10:V22,V25:V29)</f>
        <v>55.872</v>
      </c>
      <c r="W30" s="1296">
        <f>V30</f>
        <v>55.872</v>
      </c>
      <c r="X30" s="1297"/>
      <c r="Y30" s="1297">
        <f>SUM(Y10:Y22,Y25:Y29)</f>
        <v>17.91</v>
      </c>
      <c r="Z30" s="1297">
        <f>SUM(Z10:Z22,Z25:Z29)</f>
        <v>31.981999999999996</v>
      </c>
      <c r="AA30" s="1297">
        <f>SUM(AA10:AA22,AA25:AA29)</f>
        <v>56.553000000000011</v>
      </c>
      <c r="AB30" s="1297">
        <f>SUM(AB10:AB22,AB25:AB29)</f>
        <v>95.893000000000001</v>
      </c>
      <c r="AC30" s="1296">
        <f t="shared" si="41"/>
        <v>95.893000000000001</v>
      </c>
      <c r="AD30" s="1297"/>
      <c r="AE30" s="1297">
        <f>SUM(AE10:AE22,AE24)</f>
        <v>12.415999999999999</v>
      </c>
      <c r="AF30" s="1297">
        <f>SUM(AF10:AF22,AF25:AF29)</f>
        <v>42.438000000000002</v>
      </c>
      <c r="AG30" s="1297">
        <f>SUM(AG10:AG22,AG25:AG29)</f>
        <v>73.065000000000012</v>
      </c>
      <c r="AH30" s="1297">
        <f>SUM(AH10:AH22,AH25:AH29)</f>
        <v>111.22361785141324</v>
      </c>
      <c r="AI30" s="1298">
        <f>AH30</f>
        <v>111.22361785141324</v>
      </c>
      <c r="AJ30" s="1297"/>
      <c r="AK30" s="1297">
        <f>SUM(AK10:AK22,AK25:AK29)</f>
        <v>36.830000000000005</v>
      </c>
      <c r="AL30" s="1297">
        <f>SUM(AL10:AL22,AL25:AL29)</f>
        <v>71.484000000000009</v>
      </c>
      <c r="AM30" s="1297">
        <f>SUM(AM10:AM22,AM25:AM29)</f>
        <v>123.482</v>
      </c>
      <c r="AN30" s="1297">
        <f>SUM(AN10:AN22,AN25:AN29)</f>
        <v>204.27499999999998</v>
      </c>
      <c r="AO30" s="1299">
        <f t="shared" si="57"/>
        <v>204.27499999999998</v>
      </c>
      <c r="AP30" s="1297"/>
      <c r="AQ30" s="1297">
        <f>SUM(AQ10:AQ22,AQ25:AQ29)</f>
        <v>83.832000000000008</v>
      </c>
      <c r="AR30" s="1297">
        <f>SUM(AR10:AR22,AR25:AR29)</f>
        <v>136.90700000000001</v>
      </c>
      <c r="AS30" s="1297">
        <f>SUM(AS10:AS22,AS25:AS29)</f>
        <v>154.02800000000002</v>
      </c>
      <c r="AT30" s="1297">
        <f>SUM(AT10:AT22,AT25:AT29)</f>
        <v>229.55699999999996</v>
      </c>
      <c r="AU30" s="1298">
        <f t="shared" si="43"/>
        <v>229.55699999999996</v>
      </c>
      <c r="AV30" s="1297"/>
      <c r="AW30" s="1297">
        <f>SUM(AW10:AW22,AW25:AW29)</f>
        <v>98.533000000000015</v>
      </c>
      <c r="AX30" s="1297">
        <f>SUM(AX10:AX22,AX25:AX29)</f>
        <v>143.83099999999999</v>
      </c>
      <c r="AY30" s="1297">
        <f>SUM(AY10:AY22,AY25:AY29)</f>
        <v>179.35099999999997</v>
      </c>
      <c r="AZ30" s="1297">
        <f>SUM(AZ10:AZ22,AZ25:AZ29)</f>
        <v>270.91100000000006</v>
      </c>
      <c r="BA30" s="1298">
        <f t="shared" si="44"/>
        <v>270.91100000000006</v>
      </c>
      <c r="BB30" s="1297"/>
      <c r="BC30" s="1297">
        <f>SUM(BC10:BC22,BC25:BC29)</f>
        <v>143.18300000000002</v>
      </c>
      <c r="BD30" s="1297">
        <f>SUM(BD10:BD22,BD25:BD29)</f>
        <v>219.279</v>
      </c>
      <c r="BE30" s="1297">
        <f>SUM(BE10:BE22,BE25:BE29)</f>
        <v>293.31900000000002</v>
      </c>
      <c r="BF30" s="1297">
        <f>SUM(BF10:BF22,BF25:BF29)</f>
        <v>459.0809999999999</v>
      </c>
      <c r="BG30" s="1298">
        <f>BF30</f>
        <v>459.0809999999999</v>
      </c>
      <c r="BH30" s="1297"/>
      <c r="BI30" s="1297">
        <f>SUM(BI10:BI22,BI25:BI29)</f>
        <v>139.518</v>
      </c>
      <c r="BJ30" s="1297">
        <f>SUM(BJ10:BJ22,BJ25:BJ29)</f>
        <v>222.45099999999999</v>
      </c>
      <c r="BK30" s="1297">
        <f>SUM(BK10:BK22,BK25:BK29)</f>
        <v>351.15999999999997</v>
      </c>
      <c r="BL30" s="1297">
        <f>SUM(BL10:BL22,BL25:BL29)</f>
        <v>591.50699999999995</v>
      </c>
      <c r="BM30" s="1298">
        <f t="shared" si="46"/>
        <v>591.50699999999995</v>
      </c>
      <c r="BN30" s="1297"/>
      <c r="BO30" s="1297">
        <f>SUM(BO10:BO22,BO25:BO29)</f>
        <v>213.21200000000005</v>
      </c>
      <c r="BP30" s="1297">
        <f>SUM(BP10:BP22,BP25:BP29)</f>
        <v>349.40899999999993</v>
      </c>
      <c r="BQ30" s="1297">
        <f>SUM(BQ10:BQ22,BQ25:BQ29)</f>
        <v>455.32400000000013</v>
      </c>
      <c r="BR30" s="1297">
        <f>SUM(BR10:BR22,BR25:BR29)</f>
        <v>736.89700000000005</v>
      </c>
      <c r="BS30" s="1298">
        <f t="shared" si="47"/>
        <v>736.89700000000005</v>
      </c>
      <c r="BT30" s="1297"/>
      <c r="BU30" s="1297">
        <f>SUM(BU10:BU22,BU25:BU29)</f>
        <v>283.18899999999996</v>
      </c>
      <c r="BV30" s="1297">
        <f>SUM(BV10:BV22,BV25:BV29)</f>
        <v>466.37199999999996</v>
      </c>
      <c r="BW30" s="1297">
        <f>SUM(BW10:BW22,BW25:BW29)</f>
        <v>604.23099999999988</v>
      </c>
      <c r="BX30" s="1297">
        <f>SUM(BX10:BX22,BX25:BX29)</f>
        <v>875.46900000000005</v>
      </c>
      <c r="BY30" s="1298">
        <f t="shared" si="48"/>
        <v>875.46900000000005</v>
      </c>
      <c r="BZ30" s="1297"/>
      <c r="CA30" s="1297">
        <f>SUM(CA10:CA22,CA25:CA29)</f>
        <v>473.08699999999999</v>
      </c>
      <c r="CB30" s="1297">
        <f>SUM(CB10:CB22,CB25:CB29)</f>
        <v>718.98</v>
      </c>
      <c r="CC30" s="1297">
        <f>SUM(CC10:CC22,CC25:CC29)</f>
        <v>841.49099999999999</v>
      </c>
      <c r="CD30" s="1297">
        <f>SUM(CD10:CD22,CD25:CD29)</f>
        <v>1173.7139999999999</v>
      </c>
      <c r="CE30" s="1298">
        <f t="shared" si="49"/>
        <v>1173.7139999999999</v>
      </c>
      <c r="CF30" s="1297"/>
      <c r="CG30" s="1297">
        <f>SUM(CG10:CG22,CG25:CG29)</f>
        <v>730.85699999999997</v>
      </c>
      <c r="CH30" s="1297">
        <f>SUM(CH10:CH22,CH25:CH29)</f>
        <v>1035.2680000000003</v>
      </c>
      <c r="CI30" s="1297">
        <f>SUM(CI10:CI22,CI25:CI29)</f>
        <v>1153.1750000000002</v>
      </c>
      <c r="CJ30" s="1297">
        <f>SUM(CJ10:CJ22,CJ25:CJ29)</f>
        <v>1612.585</v>
      </c>
      <c r="CK30" s="1298">
        <f t="shared" si="50"/>
        <v>1612.585</v>
      </c>
      <c r="CL30" s="1297"/>
      <c r="CM30" s="1297">
        <f>SUM(CM10:CM22,CM25:CM29)</f>
        <v>1051.0619999999999</v>
      </c>
      <c r="CN30" s="1297">
        <f>SUM(CN10:CN22,CN25:CN29)</f>
        <v>1301.7399999999998</v>
      </c>
      <c r="CO30" s="1297">
        <f>SUM(CO10:CO22,CO25:CO29)</f>
        <v>1456.0520000000001</v>
      </c>
      <c r="CP30" s="1297">
        <f>SUM(CP10:CP22,CP25:CP29)</f>
        <v>2162.1979999999999</v>
      </c>
      <c r="CQ30" s="1298">
        <f t="shared" si="51"/>
        <v>2162.1979999999999</v>
      </c>
      <c r="CR30" s="1297"/>
      <c r="CS30" s="1297">
        <f>SUM(CS10:CS22,CS25:CS29)</f>
        <v>1229.5839999999998</v>
      </c>
      <c r="CT30" s="1297">
        <f>SUM(CT10:CT22,CT25:CT29)</f>
        <v>1560.8529999999996</v>
      </c>
      <c r="CU30" s="1297">
        <f>SUM(CU10:CU22,CU25:CU29)</f>
        <v>1686.6449999999998</v>
      </c>
      <c r="CV30" s="1297">
        <f>SUM(CV10:CV22,CV25:CV29)</f>
        <v>2737.9649999999997</v>
      </c>
      <c r="CW30" s="1298">
        <f t="shared" si="52"/>
        <v>2737.9649999999997</v>
      </c>
      <c r="CX30" s="1297"/>
      <c r="CY30" s="1297">
        <f>SUM(CY10:CY22,CY25:CY29)</f>
        <v>1605.0506950189233</v>
      </c>
      <c r="CZ30" s="1297">
        <f>SUM(CZ10:CZ22,CZ25:CZ29)</f>
        <v>2019.1049729579008</v>
      </c>
      <c r="DA30" s="1297">
        <f>SUM(DA10:DA22,DA25:DA29)</f>
        <v>2269.7676523858136</v>
      </c>
      <c r="DB30" s="1297">
        <f>SUM(DB10:DB22,DB25:DB29)</f>
        <v>3481.2491789897344</v>
      </c>
      <c r="DC30" s="1298">
        <f t="shared" si="53"/>
        <v>3481.2491789897344</v>
      </c>
      <c r="DD30" s="1297"/>
      <c r="DE30" s="1297">
        <f>SUM(DE10:DE22,DE25:DE29)</f>
        <v>1878.9395355789884</v>
      </c>
      <c r="DF30" s="1297">
        <f>SUM(DF10:DF22,DF25:DF29)</f>
        <v>2334.6842121472773</v>
      </c>
      <c r="DG30" s="1297">
        <f>SUM(DG10:DG22,DG25:DG29)</f>
        <v>2641.7670403973389</v>
      </c>
      <c r="DH30" s="1297">
        <f>SUM(DH10:DH22,DH25:DH29)</f>
        <v>4450.5249877163251</v>
      </c>
      <c r="DI30" s="1298">
        <f t="shared" si="54"/>
        <v>4450.5249877163251</v>
      </c>
      <c r="DJ30" s="1297"/>
      <c r="DK30" s="1297">
        <f>SUM(DK10:DK22,DK25:DK29)</f>
        <v>2256.5677537980828</v>
      </c>
      <c r="DL30" s="1297">
        <f>SUM(DL10:DL22,DL25:DL29)</f>
        <v>2958.3641896012032</v>
      </c>
      <c r="DM30" s="1297">
        <f>SUM(DM10:DM22,DM25:DM29)</f>
        <v>3409.0014742507246</v>
      </c>
      <c r="DN30" s="1297">
        <f>SUM(DN10:DN22,DN25:DN29)</f>
        <v>5597.6483569553802</v>
      </c>
      <c r="DO30" s="1298">
        <f t="shared" si="55"/>
        <v>5597.6483569553802</v>
      </c>
      <c r="DP30" s="958"/>
      <c r="DQ30" s="958"/>
      <c r="DR30" s="958"/>
    </row>
    <row r="31" spans="1:122" ht="10.5" customHeight="1">
      <c r="A31" s="1115" t="s">
        <v>60</v>
      </c>
      <c r="B31" s="990"/>
      <c r="C31" s="1296"/>
      <c r="D31" s="1296"/>
      <c r="E31" s="1296"/>
      <c r="F31" s="1297"/>
      <c r="G31" s="1296"/>
      <c r="H31" s="1296"/>
      <c r="I31" s="1296"/>
      <c r="J31" s="1296"/>
      <c r="K31" s="1296"/>
      <c r="L31" s="1297"/>
      <c r="M31" s="1315">
        <f>M30-M17</f>
        <v>4.7610000000000001</v>
      </c>
      <c r="N31" s="1315">
        <f>N30-N17</f>
        <v>8.7469999999999999</v>
      </c>
      <c r="O31" s="1315">
        <f>O30-O17</f>
        <v>15.635000000000002</v>
      </c>
      <c r="P31" s="1315">
        <f>P30-P17</f>
        <v>21.781000000000006</v>
      </c>
      <c r="Q31" s="1315">
        <f>Q30-Q17</f>
        <v>21.781000000000006</v>
      </c>
      <c r="R31" s="1297"/>
      <c r="S31" s="1315">
        <f>S30-S17</f>
        <v>6.6590000000000016</v>
      </c>
      <c r="T31" s="1315">
        <f>T30-T17</f>
        <v>21.593999999999998</v>
      </c>
      <c r="U31" s="1315">
        <f>U30-U17</f>
        <v>34.744</v>
      </c>
      <c r="V31" s="1315">
        <f>V30-V17</f>
        <v>55.073999999999998</v>
      </c>
      <c r="W31" s="1315">
        <f>W30-W17</f>
        <v>55.073999999999998</v>
      </c>
      <c r="X31" s="1297"/>
      <c r="Y31" s="1315">
        <f>Y30-Y17</f>
        <v>17.91</v>
      </c>
      <c r="Z31" s="1315">
        <f>Z30-Z17</f>
        <v>31.981999999999996</v>
      </c>
      <c r="AA31" s="1315">
        <f>AA30-AA17</f>
        <v>56.553000000000011</v>
      </c>
      <c r="AB31" s="1315">
        <f>AB30-AB17</f>
        <v>92.230999999999995</v>
      </c>
      <c r="AC31" s="1315">
        <f>AC30-AC17</f>
        <v>92.230999999999995</v>
      </c>
      <c r="AD31" s="1297"/>
      <c r="AE31" s="1315">
        <f>AE30-AE17</f>
        <v>12.415999999999999</v>
      </c>
      <c r="AF31" s="1315">
        <f>AF30</f>
        <v>42.438000000000002</v>
      </c>
      <c r="AG31" s="1315">
        <f>AG30</f>
        <v>73.065000000000012</v>
      </c>
      <c r="AH31" s="1315">
        <f>AH30</f>
        <v>111.22361785141324</v>
      </c>
      <c r="AI31" s="1316">
        <f>AI30</f>
        <v>111.22361785141324</v>
      </c>
      <c r="AJ31" s="1297"/>
      <c r="AK31" s="1315">
        <f>AK30</f>
        <v>36.830000000000005</v>
      </c>
      <c r="AL31" s="1315">
        <f>AL30</f>
        <v>71.484000000000009</v>
      </c>
      <c r="AM31" s="1315">
        <f>AM30</f>
        <v>123.482</v>
      </c>
      <c r="AN31" s="1315">
        <f>AN30</f>
        <v>204.27499999999998</v>
      </c>
      <c r="AO31" s="1316">
        <f>AO30</f>
        <v>204.27499999999998</v>
      </c>
      <c r="AP31" s="1297"/>
      <c r="AQ31" s="1315">
        <f>AQ30-AQ17</f>
        <v>96.53</v>
      </c>
      <c r="AR31" s="1315">
        <f>AR30-AR17</f>
        <v>161.44800000000001</v>
      </c>
      <c r="AS31" s="1315">
        <f>AS30-AS17</f>
        <v>196.27500000000003</v>
      </c>
      <c r="AT31" s="1315">
        <f>AT30-AT17</f>
        <v>284.15399999999994</v>
      </c>
      <c r="AU31" s="1316">
        <f>AU30</f>
        <v>229.55699999999996</v>
      </c>
      <c r="AV31" s="1297"/>
      <c r="AW31" s="1315">
        <f>AW30-AW17</f>
        <v>107.98100000000002</v>
      </c>
      <c r="AX31" s="1315">
        <f>AX30-AX17</f>
        <v>168.96599999999998</v>
      </c>
      <c r="AY31" s="1315">
        <f>AY30-AY17</f>
        <v>211.88699999999997</v>
      </c>
      <c r="AZ31" s="1315">
        <f>AZ30-AZ17</f>
        <v>322.45000000000005</v>
      </c>
      <c r="BA31" s="1316">
        <f>BA30</f>
        <v>270.91100000000006</v>
      </c>
      <c r="BB31" s="1297"/>
      <c r="BC31" s="1315">
        <f>BC30-BC17</f>
        <v>152.47100000000003</v>
      </c>
      <c r="BD31" s="1315">
        <f>BD30-BD17</f>
        <v>251.46899999999999</v>
      </c>
      <c r="BE31" s="1315">
        <f>BE30-BE17</f>
        <v>340.08699999999999</v>
      </c>
      <c r="BF31" s="1315">
        <f>BF30-BF17</f>
        <v>495.07199999999989</v>
      </c>
      <c r="BG31" s="1316">
        <f>BG30</f>
        <v>459.0809999999999</v>
      </c>
      <c r="BH31" s="1297"/>
      <c r="BI31" s="1315">
        <f>BI30-BI17</f>
        <v>141.55199999999999</v>
      </c>
      <c r="BJ31" s="1315">
        <f>BJ30-BJ17</f>
        <v>226.571</v>
      </c>
      <c r="BK31" s="1315">
        <f>BK30-BK17</f>
        <v>362.17199999999997</v>
      </c>
      <c r="BL31" s="1315">
        <f>BL30-BL17</f>
        <v>597.52499999999998</v>
      </c>
      <c r="BM31" s="1316">
        <f>BM30</f>
        <v>591.50699999999995</v>
      </c>
      <c r="BN31" s="1297"/>
      <c r="BO31" s="1315">
        <f>BO30-BO17</f>
        <v>224.25500000000005</v>
      </c>
      <c r="BP31" s="1315">
        <f>BP30-BP17</f>
        <v>375.15399999999994</v>
      </c>
      <c r="BQ31" s="1315">
        <f>BQ30-BQ17</f>
        <v>484.22900000000016</v>
      </c>
      <c r="BR31" s="1315">
        <f>BR30-BR17</f>
        <v>751.83</v>
      </c>
      <c r="BS31" s="1316">
        <f>BS30</f>
        <v>736.89700000000005</v>
      </c>
      <c r="BT31" s="1297"/>
      <c r="BU31" s="1315">
        <f>BU30-BU17</f>
        <v>285.05499999999995</v>
      </c>
      <c r="BV31" s="1315">
        <f>BV30-BV17</f>
        <v>466.96</v>
      </c>
      <c r="BW31" s="1315">
        <f>BW30-BW17</f>
        <v>606.39699999999993</v>
      </c>
      <c r="BX31" s="1315">
        <f>BX30-BX17</f>
        <v>883.61300000000006</v>
      </c>
      <c r="BY31" s="1316">
        <f>BY30</f>
        <v>875.46900000000005</v>
      </c>
      <c r="BZ31" s="1297"/>
      <c r="CA31" s="1315">
        <f>CA30-CA17</f>
        <v>482.12799999999999</v>
      </c>
      <c r="CB31" s="1315">
        <f>CB30-CB17</f>
        <v>721.20600000000002</v>
      </c>
      <c r="CC31" s="1315">
        <f>CC30-CC17</f>
        <v>844.93799999999999</v>
      </c>
      <c r="CD31" s="1315">
        <f>CD30-CD17</f>
        <v>1181.444</v>
      </c>
      <c r="CE31" s="1316">
        <f>CE30</f>
        <v>1173.7139999999999</v>
      </c>
      <c r="CF31" s="1297"/>
      <c r="CG31" s="1315">
        <f>CG30-CG17</f>
        <v>735.08100000000002</v>
      </c>
      <c r="CH31" s="1315">
        <f>CH30-CH17</f>
        <v>1039.3590000000002</v>
      </c>
      <c r="CI31" s="1315">
        <f>CI30-CI17</f>
        <v>1201.8730000000003</v>
      </c>
      <c r="CJ31" s="1315">
        <f>CJ30-CJ17</f>
        <v>1672.0810000000001</v>
      </c>
      <c r="CK31" s="1316">
        <f>CK30</f>
        <v>1612.585</v>
      </c>
      <c r="CL31" s="1297"/>
      <c r="CM31" s="1315">
        <f>CM30-CM17</f>
        <v>1051.0619999999999</v>
      </c>
      <c r="CN31" s="1315">
        <f>CN30-CN17</f>
        <v>1301.7399999999998</v>
      </c>
      <c r="CO31" s="1315">
        <f>CO30-CO17</f>
        <v>1456.0520000000001</v>
      </c>
      <c r="CP31" s="1315">
        <f>CP30-CP17</f>
        <v>2162.1979999999999</v>
      </c>
      <c r="CQ31" s="1316">
        <f>CQ30</f>
        <v>2162.1979999999999</v>
      </c>
      <c r="CR31" s="1297"/>
      <c r="CS31" s="1315">
        <f>CS30-CS17</f>
        <v>1229.5839999999998</v>
      </c>
      <c r="CT31" s="1315">
        <f>CT30-CT17</f>
        <v>1560.8529999999996</v>
      </c>
      <c r="CU31" s="1315">
        <f>CU30-CU17</f>
        <v>1686.6449999999998</v>
      </c>
      <c r="CV31" s="1315">
        <f>CV30-CV17</f>
        <v>2737.9649999999997</v>
      </c>
      <c r="CW31" s="1316">
        <f>CW30</f>
        <v>2737.9649999999997</v>
      </c>
      <c r="CX31" s="1297"/>
      <c r="CY31" s="1315">
        <f>CY30-CY17</f>
        <v>1610.0506950189233</v>
      </c>
      <c r="CZ31" s="1315">
        <f>CZ30-CZ17</f>
        <v>2029.1049729579008</v>
      </c>
      <c r="DA31" s="1315">
        <f>DA30-DA17</f>
        <v>2284.7676523858136</v>
      </c>
      <c r="DB31" s="1315">
        <f>DB30-DB17</f>
        <v>3501.2491789897344</v>
      </c>
      <c r="DC31" s="1316">
        <f>DC30</f>
        <v>3481.2491789897344</v>
      </c>
      <c r="DD31" s="1297"/>
      <c r="DE31" s="1315">
        <f>DE30-DE17</f>
        <v>1883.9395355789884</v>
      </c>
      <c r="DF31" s="1315">
        <f>DF30-DF17</f>
        <v>2344.6842121472773</v>
      </c>
      <c r="DG31" s="1315">
        <f>DG30-DG17</f>
        <v>2656.7670403973389</v>
      </c>
      <c r="DH31" s="1315">
        <f>DH30-DH17</f>
        <v>4470.5249877163251</v>
      </c>
      <c r="DI31" s="1316">
        <f>DI30</f>
        <v>4450.5249877163251</v>
      </c>
      <c r="DJ31" s="1297"/>
      <c r="DK31" s="1315">
        <f>DK30-DK17</f>
        <v>2261.5677537980828</v>
      </c>
      <c r="DL31" s="1315">
        <f>DL30-DL17</f>
        <v>2968.3641896012032</v>
      </c>
      <c r="DM31" s="1315">
        <f>DM30-DM17</f>
        <v>3424.0014742507246</v>
      </c>
      <c r="DN31" s="1315">
        <f>DN30-DN17</f>
        <v>5617.6483569553802</v>
      </c>
      <c r="DO31" s="1316">
        <f>DO30</f>
        <v>5597.6483569553802</v>
      </c>
      <c r="DP31" s="958"/>
      <c r="DQ31" s="958"/>
      <c r="DR31" s="958"/>
    </row>
    <row r="32" spans="1:122" ht="5.25" customHeight="1">
      <c r="A32" s="1219"/>
      <c r="B32" s="993"/>
      <c r="C32" s="959"/>
      <c r="D32" s="959"/>
      <c r="E32" s="959"/>
      <c r="F32" s="959"/>
      <c r="G32" s="959"/>
      <c r="H32" s="959"/>
      <c r="I32" s="959"/>
      <c r="J32" s="959"/>
      <c r="K32" s="959"/>
      <c r="L32" s="959"/>
      <c r="M32" s="959"/>
      <c r="N32" s="959"/>
      <c r="O32" s="959"/>
      <c r="P32" s="959"/>
      <c r="Q32" s="959"/>
      <c r="R32" s="959"/>
      <c r="S32" s="959"/>
      <c r="T32" s="959"/>
      <c r="U32" s="959"/>
      <c r="V32" s="959"/>
      <c r="W32" s="959"/>
      <c r="X32" s="959"/>
      <c r="Y32" s="959"/>
      <c r="Z32" s="959"/>
      <c r="AA32" s="959"/>
      <c r="AB32" s="959"/>
      <c r="AC32" s="959"/>
      <c r="AD32" s="959"/>
      <c r="AE32" s="1219"/>
      <c r="AF32" s="959"/>
      <c r="AG32" s="1219"/>
      <c r="AH32" s="1219"/>
      <c r="AI32" s="1300"/>
      <c r="AJ32" s="959"/>
      <c r="AK32" s="959"/>
      <c r="AL32" s="1219"/>
      <c r="AM32" s="1219"/>
      <c r="AN32" s="1219"/>
      <c r="AO32" s="1317"/>
      <c r="AP32" s="959"/>
      <c r="AQ32" s="959"/>
      <c r="AR32" s="959"/>
      <c r="AS32" s="959"/>
      <c r="AT32" s="959"/>
      <c r="AU32" s="1300"/>
      <c r="AV32" s="959"/>
      <c r="AW32" s="959"/>
      <c r="AX32" s="959"/>
      <c r="AY32" s="959"/>
      <c r="AZ32" s="959"/>
      <c r="BA32" s="1300"/>
      <c r="BB32" s="959"/>
      <c r="BC32" s="1219"/>
      <c r="BD32" s="959"/>
      <c r="BE32" s="959"/>
      <c r="BF32" s="959"/>
      <c r="BG32" s="1300"/>
      <c r="BH32" s="959"/>
      <c r="BI32" s="959"/>
      <c r="BJ32" s="959"/>
      <c r="BK32" s="959"/>
      <c r="BL32" s="959"/>
      <c r="BM32" s="1300"/>
      <c r="BN32" s="959"/>
      <c r="BO32" s="959"/>
      <c r="BP32" s="959"/>
      <c r="BQ32" s="959"/>
      <c r="BR32" s="959"/>
      <c r="BS32" s="1300"/>
      <c r="BT32" s="959"/>
      <c r="BU32" s="959"/>
      <c r="BV32" s="959"/>
      <c r="BW32" s="959"/>
      <c r="BX32" s="959"/>
      <c r="BY32" s="1300"/>
      <c r="BZ32" s="959"/>
      <c r="CA32" s="959"/>
      <c r="CB32" s="959"/>
      <c r="CC32" s="959"/>
      <c r="CD32" s="959"/>
      <c r="CE32" s="1300"/>
      <c r="CF32" s="959"/>
      <c r="CG32" s="959"/>
      <c r="CH32" s="959"/>
      <c r="CI32" s="959"/>
      <c r="CJ32" s="959"/>
      <c r="CK32" s="1300"/>
      <c r="CL32" s="959"/>
      <c r="CM32" s="959"/>
      <c r="CN32" s="959"/>
      <c r="CO32" s="959"/>
      <c r="CP32" s="959"/>
      <c r="CQ32" s="1300"/>
      <c r="CR32" s="959"/>
      <c r="CS32" s="959"/>
      <c r="CT32" s="959"/>
      <c r="CU32" s="959"/>
      <c r="CV32" s="959"/>
      <c r="CW32" s="1300"/>
      <c r="CX32" s="959"/>
      <c r="CY32" s="959"/>
      <c r="CZ32" s="959"/>
      <c r="DA32" s="959"/>
      <c r="DB32" s="959"/>
      <c r="DC32" s="1300"/>
      <c r="DD32" s="959"/>
      <c r="DE32" s="959"/>
      <c r="DF32" s="959"/>
      <c r="DG32" s="959"/>
      <c r="DH32" s="959"/>
      <c r="DI32" s="1300"/>
      <c r="DJ32" s="959"/>
      <c r="DK32" s="959"/>
      <c r="DL32" s="959"/>
      <c r="DM32" s="959"/>
      <c r="DN32" s="959"/>
      <c r="DO32" s="1300"/>
      <c r="DP32" s="959"/>
      <c r="DQ32" s="959"/>
      <c r="DR32" s="959"/>
    </row>
    <row r="33" spans="1:122" ht="10.5" customHeight="1">
      <c r="A33" s="1114" t="s">
        <v>650</v>
      </c>
      <c r="B33" s="993"/>
      <c r="C33" s="1011"/>
      <c r="D33" s="1011"/>
      <c r="E33" s="1011"/>
      <c r="F33" s="993"/>
      <c r="G33" s="1011"/>
      <c r="H33" s="993"/>
      <c r="I33" s="993"/>
      <c r="J33" s="993"/>
      <c r="K33" s="993"/>
      <c r="L33" s="993"/>
      <c r="M33" s="1011"/>
      <c r="N33" s="993"/>
      <c r="O33" s="993"/>
      <c r="P33" s="993"/>
      <c r="Q33" s="993"/>
      <c r="R33" s="993"/>
      <c r="S33" s="993"/>
      <c r="T33" s="993"/>
      <c r="U33" s="993"/>
      <c r="V33" s="977"/>
      <c r="W33" s="1318"/>
      <c r="X33" s="993"/>
      <c r="Y33" s="1098"/>
      <c r="Z33" s="977"/>
      <c r="AA33" s="977"/>
      <c r="AB33" s="977"/>
      <c r="AC33" s="1138"/>
      <c r="AD33" s="993"/>
      <c r="AE33" s="977"/>
      <c r="AF33" s="1098"/>
      <c r="AG33" s="1128"/>
      <c r="AH33" s="1319"/>
      <c r="AI33" s="1320"/>
      <c r="AJ33" s="993"/>
      <c r="AK33" s="1139"/>
      <c r="AL33" s="1139"/>
      <c r="AM33" s="1139"/>
      <c r="AN33" s="1139"/>
      <c r="AO33" s="1025"/>
      <c r="AP33" s="993"/>
      <c r="AQ33" s="1139"/>
      <c r="AR33" s="977"/>
      <c r="AS33" s="977"/>
      <c r="AT33" s="977"/>
      <c r="AU33" s="1025"/>
      <c r="AV33" s="993"/>
      <c r="AW33" s="1139"/>
      <c r="AX33" s="977"/>
      <c r="AY33" s="977"/>
      <c r="AZ33" s="977"/>
      <c r="BA33" s="1025"/>
      <c r="BB33" s="993"/>
      <c r="BC33" s="1139"/>
      <c r="BD33" s="977"/>
      <c r="BE33" s="977"/>
      <c r="BF33" s="977"/>
      <c r="BG33" s="1321"/>
      <c r="BH33" s="993"/>
      <c r="BI33" s="1139"/>
      <c r="BJ33" s="977"/>
      <c r="BK33" s="977"/>
      <c r="BL33" s="1139"/>
      <c r="BM33" s="1322"/>
      <c r="BN33" s="1257"/>
      <c r="BO33" s="1257"/>
      <c r="BP33" s="1257"/>
      <c r="BQ33" s="1257"/>
      <c r="BR33" s="1257"/>
      <c r="BS33" s="1322"/>
      <c r="BT33" s="993"/>
      <c r="BU33" s="1139"/>
      <c r="BV33" s="977"/>
      <c r="BW33" s="977"/>
      <c r="BX33" s="977"/>
      <c r="BY33" s="1025"/>
      <c r="BZ33" s="993"/>
      <c r="CA33" s="1139"/>
      <c r="CB33" s="977"/>
      <c r="CC33" s="977"/>
      <c r="CD33" s="977"/>
      <c r="CE33" s="1025">
        <f>CE30/BY30-1</f>
        <v>0.34066883007850635</v>
      </c>
      <c r="CF33" s="993"/>
      <c r="CG33" s="1139"/>
      <c r="CH33" s="977"/>
      <c r="CI33" s="977"/>
      <c r="CJ33" s="977"/>
      <c r="CK33" s="1025"/>
      <c r="CL33" s="993"/>
      <c r="CM33" s="1139"/>
      <c r="CN33" s="977"/>
      <c r="CO33" s="977"/>
      <c r="CP33" s="977"/>
      <c r="CQ33" s="1025"/>
      <c r="CR33" s="993"/>
      <c r="CS33" s="1139"/>
      <c r="CT33" s="977"/>
      <c r="CU33" s="977"/>
      <c r="CV33" s="977"/>
      <c r="CW33" s="1025"/>
      <c r="CX33" s="993"/>
      <c r="CY33" s="1139"/>
      <c r="CZ33" s="977"/>
      <c r="DA33" s="977"/>
      <c r="DB33" s="977"/>
      <c r="DC33" s="1025"/>
      <c r="DD33" s="993"/>
      <c r="DE33" s="1139"/>
      <c r="DF33" s="977"/>
      <c r="DG33" s="977"/>
      <c r="DH33" s="977"/>
      <c r="DI33" s="1025"/>
      <c r="DJ33" s="993"/>
      <c r="DK33" s="1139"/>
      <c r="DL33" s="977"/>
      <c r="DM33" s="977"/>
      <c r="DN33" s="977"/>
      <c r="DO33" s="1025"/>
      <c r="DP33" s="1698"/>
      <c r="DQ33" s="956"/>
      <c r="DR33" s="956"/>
    </row>
    <row r="34" spans="1:122" ht="10.5" customHeight="1">
      <c r="A34" s="1115" t="s">
        <v>776</v>
      </c>
      <c r="B34" s="993"/>
      <c r="C34" s="982">
        <f>C107</f>
        <v>-1.262</v>
      </c>
      <c r="D34" s="982">
        <f>D107</f>
        <v>-5.8689999999999998</v>
      </c>
      <c r="E34" s="982">
        <f>E107</f>
        <v>-0.71299999999999997</v>
      </c>
      <c r="F34" s="993"/>
      <c r="G34" s="982">
        <f>G107</f>
        <v>-0.25600000000000001</v>
      </c>
      <c r="H34" s="977">
        <f>G34+H107</f>
        <v>-0.91500000000000004</v>
      </c>
      <c r="I34" s="977">
        <f>H34+I107</f>
        <v>-1.403</v>
      </c>
      <c r="J34" s="977">
        <f>I34+J107</f>
        <v>-2.0220000000000002</v>
      </c>
      <c r="K34" s="977">
        <f t="shared" ref="K34:K42" si="58">J34</f>
        <v>-2.0220000000000002</v>
      </c>
      <c r="L34" s="993"/>
      <c r="M34" s="982">
        <f>M107</f>
        <v>-0.33100000000000002</v>
      </c>
      <c r="N34" s="977">
        <f>M34+N107</f>
        <v>-0.81899999999999995</v>
      </c>
      <c r="O34" s="977">
        <f>N34+O107</f>
        <v>-1.5309999999999999</v>
      </c>
      <c r="P34" s="977">
        <f>O34+P107</f>
        <v>-2.9159999999999999</v>
      </c>
      <c r="Q34" s="982">
        <f t="shared" ref="Q34:Q42" si="59">P34</f>
        <v>-2.9159999999999999</v>
      </c>
      <c r="R34" s="993"/>
      <c r="S34" s="982">
        <f>S107</f>
        <v>-0.27800000000000002</v>
      </c>
      <c r="T34" s="977">
        <v>-0.76200000000000001</v>
      </c>
      <c r="U34" s="977">
        <v>-2.0430000000000001</v>
      </c>
      <c r="V34" s="977">
        <v>-4.3079999999999998</v>
      </c>
      <c r="W34" s="982">
        <f t="shared" ref="W34:W42" si="60">V34</f>
        <v>-4.3079999999999998</v>
      </c>
      <c r="X34" s="977"/>
      <c r="Y34" s="977">
        <v>-9.157</v>
      </c>
      <c r="Z34" s="977">
        <v>-12.529</v>
      </c>
      <c r="AA34" s="977">
        <v>-17.82</v>
      </c>
      <c r="AB34" s="977">
        <v>-23.434000000000001</v>
      </c>
      <c r="AC34" s="982">
        <f t="shared" ref="AC34:AC42" si="61">AB34</f>
        <v>-23.434000000000001</v>
      </c>
      <c r="AD34" s="977"/>
      <c r="AE34" s="977">
        <v>-2.5950000000000002</v>
      </c>
      <c r="AF34" s="977">
        <v>-5.4130000000000003</v>
      </c>
      <c r="AG34" s="977">
        <v>-14.497999999999999</v>
      </c>
      <c r="AH34" s="977">
        <f>AG34-7.625</f>
        <v>-22.122999999999998</v>
      </c>
      <c r="AI34" s="983">
        <f>AH34</f>
        <v>-22.122999999999998</v>
      </c>
      <c r="AJ34" s="977"/>
      <c r="AK34" s="977">
        <v>-15.957000000000001</v>
      </c>
      <c r="AL34" s="977">
        <v>-26.061</v>
      </c>
      <c r="AM34" s="977">
        <v>-35.183</v>
      </c>
      <c r="AN34" s="977">
        <v>-43.552</v>
      </c>
      <c r="AO34" s="978">
        <f>AN34</f>
        <v>-43.552</v>
      </c>
      <c r="AP34" s="977"/>
      <c r="AQ34" s="977">
        <v>-24.177</v>
      </c>
      <c r="AR34" s="977">
        <v>-37.213000000000001</v>
      </c>
      <c r="AS34" s="977">
        <v>-48.826999999999998</v>
      </c>
      <c r="AT34" s="977">
        <v>-61.058999999999997</v>
      </c>
      <c r="AU34" s="983">
        <f>AT34</f>
        <v>-61.058999999999997</v>
      </c>
      <c r="AV34" s="977"/>
      <c r="AW34" s="977">
        <v>-13.428000000000001</v>
      </c>
      <c r="AX34" s="977">
        <v>-32.756</v>
      </c>
      <c r="AY34" s="977">
        <v>-46.844999999999999</v>
      </c>
      <c r="AZ34" s="977">
        <v>-53.901000000000003</v>
      </c>
      <c r="BA34" s="983">
        <f>AZ34</f>
        <v>-53.901000000000003</v>
      </c>
      <c r="BB34" s="977"/>
      <c r="BC34" s="977">
        <v>-12.19</v>
      </c>
      <c r="BD34" s="977">
        <v>-39.521000000000001</v>
      </c>
      <c r="BE34" s="977">
        <f>-60.311</f>
        <v>-60.311</v>
      </c>
      <c r="BF34" s="977">
        <v>-90.887</v>
      </c>
      <c r="BG34" s="983">
        <f>BF34</f>
        <v>-90.887</v>
      </c>
      <c r="BH34" s="977"/>
      <c r="BI34" s="977">
        <v>-27.314</v>
      </c>
      <c r="BJ34" s="977">
        <v>-72.364999999999995</v>
      </c>
      <c r="BK34" s="977">
        <v>-107.04300000000001</v>
      </c>
      <c r="BL34" s="977">
        <v>-151.64500000000001</v>
      </c>
      <c r="BM34" s="983">
        <f>BL34</f>
        <v>-151.64500000000001</v>
      </c>
      <c r="BN34" s="977"/>
      <c r="BO34" s="977">
        <v>-44.720999999999997</v>
      </c>
      <c r="BP34" s="977">
        <v>-74.025000000000006</v>
      </c>
      <c r="BQ34" s="977">
        <v>-125.07899999999999</v>
      </c>
      <c r="BR34" s="977">
        <v>-175.601</v>
      </c>
      <c r="BS34" s="983">
        <f>BR34</f>
        <v>-175.601</v>
      </c>
      <c r="BT34" s="977"/>
      <c r="BU34" s="977">
        <v>-54.01</v>
      </c>
      <c r="BV34" s="977">
        <v>-156.559</v>
      </c>
      <c r="BW34" s="977">
        <v>-229.261</v>
      </c>
      <c r="BX34" s="977">
        <v>-299.11</v>
      </c>
      <c r="BY34" s="983">
        <f>BX34</f>
        <v>-299.11</v>
      </c>
      <c r="BZ34" s="977"/>
      <c r="CA34" s="977">
        <v>-60.097999999999999</v>
      </c>
      <c r="CB34" s="977">
        <v>-131.67400000000001</v>
      </c>
      <c r="CC34" s="977">
        <v>-205.1</v>
      </c>
      <c r="CD34" s="977">
        <v>-290.45400000000001</v>
      </c>
      <c r="CE34" s="983">
        <f>CD34</f>
        <v>-290.45400000000001</v>
      </c>
      <c r="CF34" s="977"/>
      <c r="CG34" s="977">
        <v>-71.087000000000003</v>
      </c>
      <c r="CH34" s="977">
        <v>-135.97</v>
      </c>
      <c r="CI34" s="977">
        <v>-216.011</v>
      </c>
      <c r="CJ34" s="977">
        <v>-284.476</v>
      </c>
      <c r="CK34" s="983">
        <f>CJ34</f>
        <v>-284.476</v>
      </c>
      <c r="CL34" s="977"/>
      <c r="CM34" s="977">
        <v>-83.301000000000002</v>
      </c>
      <c r="CN34" s="977">
        <v>-179.33099999999999</v>
      </c>
      <c r="CO34" s="977">
        <v>-319.98399999999998</v>
      </c>
      <c r="CP34" s="977">
        <v>-463.95800000000003</v>
      </c>
      <c r="CQ34" s="983">
        <f>CP34</f>
        <v>-463.95800000000003</v>
      </c>
      <c r="CR34" s="977"/>
      <c r="CS34" s="977">
        <f>+-156.602</f>
        <v>-156.602</v>
      </c>
      <c r="CT34" s="977">
        <v>-284.99</v>
      </c>
      <c r="CU34" s="977">
        <v>-396.26799999999997</v>
      </c>
      <c r="CV34" s="977">
        <v>-534.02700000000004</v>
      </c>
      <c r="CW34" s="983">
        <f>CV34</f>
        <v>-534.02700000000004</v>
      </c>
      <c r="CX34" s="977"/>
      <c r="CY34" s="977">
        <f>-BS!CY115</f>
        <v>-157.19284752951791</v>
      </c>
      <c r="CZ34" s="977">
        <f>CY34-BS!CZ115</f>
        <v>-275.38203171889836</v>
      </c>
      <c r="DA34" s="977">
        <f>CZ34-BS!DA115</f>
        <v>-370.25927414261992</v>
      </c>
      <c r="DB34" s="977">
        <f>DA34-BS!DB115</f>
        <v>-493.54149668127252</v>
      </c>
      <c r="DC34" s="983">
        <f>DB34</f>
        <v>-493.54149668127252</v>
      </c>
      <c r="DD34" s="977"/>
      <c r="DE34" s="977">
        <f>-BS!DE115</f>
        <v>-170.90785813886464</v>
      </c>
      <c r="DF34" s="977">
        <f>DE34-BS!DF115</f>
        <v>-313.08897641340786</v>
      </c>
      <c r="DG34" s="977">
        <f>DF34-BS!DG115</f>
        <v>-427.23177188449489</v>
      </c>
      <c r="DH34" s="977">
        <f>DG34-BS!DH115</f>
        <v>-574.66299027099194</v>
      </c>
      <c r="DI34" s="983">
        <f>DH34</f>
        <v>-574.66299027099194</v>
      </c>
      <c r="DJ34" s="977"/>
      <c r="DK34" s="977">
        <f>-BS!DK115</f>
        <v>-161.77841804828086</v>
      </c>
      <c r="DL34" s="977">
        <f>DK34-BS!DL115</f>
        <v>-331.56937316919164</v>
      </c>
      <c r="DM34" s="977">
        <f>DL34-BS!DM115</f>
        <v>-467.73634936692508</v>
      </c>
      <c r="DN34" s="977">
        <f>DM34-BS!DN115</f>
        <v>-667.82476278130866</v>
      </c>
      <c r="DO34" s="983">
        <f>DN34</f>
        <v>-667.82476278130866</v>
      </c>
      <c r="DP34" s="1698"/>
      <c r="DQ34" s="956"/>
      <c r="DR34" s="956"/>
    </row>
    <row r="35" spans="1:122" ht="10.5" customHeight="1">
      <c r="A35" s="1115" t="s">
        <v>166</v>
      </c>
      <c r="B35" s="993"/>
      <c r="C35" s="982"/>
      <c r="D35" s="982"/>
      <c r="E35" s="982"/>
      <c r="F35" s="993"/>
      <c r="G35" s="982"/>
      <c r="H35" s="977"/>
      <c r="I35" s="977"/>
      <c r="J35" s="977"/>
      <c r="K35" s="977"/>
      <c r="L35" s="993"/>
      <c r="M35" s="982"/>
      <c r="N35" s="977"/>
      <c r="O35" s="977"/>
      <c r="P35" s="977"/>
      <c r="Q35" s="982"/>
      <c r="R35" s="993"/>
      <c r="S35" s="982"/>
      <c r="T35" s="977"/>
      <c r="U35" s="977"/>
      <c r="V35" s="977"/>
      <c r="W35" s="982"/>
      <c r="X35" s="977"/>
      <c r="Y35" s="977"/>
      <c r="Z35" s="977"/>
      <c r="AA35" s="977"/>
      <c r="AB35" s="977"/>
      <c r="AC35" s="982"/>
      <c r="AD35" s="977"/>
      <c r="AE35" s="977"/>
      <c r="AF35" s="977"/>
      <c r="AG35" s="977"/>
      <c r="AH35" s="977"/>
      <c r="AI35" s="983"/>
      <c r="AJ35" s="977"/>
      <c r="AK35" s="977"/>
      <c r="AL35" s="977"/>
      <c r="AM35" s="977"/>
      <c r="AN35" s="977"/>
      <c r="AO35" s="978">
        <v>0</v>
      </c>
      <c r="AP35" s="977"/>
      <c r="AQ35" s="977"/>
      <c r="AR35" s="977"/>
      <c r="AS35" s="977"/>
      <c r="AT35" s="977"/>
      <c r="AU35" s="983">
        <v>0</v>
      </c>
      <c r="AV35" s="977"/>
      <c r="AW35" s="977"/>
      <c r="AX35" s="977"/>
      <c r="AY35" s="977"/>
      <c r="AZ35" s="977"/>
      <c r="BA35" s="983">
        <v>0</v>
      </c>
      <c r="BB35" s="977"/>
      <c r="BC35" s="977">
        <v>0</v>
      </c>
      <c r="BD35" s="977">
        <v>0</v>
      </c>
      <c r="BE35" s="977">
        <v>-8</v>
      </c>
      <c r="BF35" s="977">
        <v>-277.94400000000002</v>
      </c>
      <c r="BG35" s="983">
        <f>BF35</f>
        <v>-277.94400000000002</v>
      </c>
      <c r="BH35" s="977"/>
      <c r="BI35" s="977">
        <v>-1.014</v>
      </c>
      <c r="BJ35" s="977">
        <v>-6.4359999999999999</v>
      </c>
      <c r="BK35" s="977">
        <v>-13.09</v>
      </c>
      <c r="BL35" s="977">
        <v>-19.655000000000001</v>
      </c>
      <c r="BM35" s="983">
        <f>BL35</f>
        <v>-19.655000000000001</v>
      </c>
      <c r="BN35" s="977"/>
      <c r="BO35" s="977">
        <v>-4.1059999999999999</v>
      </c>
      <c r="BP35" s="977">
        <v>-4.1059999999999999</v>
      </c>
      <c r="BQ35" s="977">
        <v>-4.1059999999999999</v>
      </c>
      <c r="BR35" s="977">
        <v>-4.1059999999999999</v>
      </c>
      <c r="BS35" s="983">
        <f t="shared" ref="BS35:BS42" si="62">BR35</f>
        <v>-4.1059999999999999</v>
      </c>
      <c r="BT35" s="977"/>
      <c r="BU35" s="977">
        <v>0</v>
      </c>
      <c r="BV35" s="977">
        <v>0</v>
      </c>
      <c r="BW35" s="977">
        <v>0</v>
      </c>
      <c r="BX35" s="977">
        <v>0</v>
      </c>
      <c r="BY35" s="983">
        <v>0</v>
      </c>
      <c r="BZ35" s="977"/>
      <c r="CA35" s="977">
        <v>30</v>
      </c>
      <c r="CB35" s="977">
        <v>31</v>
      </c>
      <c r="CC35" s="977">
        <f>223.24-114.935</f>
        <v>108.30500000000001</v>
      </c>
      <c r="CD35" s="977">
        <f>223.24-126.435</f>
        <v>96.805000000000007</v>
      </c>
      <c r="CE35" s="983">
        <f>CD35</f>
        <v>96.805000000000007</v>
      </c>
      <c r="CF35" s="977"/>
      <c r="CG35" s="977">
        <f>2.852+115.015-425.376</f>
        <v>-307.50899999999996</v>
      </c>
      <c r="CH35" s="1639">
        <f>6.284+115.015-425.376</f>
        <v>-304.077</v>
      </c>
      <c r="CI35" s="977">
        <f>127.066-425.376+115.015</f>
        <v>-183.29499999999996</v>
      </c>
      <c r="CJ35" s="977">
        <f>127.066+115.015-425.376</f>
        <v>-183.29499999999996</v>
      </c>
      <c r="CK35" s="983">
        <f>CJ35</f>
        <v>-183.29499999999996</v>
      </c>
      <c r="CL35" s="977"/>
      <c r="CM35" s="977">
        <v>0</v>
      </c>
      <c r="CN35" s="977">
        <v>0</v>
      </c>
      <c r="CO35" s="977">
        <v>0</v>
      </c>
      <c r="CP35" s="977">
        <v>0</v>
      </c>
      <c r="CQ35" s="983">
        <v>0</v>
      </c>
      <c r="CR35" s="977"/>
      <c r="CS35" s="977">
        <v>0</v>
      </c>
      <c r="CT35" s="977">
        <v>0</v>
      </c>
      <c r="CU35" s="977">
        <v>0</v>
      </c>
      <c r="CV35" s="977">
        <v>0</v>
      </c>
      <c r="CW35" s="983">
        <v>0</v>
      </c>
      <c r="CX35" s="977"/>
      <c r="CY35" s="977">
        <v>0</v>
      </c>
      <c r="CZ35" s="977">
        <v>0</v>
      </c>
      <c r="DA35" s="977">
        <v>0</v>
      </c>
      <c r="DB35" s="977">
        <v>0</v>
      </c>
      <c r="DC35" s="983">
        <v>0</v>
      </c>
      <c r="DD35" s="977"/>
      <c r="DE35" s="977">
        <v>0</v>
      </c>
      <c r="DF35" s="977">
        <v>0</v>
      </c>
      <c r="DG35" s="977">
        <v>0</v>
      </c>
      <c r="DH35" s="977">
        <v>0</v>
      </c>
      <c r="DI35" s="983">
        <v>0</v>
      </c>
      <c r="DJ35" s="977"/>
      <c r="DK35" s="977">
        <v>0</v>
      </c>
      <c r="DL35" s="977">
        <v>0</v>
      </c>
      <c r="DM35" s="977">
        <v>0</v>
      </c>
      <c r="DN35" s="977">
        <v>0</v>
      </c>
      <c r="DO35" s="983">
        <v>0</v>
      </c>
      <c r="DP35" s="1698"/>
      <c r="DQ35" s="956"/>
      <c r="DR35" s="956"/>
    </row>
    <row r="36" spans="1:122" ht="12" customHeight="1">
      <c r="A36" s="1115" t="s">
        <v>820</v>
      </c>
      <c r="B36" s="993"/>
      <c r="C36" s="982"/>
      <c r="D36" s="982"/>
      <c r="E36" s="982"/>
      <c r="F36" s="993"/>
      <c r="G36" s="982"/>
      <c r="H36" s="977"/>
      <c r="I36" s="977"/>
      <c r="J36" s="977"/>
      <c r="K36" s="977"/>
      <c r="L36" s="993"/>
      <c r="M36" s="982"/>
      <c r="N36" s="977"/>
      <c r="O36" s="977"/>
      <c r="P36" s="977"/>
      <c r="Q36" s="982"/>
      <c r="R36" s="993"/>
      <c r="S36" s="982"/>
      <c r="T36" s="977"/>
      <c r="U36" s="977"/>
      <c r="V36" s="977"/>
      <c r="W36" s="982"/>
      <c r="X36" s="977"/>
      <c r="Y36" s="977">
        <v>0</v>
      </c>
      <c r="Z36" s="977">
        <v>0</v>
      </c>
      <c r="AA36" s="977">
        <v>0</v>
      </c>
      <c r="AB36" s="977">
        <v>0</v>
      </c>
      <c r="AC36" s="982">
        <f t="shared" si="61"/>
        <v>0</v>
      </c>
      <c r="AD36" s="977"/>
      <c r="AE36" s="977">
        <v>-15.502000000000001</v>
      </c>
      <c r="AF36" s="977">
        <v>-15.502000000000001</v>
      </c>
      <c r="AG36" s="977">
        <v>-15.502000000000001</v>
      </c>
      <c r="AH36" s="977">
        <f>AG36</f>
        <v>-15.502000000000001</v>
      </c>
      <c r="AI36" s="983">
        <f t="shared" ref="AI36:AI42" si="63">AH36</f>
        <v>-15.502000000000001</v>
      </c>
      <c r="AJ36" s="977"/>
      <c r="AK36" s="977">
        <v>0</v>
      </c>
      <c r="AL36" s="977">
        <v>0</v>
      </c>
      <c r="AM36" s="977">
        <v>0</v>
      </c>
      <c r="AN36" s="977">
        <v>0</v>
      </c>
      <c r="AO36" s="978">
        <f>AN36</f>
        <v>0</v>
      </c>
      <c r="AP36" s="977"/>
      <c r="AQ36" s="977">
        <v>0</v>
      </c>
      <c r="AR36" s="977">
        <v>0</v>
      </c>
      <c r="AS36" s="977">
        <v>-27.344000000000001</v>
      </c>
      <c r="AT36" s="977">
        <v>-27.907</v>
      </c>
      <c r="AU36" s="983">
        <f>AT36</f>
        <v>-27.907</v>
      </c>
      <c r="AV36" s="977"/>
      <c r="AW36" s="977">
        <v>0</v>
      </c>
      <c r="AX36" s="977">
        <v>0</v>
      </c>
      <c r="AY36" s="977">
        <v>-4.5</v>
      </c>
      <c r="AZ36" s="977">
        <v>0</v>
      </c>
      <c r="BA36" s="983">
        <f>AZ36</f>
        <v>0</v>
      </c>
      <c r="BB36" s="977"/>
      <c r="BC36" s="977">
        <v>0</v>
      </c>
      <c r="BD36" s="977">
        <v>0</v>
      </c>
      <c r="BE36" s="977">
        <v>0</v>
      </c>
      <c r="BF36" s="977">
        <v>0</v>
      </c>
      <c r="BG36" s="983">
        <f>BF36</f>
        <v>0</v>
      </c>
      <c r="BH36" s="977"/>
      <c r="BI36" s="977">
        <v>0</v>
      </c>
      <c r="BJ36" s="977">
        <v>0</v>
      </c>
      <c r="BK36" s="977">
        <v>0</v>
      </c>
      <c r="BL36" s="977">
        <v>0</v>
      </c>
      <c r="BM36" s="983">
        <f>BL36</f>
        <v>0</v>
      </c>
      <c r="BN36" s="977"/>
      <c r="BO36" s="977">
        <v>0</v>
      </c>
      <c r="BP36" s="977">
        <v>0</v>
      </c>
      <c r="BQ36" s="977">
        <v>0</v>
      </c>
      <c r="BR36" s="977">
        <v>0</v>
      </c>
      <c r="BS36" s="983">
        <f>BR36</f>
        <v>0</v>
      </c>
      <c r="BT36" s="977"/>
      <c r="BU36" s="977">
        <v>0</v>
      </c>
      <c r="BV36" s="977">
        <v>0</v>
      </c>
      <c r="BW36" s="977">
        <v>0</v>
      </c>
      <c r="BX36" s="977">
        <v>0</v>
      </c>
      <c r="BY36" s="983">
        <f>BX36</f>
        <v>0</v>
      </c>
      <c r="BZ36" s="977"/>
      <c r="CA36" s="977">
        <v>0</v>
      </c>
      <c r="CB36" s="977">
        <v>0</v>
      </c>
      <c r="CC36" s="977">
        <v>0</v>
      </c>
      <c r="CD36" s="977">
        <v>0</v>
      </c>
      <c r="CE36" s="983">
        <f>CD36</f>
        <v>0</v>
      </c>
      <c r="CF36" s="977"/>
      <c r="CG36" s="977">
        <v>0</v>
      </c>
      <c r="CH36" s="977">
        <v>0</v>
      </c>
      <c r="CI36" s="977">
        <v>0</v>
      </c>
      <c r="CJ36" s="977">
        <v>0</v>
      </c>
      <c r="CK36" s="983">
        <f>CJ36</f>
        <v>0</v>
      </c>
      <c r="CL36" s="977"/>
      <c r="CM36" s="977">
        <v>0</v>
      </c>
      <c r="CN36" s="977">
        <v>0</v>
      </c>
      <c r="CO36" s="977">
        <v>0</v>
      </c>
      <c r="CP36" s="977">
        <v>0</v>
      </c>
      <c r="CQ36" s="983">
        <f>CP36</f>
        <v>0</v>
      </c>
      <c r="CR36" s="977"/>
      <c r="CS36" s="977">
        <v>0</v>
      </c>
      <c r="CT36" s="977">
        <v>0</v>
      </c>
      <c r="CU36" s="977">
        <v>0</v>
      </c>
      <c r="CV36" s="977">
        <v>0</v>
      </c>
      <c r="CW36" s="983">
        <f>CV36</f>
        <v>0</v>
      </c>
      <c r="CX36" s="977"/>
      <c r="CY36" s="977">
        <v>0</v>
      </c>
      <c r="CZ36" s="977">
        <v>0</v>
      </c>
      <c r="DA36" s="977">
        <v>0</v>
      </c>
      <c r="DB36" s="977">
        <v>0</v>
      </c>
      <c r="DC36" s="983">
        <f>DB36</f>
        <v>0</v>
      </c>
      <c r="DD36" s="977"/>
      <c r="DE36" s="977">
        <v>0</v>
      </c>
      <c r="DF36" s="977">
        <v>0</v>
      </c>
      <c r="DG36" s="977">
        <v>0</v>
      </c>
      <c r="DH36" s="977">
        <v>0</v>
      </c>
      <c r="DI36" s="983">
        <f>DH36</f>
        <v>0</v>
      </c>
      <c r="DJ36" s="977"/>
      <c r="DK36" s="977">
        <v>0</v>
      </c>
      <c r="DL36" s="977">
        <v>0</v>
      </c>
      <c r="DM36" s="977">
        <v>0</v>
      </c>
      <c r="DN36" s="977">
        <v>0</v>
      </c>
      <c r="DO36" s="983">
        <f>DN36</f>
        <v>0</v>
      </c>
      <c r="DP36" s="1698"/>
      <c r="DQ36" s="956"/>
      <c r="DR36" s="956" t="s">
        <v>946</v>
      </c>
    </row>
    <row r="37" spans="1:122" ht="10.5" customHeight="1">
      <c r="A37" s="1115" t="s">
        <v>777</v>
      </c>
      <c r="B37" s="990"/>
      <c r="C37" s="982">
        <f t="shared" ref="C37:E41" si="64">C110</f>
        <v>0</v>
      </c>
      <c r="D37" s="982">
        <f t="shared" si="64"/>
        <v>-3.5</v>
      </c>
      <c r="E37" s="982">
        <f t="shared" si="64"/>
        <v>0</v>
      </c>
      <c r="F37" s="993"/>
      <c r="G37" s="982">
        <f>G110</f>
        <v>-4.3999999999999997E-2</v>
      </c>
      <c r="H37" s="977">
        <f t="shared" ref="H37:J41" si="65">G37+H110</f>
        <v>-5.6999999999999995E-2</v>
      </c>
      <c r="I37" s="977">
        <f t="shared" si="65"/>
        <v>-6.9999999999999993E-2</v>
      </c>
      <c r="J37" s="977">
        <f t="shared" si="65"/>
        <v>-0.23299999999999998</v>
      </c>
      <c r="K37" s="977">
        <f t="shared" si="58"/>
        <v>-0.23299999999999998</v>
      </c>
      <c r="L37" s="993"/>
      <c r="M37" s="982">
        <f>M110</f>
        <v>-1.9E-2</v>
      </c>
      <c r="N37" s="977">
        <f t="shared" ref="N37:P41" si="66">M37+N110</f>
        <v>-2.7E-2</v>
      </c>
      <c r="O37" s="977">
        <f t="shared" si="66"/>
        <v>-0.17899999999999999</v>
      </c>
      <c r="P37" s="977">
        <f t="shared" si="66"/>
        <v>-0.17899999999999999</v>
      </c>
      <c r="Q37" s="982">
        <f t="shared" si="59"/>
        <v>-0.17899999999999999</v>
      </c>
      <c r="R37" s="990"/>
      <c r="S37" s="982">
        <f>S110</f>
        <v>-6.0000000000000001E-3</v>
      </c>
      <c r="T37" s="977">
        <f>BS!$P$22-BS!T22</f>
        <v>-55.722999999999999</v>
      </c>
      <c r="U37" s="977">
        <f>BS!T22-BS!U22+T37</f>
        <v>-69.632000000000005</v>
      </c>
      <c r="V37" s="977">
        <f>BS!U22-BS!V22+U37</f>
        <v>-86.399000000000001</v>
      </c>
      <c r="W37" s="982">
        <f t="shared" si="60"/>
        <v>-86.399000000000001</v>
      </c>
      <c r="X37" s="977"/>
      <c r="Y37" s="1323">
        <f>BS!V22-BS!Y22-0.322</f>
        <v>-4.7549999999999928</v>
      </c>
      <c r="Z37" s="1323">
        <f>BS!Y22-BS!Z22+Y37</f>
        <v>-11.617999999999991</v>
      </c>
      <c r="AA37" s="1324">
        <f>BS!Z22-BS!AA22+Z37</f>
        <v>5.8610000000000078</v>
      </c>
      <c r="AB37" s="977">
        <v>165.60300000000001</v>
      </c>
      <c r="AC37" s="982">
        <f t="shared" si="61"/>
        <v>165.60300000000001</v>
      </c>
      <c r="AD37" s="977"/>
      <c r="AE37" s="977">
        <v>27.207999999999998</v>
      </c>
      <c r="AF37" s="977">
        <v>13.057</v>
      </c>
      <c r="AG37" s="977">
        <v>-103.152</v>
      </c>
      <c r="AH37" s="977">
        <f>AG37-25.042</f>
        <v>-128.19400000000002</v>
      </c>
      <c r="AI37" s="983">
        <f t="shared" si="63"/>
        <v>-128.19400000000002</v>
      </c>
      <c r="AJ37" s="977"/>
      <c r="AK37" s="977">
        <v>-34.212000000000003</v>
      </c>
      <c r="AL37" s="977">
        <v>-47.947000000000003</v>
      </c>
      <c r="AM37" s="977">
        <v>-83.087000000000003</v>
      </c>
      <c r="AN37" s="977">
        <v>-60.816000000000003</v>
      </c>
      <c r="AO37" s="978">
        <f t="shared" ref="AO37:AO42" si="67">AN37</f>
        <v>-60.816000000000003</v>
      </c>
      <c r="AP37" s="977"/>
      <c r="AQ37" s="977">
        <v>16.54</v>
      </c>
      <c r="AR37" s="977">
        <v>-8.5779999999999994</v>
      </c>
      <c r="AS37" s="977">
        <v>-38.841000000000001</v>
      </c>
      <c r="AT37" s="977">
        <v>-10.409000000000001</v>
      </c>
      <c r="AU37" s="983">
        <f t="shared" ref="AU37:AU42" si="68">AT37</f>
        <v>-10.409000000000001</v>
      </c>
      <c r="AV37" s="977"/>
      <c r="AW37" s="977">
        <v>-242.63800000000001</v>
      </c>
      <c r="AX37" s="977">
        <v>-381.03100000000001</v>
      </c>
      <c r="AY37" s="977">
        <f>-980.519+438.679+119.566</f>
        <v>-422.274</v>
      </c>
      <c r="AZ37" s="977">
        <f>-312.716-11.999</f>
        <v>-324.71500000000003</v>
      </c>
      <c r="BA37" s="983">
        <f t="shared" ref="BA37:BA42" si="69">AZ37</f>
        <v>-324.71500000000003</v>
      </c>
      <c r="BB37" s="977"/>
      <c r="BC37" s="977">
        <v>-495.94299999999998</v>
      </c>
      <c r="BD37" s="977">
        <v>-729.97299999999996</v>
      </c>
      <c r="BE37" s="977">
        <v>-449.63299999999998</v>
      </c>
      <c r="BF37" s="977">
        <f>-270.287</f>
        <v>-270.28699999999998</v>
      </c>
      <c r="BG37" s="983">
        <f t="shared" ref="BG37:BG42" si="70">BF37</f>
        <v>-270.28699999999998</v>
      </c>
      <c r="BH37" s="977"/>
      <c r="BI37" s="977">
        <f>126.458+-13.335</f>
        <v>113.12299999999999</v>
      </c>
      <c r="BJ37" s="977">
        <f>-13.215+148.12</f>
        <v>134.905</v>
      </c>
      <c r="BK37" s="977">
        <f>187.287+-34.723</f>
        <v>152.56400000000002</v>
      </c>
      <c r="BL37" s="977">
        <f>141.679-37.37</f>
        <v>104.309</v>
      </c>
      <c r="BM37" s="983">
        <f t="shared" ref="BM37:BM42" si="71">BL37</f>
        <v>104.309</v>
      </c>
      <c r="BN37" s="977"/>
      <c r="BO37" s="977">
        <v>-374.58199999999999</v>
      </c>
      <c r="BP37" s="977">
        <f>38.215</f>
        <v>38.215000000000003</v>
      </c>
      <c r="BQ37" s="977">
        <f>-5.451+-51.213</f>
        <v>-56.664000000000001</v>
      </c>
      <c r="BR37" s="977">
        <f>-169.771+-9.695</f>
        <v>-179.46599999999998</v>
      </c>
      <c r="BS37" s="983">
        <f t="shared" si="62"/>
        <v>-179.46599999999998</v>
      </c>
      <c r="BT37" s="977"/>
      <c r="BU37" s="977">
        <f>-137.989+-5.116</f>
        <v>-143.10500000000002</v>
      </c>
      <c r="BV37" s="977">
        <f>-320.745+1005.65+20.604+-8.814</f>
        <v>696.69500000000005</v>
      </c>
      <c r="BW37" s="977">
        <f>1022.47+21.031-419.795+-17.831</f>
        <v>605.87499999999989</v>
      </c>
      <c r="BX37" s="977">
        <f>-558.703+1038.284+36.436+-31.16</f>
        <v>484.85700000000014</v>
      </c>
      <c r="BY37" s="983">
        <f t="shared" ref="BY37:BY42" si="72">BX37</f>
        <v>484.85700000000014</v>
      </c>
      <c r="BZ37" s="977"/>
      <c r="CA37" s="977">
        <f>-250.536+79.312-16.246+7.198</f>
        <v>-180.27199999999999</v>
      </c>
      <c r="CB37" s="977">
        <f>-35.053-535.464+150.385+23.96</f>
        <v>-396.17200000000008</v>
      </c>
      <c r="CC37" s="977">
        <f>+-47.905-690.024+197.293+46.248</f>
        <v>-494.38799999999998</v>
      </c>
      <c r="CD37" s="977">
        <f>-93.725-780.54+243.845+87.638</f>
        <v>-542.78199999999993</v>
      </c>
      <c r="CE37" s="983">
        <f t="shared" ref="CE37:CE42" si="73">CD37</f>
        <v>-542.78199999999993</v>
      </c>
      <c r="CF37" s="977"/>
      <c r="CG37" s="977">
        <f>-144.462-207.225+192.184+14.446</f>
        <v>-145.05700000000002</v>
      </c>
      <c r="CH37" s="977">
        <f>-294.896-343.421+323.106+16.279</f>
        <v>-298.93200000000002</v>
      </c>
      <c r="CI37" s="977">
        <f>-325.226-543.422+414.259+23.445+6.284</f>
        <v>-424.66</v>
      </c>
      <c r="CJ37" s="977">
        <f>-366.519-1139.267+500.264+37.811+6.284</f>
        <v>-961.42700000000002</v>
      </c>
      <c r="CK37" s="983">
        <f t="shared" ref="CK37:CK42" si="74">CJ37</f>
        <v>-961.42700000000002</v>
      </c>
      <c r="CL37" s="977"/>
      <c r="CM37" s="977">
        <f>-589.336+23.285+222.934-22.061</f>
        <v>-365.17800000000005</v>
      </c>
      <c r="CN37" s="977">
        <f>1833.658+50.538-875.131-22.451</f>
        <v>986.61399999999992</v>
      </c>
      <c r="CO37" s="977">
        <f>-986.862-39.328+64.741+1927.049</f>
        <v>965.59999999999991</v>
      </c>
      <c r="CP37" s="977">
        <f>-29.987-1070.412+2005.301+67.454</f>
        <v>972.35599999999977</v>
      </c>
      <c r="CQ37" s="983">
        <f t="shared" ref="CQ37:CQ42" si="75">CP37</f>
        <v>972.35599999999977</v>
      </c>
      <c r="CR37" s="977"/>
      <c r="CS37" s="977">
        <f>+-0.458+-698.561+103.837+3.85</f>
        <v>-591.33199999999999</v>
      </c>
      <c r="CT37" s="977">
        <f>-43.416-1199.894+243.465+13.27</f>
        <v>-986.57499999999993</v>
      </c>
      <c r="CU37" s="977">
        <f>-113.088+55.898-1433.718+437.248+43.089</f>
        <v>-1010.5710000000001</v>
      </c>
      <c r="CV37" s="977">
        <f>-2003.115+558.614+79.123+130.732-216.438</f>
        <v>-1451.0839999999998</v>
      </c>
      <c r="CW37" s="983">
        <f t="shared" ref="CW37:CW42" si="76">CV37</f>
        <v>-1451.0839999999998</v>
      </c>
      <c r="CX37" s="977"/>
      <c r="CY37" s="977">
        <f>BS!CV22-BS!CY22</f>
        <v>0</v>
      </c>
      <c r="CZ37" s="977">
        <f>BS!CY22-BS!CZ22+CY37</f>
        <v>0</v>
      </c>
      <c r="DA37" s="977">
        <f>BS!CZ22-BS!DA22+CZ37</f>
        <v>0</v>
      </c>
      <c r="DB37" s="977">
        <f>BS!DA22-BS!DB22+DA37</f>
        <v>0</v>
      </c>
      <c r="DC37" s="983">
        <f t="shared" ref="DC37:DC42" si="77">DB37</f>
        <v>0</v>
      </c>
      <c r="DD37" s="977"/>
      <c r="DE37" s="977">
        <f>BS!DB22-BS!DE22</f>
        <v>0</v>
      </c>
      <c r="DF37" s="977">
        <f>BS!DE22-BS!DF22+DE37</f>
        <v>0</v>
      </c>
      <c r="DG37" s="977">
        <f>BS!DF22-BS!DG22+DF37</f>
        <v>0</v>
      </c>
      <c r="DH37" s="977">
        <f>BS!DG22-BS!DH22+DG37</f>
        <v>0</v>
      </c>
      <c r="DI37" s="983">
        <f t="shared" ref="DI37:DI42" si="78">DH37</f>
        <v>0</v>
      </c>
      <c r="DJ37" s="977"/>
      <c r="DK37" s="977">
        <f>BS!DH22-BS!DK22</f>
        <v>0</v>
      </c>
      <c r="DL37" s="977">
        <f>BS!DK22-BS!DL22+DK37</f>
        <v>0</v>
      </c>
      <c r="DM37" s="977">
        <f>BS!DL22-BS!DM22+DL37</f>
        <v>0</v>
      </c>
      <c r="DN37" s="977">
        <f>BS!DM22-BS!DN22+DM37</f>
        <v>0</v>
      </c>
      <c r="DO37" s="983">
        <f t="shared" ref="DO37:DO42" si="79">DN37</f>
        <v>0</v>
      </c>
      <c r="DP37" s="958"/>
      <c r="DQ37" s="958"/>
      <c r="DR37" s="958"/>
    </row>
    <row r="38" spans="1:122" ht="10.5" customHeight="1">
      <c r="A38" s="1115" t="s">
        <v>120</v>
      </c>
      <c r="B38" s="993"/>
      <c r="C38" s="982">
        <f t="shared" si="64"/>
        <v>0</v>
      </c>
      <c r="D38" s="982">
        <f t="shared" si="64"/>
        <v>0</v>
      </c>
      <c r="E38" s="982">
        <f t="shared" si="64"/>
        <v>0</v>
      </c>
      <c r="F38" s="993"/>
      <c r="G38" s="982">
        <f>G111</f>
        <v>-4.9539999999999997</v>
      </c>
      <c r="H38" s="977">
        <f t="shared" si="65"/>
        <v>-5.0089999999999995</v>
      </c>
      <c r="I38" s="977">
        <f t="shared" si="65"/>
        <v>-19.41</v>
      </c>
      <c r="J38" s="977">
        <f t="shared" si="65"/>
        <v>-27.977</v>
      </c>
      <c r="K38" s="977">
        <f t="shared" si="58"/>
        <v>-27.977</v>
      </c>
      <c r="L38" s="993"/>
      <c r="M38" s="982">
        <f>M111</f>
        <v>-9.9939999999999998</v>
      </c>
      <c r="N38" s="977">
        <f t="shared" si="66"/>
        <v>-12.25</v>
      </c>
      <c r="O38" s="977">
        <f t="shared" si="66"/>
        <v>-31.55</v>
      </c>
      <c r="P38" s="977">
        <f t="shared" si="66"/>
        <v>-39.9</v>
      </c>
      <c r="Q38" s="982">
        <f t="shared" si="59"/>
        <v>-39.9</v>
      </c>
      <c r="R38" s="993"/>
      <c r="S38" s="982">
        <f>S111</f>
        <v>-40.725999999999999</v>
      </c>
      <c r="T38" s="977">
        <f>-86.185-T37</f>
        <v>-30.462000000000003</v>
      </c>
      <c r="U38" s="977">
        <f>-136.909-U37</f>
        <v>-67.276999999999987</v>
      </c>
      <c r="V38" s="977">
        <f>-145.612-V37</f>
        <v>-59.212999999999994</v>
      </c>
      <c r="W38" s="982">
        <f t="shared" si="60"/>
        <v>-59.212999999999994</v>
      </c>
      <c r="X38" s="977"/>
      <c r="Y38" s="1323">
        <f>BS!V11-BS!Y11</f>
        <v>-1.8539999999999992</v>
      </c>
      <c r="Z38" s="1323">
        <f>-38.033-0.116-Z37</f>
        <v>-26.531000000000009</v>
      </c>
      <c r="AA38" s="1324">
        <f>-0.283-AA37</f>
        <v>-6.1440000000000081</v>
      </c>
      <c r="AB38" s="977">
        <v>-193.16499999999999</v>
      </c>
      <c r="AC38" s="982">
        <f t="shared" si="61"/>
        <v>-193.16499999999999</v>
      </c>
      <c r="AD38" s="977"/>
      <c r="AE38" s="977">
        <v>0</v>
      </c>
      <c r="AF38" s="977">
        <v>0</v>
      </c>
      <c r="AG38" s="977">
        <v>0</v>
      </c>
      <c r="AH38" s="977">
        <v>0</v>
      </c>
      <c r="AI38" s="983">
        <f t="shared" si="63"/>
        <v>0</v>
      </c>
      <c r="AJ38" s="977"/>
      <c r="AK38" s="977">
        <v>0</v>
      </c>
      <c r="AL38" s="977">
        <v>0</v>
      </c>
      <c r="AM38" s="977">
        <v>0</v>
      </c>
      <c r="AN38" s="977">
        <v>0</v>
      </c>
      <c r="AO38" s="978">
        <f t="shared" si="67"/>
        <v>0</v>
      </c>
      <c r="AP38" s="977"/>
      <c r="AQ38" s="977">
        <v>0</v>
      </c>
      <c r="AR38" s="977">
        <v>0</v>
      </c>
      <c r="AS38" s="977">
        <v>0</v>
      </c>
      <c r="AT38" s="977">
        <v>0</v>
      </c>
      <c r="AU38" s="983">
        <f t="shared" si="68"/>
        <v>0</v>
      </c>
      <c r="AV38" s="977"/>
      <c r="AW38" s="977">
        <v>0</v>
      </c>
      <c r="AX38" s="977">
        <v>0</v>
      </c>
      <c r="AY38" s="977">
        <v>0</v>
      </c>
      <c r="AZ38" s="977">
        <v>0</v>
      </c>
      <c r="BA38" s="983">
        <f t="shared" si="69"/>
        <v>0</v>
      </c>
      <c r="BB38" s="977"/>
      <c r="BC38" s="977">
        <v>0</v>
      </c>
      <c r="BD38" s="977">
        <v>0</v>
      </c>
      <c r="BE38" s="977">
        <v>0</v>
      </c>
      <c r="BF38" s="977">
        <v>0</v>
      </c>
      <c r="BG38" s="983">
        <f t="shared" si="70"/>
        <v>0</v>
      </c>
      <c r="BH38" s="977"/>
      <c r="BI38" s="977">
        <v>0</v>
      </c>
      <c r="BJ38" s="977">
        <v>0</v>
      </c>
      <c r="BK38" s="977">
        <v>0</v>
      </c>
      <c r="BL38" s="977">
        <v>0</v>
      </c>
      <c r="BM38" s="983">
        <f t="shared" si="71"/>
        <v>0</v>
      </c>
      <c r="BN38" s="977"/>
      <c r="BO38" s="977">
        <v>0</v>
      </c>
      <c r="BP38" s="977">
        <v>0</v>
      </c>
      <c r="BQ38" s="977">
        <v>0</v>
      </c>
      <c r="BR38" s="977">
        <v>0</v>
      </c>
      <c r="BS38" s="983">
        <f t="shared" si="62"/>
        <v>0</v>
      </c>
      <c r="BT38" s="977"/>
      <c r="BU38" s="977">
        <v>0</v>
      </c>
      <c r="BV38" s="979">
        <f>BU38</f>
        <v>0</v>
      </c>
      <c r="BW38" s="979">
        <f>BV38</f>
        <v>0</v>
      </c>
      <c r="BX38" s="979">
        <v>0</v>
      </c>
      <c r="BY38" s="983">
        <f t="shared" si="72"/>
        <v>0</v>
      </c>
      <c r="BZ38" s="977"/>
      <c r="CA38" s="977">
        <v>0</v>
      </c>
      <c r="CB38" s="979">
        <f t="shared" ref="CB38:CD39" si="80">CA38</f>
        <v>0</v>
      </c>
      <c r="CC38" s="979">
        <f t="shared" si="80"/>
        <v>0</v>
      </c>
      <c r="CD38" s="979">
        <f t="shared" si="80"/>
        <v>0</v>
      </c>
      <c r="CE38" s="983">
        <f t="shared" si="73"/>
        <v>0</v>
      </c>
      <c r="CF38" s="977"/>
      <c r="CG38" s="979">
        <v>0</v>
      </c>
      <c r="CH38" s="977">
        <v>0</v>
      </c>
      <c r="CI38" s="977">
        <v>0</v>
      </c>
      <c r="CJ38" s="977">
        <v>0</v>
      </c>
      <c r="CK38" s="983">
        <f t="shared" si="74"/>
        <v>0</v>
      </c>
      <c r="CL38" s="977"/>
      <c r="CM38" s="977">
        <v>0</v>
      </c>
      <c r="CN38" s="977">
        <v>0</v>
      </c>
      <c r="CO38" s="977">
        <v>0</v>
      </c>
      <c r="CP38" s="977">
        <v>0</v>
      </c>
      <c r="CQ38" s="983">
        <f t="shared" si="75"/>
        <v>0</v>
      </c>
      <c r="CR38" s="977"/>
      <c r="CS38" s="977">
        <v>0</v>
      </c>
      <c r="CT38" s="977">
        <v>0</v>
      </c>
      <c r="CU38" s="977">
        <v>0</v>
      </c>
      <c r="CV38" s="977">
        <v>0</v>
      </c>
      <c r="CW38" s="983">
        <f t="shared" si="76"/>
        <v>0</v>
      </c>
      <c r="CX38" s="977"/>
      <c r="CY38" s="977">
        <f>BS!CV11-BS!CY11</f>
        <v>0</v>
      </c>
      <c r="CZ38" s="977">
        <f>BS!CY11-BS!CZ11+CY38</f>
        <v>0</v>
      </c>
      <c r="DA38" s="977">
        <f>BS!CZ11-BS!DA11+CZ38</f>
        <v>0</v>
      </c>
      <c r="DB38" s="977">
        <f>BS!DA11-BS!DB11+DA38</f>
        <v>0</v>
      </c>
      <c r="DC38" s="983">
        <f t="shared" si="77"/>
        <v>0</v>
      </c>
      <c r="DD38" s="977"/>
      <c r="DE38" s="977">
        <f>BS!DB11-BS!DE11</f>
        <v>0</v>
      </c>
      <c r="DF38" s="977">
        <f>BS!DE11-BS!DF11+DE38</f>
        <v>0</v>
      </c>
      <c r="DG38" s="977">
        <f>BS!DF11-BS!DG11+DF38</f>
        <v>0</v>
      </c>
      <c r="DH38" s="977">
        <f>BS!DG11-BS!DH11+DG38</f>
        <v>0</v>
      </c>
      <c r="DI38" s="983">
        <f t="shared" si="78"/>
        <v>0</v>
      </c>
      <c r="DJ38" s="977"/>
      <c r="DK38" s="977">
        <f>BS!DH11-BS!DK11</f>
        <v>0</v>
      </c>
      <c r="DL38" s="977">
        <f>BS!DK11-BS!DL11+DK38</f>
        <v>0</v>
      </c>
      <c r="DM38" s="977">
        <f>BS!DL11-BS!DM11+DL38</f>
        <v>0</v>
      </c>
      <c r="DN38" s="977">
        <f>BS!DM11-BS!DN11+DM38</f>
        <v>0</v>
      </c>
      <c r="DO38" s="983">
        <f t="shared" si="79"/>
        <v>0</v>
      </c>
      <c r="DP38" s="1698"/>
      <c r="DQ38" s="956"/>
      <c r="DR38" s="956"/>
    </row>
    <row r="39" spans="1:122" ht="12" customHeight="1">
      <c r="A39" s="1115" t="s">
        <v>121</v>
      </c>
      <c r="B39" s="993"/>
      <c r="C39" s="982">
        <f t="shared" si="64"/>
        <v>0</v>
      </c>
      <c r="D39" s="982">
        <f t="shared" si="64"/>
        <v>0</v>
      </c>
      <c r="E39" s="982">
        <f t="shared" si="64"/>
        <v>0</v>
      </c>
      <c r="F39" s="993"/>
      <c r="G39" s="982">
        <f>G112</f>
        <v>0</v>
      </c>
      <c r="H39" s="977">
        <f t="shared" si="65"/>
        <v>0</v>
      </c>
      <c r="I39" s="977">
        <f t="shared" si="65"/>
        <v>14.18</v>
      </c>
      <c r="J39" s="977">
        <f t="shared" si="65"/>
        <v>20.677</v>
      </c>
      <c r="K39" s="977">
        <f t="shared" si="58"/>
        <v>20.677</v>
      </c>
      <c r="L39" s="993"/>
      <c r="M39" s="982">
        <f>M112</f>
        <v>1.9</v>
      </c>
      <c r="N39" s="977">
        <f t="shared" si="66"/>
        <v>1.9</v>
      </c>
      <c r="O39" s="977">
        <f t="shared" si="66"/>
        <v>14.9</v>
      </c>
      <c r="P39" s="977">
        <f t="shared" si="66"/>
        <v>21.850999999999999</v>
      </c>
      <c r="Q39" s="982">
        <f t="shared" si="59"/>
        <v>21.850999999999999</v>
      </c>
      <c r="R39" s="993"/>
      <c r="S39" s="982">
        <f>S112</f>
        <v>27.902000000000001</v>
      </c>
      <c r="T39" s="977">
        <v>0</v>
      </c>
      <c r="U39" s="977">
        <v>0</v>
      </c>
      <c r="V39" s="977">
        <v>0</v>
      </c>
      <c r="W39" s="982">
        <f t="shared" si="60"/>
        <v>0</v>
      </c>
      <c r="X39" s="977"/>
      <c r="Y39" s="977">
        <v>0</v>
      </c>
      <c r="Z39" s="977">
        <f t="shared" ref="Z39:AB40" si="81">Y39</f>
        <v>0</v>
      </c>
      <c r="AA39" s="977">
        <f t="shared" si="81"/>
        <v>0</v>
      </c>
      <c r="AB39" s="977">
        <f t="shared" si="81"/>
        <v>0</v>
      </c>
      <c r="AC39" s="982">
        <f t="shared" si="61"/>
        <v>0</v>
      </c>
      <c r="AD39" s="977"/>
      <c r="AE39" s="977">
        <v>0</v>
      </c>
      <c r="AF39" s="977">
        <v>0</v>
      </c>
      <c r="AG39" s="977">
        <v>0</v>
      </c>
      <c r="AH39" s="977">
        <f>AG39</f>
        <v>0</v>
      </c>
      <c r="AI39" s="983">
        <f t="shared" si="63"/>
        <v>0</v>
      </c>
      <c r="AJ39" s="977"/>
      <c r="AK39" s="977">
        <f>AH39</f>
        <v>0</v>
      </c>
      <c r="AL39" s="977">
        <v>0</v>
      </c>
      <c r="AM39" s="977">
        <v>1.659</v>
      </c>
      <c r="AN39" s="977">
        <v>1.659</v>
      </c>
      <c r="AO39" s="978">
        <f t="shared" si="67"/>
        <v>1.659</v>
      </c>
      <c r="AP39" s="977"/>
      <c r="AQ39" s="977">
        <v>0</v>
      </c>
      <c r="AR39" s="977">
        <v>0</v>
      </c>
      <c r="AS39" s="977">
        <v>0</v>
      </c>
      <c r="AT39" s="977">
        <v>0</v>
      </c>
      <c r="AU39" s="983">
        <f t="shared" si="68"/>
        <v>0</v>
      </c>
      <c r="AV39" s="977"/>
      <c r="AW39" s="977">
        <v>0</v>
      </c>
      <c r="AX39" s="977">
        <v>0</v>
      </c>
      <c r="AY39" s="977">
        <f>AX39</f>
        <v>0</v>
      </c>
      <c r="AZ39" s="977">
        <f>AY39</f>
        <v>0</v>
      </c>
      <c r="BA39" s="983">
        <f t="shared" si="69"/>
        <v>0</v>
      </c>
      <c r="BB39" s="977"/>
      <c r="BC39" s="977">
        <v>0</v>
      </c>
      <c r="BD39" s="977">
        <v>0</v>
      </c>
      <c r="BE39" s="977">
        <v>0</v>
      </c>
      <c r="BF39" s="977">
        <f>BE39</f>
        <v>0</v>
      </c>
      <c r="BG39" s="983">
        <f t="shared" si="70"/>
        <v>0</v>
      </c>
      <c r="BH39" s="977"/>
      <c r="BI39" s="979">
        <v>0</v>
      </c>
      <c r="BJ39" s="979">
        <f>BI39</f>
        <v>0</v>
      </c>
      <c r="BK39" s="979">
        <f>BJ39</f>
        <v>0</v>
      </c>
      <c r="BL39" s="979">
        <f>BK39</f>
        <v>0</v>
      </c>
      <c r="BM39" s="983">
        <f t="shared" si="71"/>
        <v>0</v>
      </c>
      <c r="BN39" s="977"/>
      <c r="BO39" s="979">
        <f>BL39</f>
        <v>0</v>
      </c>
      <c r="BP39" s="979">
        <f>BO39</f>
        <v>0</v>
      </c>
      <c r="BQ39" s="979">
        <v>0</v>
      </c>
      <c r="BR39" s="979">
        <f>BQ39</f>
        <v>0</v>
      </c>
      <c r="BS39" s="983">
        <f t="shared" si="62"/>
        <v>0</v>
      </c>
      <c r="BT39" s="977"/>
      <c r="BU39" s="979">
        <f>BR39</f>
        <v>0</v>
      </c>
      <c r="BV39" s="979">
        <f>BU39</f>
        <v>0</v>
      </c>
      <c r="BW39" s="979">
        <f>BV39</f>
        <v>0</v>
      </c>
      <c r="BX39" s="979">
        <v>0</v>
      </c>
      <c r="BY39" s="983">
        <f t="shared" si="72"/>
        <v>0</v>
      </c>
      <c r="BZ39" s="977"/>
      <c r="CA39" s="979">
        <f>BX39</f>
        <v>0</v>
      </c>
      <c r="CB39" s="979">
        <f t="shared" si="80"/>
        <v>0</v>
      </c>
      <c r="CC39" s="979">
        <f t="shared" si="80"/>
        <v>0</v>
      </c>
      <c r="CD39" s="979">
        <f t="shared" si="80"/>
        <v>0</v>
      </c>
      <c r="CE39" s="983">
        <f t="shared" si="73"/>
        <v>0</v>
      </c>
      <c r="CF39" s="977"/>
      <c r="CG39" s="979">
        <f>CD39</f>
        <v>0</v>
      </c>
      <c r="CH39" s="979">
        <f t="shared" ref="CH39:CJ39" si="82">CG39</f>
        <v>0</v>
      </c>
      <c r="CI39" s="979">
        <f t="shared" si="82"/>
        <v>0</v>
      </c>
      <c r="CJ39" s="979">
        <f t="shared" si="82"/>
        <v>0</v>
      </c>
      <c r="CK39" s="983">
        <f t="shared" si="74"/>
        <v>0</v>
      </c>
      <c r="CL39" s="977"/>
      <c r="CM39" s="979">
        <v>0</v>
      </c>
      <c r="CN39" s="979">
        <v>0</v>
      </c>
      <c r="CO39" s="979">
        <v>0</v>
      </c>
      <c r="CP39" s="979">
        <v>0</v>
      </c>
      <c r="CQ39" s="983">
        <f t="shared" si="75"/>
        <v>0</v>
      </c>
      <c r="CR39" s="977"/>
      <c r="CS39" s="979">
        <v>0</v>
      </c>
      <c r="CT39" s="979">
        <f t="shared" ref="CT39" si="83">CS39</f>
        <v>0</v>
      </c>
      <c r="CU39" s="979">
        <v>0</v>
      </c>
      <c r="CV39" s="979">
        <v>0</v>
      </c>
      <c r="CW39" s="983">
        <f t="shared" si="76"/>
        <v>0</v>
      </c>
      <c r="CX39" s="977"/>
      <c r="CY39" s="979">
        <f>CV39</f>
        <v>0</v>
      </c>
      <c r="CZ39" s="979">
        <f t="shared" ref="CZ39:DB40" si="84">CY39</f>
        <v>0</v>
      </c>
      <c r="DA39" s="979">
        <f t="shared" si="84"/>
        <v>0</v>
      </c>
      <c r="DB39" s="979">
        <f t="shared" si="84"/>
        <v>0</v>
      </c>
      <c r="DC39" s="983">
        <f t="shared" si="77"/>
        <v>0</v>
      </c>
      <c r="DD39" s="977"/>
      <c r="DE39" s="979">
        <f>DB39</f>
        <v>0</v>
      </c>
      <c r="DF39" s="979">
        <f t="shared" ref="DF39:DF40" si="85">DE39</f>
        <v>0</v>
      </c>
      <c r="DG39" s="979">
        <f t="shared" ref="DG39:DG40" si="86">DF39</f>
        <v>0</v>
      </c>
      <c r="DH39" s="979">
        <f t="shared" ref="DH39:DH40" si="87">DG39</f>
        <v>0</v>
      </c>
      <c r="DI39" s="983">
        <f t="shared" si="78"/>
        <v>0</v>
      </c>
      <c r="DJ39" s="977"/>
      <c r="DK39" s="979">
        <f>DH39</f>
        <v>0</v>
      </c>
      <c r="DL39" s="979">
        <f t="shared" ref="DL39:DL40" si="88">DK39</f>
        <v>0</v>
      </c>
      <c r="DM39" s="979">
        <f t="shared" ref="DM39:DM40" si="89">DL39</f>
        <v>0</v>
      </c>
      <c r="DN39" s="979">
        <f t="shared" ref="DN39:DN40" si="90">DM39</f>
        <v>0</v>
      </c>
      <c r="DO39" s="983">
        <f t="shared" si="79"/>
        <v>0</v>
      </c>
      <c r="DP39" s="1698"/>
      <c r="DQ39" s="956"/>
      <c r="DR39" s="956"/>
    </row>
    <row r="40" spans="1:122" ht="10.5" customHeight="1">
      <c r="A40" s="1115" t="s">
        <v>820</v>
      </c>
      <c r="B40" s="993"/>
      <c r="C40" s="982">
        <f t="shared" si="64"/>
        <v>0</v>
      </c>
      <c r="D40" s="982">
        <f t="shared" si="64"/>
        <v>0</v>
      </c>
      <c r="E40" s="982">
        <f t="shared" si="64"/>
        <v>0</v>
      </c>
      <c r="F40" s="993"/>
      <c r="G40" s="982">
        <f>G113</f>
        <v>0</v>
      </c>
      <c r="H40" s="977">
        <f t="shared" si="65"/>
        <v>0</v>
      </c>
      <c r="I40" s="977">
        <f t="shared" si="65"/>
        <v>0</v>
      </c>
      <c r="J40" s="977">
        <f t="shared" si="65"/>
        <v>0</v>
      </c>
      <c r="K40" s="977">
        <f t="shared" si="58"/>
        <v>0</v>
      </c>
      <c r="L40" s="993"/>
      <c r="M40" s="982">
        <f>M113</f>
        <v>0</v>
      </c>
      <c r="N40" s="977">
        <f t="shared" si="66"/>
        <v>0</v>
      </c>
      <c r="O40" s="977">
        <f t="shared" si="66"/>
        <v>0</v>
      </c>
      <c r="P40" s="977">
        <f t="shared" si="66"/>
        <v>0</v>
      </c>
      <c r="Q40" s="982">
        <f t="shared" si="59"/>
        <v>0</v>
      </c>
      <c r="R40" s="993"/>
      <c r="S40" s="982">
        <f>S113</f>
        <v>0</v>
      </c>
      <c r="T40" s="977">
        <f>S40</f>
        <v>0</v>
      </c>
      <c r="U40" s="977">
        <f>T40</f>
        <v>0</v>
      </c>
      <c r="V40" s="977">
        <v>0</v>
      </c>
      <c r="W40" s="982">
        <f t="shared" si="60"/>
        <v>0</v>
      </c>
      <c r="X40" s="977"/>
      <c r="Y40" s="977">
        <v>0</v>
      </c>
      <c r="Z40" s="977">
        <f t="shared" si="81"/>
        <v>0</v>
      </c>
      <c r="AA40" s="977">
        <f t="shared" si="81"/>
        <v>0</v>
      </c>
      <c r="AB40" s="977">
        <f t="shared" si="81"/>
        <v>0</v>
      </c>
      <c r="AC40" s="982">
        <f t="shared" si="61"/>
        <v>0</v>
      </c>
      <c r="AD40" s="977"/>
      <c r="AE40" s="977">
        <v>0</v>
      </c>
      <c r="AF40" s="977">
        <v>0</v>
      </c>
      <c r="AG40" s="977">
        <v>0</v>
      </c>
      <c r="AH40" s="977">
        <f>AG40</f>
        <v>0</v>
      </c>
      <c r="AI40" s="983">
        <f t="shared" si="63"/>
        <v>0</v>
      </c>
      <c r="AJ40" s="977"/>
      <c r="AK40" s="977">
        <f>AH40</f>
        <v>0</v>
      </c>
      <c r="AL40" s="977">
        <v>0</v>
      </c>
      <c r="AM40" s="977">
        <v>0</v>
      </c>
      <c r="AN40" s="977">
        <f>AM40</f>
        <v>0</v>
      </c>
      <c r="AO40" s="978">
        <f t="shared" si="67"/>
        <v>0</v>
      </c>
      <c r="AP40" s="977"/>
      <c r="AQ40" s="977">
        <v>0</v>
      </c>
      <c r="AR40" s="977">
        <v>0</v>
      </c>
      <c r="AS40" s="977">
        <v>0</v>
      </c>
      <c r="AT40" s="977">
        <v>0</v>
      </c>
      <c r="AU40" s="983">
        <f t="shared" si="68"/>
        <v>0</v>
      </c>
      <c r="AV40" s="977"/>
      <c r="AW40" s="977">
        <v>0</v>
      </c>
      <c r="AX40" s="977">
        <v>0</v>
      </c>
      <c r="AY40" s="977">
        <f>AX40</f>
        <v>0</v>
      </c>
      <c r="AZ40" s="977">
        <f>AY40</f>
        <v>0</v>
      </c>
      <c r="BA40" s="983">
        <f t="shared" si="69"/>
        <v>0</v>
      </c>
      <c r="BB40" s="977"/>
      <c r="BC40" s="977">
        <v>0</v>
      </c>
      <c r="BD40" s="977">
        <f>-2.5-151.503</f>
        <v>-154.00299999999999</v>
      </c>
      <c r="BE40" s="977">
        <f>-155.337</f>
        <v>-155.33699999999999</v>
      </c>
      <c r="BF40" s="977">
        <v>-403.33100000000002</v>
      </c>
      <c r="BG40" s="983">
        <f t="shared" si="70"/>
        <v>-403.33100000000002</v>
      </c>
      <c r="BH40" s="977"/>
      <c r="BI40" s="979">
        <v>-5.4329999999999998</v>
      </c>
      <c r="BJ40" s="979">
        <v>-298.67</v>
      </c>
      <c r="BK40" s="979">
        <v>-364.78500000000003</v>
      </c>
      <c r="BL40" s="979">
        <v>-422.69900000000001</v>
      </c>
      <c r="BM40" s="983">
        <f t="shared" si="71"/>
        <v>-422.69900000000001</v>
      </c>
      <c r="BN40" s="977"/>
      <c r="BO40" s="979">
        <v>-48.912999999999997</v>
      </c>
      <c r="BP40" s="979">
        <v>-58.991</v>
      </c>
      <c r="BQ40" s="979">
        <v>-574.75099999999998</v>
      </c>
      <c r="BR40" s="979">
        <f>-579.745</f>
        <v>-579.745</v>
      </c>
      <c r="BS40" s="983">
        <f t="shared" si="62"/>
        <v>-579.745</v>
      </c>
      <c r="BT40" s="977"/>
      <c r="BU40" s="979">
        <v>-22.161000000000001</v>
      </c>
      <c r="BV40" s="979">
        <v>-2614.732</v>
      </c>
      <c r="BW40" s="979">
        <v>-2614.732</v>
      </c>
      <c r="BX40" s="979">
        <v>-2617.3020000000001</v>
      </c>
      <c r="BY40" s="983">
        <f t="shared" si="72"/>
        <v>-2617.3020000000001</v>
      </c>
      <c r="BZ40" s="977"/>
      <c r="CA40" s="979">
        <v>0</v>
      </c>
      <c r="CB40" s="979">
        <v>0</v>
      </c>
      <c r="CC40" s="979">
        <v>38.070999999999998</v>
      </c>
      <c r="CD40" s="979">
        <v>38.070999999999998</v>
      </c>
      <c r="CE40" s="983">
        <f t="shared" si="73"/>
        <v>38.070999999999998</v>
      </c>
      <c r="CF40" s="977"/>
      <c r="CG40" s="979">
        <v>-12.47</v>
      </c>
      <c r="CH40" s="979">
        <v>-30.920999999999999</v>
      </c>
      <c r="CI40" s="979">
        <v>-58.68</v>
      </c>
      <c r="CJ40" s="979">
        <v>-58.68</v>
      </c>
      <c r="CK40" s="983">
        <f t="shared" si="74"/>
        <v>-58.68</v>
      </c>
      <c r="CL40" s="977"/>
      <c r="CM40" s="979">
        <v>-1.7989999999999999</v>
      </c>
      <c r="CN40" s="979">
        <v>-2799.9929999999999</v>
      </c>
      <c r="CO40" s="979">
        <v>-2832.11</v>
      </c>
      <c r="CP40" s="979">
        <v>-3192.739</v>
      </c>
      <c r="CQ40" s="983">
        <f t="shared" si="75"/>
        <v>-3192.739</v>
      </c>
      <c r="CR40" s="977"/>
      <c r="CS40" s="979">
        <f>+-19.781</f>
        <v>-19.780999999999999</v>
      </c>
      <c r="CT40" s="979">
        <v>-19.780999999999999</v>
      </c>
      <c r="CU40" s="979">
        <v>-19.780999999999999</v>
      </c>
      <c r="CV40" s="979">
        <v>-25.390999999999998</v>
      </c>
      <c r="CW40" s="983">
        <f t="shared" si="76"/>
        <v>-25.390999999999998</v>
      </c>
      <c r="CX40" s="977"/>
      <c r="CY40" s="979">
        <v>0</v>
      </c>
      <c r="CZ40" s="979">
        <f t="shared" si="84"/>
        <v>0</v>
      </c>
      <c r="DA40" s="979">
        <f t="shared" si="84"/>
        <v>0</v>
      </c>
      <c r="DB40" s="979">
        <f t="shared" si="84"/>
        <v>0</v>
      </c>
      <c r="DC40" s="983">
        <f t="shared" si="77"/>
        <v>0</v>
      </c>
      <c r="DD40" s="977"/>
      <c r="DE40" s="979">
        <f>DB40</f>
        <v>0</v>
      </c>
      <c r="DF40" s="979">
        <f t="shared" si="85"/>
        <v>0</v>
      </c>
      <c r="DG40" s="979">
        <f t="shared" si="86"/>
        <v>0</v>
      </c>
      <c r="DH40" s="979">
        <f t="shared" si="87"/>
        <v>0</v>
      </c>
      <c r="DI40" s="983">
        <f t="shared" si="78"/>
        <v>0</v>
      </c>
      <c r="DJ40" s="977"/>
      <c r="DK40" s="979">
        <f>DH40</f>
        <v>0</v>
      </c>
      <c r="DL40" s="979">
        <f t="shared" si="88"/>
        <v>0</v>
      </c>
      <c r="DM40" s="979">
        <f t="shared" si="89"/>
        <v>0</v>
      </c>
      <c r="DN40" s="979">
        <f t="shared" si="90"/>
        <v>0</v>
      </c>
      <c r="DO40" s="983">
        <f t="shared" si="79"/>
        <v>0</v>
      </c>
      <c r="DP40" s="1698"/>
      <c r="DQ40" s="956"/>
      <c r="DR40" s="956"/>
    </row>
    <row r="41" spans="1:122" ht="10.5" customHeight="1">
      <c r="A41" s="1115" t="s">
        <v>324</v>
      </c>
      <c r="B41" s="993"/>
      <c r="C41" s="982">
        <f t="shared" si="64"/>
        <v>0</v>
      </c>
      <c r="D41" s="982">
        <f t="shared" si="64"/>
        <v>0</v>
      </c>
      <c r="E41" s="982">
        <f t="shared" si="64"/>
        <v>0</v>
      </c>
      <c r="F41" s="993"/>
      <c r="G41" s="982">
        <f>G114</f>
        <v>0</v>
      </c>
      <c r="H41" s="977">
        <f t="shared" si="65"/>
        <v>0</v>
      </c>
      <c r="I41" s="977">
        <f t="shared" si="65"/>
        <v>0</v>
      </c>
      <c r="J41" s="977">
        <f t="shared" si="65"/>
        <v>0</v>
      </c>
      <c r="K41" s="977">
        <f t="shared" si="58"/>
        <v>0</v>
      </c>
      <c r="L41" s="993"/>
      <c r="M41" s="982">
        <f>M114</f>
        <v>0</v>
      </c>
      <c r="N41" s="977">
        <f t="shared" si="66"/>
        <v>0</v>
      </c>
      <c r="O41" s="977">
        <f t="shared" si="66"/>
        <v>0</v>
      </c>
      <c r="P41" s="977">
        <f t="shared" si="66"/>
        <v>0</v>
      </c>
      <c r="Q41" s="982">
        <f t="shared" si="59"/>
        <v>0</v>
      </c>
      <c r="R41" s="993"/>
      <c r="S41" s="982">
        <f>S114</f>
        <v>0</v>
      </c>
      <c r="T41" s="977">
        <v>0.754</v>
      </c>
      <c r="U41" s="977">
        <v>0.98499999999999999</v>
      </c>
      <c r="V41" s="977">
        <v>0.72099999999999997</v>
      </c>
      <c r="W41" s="982">
        <f t="shared" si="60"/>
        <v>0.72099999999999997</v>
      </c>
      <c r="X41" s="977"/>
      <c r="Y41" s="977">
        <v>0</v>
      </c>
      <c r="Z41" s="977">
        <v>0</v>
      </c>
      <c r="AA41" s="977">
        <v>3.1909999999999998</v>
      </c>
      <c r="AB41" s="977">
        <v>3.1909999999999998</v>
      </c>
      <c r="AC41" s="982">
        <f t="shared" si="61"/>
        <v>3.1909999999999998</v>
      </c>
      <c r="AD41" s="977"/>
      <c r="AE41" s="977">
        <v>0</v>
      </c>
      <c r="AF41" s="977">
        <v>0</v>
      </c>
      <c r="AG41" s="977">
        <v>0</v>
      </c>
      <c r="AH41" s="977">
        <v>-2.7770000000000001</v>
      </c>
      <c r="AI41" s="983">
        <f t="shared" si="63"/>
        <v>-2.7770000000000001</v>
      </c>
      <c r="AJ41" s="977"/>
      <c r="AK41" s="977">
        <v>0</v>
      </c>
      <c r="AL41" s="977">
        <v>0</v>
      </c>
      <c r="AM41" s="977">
        <v>0</v>
      </c>
      <c r="AN41" s="977">
        <v>0</v>
      </c>
      <c r="AO41" s="978">
        <f t="shared" si="67"/>
        <v>0</v>
      </c>
      <c r="AP41" s="977"/>
      <c r="AQ41" s="977">
        <v>0</v>
      </c>
      <c r="AR41" s="977">
        <v>0</v>
      </c>
      <c r="AS41" s="977">
        <v>-16.693000000000001</v>
      </c>
      <c r="AT41" s="977">
        <v>-21.622</v>
      </c>
      <c r="AU41" s="983">
        <f t="shared" si="68"/>
        <v>-21.622</v>
      </c>
      <c r="AV41" s="977"/>
      <c r="AW41" s="977">
        <v>0</v>
      </c>
      <c r="AX41" s="977">
        <v>0</v>
      </c>
      <c r="AY41" s="977">
        <v>0</v>
      </c>
      <c r="AZ41" s="977">
        <v>0</v>
      </c>
      <c r="BA41" s="983">
        <f t="shared" si="69"/>
        <v>0</v>
      </c>
      <c r="BB41" s="977"/>
      <c r="BC41" s="977">
        <v>-1.2729999999999999</v>
      </c>
      <c r="BD41" s="977">
        <v>-1.2729999999999999</v>
      </c>
      <c r="BE41" s="977">
        <f>-6.5</f>
        <v>-6.5</v>
      </c>
      <c r="BF41" s="977">
        <v>-20.105</v>
      </c>
      <c r="BG41" s="983">
        <f t="shared" si="70"/>
        <v>-20.105</v>
      </c>
      <c r="BH41" s="977"/>
      <c r="BI41" s="977">
        <v>0</v>
      </c>
      <c r="BJ41" s="977">
        <v>0</v>
      </c>
      <c r="BK41" s="977">
        <v>0</v>
      </c>
      <c r="BL41" s="977">
        <v>0</v>
      </c>
      <c r="BM41" s="983">
        <f t="shared" si="71"/>
        <v>0</v>
      </c>
      <c r="BN41" s="977"/>
      <c r="BO41" s="977">
        <f>-2.665</f>
        <v>-2.665</v>
      </c>
      <c r="BP41" s="977">
        <v>-3.794</v>
      </c>
      <c r="BQ41" s="977">
        <v>0</v>
      </c>
      <c r="BR41" s="977">
        <v>0</v>
      </c>
      <c r="BS41" s="983">
        <f t="shared" si="62"/>
        <v>0</v>
      </c>
      <c r="BT41" s="977"/>
      <c r="BU41" s="977">
        <v>0</v>
      </c>
      <c r="BV41" s="977">
        <v>0</v>
      </c>
      <c r="BW41" s="977">
        <v>0</v>
      </c>
      <c r="BX41" s="977">
        <v>0</v>
      </c>
      <c r="BY41" s="983">
        <f t="shared" si="72"/>
        <v>0</v>
      </c>
      <c r="BZ41" s="977"/>
      <c r="CA41" s="977">
        <v>0</v>
      </c>
      <c r="CB41" s="977">
        <v>0</v>
      </c>
      <c r="CC41" s="977">
        <v>0</v>
      </c>
      <c r="CD41" s="977">
        <v>0</v>
      </c>
      <c r="CE41" s="983">
        <f t="shared" si="73"/>
        <v>0</v>
      </c>
      <c r="CF41" s="977"/>
      <c r="CG41" s="977">
        <v>0</v>
      </c>
      <c r="CH41" s="977">
        <v>0</v>
      </c>
      <c r="CI41" s="977">
        <v>0</v>
      </c>
      <c r="CJ41" s="977">
        <v>0</v>
      </c>
      <c r="CK41" s="983">
        <f t="shared" si="74"/>
        <v>0</v>
      </c>
      <c r="CL41" s="977"/>
      <c r="CM41" s="977">
        <v>0</v>
      </c>
      <c r="CN41" s="977">
        <v>0</v>
      </c>
      <c r="CO41" s="977">
        <v>0</v>
      </c>
      <c r="CP41" s="977">
        <v>0</v>
      </c>
      <c r="CQ41" s="983">
        <f t="shared" si="75"/>
        <v>0</v>
      </c>
      <c r="CR41" s="977"/>
      <c r="CS41" s="977">
        <v>0</v>
      </c>
      <c r="CT41" s="977">
        <v>0</v>
      </c>
      <c r="CU41" s="977">
        <v>0</v>
      </c>
      <c r="CV41" s="977">
        <v>0</v>
      </c>
      <c r="CW41" s="983">
        <f t="shared" si="76"/>
        <v>0</v>
      </c>
      <c r="CX41" s="977"/>
      <c r="CY41" s="977">
        <f>(BS!CV26-BS!CY26)+(BS!CY45-BS!CV45)</f>
        <v>-445.78171274379952</v>
      </c>
      <c r="CZ41" s="977">
        <f>(BS!CY26-BS!CZ26)+(BS!CZ45-BS!CY45)+CY41</f>
        <v>-303.80224273633303</v>
      </c>
      <c r="DA41" s="977">
        <f>(BS!CZ26-BS!DA26)+(BS!DA45-BS!CZ45)+CZ41</f>
        <v>-149.52060789565098</v>
      </c>
      <c r="DB41" s="977">
        <f>(BS!DA26-BS!DB26)+(BS!DB45-BS!DA45)+DA41</f>
        <v>1.9643582061673897</v>
      </c>
      <c r="DC41" s="983">
        <f t="shared" si="77"/>
        <v>1.9643582061673897</v>
      </c>
      <c r="DD41" s="977"/>
      <c r="DE41" s="977">
        <f>(BS!DB26-BS!DE26)+(BS!DE45-BS!DB45)</f>
        <v>-516.8809875064735</v>
      </c>
      <c r="DF41" s="977">
        <f>(BS!DE26-BS!DF26)+(BS!DF45-BS!DE45)+DE41</f>
        <v>-328.37350494770476</v>
      </c>
      <c r="DG41" s="977">
        <f>(BS!DF26-BS!DG26)+(BS!DG45-BS!DF45)+DF41</f>
        <v>-128.51921536386953</v>
      </c>
      <c r="DH41" s="977">
        <f>(BS!DG26-BS!DH26)+(BS!DH45-BS!DG45)+DG41</f>
        <v>67.485947208053403</v>
      </c>
      <c r="DI41" s="983">
        <f t="shared" si="78"/>
        <v>67.485947208053403</v>
      </c>
      <c r="DJ41" s="977"/>
      <c r="DK41" s="977">
        <f>(BS!DH26-BS!DK26)+(BS!DK45-BS!DH45)</f>
        <v>-604.53624912378064</v>
      </c>
      <c r="DL41" s="977">
        <f>(BS!DK26-BS!DL26)+(BS!DL45-BS!DK45)+DK41</f>
        <v>-360.498608314801</v>
      </c>
      <c r="DM41" s="977">
        <f>(BS!DL26-BS!DM26)+(BS!DM45-BS!DL45)+DL41</f>
        <v>-102.98113879772836</v>
      </c>
      <c r="DN41" s="977">
        <f>(BS!DM26-BS!DN26)+(BS!DN45-BS!DM45)+DM41</f>
        <v>147.98510641540452</v>
      </c>
      <c r="DO41" s="983">
        <f t="shared" si="79"/>
        <v>147.98510641540452</v>
      </c>
      <c r="DP41" s="1698"/>
      <c r="DQ41" s="956"/>
      <c r="DR41" s="956"/>
    </row>
    <row r="42" spans="1:122" ht="10.5" customHeight="1">
      <c r="A42" s="1295" t="s">
        <v>320</v>
      </c>
      <c r="B42" s="990"/>
      <c r="C42" s="1297">
        <f>SUM(C34:C41)</f>
        <v>-1.262</v>
      </c>
      <c r="D42" s="1297">
        <f>SUM(D34:D41)</f>
        <v>-9.3689999999999998</v>
      </c>
      <c r="E42" s="1297">
        <f>SUM(E34:E41)</f>
        <v>-0.71299999999999997</v>
      </c>
      <c r="F42" s="1297"/>
      <c r="G42" s="1297">
        <f>SUM(G34:G41)</f>
        <v>-5.2539999999999996</v>
      </c>
      <c r="H42" s="1297">
        <f>SUM(H34:H41)</f>
        <v>-5.9809999999999999</v>
      </c>
      <c r="I42" s="1297">
        <f>SUM(I34:I41)</f>
        <v>-6.7029999999999994</v>
      </c>
      <c r="J42" s="1297">
        <f>SUM(J34:J41)</f>
        <v>-9.5549999999999997</v>
      </c>
      <c r="K42" s="1297">
        <f t="shared" si="58"/>
        <v>-9.5549999999999997</v>
      </c>
      <c r="L42" s="1297"/>
      <c r="M42" s="1297">
        <f>SUM(M34:M41)</f>
        <v>-8.4439999999999991</v>
      </c>
      <c r="N42" s="1297">
        <f>SUM(N34:N41)</f>
        <v>-11.196</v>
      </c>
      <c r="O42" s="1297">
        <f>SUM(O34:O41)</f>
        <v>-18.36</v>
      </c>
      <c r="P42" s="1297">
        <f>SUM(P34:P41)</f>
        <v>-21.143999999999998</v>
      </c>
      <c r="Q42" s="1296">
        <f t="shared" si="59"/>
        <v>-21.143999999999998</v>
      </c>
      <c r="R42" s="1297"/>
      <c r="S42" s="1297">
        <f>SUM(S34:S41)</f>
        <v>-13.107999999999997</v>
      </c>
      <c r="T42" s="1297">
        <f>SUM(T34:T41)</f>
        <v>-86.192999999999998</v>
      </c>
      <c r="U42" s="1297">
        <f>SUM(U34:U41)</f>
        <v>-137.96699999999998</v>
      </c>
      <c r="V42" s="1297">
        <f>SUM(V34:V41)</f>
        <v>-149.19899999999998</v>
      </c>
      <c r="W42" s="1296">
        <f t="shared" si="60"/>
        <v>-149.19899999999998</v>
      </c>
      <c r="X42" s="1297"/>
      <c r="Y42" s="1297">
        <f>SUM(Y34:Y41)</f>
        <v>-15.765999999999991</v>
      </c>
      <c r="Z42" s="1297">
        <f>SUM(Z34:Z41)</f>
        <v>-50.677999999999997</v>
      </c>
      <c r="AA42" s="1297">
        <f>SUM(AA34:AA41)</f>
        <v>-14.912000000000003</v>
      </c>
      <c r="AB42" s="1297">
        <f>SUM(AB34:AB41)</f>
        <v>-47.804999999999978</v>
      </c>
      <c r="AC42" s="1296">
        <f t="shared" si="61"/>
        <v>-47.804999999999978</v>
      </c>
      <c r="AD42" s="1297"/>
      <c r="AE42" s="1297">
        <f>SUM(AE34:AE41)</f>
        <v>9.1109999999999971</v>
      </c>
      <c r="AF42" s="1297">
        <f>SUM(AF34:AF41)</f>
        <v>-7.8579999999999988</v>
      </c>
      <c r="AG42" s="1297">
        <f>SUM(AG34:AG41)</f>
        <v>-133.15199999999999</v>
      </c>
      <c r="AH42" s="1297">
        <f>SUM(AH34:AH41)</f>
        <v>-168.596</v>
      </c>
      <c r="AI42" s="1298">
        <f t="shared" si="63"/>
        <v>-168.596</v>
      </c>
      <c r="AJ42" s="1297"/>
      <c r="AK42" s="1297">
        <f>SUM(AK34:AK41)</f>
        <v>-50.169000000000004</v>
      </c>
      <c r="AL42" s="1297">
        <f>SUM(AL34:AL41)</f>
        <v>-74.00800000000001</v>
      </c>
      <c r="AM42" s="1297">
        <f>SUM(AM34:AM41)</f>
        <v>-116.611</v>
      </c>
      <c r="AN42" s="1297">
        <f>SUM(AN34:AN41)</f>
        <v>-102.70899999999999</v>
      </c>
      <c r="AO42" s="1299">
        <f t="shared" si="67"/>
        <v>-102.70899999999999</v>
      </c>
      <c r="AP42" s="1297"/>
      <c r="AQ42" s="1297">
        <f>SUM(AQ34:AQ41)</f>
        <v>-7.6370000000000005</v>
      </c>
      <c r="AR42" s="1297">
        <f>SUM(AR34:AR41)</f>
        <v>-45.790999999999997</v>
      </c>
      <c r="AS42" s="1297">
        <f>SUM(AS34:AS41)</f>
        <v>-131.70500000000001</v>
      </c>
      <c r="AT42" s="1297">
        <f>SUM(AT34:AT41)</f>
        <v>-120.997</v>
      </c>
      <c r="AU42" s="1298">
        <f t="shared" si="68"/>
        <v>-120.997</v>
      </c>
      <c r="AV42" s="1297"/>
      <c r="AW42" s="1297">
        <f>SUM(AW34:AW41)</f>
        <v>-256.06600000000003</v>
      </c>
      <c r="AX42" s="1297">
        <f>SUM(AX34:AX41)</f>
        <v>-413.78700000000003</v>
      </c>
      <c r="AY42" s="1297">
        <f>SUM(AY34:AY41)</f>
        <v>-473.61900000000003</v>
      </c>
      <c r="AZ42" s="1297">
        <f>SUM(AZ34:AZ41)</f>
        <v>-378.61600000000004</v>
      </c>
      <c r="BA42" s="1298">
        <f t="shared" si="69"/>
        <v>-378.61600000000004</v>
      </c>
      <c r="BB42" s="1297"/>
      <c r="BC42" s="1297">
        <f>SUM(BC34:BC41)</f>
        <v>-509.40600000000001</v>
      </c>
      <c r="BD42" s="1297">
        <f>SUM(BD34:BD41)</f>
        <v>-924.76999999999987</v>
      </c>
      <c r="BE42" s="1297">
        <f>SUM(BE34:BE41)</f>
        <v>-679.78099999999995</v>
      </c>
      <c r="BF42" s="1297">
        <f>SUM(BF34:BF41)</f>
        <v>-1062.5540000000001</v>
      </c>
      <c r="BG42" s="1298">
        <f t="shared" si="70"/>
        <v>-1062.5540000000001</v>
      </c>
      <c r="BH42" s="1297"/>
      <c r="BI42" s="1297">
        <f>SUM(BI34:BI41)</f>
        <v>79.361999999999995</v>
      </c>
      <c r="BJ42" s="1297">
        <f>SUM(BJ34:BJ41)</f>
        <v>-242.566</v>
      </c>
      <c r="BK42" s="1297">
        <f>SUM(BK34:BK41)</f>
        <v>-332.35400000000004</v>
      </c>
      <c r="BL42" s="1297">
        <f>SUM(BL34:BL41)</f>
        <v>-489.69000000000005</v>
      </c>
      <c r="BM42" s="1298">
        <f t="shared" si="71"/>
        <v>-489.69000000000005</v>
      </c>
      <c r="BN42" s="1297"/>
      <c r="BO42" s="1297">
        <f>SUM(BO34:BO41)</f>
        <v>-474.98700000000002</v>
      </c>
      <c r="BP42" s="1297">
        <f>SUM(BP34:BP41)</f>
        <v>-102.70099999999999</v>
      </c>
      <c r="BQ42" s="1297">
        <f>SUM(BQ34:BQ41)</f>
        <v>-760.59999999999991</v>
      </c>
      <c r="BR42" s="1297">
        <f>SUM(BR34:BR41)</f>
        <v>-938.91800000000001</v>
      </c>
      <c r="BS42" s="1298">
        <f t="shared" si="62"/>
        <v>-938.91800000000001</v>
      </c>
      <c r="BT42" s="1297"/>
      <c r="BU42" s="1297">
        <f>SUM(BU34:BU41)</f>
        <v>-219.27600000000001</v>
      </c>
      <c r="BV42" s="1297">
        <f>SUM(BV34:BV41)</f>
        <v>-2074.596</v>
      </c>
      <c r="BW42" s="1297">
        <f>SUM(BW34:BW41)</f>
        <v>-2238.1179999999999</v>
      </c>
      <c r="BX42" s="1297">
        <f>SUM(BX34:BX41)</f>
        <v>-2431.5549999999998</v>
      </c>
      <c r="BY42" s="1298">
        <f t="shared" si="72"/>
        <v>-2431.5549999999998</v>
      </c>
      <c r="BZ42" s="1297"/>
      <c r="CA42" s="1297">
        <f>SUM(CA34:CA41)</f>
        <v>-210.37</v>
      </c>
      <c r="CB42" s="1297">
        <f>SUM(CB34:CB41)</f>
        <v>-496.84600000000012</v>
      </c>
      <c r="CC42" s="1297">
        <f>SUM(CC34:CC41)</f>
        <v>-553.11199999999997</v>
      </c>
      <c r="CD42" s="1297">
        <f>SUM(CD34:CD41)</f>
        <v>-698.3599999999999</v>
      </c>
      <c r="CE42" s="1298">
        <f t="shared" si="73"/>
        <v>-698.3599999999999</v>
      </c>
      <c r="CF42" s="1297"/>
      <c r="CG42" s="1297">
        <f>SUM(CG34:CG41)</f>
        <v>-536.12300000000005</v>
      </c>
      <c r="CH42" s="1297">
        <f>SUM(CH34:CH41)</f>
        <v>-769.90000000000009</v>
      </c>
      <c r="CI42" s="1297">
        <f>SUM(CI34:CI41)</f>
        <v>-882.64599999999984</v>
      </c>
      <c r="CJ42" s="1297">
        <f>SUM(CJ34:CJ41)</f>
        <v>-1487.8779999999999</v>
      </c>
      <c r="CK42" s="1298">
        <f t="shared" si="74"/>
        <v>-1487.8779999999999</v>
      </c>
      <c r="CL42" s="1297"/>
      <c r="CM42" s="1297">
        <f>SUM(CM34:CM41)</f>
        <v>-450.27800000000002</v>
      </c>
      <c r="CN42" s="1297">
        <f>SUM(CN34:CN41)</f>
        <v>-1992.71</v>
      </c>
      <c r="CO42" s="1297">
        <f>SUM(CO34:CO41)</f>
        <v>-2186.4940000000001</v>
      </c>
      <c r="CP42" s="1297">
        <f>SUM(CP34:CP41)</f>
        <v>-2684.3410000000003</v>
      </c>
      <c r="CQ42" s="1298">
        <f t="shared" si="75"/>
        <v>-2684.3410000000003</v>
      </c>
      <c r="CR42" s="1297"/>
      <c r="CS42" s="1297">
        <f>SUM(CS34:CS41)</f>
        <v>-767.71499999999992</v>
      </c>
      <c r="CT42" s="1297">
        <f>SUM(CT34:CT41)</f>
        <v>-1291.346</v>
      </c>
      <c r="CU42" s="1297">
        <f>SUM(CU34:CU41)</f>
        <v>-1426.6200000000001</v>
      </c>
      <c r="CV42" s="1297">
        <f>SUM(CV34:CV41)</f>
        <v>-2010.502</v>
      </c>
      <c r="CW42" s="1298">
        <f t="shared" si="76"/>
        <v>-2010.502</v>
      </c>
      <c r="CX42" s="1297"/>
      <c r="CY42" s="1297">
        <f>SUM(CY34:CY41)</f>
        <v>-602.97456027331737</v>
      </c>
      <c r="CZ42" s="1297">
        <f>SUM(CZ34:CZ41)</f>
        <v>-579.18427445523139</v>
      </c>
      <c r="DA42" s="1297">
        <f>SUM(DA34:DA41)</f>
        <v>-519.7798820382709</v>
      </c>
      <c r="DB42" s="1297">
        <f>SUM(DB34:DB41)</f>
        <v>-491.57713847510513</v>
      </c>
      <c r="DC42" s="1298">
        <f t="shared" si="77"/>
        <v>-491.57713847510513</v>
      </c>
      <c r="DD42" s="1297"/>
      <c r="DE42" s="1297">
        <f>SUM(DE34:DE41)</f>
        <v>-687.78884564533814</v>
      </c>
      <c r="DF42" s="1297">
        <f>SUM(DF34:DF41)</f>
        <v>-641.46248136111262</v>
      </c>
      <c r="DG42" s="1297">
        <f>SUM(DG34:DG41)</f>
        <v>-555.75098724836448</v>
      </c>
      <c r="DH42" s="1297">
        <f>SUM(DH34:DH41)</f>
        <v>-507.17704306293854</v>
      </c>
      <c r="DI42" s="1298">
        <f t="shared" si="78"/>
        <v>-507.17704306293854</v>
      </c>
      <c r="DJ42" s="1297"/>
      <c r="DK42" s="1297">
        <f>SUM(DK34:DK41)</f>
        <v>-766.31466717206149</v>
      </c>
      <c r="DL42" s="1297">
        <f>SUM(DL34:DL41)</f>
        <v>-692.06798148399264</v>
      </c>
      <c r="DM42" s="1297">
        <f>SUM(DM34:DM41)</f>
        <v>-570.71748816465345</v>
      </c>
      <c r="DN42" s="1297">
        <f>SUM(DN34:DN41)</f>
        <v>-519.83965636590415</v>
      </c>
      <c r="DO42" s="1298">
        <f t="shared" si="79"/>
        <v>-519.83965636590415</v>
      </c>
      <c r="DP42" s="958"/>
      <c r="DQ42" s="958"/>
      <c r="DR42" s="958"/>
    </row>
    <row r="43" spans="1:122" ht="5.25" customHeight="1">
      <c r="A43" s="1219"/>
      <c r="B43" s="993"/>
      <c r="C43" s="959"/>
      <c r="D43" s="959"/>
      <c r="E43" s="959"/>
      <c r="F43" s="959"/>
      <c r="G43" s="959"/>
      <c r="H43" s="959"/>
      <c r="I43" s="959"/>
      <c r="J43" s="959"/>
      <c r="K43" s="959"/>
      <c r="L43" s="959"/>
      <c r="M43" s="959"/>
      <c r="N43" s="959"/>
      <c r="O43" s="959"/>
      <c r="P43" s="959"/>
      <c r="Q43" s="959"/>
      <c r="R43" s="959"/>
      <c r="S43" s="959"/>
      <c r="T43" s="1219"/>
      <c r="U43" s="959"/>
      <c r="V43" s="959"/>
      <c r="W43" s="959"/>
      <c r="X43" s="959"/>
      <c r="Y43" s="959"/>
      <c r="Z43" s="959"/>
      <c r="AA43" s="959"/>
      <c r="AB43" s="959"/>
      <c r="AC43" s="959"/>
      <c r="AD43" s="959"/>
      <c r="AE43" s="1219"/>
      <c r="AF43" s="959"/>
      <c r="AG43" s="1219"/>
      <c r="AH43" s="1219"/>
      <c r="AI43" s="1300"/>
      <c r="AJ43" s="959"/>
      <c r="AK43" s="959"/>
      <c r="AL43" s="1219"/>
      <c r="AM43" s="1219"/>
      <c r="AN43" s="1219"/>
      <c r="AO43" s="1317"/>
      <c r="AP43" s="959"/>
      <c r="AQ43" s="959"/>
      <c r="AR43" s="1219"/>
      <c r="AS43" s="1219"/>
      <c r="AT43" s="1219"/>
      <c r="AU43" s="1300"/>
      <c r="AV43" s="959"/>
      <c r="AW43" s="959"/>
      <c r="AX43" s="1219"/>
      <c r="AY43" s="1219"/>
      <c r="AZ43" s="1219"/>
      <c r="BA43" s="1300"/>
      <c r="BB43" s="959"/>
      <c r="BC43" s="1219"/>
      <c r="BD43" s="959"/>
      <c r="BE43" s="959"/>
      <c r="BF43" s="959"/>
      <c r="BG43" s="1300"/>
      <c r="BH43" s="959"/>
      <c r="BI43" s="959"/>
      <c r="BJ43" s="959"/>
      <c r="BK43" s="959"/>
      <c r="BL43" s="959"/>
      <c r="BM43" s="1300"/>
      <c r="BN43" s="959"/>
      <c r="BO43" s="959"/>
      <c r="BP43" s="959"/>
      <c r="BQ43" s="959"/>
      <c r="BR43" s="959"/>
      <c r="BS43" s="1300"/>
      <c r="BT43" s="959"/>
      <c r="BU43" s="959"/>
      <c r="BV43" s="959"/>
      <c r="BW43" s="959"/>
      <c r="BX43" s="959"/>
      <c r="BY43" s="1300"/>
      <c r="BZ43" s="959"/>
      <c r="CA43" s="959"/>
      <c r="CB43" s="959"/>
      <c r="CC43" s="959"/>
      <c r="CD43" s="959"/>
      <c r="CE43" s="1300"/>
      <c r="CF43" s="959"/>
      <c r="CG43" s="959"/>
      <c r="CH43" s="959"/>
      <c r="CI43" s="959"/>
      <c r="CJ43" s="959"/>
      <c r="CK43" s="1300"/>
      <c r="CL43" s="959"/>
      <c r="CM43" s="959"/>
      <c r="CN43" s="959"/>
      <c r="CO43" s="959"/>
      <c r="CP43" s="959"/>
      <c r="CQ43" s="1300"/>
      <c r="CR43" s="959"/>
      <c r="CS43" s="959"/>
      <c r="CT43" s="959"/>
      <c r="CU43" s="959"/>
      <c r="CV43" s="959"/>
      <c r="CW43" s="1300"/>
      <c r="CX43" s="959"/>
      <c r="CY43" s="959"/>
      <c r="CZ43" s="959"/>
      <c r="DA43" s="959"/>
      <c r="DB43" s="959"/>
      <c r="DC43" s="1300"/>
      <c r="DD43" s="959"/>
      <c r="DE43" s="959"/>
      <c r="DF43" s="959"/>
      <c r="DG43" s="959"/>
      <c r="DH43" s="959"/>
      <c r="DI43" s="1300"/>
      <c r="DJ43" s="959"/>
      <c r="DK43" s="959"/>
      <c r="DL43" s="959"/>
      <c r="DM43" s="959"/>
      <c r="DN43" s="959"/>
      <c r="DO43" s="1300"/>
      <c r="DP43" s="959"/>
      <c r="DQ43" s="959"/>
      <c r="DR43" s="959"/>
    </row>
    <row r="44" spans="1:122" ht="9.9499999999999993" customHeight="1">
      <c r="A44" s="1114" t="s">
        <v>253</v>
      </c>
      <c r="B44" s="993"/>
      <c r="C44" s="1011"/>
      <c r="D44" s="1011"/>
      <c r="E44" s="1011"/>
      <c r="F44" s="993"/>
      <c r="G44" s="1011"/>
      <c r="H44" s="993"/>
      <c r="I44" s="993"/>
      <c r="J44" s="993"/>
      <c r="K44" s="993"/>
      <c r="L44" s="993"/>
      <c r="M44" s="1011"/>
      <c r="N44" s="993"/>
      <c r="O44" s="993"/>
      <c r="P44" s="993"/>
      <c r="Q44" s="1011"/>
      <c r="R44" s="993"/>
      <c r="S44" s="1011"/>
      <c r="T44" s="993"/>
      <c r="U44" s="994"/>
      <c r="V44" s="994"/>
      <c r="W44" s="1011"/>
      <c r="X44" s="993"/>
      <c r="Y44" s="994"/>
      <c r="Z44" s="994"/>
      <c r="AA44" s="994"/>
      <c r="AB44" s="993"/>
      <c r="AC44" s="1011"/>
      <c r="AD44" s="993"/>
      <c r="AE44" s="993"/>
      <c r="AF44" s="994"/>
      <c r="AG44" s="993"/>
      <c r="AH44" s="993"/>
      <c r="AI44" s="995"/>
      <c r="AJ44" s="993"/>
      <c r="AK44" s="994"/>
      <c r="AL44" s="993"/>
      <c r="AM44" s="993"/>
      <c r="AN44" s="993"/>
      <c r="AO44" s="996"/>
      <c r="AP44" s="993"/>
      <c r="AQ44" s="994"/>
      <c r="AR44" s="993"/>
      <c r="AS44" s="993"/>
      <c r="AT44" s="993"/>
      <c r="AU44" s="995"/>
      <c r="AV44" s="993"/>
      <c r="AW44" s="994"/>
      <c r="AX44" s="993"/>
      <c r="AY44" s="993"/>
      <c r="AZ44" s="993"/>
      <c r="BA44" s="995"/>
      <c r="BB44" s="993"/>
      <c r="BC44" s="993"/>
      <c r="BD44" s="994"/>
      <c r="BE44" s="994"/>
      <c r="BF44" s="994"/>
      <c r="BG44" s="995"/>
      <c r="BH44" s="993"/>
      <c r="BI44" s="994"/>
      <c r="BJ44" s="994"/>
      <c r="BK44" s="994"/>
      <c r="BL44" s="994"/>
      <c r="BM44" s="995"/>
      <c r="BN44" s="993"/>
      <c r="BO44" s="994"/>
      <c r="BP44" s="994"/>
      <c r="BQ44" s="994"/>
      <c r="BR44" s="994"/>
      <c r="BS44" s="1172"/>
      <c r="BT44" s="993"/>
      <c r="BU44" s="994"/>
      <c r="BV44" s="994"/>
      <c r="BW44" s="994"/>
      <c r="BX44" s="994"/>
      <c r="BY44" s="1172"/>
      <c r="BZ44" s="993"/>
      <c r="CA44" s="994"/>
      <c r="CB44" s="994"/>
      <c r="CC44" s="994"/>
      <c r="CD44" s="994"/>
      <c r="CE44" s="995"/>
      <c r="CF44" s="993"/>
      <c r="CG44" s="994"/>
      <c r="CH44" s="994"/>
      <c r="CI44" s="994"/>
      <c r="CJ44" s="994"/>
      <c r="CK44" s="995"/>
      <c r="CL44" s="993"/>
      <c r="CM44" s="994"/>
      <c r="CN44" s="994"/>
      <c r="CO44" s="994"/>
      <c r="CP44" s="994"/>
      <c r="CQ44" s="995"/>
      <c r="CR44" s="993"/>
      <c r="CS44" s="994"/>
      <c r="CT44" s="994"/>
      <c r="CU44" s="994"/>
      <c r="CV44" s="994"/>
      <c r="CW44" s="995"/>
      <c r="CX44" s="993"/>
      <c r="CY44" s="994"/>
      <c r="CZ44" s="994"/>
      <c r="DA44" s="994"/>
      <c r="DB44" s="994"/>
      <c r="DC44" s="995"/>
      <c r="DD44" s="993"/>
      <c r="DE44" s="994"/>
      <c r="DF44" s="994"/>
      <c r="DG44" s="994"/>
      <c r="DH44" s="994"/>
      <c r="DI44" s="995"/>
      <c r="DJ44" s="993"/>
      <c r="DK44" s="994"/>
      <c r="DL44" s="994"/>
      <c r="DM44" s="994"/>
      <c r="DN44" s="994"/>
      <c r="DO44" s="995"/>
      <c r="DP44" s="1698"/>
      <c r="DQ44" s="956"/>
      <c r="DR44" s="956"/>
    </row>
    <row r="45" spans="1:122" ht="9.9499999999999993" customHeight="1">
      <c r="A45" s="1115" t="s">
        <v>704</v>
      </c>
      <c r="B45" s="993"/>
      <c r="C45" s="982">
        <f t="shared" ref="C45:E47" si="91">C118</f>
        <v>16.925000000000001</v>
      </c>
      <c r="D45" s="982">
        <f t="shared" si="91"/>
        <v>44.222999999999999</v>
      </c>
      <c r="E45" s="982">
        <f t="shared" si="91"/>
        <v>1.2849999999999999</v>
      </c>
      <c r="F45" s="993"/>
      <c r="G45" s="982">
        <f>G118</f>
        <v>0</v>
      </c>
      <c r="H45" s="977">
        <f t="shared" ref="H45:J47" si="92">G45+H118</f>
        <v>0</v>
      </c>
      <c r="I45" s="977">
        <f t="shared" si="92"/>
        <v>0</v>
      </c>
      <c r="J45" s="977">
        <f t="shared" si="92"/>
        <v>0</v>
      </c>
      <c r="K45" s="977">
        <f t="shared" ref="K45:K64" si="93">J45</f>
        <v>0</v>
      </c>
      <c r="L45" s="993"/>
      <c r="M45" s="982">
        <f>M118</f>
        <v>0</v>
      </c>
      <c r="N45" s="977">
        <f t="shared" ref="N45:P47" si="94">M45+N118</f>
        <v>0</v>
      </c>
      <c r="O45" s="977">
        <f t="shared" si="94"/>
        <v>0</v>
      </c>
      <c r="P45" s="977">
        <f t="shared" si="94"/>
        <v>0</v>
      </c>
      <c r="Q45" s="982">
        <f t="shared" ref="Q45:Q64" si="95">P45</f>
        <v>0</v>
      </c>
      <c r="R45" s="993"/>
      <c r="S45" s="982">
        <f>S118</f>
        <v>0</v>
      </c>
      <c r="T45" s="977">
        <v>0</v>
      </c>
      <c r="U45" s="977">
        <v>0</v>
      </c>
      <c r="V45" s="977">
        <v>0</v>
      </c>
      <c r="W45" s="982">
        <f t="shared" ref="W45:W53" si="96">V45</f>
        <v>0</v>
      </c>
      <c r="X45" s="977"/>
      <c r="Y45" s="977">
        <v>0</v>
      </c>
      <c r="Z45" s="977">
        <v>0</v>
      </c>
      <c r="AA45" s="977">
        <v>0</v>
      </c>
      <c r="AB45" s="977">
        <v>0</v>
      </c>
      <c r="AC45" s="982">
        <f>AB45</f>
        <v>0</v>
      </c>
      <c r="AD45" s="977"/>
      <c r="AE45" s="977">
        <v>0</v>
      </c>
      <c r="AF45" s="977">
        <v>0</v>
      </c>
      <c r="AG45" s="977">
        <v>0</v>
      </c>
      <c r="AH45" s="977">
        <f>AG45</f>
        <v>0</v>
      </c>
      <c r="AI45" s="983">
        <f>AH45</f>
        <v>0</v>
      </c>
      <c r="AJ45" s="977"/>
      <c r="AK45" s="977">
        <v>0</v>
      </c>
      <c r="AL45" s="977">
        <v>0</v>
      </c>
      <c r="AM45" s="977">
        <v>0</v>
      </c>
      <c r="AN45" s="977">
        <v>0</v>
      </c>
      <c r="AO45" s="978">
        <f>AN45</f>
        <v>0</v>
      </c>
      <c r="AP45" s="977"/>
      <c r="AQ45" s="977">
        <v>0</v>
      </c>
      <c r="AR45" s="977">
        <v>0</v>
      </c>
      <c r="AS45" s="977">
        <v>0</v>
      </c>
      <c r="AT45" s="977">
        <v>0</v>
      </c>
      <c r="AU45" s="983">
        <f>AT45</f>
        <v>0</v>
      </c>
      <c r="AV45" s="977"/>
      <c r="AW45" s="977">
        <f>AT45</f>
        <v>0</v>
      </c>
      <c r="AX45" s="977">
        <v>0</v>
      </c>
      <c r="AY45" s="977">
        <f>AX45</f>
        <v>0</v>
      </c>
      <c r="AZ45" s="977">
        <v>0</v>
      </c>
      <c r="BA45" s="983">
        <f>AZ45</f>
        <v>0</v>
      </c>
      <c r="BB45" s="977"/>
      <c r="BC45" s="977">
        <v>0</v>
      </c>
      <c r="BD45" s="977">
        <v>0</v>
      </c>
      <c r="BE45" s="977">
        <v>0</v>
      </c>
      <c r="BF45" s="977">
        <v>0</v>
      </c>
      <c r="BG45" s="983">
        <f>BF45</f>
        <v>0</v>
      </c>
      <c r="BH45" s="977"/>
      <c r="BI45" s="979">
        <v>0</v>
      </c>
      <c r="BJ45" s="979">
        <f>BI45</f>
        <v>0</v>
      </c>
      <c r="BK45" s="979">
        <f>BJ45</f>
        <v>0</v>
      </c>
      <c r="BL45" s="979">
        <f>BK45</f>
        <v>0</v>
      </c>
      <c r="BM45" s="983">
        <f>BL45</f>
        <v>0</v>
      </c>
      <c r="BN45" s="977"/>
      <c r="BO45" s="979">
        <f>BL45</f>
        <v>0</v>
      </c>
      <c r="BP45" s="979">
        <f>BO45</f>
        <v>0</v>
      </c>
      <c r="BQ45" s="979">
        <f>BP45</f>
        <v>0</v>
      </c>
      <c r="BR45" s="979">
        <f>BQ45</f>
        <v>0</v>
      </c>
      <c r="BS45" s="983">
        <f>BR45</f>
        <v>0</v>
      </c>
      <c r="BT45" s="977"/>
      <c r="BU45" s="979">
        <f>BR45</f>
        <v>0</v>
      </c>
      <c r="BV45" s="979">
        <f>BU45</f>
        <v>0</v>
      </c>
      <c r="BW45" s="979">
        <f>BV45</f>
        <v>0</v>
      </c>
      <c r="BX45" s="979">
        <f>BW45</f>
        <v>0</v>
      </c>
      <c r="BY45" s="983">
        <f>BX45</f>
        <v>0</v>
      </c>
      <c r="BZ45" s="977"/>
      <c r="CA45" s="979">
        <f>BX45</f>
        <v>0</v>
      </c>
      <c r="CB45" s="979">
        <f>CA45</f>
        <v>0</v>
      </c>
      <c r="CC45" s="979">
        <f>CB45</f>
        <v>0</v>
      </c>
      <c r="CD45" s="979">
        <f>CC45</f>
        <v>0</v>
      </c>
      <c r="CE45" s="983">
        <f>CD45</f>
        <v>0</v>
      </c>
      <c r="CF45" s="977"/>
      <c r="CG45" s="979">
        <f>CD45</f>
        <v>0</v>
      </c>
      <c r="CH45" s="979">
        <f>CG45</f>
        <v>0</v>
      </c>
      <c r="CI45" s="979">
        <f>CH45</f>
        <v>0</v>
      </c>
      <c r="CJ45" s="979">
        <f>CI45</f>
        <v>0</v>
      </c>
      <c r="CK45" s="983">
        <f>CJ45</f>
        <v>0</v>
      </c>
      <c r="CL45" s="977"/>
      <c r="CM45" s="979">
        <f>CJ45</f>
        <v>0</v>
      </c>
      <c r="CN45" s="979">
        <f>CM45</f>
        <v>0</v>
      </c>
      <c r="CO45" s="979">
        <f>CN45</f>
        <v>0</v>
      </c>
      <c r="CP45" s="979">
        <f>CO45</f>
        <v>0</v>
      </c>
      <c r="CQ45" s="983">
        <f>CP45</f>
        <v>0</v>
      </c>
      <c r="CR45" s="977"/>
      <c r="CS45" s="979">
        <f>CP45</f>
        <v>0</v>
      </c>
      <c r="CT45" s="979">
        <f>CS45</f>
        <v>0</v>
      </c>
      <c r="CU45" s="979">
        <f>CT45</f>
        <v>0</v>
      </c>
      <c r="CV45" s="979">
        <v>0</v>
      </c>
      <c r="CW45" s="983">
        <f>CV45</f>
        <v>0</v>
      </c>
      <c r="CX45" s="977"/>
      <c r="CY45" s="979">
        <f>CV45</f>
        <v>0</v>
      </c>
      <c r="CZ45" s="979">
        <f>CY45</f>
        <v>0</v>
      </c>
      <c r="DA45" s="979">
        <f>CZ45</f>
        <v>0</v>
      </c>
      <c r="DB45" s="979">
        <f>DA45</f>
        <v>0</v>
      </c>
      <c r="DC45" s="983">
        <f>DB45</f>
        <v>0</v>
      </c>
      <c r="DD45" s="977"/>
      <c r="DE45" s="979">
        <f>DB45</f>
        <v>0</v>
      </c>
      <c r="DF45" s="979">
        <f>DE45</f>
        <v>0</v>
      </c>
      <c r="DG45" s="979">
        <f>DF45</f>
        <v>0</v>
      </c>
      <c r="DH45" s="979">
        <f>DG45</f>
        <v>0</v>
      </c>
      <c r="DI45" s="983">
        <f>DH45</f>
        <v>0</v>
      </c>
      <c r="DJ45" s="977"/>
      <c r="DK45" s="979">
        <f>DH45</f>
        <v>0</v>
      </c>
      <c r="DL45" s="979">
        <f>DK45</f>
        <v>0</v>
      </c>
      <c r="DM45" s="979">
        <f>DL45</f>
        <v>0</v>
      </c>
      <c r="DN45" s="979">
        <f>DM45</f>
        <v>0</v>
      </c>
      <c r="DO45" s="983">
        <f>DN45</f>
        <v>0</v>
      </c>
      <c r="DP45" s="1698"/>
      <c r="DQ45" s="956"/>
      <c r="DR45" s="956"/>
    </row>
    <row r="46" spans="1:122" ht="9.9499999999999993" customHeight="1">
      <c r="A46" s="1115" t="s">
        <v>705</v>
      </c>
      <c r="B46" s="993"/>
      <c r="C46" s="982">
        <f t="shared" si="91"/>
        <v>0.02</v>
      </c>
      <c r="D46" s="982">
        <f t="shared" si="91"/>
        <v>0</v>
      </c>
      <c r="E46" s="982">
        <f t="shared" si="91"/>
        <v>1.6319999999999999</v>
      </c>
      <c r="F46" s="993"/>
      <c r="G46" s="982">
        <f>G119</f>
        <v>0</v>
      </c>
      <c r="H46" s="977">
        <f t="shared" si="92"/>
        <v>0</v>
      </c>
      <c r="I46" s="977">
        <f t="shared" si="92"/>
        <v>0</v>
      </c>
      <c r="J46" s="977">
        <f t="shared" si="92"/>
        <v>0</v>
      </c>
      <c r="K46" s="977">
        <f>J46</f>
        <v>0</v>
      </c>
      <c r="L46" s="993"/>
      <c r="M46" s="982">
        <f>M119</f>
        <v>0</v>
      </c>
      <c r="N46" s="977">
        <f t="shared" si="94"/>
        <v>0</v>
      </c>
      <c r="O46" s="977">
        <f t="shared" si="94"/>
        <v>0</v>
      </c>
      <c r="P46" s="977">
        <f t="shared" si="94"/>
        <v>0</v>
      </c>
      <c r="Q46" s="982">
        <f>P46</f>
        <v>0</v>
      </c>
      <c r="R46" s="993"/>
      <c r="S46" s="982">
        <f>S119</f>
        <v>0</v>
      </c>
      <c r="T46" s="977">
        <f>113.768-0.043+0.04</f>
        <v>113.765</v>
      </c>
      <c r="U46" s="977">
        <f>113.768-0.254+0.04</f>
        <v>113.554</v>
      </c>
      <c r="V46" s="977">
        <v>113.768</v>
      </c>
      <c r="W46" s="982">
        <f>V46</f>
        <v>113.768</v>
      </c>
      <c r="X46" s="977"/>
      <c r="Y46" s="977">
        <v>0</v>
      </c>
      <c r="Z46" s="977">
        <v>0</v>
      </c>
      <c r="AA46" s="977">
        <v>-2.8000000000000001E-2</v>
      </c>
      <c r="AB46" s="977">
        <v>0</v>
      </c>
      <c r="AC46" s="982">
        <f>AB46</f>
        <v>0</v>
      </c>
      <c r="AD46" s="977"/>
      <c r="AE46" s="977">
        <v>0</v>
      </c>
      <c r="AF46" s="977">
        <v>0</v>
      </c>
      <c r="AG46" s="977">
        <v>0</v>
      </c>
      <c r="AH46" s="977">
        <f>AG46+BS!AH157+BS!AH162</f>
        <v>0</v>
      </c>
      <c r="AI46" s="983">
        <f>AH46</f>
        <v>0</v>
      </c>
      <c r="AJ46" s="977"/>
      <c r="AK46" s="977">
        <f>BS!AK157+BS!AK162</f>
        <v>0</v>
      </c>
      <c r="AL46" s="977">
        <v>0</v>
      </c>
      <c r="AM46" s="977">
        <v>0</v>
      </c>
      <c r="AN46" s="977">
        <v>0</v>
      </c>
      <c r="AO46" s="978">
        <f>AN46</f>
        <v>0</v>
      </c>
      <c r="AP46" s="977"/>
      <c r="AQ46" s="977">
        <v>0</v>
      </c>
      <c r="AR46" s="977">
        <v>0</v>
      </c>
      <c r="AS46" s="977">
        <v>0</v>
      </c>
      <c r="AT46" s="977">
        <v>0</v>
      </c>
      <c r="AU46" s="983">
        <f>AT46</f>
        <v>0</v>
      </c>
      <c r="AV46" s="977"/>
      <c r="AW46" s="977">
        <f>BS!AW157+BS!AW162</f>
        <v>0</v>
      </c>
      <c r="AX46" s="977">
        <v>0</v>
      </c>
      <c r="AY46" s="977">
        <f>AX46+BS!AY157+BS!AY162</f>
        <v>0</v>
      </c>
      <c r="AZ46" s="977">
        <v>0</v>
      </c>
      <c r="BA46" s="983">
        <f>AZ46</f>
        <v>0</v>
      </c>
      <c r="BB46" s="977"/>
      <c r="BC46" s="977">
        <v>0</v>
      </c>
      <c r="BD46" s="977">
        <v>0</v>
      </c>
      <c r="BE46" s="977">
        <v>0</v>
      </c>
      <c r="BF46" s="977">
        <v>0</v>
      </c>
      <c r="BG46" s="983">
        <f>BF46</f>
        <v>0</v>
      </c>
      <c r="BH46" s="977"/>
      <c r="BI46" s="977">
        <v>0</v>
      </c>
      <c r="BJ46" s="977">
        <f>BI46+BS!BJ157+BS!BJ162</f>
        <v>0</v>
      </c>
      <c r="BK46" s="977">
        <f>BJ46+BS!BK157+BS!BK162</f>
        <v>0</v>
      </c>
      <c r="BL46" s="977">
        <f>BK46+BS!BL157+BS!BL162</f>
        <v>0</v>
      </c>
      <c r="BM46" s="983">
        <f>BL46</f>
        <v>0</v>
      </c>
      <c r="BN46" s="977"/>
      <c r="BO46" s="977">
        <f>BS!BO157+BS!BO162</f>
        <v>0</v>
      </c>
      <c r="BP46" s="977">
        <f>BO46+BS!BP157+BS!BP162</f>
        <v>0</v>
      </c>
      <c r="BQ46" s="977">
        <v>0</v>
      </c>
      <c r="BR46" s="977">
        <f>BQ46+BS!BR157+BS!BR162</f>
        <v>0</v>
      </c>
      <c r="BS46" s="983">
        <f>BR46</f>
        <v>0</v>
      </c>
      <c r="BT46" s="977"/>
      <c r="BU46" s="977">
        <f>BS!BU157+BS!BU162</f>
        <v>0</v>
      </c>
      <c r="BV46" s="977">
        <f>BU46+BS!BV157+BS!BV162</f>
        <v>0</v>
      </c>
      <c r="BW46" s="977">
        <f>BV46+BS!BW157+BS!BW162</f>
        <v>0</v>
      </c>
      <c r="BX46" s="977">
        <f>BW46+BS!BX157+BS!BX162</f>
        <v>0</v>
      </c>
      <c r="BY46" s="983">
        <f>BX46</f>
        <v>0</v>
      </c>
      <c r="BZ46" s="977"/>
      <c r="CA46" s="977">
        <f>BS!CA157+BS!CA162</f>
        <v>0</v>
      </c>
      <c r="CB46" s="977">
        <f>CA46+BS!CB157+BS!CB162</f>
        <v>0</v>
      </c>
      <c r="CC46" s="977">
        <f>CB46+BS!CC157+BS!CC162</f>
        <v>0</v>
      </c>
      <c r="CD46" s="977">
        <f>CC46+BS!CD157+BS!CD162</f>
        <v>0</v>
      </c>
      <c r="CE46" s="983">
        <f>CD46</f>
        <v>0</v>
      </c>
      <c r="CF46" s="977"/>
      <c r="CG46" s="977">
        <f>BS!CG157+BS!CG162</f>
        <v>0</v>
      </c>
      <c r="CH46" s="977">
        <f>CG46+BS!CH157+BS!CH162</f>
        <v>0</v>
      </c>
      <c r="CI46" s="977">
        <f>CH46+BS!CI157+BS!CI162</f>
        <v>0</v>
      </c>
      <c r="CJ46" s="977">
        <f>CI46+BS!CJ157+BS!CJ162</f>
        <v>0</v>
      </c>
      <c r="CK46" s="983">
        <f>CJ46</f>
        <v>0</v>
      </c>
      <c r="CL46" s="977"/>
      <c r="CM46" s="977">
        <f>BS!CM157+BS!CM162</f>
        <v>0</v>
      </c>
      <c r="CN46" s="977">
        <f>CM46+BS!CN157+BS!CN162</f>
        <v>0</v>
      </c>
      <c r="CO46" s="977">
        <f>CN46+BS!CO157+BS!CO162</f>
        <v>0</v>
      </c>
      <c r="CP46" s="977">
        <f>CO46+BS!CP157+BS!CP162</f>
        <v>0</v>
      </c>
      <c r="CQ46" s="983">
        <f t="shared" ref="CQ46:CQ56" si="97">CP46</f>
        <v>0</v>
      </c>
      <c r="CR46" s="977"/>
      <c r="CS46" s="977">
        <f>BS!CS157+BS!CS162</f>
        <v>0</v>
      </c>
      <c r="CT46" s="977">
        <f>CS46+BS!CT157+BS!CT162</f>
        <v>0</v>
      </c>
      <c r="CU46" s="977">
        <f>CT46+BS!CU157+BS!CU162</f>
        <v>0</v>
      </c>
      <c r="CV46" s="977">
        <v>0</v>
      </c>
      <c r="CW46" s="983">
        <f t="shared" ref="CW46:CW56" si="98">CV46</f>
        <v>0</v>
      </c>
      <c r="CX46" s="977"/>
      <c r="CY46" s="977">
        <f>BS!CY157+BS!CY162</f>
        <v>0</v>
      </c>
      <c r="CZ46" s="977">
        <f>CY46+BS!CZ157+BS!CZ162</f>
        <v>0</v>
      </c>
      <c r="DA46" s="977">
        <f>CZ46+BS!DA157+BS!DA162</f>
        <v>0</v>
      </c>
      <c r="DB46" s="977">
        <f>DA46+BS!DB157+BS!DB162</f>
        <v>0</v>
      </c>
      <c r="DC46" s="983">
        <f t="shared" ref="DC46:DC56" si="99">DB46</f>
        <v>0</v>
      </c>
      <c r="DD46" s="977"/>
      <c r="DE46" s="977">
        <f>BS!DE157+BS!DE162</f>
        <v>0</v>
      </c>
      <c r="DF46" s="977">
        <f>DE46+BS!DF157+BS!DF162</f>
        <v>0</v>
      </c>
      <c r="DG46" s="977">
        <f>DF46+BS!DG157+BS!DG162</f>
        <v>0</v>
      </c>
      <c r="DH46" s="977">
        <f>DG46+BS!DH157+BS!DH162</f>
        <v>0</v>
      </c>
      <c r="DI46" s="983">
        <f t="shared" ref="DI46:DI56" si="100">DH46</f>
        <v>0</v>
      </c>
      <c r="DJ46" s="977"/>
      <c r="DK46" s="977">
        <f>BS!DK157+BS!DK162</f>
        <v>0</v>
      </c>
      <c r="DL46" s="977">
        <f>DK46+BS!DL157+BS!DL162</f>
        <v>0</v>
      </c>
      <c r="DM46" s="977">
        <f>DL46+BS!DM157+BS!DM162</f>
        <v>0</v>
      </c>
      <c r="DN46" s="977">
        <f>DM46+BS!DN157+BS!DN162</f>
        <v>0</v>
      </c>
      <c r="DO46" s="983">
        <f t="shared" ref="DO46:DO56" si="101">DN46</f>
        <v>0</v>
      </c>
      <c r="DP46" s="1698"/>
      <c r="DQ46" s="956"/>
      <c r="DR46" s="956"/>
    </row>
    <row r="47" spans="1:122" ht="9.9499999999999993" customHeight="1">
      <c r="A47" s="1115" t="s">
        <v>379</v>
      </c>
      <c r="B47" s="993"/>
      <c r="C47" s="982">
        <f t="shared" si="91"/>
        <v>0.68799999999999994</v>
      </c>
      <c r="D47" s="982">
        <f t="shared" si="91"/>
        <v>1.288</v>
      </c>
      <c r="E47" s="982">
        <f t="shared" si="91"/>
        <v>0.254</v>
      </c>
      <c r="F47" s="993"/>
      <c r="G47" s="982">
        <f>G120</f>
        <v>2.7E-2</v>
      </c>
      <c r="H47" s="977">
        <f t="shared" si="92"/>
        <v>0.05</v>
      </c>
      <c r="I47" s="977">
        <f t="shared" si="92"/>
        <v>0.14700000000000002</v>
      </c>
      <c r="J47" s="977">
        <f t="shared" si="92"/>
        <v>1.58</v>
      </c>
      <c r="K47" s="977">
        <f t="shared" si="93"/>
        <v>1.58</v>
      </c>
      <c r="L47" s="993"/>
      <c r="M47" s="982">
        <f>M120</f>
        <v>6.0999999999999999E-2</v>
      </c>
      <c r="N47" s="977">
        <f t="shared" si="94"/>
        <v>0.17499999999999999</v>
      </c>
      <c r="O47" s="977">
        <f t="shared" si="94"/>
        <v>0.81499999999999995</v>
      </c>
      <c r="P47" s="977">
        <f t="shared" si="94"/>
        <v>1.48</v>
      </c>
      <c r="Q47" s="982">
        <f t="shared" si="95"/>
        <v>1.48</v>
      </c>
      <c r="R47" s="993"/>
      <c r="S47" s="982">
        <f>S120</f>
        <v>1.6419999999999999</v>
      </c>
      <c r="T47" s="977">
        <v>1.734</v>
      </c>
      <c r="U47" s="977">
        <v>2.1930000000000001</v>
      </c>
      <c r="V47" s="977">
        <v>4.7460000000000004</v>
      </c>
      <c r="W47" s="982">
        <f t="shared" si="96"/>
        <v>4.7460000000000004</v>
      </c>
      <c r="X47" s="977"/>
      <c r="Y47" s="977">
        <v>2.1520000000000001</v>
      </c>
      <c r="Z47" s="977">
        <v>7.4420000000000002</v>
      </c>
      <c r="AA47" s="977">
        <v>9.6509999999999998</v>
      </c>
      <c r="AB47" s="977">
        <v>15.734999999999999</v>
      </c>
      <c r="AC47" s="982">
        <f t="shared" ref="AC47:AC53" si="102">AB47</f>
        <v>15.734999999999999</v>
      </c>
      <c r="AD47" s="977"/>
      <c r="AE47" s="977">
        <v>5.5030000000000001</v>
      </c>
      <c r="AF47" s="977">
        <v>10.891</v>
      </c>
      <c r="AG47" s="977">
        <v>21.04</v>
      </c>
      <c r="AH47" s="977">
        <f>AG47+8.042</f>
        <v>29.082000000000001</v>
      </c>
      <c r="AI47" s="983">
        <f t="shared" ref="AI47:AI53" si="103">AH47</f>
        <v>29.082000000000001</v>
      </c>
      <c r="AJ47" s="977"/>
      <c r="AK47" s="977">
        <v>8.3000000000000007</v>
      </c>
      <c r="AL47" s="977">
        <v>23.704000000000001</v>
      </c>
      <c r="AM47" s="977">
        <v>44.29</v>
      </c>
      <c r="AN47" s="977">
        <v>60.91</v>
      </c>
      <c r="AO47" s="978">
        <f t="shared" ref="AO47:AO53" si="104">AN47</f>
        <v>60.91</v>
      </c>
      <c r="AP47" s="977"/>
      <c r="AQ47" s="977">
        <v>11.484999999999999</v>
      </c>
      <c r="AR47" s="977">
        <v>34.01</v>
      </c>
      <c r="AS47" s="977">
        <v>40.604999999999997</v>
      </c>
      <c r="AT47" s="977">
        <v>43.311</v>
      </c>
      <c r="AU47" s="983">
        <f t="shared" ref="AU47:AU53" si="105">AT47</f>
        <v>43.311</v>
      </c>
      <c r="AV47" s="977"/>
      <c r="AW47" s="977">
        <v>9.1679999999999993</v>
      </c>
      <c r="AX47" s="977">
        <v>14.307</v>
      </c>
      <c r="AY47" s="977">
        <v>32.866</v>
      </c>
      <c r="AZ47" s="977">
        <v>93.855999999999995</v>
      </c>
      <c r="BA47" s="983">
        <f t="shared" ref="BA47:BA53" si="106">AZ47</f>
        <v>93.855999999999995</v>
      </c>
      <c r="BB47" s="977"/>
      <c r="BC47" s="977">
        <v>37.515999999999998</v>
      </c>
      <c r="BD47" s="977">
        <v>71.643000000000001</v>
      </c>
      <c r="BE47" s="977">
        <v>115.996</v>
      </c>
      <c r="BF47" s="977">
        <v>160.40199999999999</v>
      </c>
      <c r="BG47" s="983">
        <f t="shared" ref="BG47:BG53" si="107">BF47</f>
        <v>160.40199999999999</v>
      </c>
      <c r="BH47" s="977"/>
      <c r="BI47" s="979">
        <v>32.286000000000001</v>
      </c>
      <c r="BJ47" s="979">
        <v>74.567999999999998</v>
      </c>
      <c r="BK47" s="979">
        <v>90.361999999999995</v>
      </c>
      <c r="BL47" s="979">
        <v>116.565</v>
      </c>
      <c r="BM47" s="983">
        <f t="shared" ref="BM47:BM53" si="108">BL47</f>
        <v>116.565</v>
      </c>
      <c r="BN47" s="977"/>
      <c r="BO47" s="979">
        <v>93.566999999999993</v>
      </c>
      <c r="BP47" s="979">
        <f>127.391</f>
        <v>127.39100000000001</v>
      </c>
      <c r="BQ47" s="979">
        <v>203.874</v>
      </c>
      <c r="BR47" s="979">
        <v>351.36599999999999</v>
      </c>
      <c r="BS47" s="983">
        <f t="shared" ref="BS47:BS53" si="109">BR47</f>
        <v>351.36599999999999</v>
      </c>
      <c r="BT47" s="977"/>
      <c r="BU47" s="979">
        <v>66.524000000000001</v>
      </c>
      <c r="BV47" s="979">
        <v>106.71899999999999</v>
      </c>
      <c r="BW47" s="979">
        <v>217.429</v>
      </c>
      <c r="BX47" s="979">
        <f>289.931</f>
        <v>289.93099999999998</v>
      </c>
      <c r="BY47" s="983">
        <f t="shared" ref="BY47:BY53" si="110">BX47</f>
        <v>289.93099999999998</v>
      </c>
      <c r="BZ47" s="977"/>
      <c r="CA47" s="979">
        <v>73.795000000000002</v>
      </c>
      <c r="CB47" s="979">
        <v>135.22399999999999</v>
      </c>
      <c r="CC47" s="979">
        <v>226.56100000000001</v>
      </c>
      <c r="CD47" s="979">
        <v>308.98899999999998</v>
      </c>
      <c r="CE47" s="983">
        <f t="shared" ref="CE47:CE53" si="111">CD47</f>
        <v>308.98899999999998</v>
      </c>
      <c r="CF47" s="977"/>
      <c r="CG47" s="979">
        <v>155.01499999999999</v>
      </c>
      <c r="CH47" s="979">
        <v>269.81400000000002</v>
      </c>
      <c r="CI47" s="979">
        <v>367.83</v>
      </c>
      <c r="CJ47" s="979">
        <v>455.48200000000003</v>
      </c>
      <c r="CK47" s="983">
        <f t="shared" ref="CK47:CK53" si="112">CJ47</f>
        <v>455.48200000000003</v>
      </c>
      <c r="CL47" s="977"/>
      <c r="CM47" s="979">
        <v>89.141000000000005</v>
      </c>
      <c r="CN47" s="979">
        <v>223.01900000000001</v>
      </c>
      <c r="CO47" s="979">
        <v>315.86500000000001</v>
      </c>
      <c r="CP47" s="979">
        <v>401.48099999999999</v>
      </c>
      <c r="CQ47" s="983">
        <f t="shared" si="97"/>
        <v>401.48099999999999</v>
      </c>
      <c r="CR47" s="977"/>
      <c r="CS47" s="979">
        <v>159.80699999999999</v>
      </c>
      <c r="CT47" s="979">
        <v>342.81599999999997</v>
      </c>
      <c r="CU47" s="979">
        <v>484.786</v>
      </c>
      <c r="CV47" s="979">
        <v>650.29999999999995</v>
      </c>
      <c r="CW47" s="983">
        <f t="shared" si="98"/>
        <v>650.29999999999995</v>
      </c>
      <c r="CX47" s="977"/>
      <c r="CY47" s="979">
        <f>BS!CY146</f>
        <v>65</v>
      </c>
      <c r="CZ47" s="979">
        <f>CY47+BS!CZ146</f>
        <v>72.5</v>
      </c>
      <c r="DA47" s="979">
        <f>CZ47+BS!DA146</f>
        <v>80</v>
      </c>
      <c r="DB47" s="979">
        <f>DA47+BS!DB146</f>
        <v>87.5</v>
      </c>
      <c r="DC47" s="983">
        <f t="shared" si="99"/>
        <v>87.5</v>
      </c>
      <c r="DD47" s="977"/>
      <c r="DE47" s="979">
        <f>BS!DE146</f>
        <v>37.5</v>
      </c>
      <c r="DF47" s="979">
        <f>DE47+BS!DF146</f>
        <v>75</v>
      </c>
      <c r="DG47" s="979">
        <f>DF47+BS!DG146</f>
        <v>112.5</v>
      </c>
      <c r="DH47" s="979">
        <f>DG47+BS!DH146</f>
        <v>150</v>
      </c>
      <c r="DI47" s="983">
        <f t="shared" si="100"/>
        <v>150</v>
      </c>
      <c r="DJ47" s="977"/>
      <c r="DK47" s="979">
        <f>BS!DK146</f>
        <v>37.5</v>
      </c>
      <c r="DL47" s="979">
        <f>DK47+BS!DL146</f>
        <v>75</v>
      </c>
      <c r="DM47" s="979">
        <f>DL47+BS!DM146</f>
        <v>112.5</v>
      </c>
      <c r="DN47" s="979">
        <f>DM47+BS!DN146</f>
        <v>150</v>
      </c>
      <c r="DO47" s="983">
        <f t="shared" si="101"/>
        <v>150</v>
      </c>
      <c r="DP47" s="1698"/>
      <c r="DQ47" s="956"/>
      <c r="DR47" s="956"/>
    </row>
    <row r="48" spans="1:122" ht="10.5" customHeight="1">
      <c r="A48" s="1115" t="s">
        <v>729</v>
      </c>
      <c r="B48" s="993"/>
      <c r="C48" s="982"/>
      <c r="D48" s="982"/>
      <c r="E48" s="982"/>
      <c r="F48" s="993"/>
      <c r="G48" s="982"/>
      <c r="H48" s="977"/>
      <c r="I48" s="977"/>
      <c r="J48" s="977"/>
      <c r="K48" s="977"/>
      <c r="L48" s="993"/>
      <c r="M48" s="982"/>
      <c r="N48" s="977"/>
      <c r="O48" s="977"/>
      <c r="P48" s="977"/>
      <c r="Q48" s="982"/>
      <c r="R48" s="993"/>
      <c r="S48" s="977">
        <v>0</v>
      </c>
      <c r="T48" s="977">
        <v>0</v>
      </c>
      <c r="U48" s="977">
        <v>0</v>
      </c>
      <c r="V48" s="977">
        <v>0</v>
      </c>
      <c r="W48" s="982">
        <f t="shared" si="96"/>
        <v>0</v>
      </c>
      <c r="X48" s="977"/>
      <c r="Y48" s="977">
        <v>0</v>
      </c>
      <c r="Z48" s="977">
        <v>0</v>
      </c>
      <c r="AA48" s="977">
        <v>0</v>
      </c>
      <c r="AB48" s="977">
        <v>0</v>
      </c>
      <c r="AC48" s="982">
        <f t="shared" si="102"/>
        <v>0</v>
      </c>
      <c r="AD48" s="977"/>
      <c r="AE48" s="977">
        <v>2.6</v>
      </c>
      <c r="AF48" s="977">
        <v>5.9279999999999999</v>
      </c>
      <c r="AG48" s="977">
        <v>10.805999999999999</v>
      </c>
      <c r="AH48" s="977">
        <f>AG48+5.768</f>
        <v>16.573999999999998</v>
      </c>
      <c r="AI48" s="983">
        <f t="shared" si="103"/>
        <v>16.573999999999998</v>
      </c>
      <c r="AJ48" s="977"/>
      <c r="AK48" s="977">
        <v>6.2859999999999996</v>
      </c>
      <c r="AL48" s="977">
        <v>15.206</v>
      </c>
      <c r="AM48" s="977">
        <v>24.504000000000001</v>
      </c>
      <c r="AN48" s="977">
        <v>31.978000000000002</v>
      </c>
      <c r="AO48" s="978">
        <f t="shared" si="104"/>
        <v>31.978000000000002</v>
      </c>
      <c r="AP48" s="977"/>
      <c r="AQ48" s="977">
        <v>12.698</v>
      </c>
      <c r="AR48" s="977">
        <v>24.541</v>
      </c>
      <c r="AS48" s="977">
        <v>42.247</v>
      </c>
      <c r="AT48" s="977">
        <v>54.597000000000001</v>
      </c>
      <c r="AU48" s="983">
        <f t="shared" si="105"/>
        <v>54.597000000000001</v>
      </c>
      <c r="AV48" s="977"/>
      <c r="AW48" s="977">
        <v>9.4480000000000004</v>
      </c>
      <c r="AX48" s="977">
        <v>25.135000000000002</v>
      </c>
      <c r="AY48" s="977">
        <v>32.536000000000001</v>
      </c>
      <c r="AZ48" s="977">
        <v>51.539000000000001</v>
      </c>
      <c r="BA48" s="983">
        <f t="shared" si="106"/>
        <v>51.539000000000001</v>
      </c>
      <c r="BB48" s="977"/>
      <c r="BC48" s="977">
        <v>9.2880000000000003</v>
      </c>
      <c r="BD48" s="977">
        <v>32.19</v>
      </c>
      <c r="BE48" s="977">
        <v>46.768000000000001</v>
      </c>
      <c r="BF48" s="977">
        <v>35.991</v>
      </c>
      <c r="BG48" s="983">
        <f t="shared" si="107"/>
        <v>35.991</v>
      </c>
      <c r="BH48" s="977"/>
      <c r="BI48" s="979">
        <v>2.0339999999999998</v>
      </c>
      <c r="BJ48" s="979">
        <v>4.12</v>
      </c>
      <c r="BK48" s="979">
        <v>11.012</v>
      </c>
      <c r="BL48" s="979">
        <v>6.0179999999999998</v>
      </c>
      <c r="BM48" s="983">
        <f t="shared" si="108"/>
        <v>6.0179999999999998</v>
      </c>
      <c r="BN48" s="977"/>
      <c r="BO48" s="979">
        <v>11.042999999999999</v>
      </c>
      <c r="BP48" s="979">
        <f>25.745</f>
        <v>25.745000000000001</v>
      </c>
      <c r="BQ48" s="979">
        <v>28.905000000000001</v>
      </c>
      <c r="BR48" s="979">
        <v>14.933</v>
      </c>
      <c r="BS48" s="983">
        <f t="shared" si="109"/>
        <v>14.933</v>
      </c>
      <c r="BT48" s="977"/>
      <c r="BU48" s="979">
        <v>1.8660000000000001</v>
      </c>
      <c r="BV48" s="979">
        <v>0.58799999999999997</v>
      </c>
      <c r="BW48" s="979">
        <v>2.1659999999999999</v>
      </c>
      <c r="BX48" s="979">
        <f>8.144</f>
        <v>8.1440000000000001</v>
      </c>
      <c r="BY48" s="983">
        <f t="shared" si="110"/>
        <v>8.1440000000000001</v>
      </c>
      <c r="BZ48" s="977"/>
      <c r="CA48" s="979">
        <v>9.0410000000000004</v>
      </c>
      <c r="CB48" s="979">
        <v>2.226</v>
      </c>
      <c r="CC48" s="979">
        <v>3.4470000000000001</v>
      </c>
      <c r="CD48" s="979">
        <v>7.73</v>
      </c>
      <c r="CE48" s="983">
        <f t="shared" si="111"/>
        <v>7.73</v>
      </c>
      <c r="CF48" s="977"/>
      <c r="CG48" s="979">
        <v>4.2240000000000002</v>
      </c>
      <c r="CH48" s="979">
        <v>4.0910000000000002</v>
      </c>
      <c r="CI48" s="979">
        <v>48.698</v>
      </c>
      <c r="CJ48" s="979">
        <v>59.496000000000002</v>
      </c>
      <c r="CK48" s="983">
        <f t="shared" si="112"/>
        <v>59.496000000000002</v>
      </c>
      <c r="CL48" s="977"/>
      <c r="CM48" s="979">
        <v>0</v>
      </c>
      <c r="CN48" s="979">
        <v>0</v>
      </c>
      <c r="CO48" s="979">
        <v>0</v>
      </c>
      <c r="CP48" s="979">
        <v>0</v>
      </c>
      <c r="CQ48" s="983">
        <f t="shared" si="97"/>
        <v>0</v>
      </c>
      <c r="CR48" s="977"/>
      <c r="CS48" s="979">
        <v>0</v>
      </c>
      <c r="CT48" s="979">
        <f>-CT17</f>
        <v>0</v>
      </c>
      <c r="CU48" s="979">
        <v>0</v>
      </c>
      <c r="CV48" s="979">
        <v>0</v>
      </c>
      <c r="CW48" s="983">
        <f t="shared" si="98"/>
        <v>0</v>
      </c>
      <c r="CX48" s="977"/>
      <c r="CY48" s="979">
        <f>-CY17</f>
        <v>5</v>
      </c>
      <c r="CZ48" s="979">
        <f>-CZ17</f>
        <v>10</v>
      </c>
      <c r="DA48" s="979">
        <f>-DA17</f>
        <v>15</v>
      </c>
      <c r="DB48" s="979">
        <f>-DB17</f>
        <v>20</v>
      </c>
      <c r="DC48" s="983">
        <f t="shared" si="99"/>
        <v>20</v>
      </c>
      <c r="DD48" s="977"/>
      <c r="DE48" s="979">
        <f>-DE17</f>
        <v>5</v>
      </c>
      <c r="DF48" s="979">
        <f>-DF17</f>
        <v>10</v>
      </c>
      <c r="DG48" s="979">
        <f>-DG17</f>
        <v>15</v>
      </c>
      <c r="DH48" s="979">
        <f>-DH17</f>
        <v>20</v>
      </c>
      <c r="DI48" s="983">
        <f t="shared" si="100"/>
        <v>20</v>
      </c>
      <c r="DJ48" s="977"/>
      <c r="DK48" s="979">
        <f>-DK17</f>
        <v>5</v>
      </c>
      <c r="DL48" s="979">
        <f>-DL17</f>
        <v>10</v>
      </c>
      <c r="DM48" s="979">
        <f>-DM17</f>
        <v>15</v>
      </c>
      <c r="DN48" s="979">
        <f>-DN17</f>
        <v>20</v>
      </c>
      <c r="DO48" s="983">
        <f t="shared" si="101"/>
        <v>20</v>
      </c>
      <c r="DP48" s="1698"/>
      <c r="DQ48" s="956"/>
      <c r="DR48" s="956"/>
    </row>
    <row r="49" spans="1:122" ht="10.5" customHeight="1">
      <c r="A49" s="1115" t="s">
        <v>578</v>
      </c>
      <c r="B49" s="993"/>
      <c r="C49" s="982">
        <f t="shared" ref="C49:E55" si="113">C122</f>
        <v>0</v>
      </c>
      <c r="D49" s="982">
        <f t="shared" si="113"/>
        <v>0</v>
      </c>
      <c r="E49" s="982">
        <f t="shared" si="113"/>
        <v>0</v>
      </c>
      <c r="F49" s="993"/>
      <c r="G49" s="982">
        <f t="shared" ref="G49:G55" si="114">G122</f>
        <v>0</v>
      </c>
      <c r="H49" s="977">
        <f t="shared" ref="H49:J55" si="115">G49+H122</f>
        <v>0</v>
      </c>
      <c r="I49" s="977">
        <f t="shared" si="115"/>
        <v>0</v>
      </c>
      <c r="J49" s="977">
        <f t="shared" si="115"/>
        <v>0</v>
      </c>
      <c r="K49" s="977">
        <f t="shared" si="93"/>
        <v>0</v>
      </c>
      <c r="L49" s="993"/>
      <c r="M49" s="982">
        <f t="shared" ref="M49:M55" si="116">M122</f>
        <v>0</v>
      </c>
      <c r="N49" s="977">
        <f t="shared" ref="N49:P55" si="117">M49+N122</f>
        <v>0</v>
      </c>
      <c r="O49" s="977">
        <f t="shared" si="117"/>
        <v>0</v>
      </c>
      <c r="P49" s="977">
        <f t="shared" si="117"/>
        <v>0</v>
      </c>
      <c r="Q49" s="982">
        <f t="shared" si="95"/>
        <v>0</v>
      </c>
      <c r="R49" s="993"/>
      <c r="S49" s="982">
        <f t="shared" ref="S49:S55" si="118">S122</f>
        <v>0</v>
      </c>
      <c r="T49" s="977">
        <v>0</v>
      </c>
      <c r="U49" s="977">
        <v>0</v>
      </c>
      <c r="V49" s="977">
        <f>U49</f>
        <v>0</v>
      </c>
      <c r="W49" s="982">
        <f t="shared" si="96"/>
        <v>0</v>
      </c>
      <c r="X49" s="977"/>
      <c r="Y49" s="977">
        <v>0</v>
      </c>
      <c r="Z49" s="977">
        <v>0</v>
      </c>
      <c r="AA49" s="977">
        <v>0</v>
      </c>
      <c r="AB49" s="977">
        <v>0</v>
      </c>
      <c r="AC49" s="982">
        <f t="shared" si="102"/>
        <v>0</v>
      </c>
      <c r="AD49" s="977"/>
      <c r="AE49" s="977">
        <v>0</v>
      </c>
      <c r="AF49" s="977">
        <v>0</v>
      </c>
      <c r="AG49" s="977">
        <v>0</v>
      </c>
      <c r="AH49" s="977">
        <f>AG49</f>
        <v>0</v>
      </c>
      <c r="AI49" s="983">
        <f t="shared" si="103"/>
        <v>0</v>
      </c>
      <c r="AJ49" s="977"/>
      <c r="AK49" s="977">
        <f>AH49</f>
        <v>0</v>
      </c>
      <c r="AL49" s="977">
        <v>0</v>
      </c>
      <c r="AM49" s="977">
        <v>0</v>
      </c>
      <c r="AN49" s="977">
        <v>0</v>
      </c>
      <c r="AO49" s="978">
        <f t="shared" si="104"/>
        <v>0</v>
      </c>
      <c r="AP49" s="977"/>
      <c r="AQ49" s="977">
        <v>0</v>
      </c>
      <c r="AR49" s="977">
        <v>0</v>
      </c>
      <c r="AS49" s="977">
        <v>0</v>
      </c>
      <c r="AT49" s="977">
        <v>0</v>
      </c>
      <c r="AU49" s="983">
        <f t="shared" si="105"/>
        <v>0</v>
      </c>
      <c r="AV49" s="977"/>
      <c r="AW49" s="977">
        <f>AT49</f>
        <v>0</v>
      </c>
      <c r="AX49" s="977">
        <v>0</v>
      </c>
      <c r="AY49" s="977">
        <v>0</v>
      </c>
      <c r="AZ49" s="977">
        <f>AY49</f>
        <v>0</v>
      </c>
      <c r="BA49" s="983">
        <f t="shared" si="106"/>
        <v>0</v>
      </c>
      <c r="BB49" s="977"/>
      <c r="BC49" s="977">
        <v>0</v>
      </c>
      <c r="BD49" s="977">
        <f>BC49</f>
        <v>0</v>
      </c>
      <c r="BE49" s="977">
        <v>0</v>
      </c>
      <c r="BF49" s="977">
        <v>0</v>
      </c>
      <c r="BG49" s="983">
        <f t="shared" si="107"/>
        <v>0</v>
      </c>
      <c r="BH49" s="977"/>
      <c r="BI49" s="979">
        <v>0</v>
      </c>
      <c r="BJ49" s="979">
        <v>0</v>
      </c>
      <c r="BK49" s="979">
        <v>0</v>
      </c>
      <c r="BL49" s="979">
        <v>0</v>
      </c>
      <c r="BM49" s="983">
        <f t="shared" si="108"/>
        <v>0</v>
      </c>
      <c r="BN49" s="977"/>
      <c r="BO49" s="979">
        <v>0</v>
      </c>
      <c r="BP49" s="979">
        <v>0</v>
      </c>
      <c r="BQ49" s="979">
        <v>0</v>
      </c>
      <c r="BR49" s="979">
        <v>0</v>
      </c>
      <c r="BS49" s="983">
        <f t="shared" si="109"/>
        <v>0</v>
      </c>
      <c r="BT49" s="977"/>
      <c r="BU49" s="979">
        <v>0</v>
      </c>
      <c r="BV49" s="979">
        <v>0</v>
      </c>
      <c r="BW49" s="979">
        <v>0</v>
      </c>
      <c r="BX49" s="979">
        <v>0</v>
      </c>
      <c r="BY49" s="983">
        <f t="shared" si="110"/>
        <v>0</v>
      </c>
      <c r="BZ49" s="977"/>
      <c r="CA49" s="979">
        <v>0</v>
      </c>
      <c r="CB49" s="979">
        <v>0</v>
      </c>
      <c r="CC49" s="979">
        <v>0</v>
      </c>
      <c r="CD49" s="979">
        <v>0</v>
      </c>
      <c r="CE49" s="983">
        <f t="shared" si="111"/>
        <v>0</v>
      </c>
      <c r="CF49" s="977"/>
      <c r="CG49" s="979">
        <v>0</v>
      </c>
      <c r="CH49" s="979">
        <v>0</v>
      </c>
      <c r="CI49" s="979">
        <v>0</v>
      </c>
      <c r="CJ49" s="979">
        <v>0</v>
      </c>
      <c r="CK49" s="983">
        <f t="shared" si="112"/>
        <v>0</v>
      </c>
      <c r="CL49" s="977"/>
      <c r="CM49" s="979">
        <v>0</v>
      </c>
      <c r="CN49" s="979">
        <v>0</v>
      </c>
      <c r="CO49" s="979">
        <v>0</v>
      </c>
      <c r="CP49" s="979">
        <f>748.824-550</f>
        <v>198.82399999999996</v>
      </c>
      <c r="CQ49" s="983">
        <f t="shared" si="97"/>
        <v>198.82399999999996</v>
      </c>
      <c r="CR49" s="977"/>
      <c r="CS49" s="979">
        <v>0</v>
      </c>
      <c r="CT49" s="979">
        <f t="shared" ref="CT49:CV51" si="119">CS49</f>
        <v>0</v>
      </c>
      <c r="CU49" s="979">
        <v>0</v>
      </c>
      <c r="CV49" s="979">
        <v>0</v>
      </c>
      <c r="CW49" s="983">
        <f t="shared" si="98"/>
        <v>0</v>
      </c>
      <c r="CX49" s="977"/>
      <c r="CY49" s="979">
        <f>CV49</f>
        <v>0</v>
      </c>
      <c r="CZ49" s="979">
        <f t="shared" ref="CZ49:DB51" si="120">CY49</f>
        <v>0</v>
      </c>
      <c r="DA49" s="979">
        <f t="shared" si="120"/>
        <v>0</v>
      </c>
      <c r="DB49" s="979">
        <f t="shared" si="120"/>
        <v>0</v>
      </c>
      <c r="DC49" s="983">
        <f t="shared" si="99"/>
        <v>0</v>
      </c>
      <c r="DD49" s="977"/>
      <c r="DE49" s="979">
        <f>DB49</f>
        <v>0</v>
      </c>
      <c r="DF49" s="979">
        <f t="shared" ref="DF49:DF51" si="121">DE49</f>
        <v>0</v>
      </c>
      <c r="DG49" s="979">
        <f t="shared" ref="DG49:DG51" si="122">DF49</f>
        <v>0</v>
      </c>
      <c r="DH49" s="979">
        <f t="shared" ref="DH49:DH51" si="123">DG49</f>
        <v>0</v>
      </c>
      <c r="DI49" s="983">
        <f t="shared" si="100"/>
        <v>0</v>
      </c>
      <c r="DJ49" s="977"/>
      <c r="DK49" s="979">
        <f>DH49</f>
        <v>0</v>
      </c>
      <c r="DL49" s="979">
        <f t="shared" ref="DL49:DL51" si="124">DK49</f>
        <v>0</v>
      </c>
      <c r="DM49" s="979">
        <f t="shared" ref="DM49:DM51" si="125">DL49</f>
        <v>0</v>
      </c>
      <c r="DN49" s="979">
        <f t="shared" ref="DN49:DN51" si="126">DM49</f>
        <v>0</v>
      </c>
      <c r="DO49" s="983">
        <f t="shared" si="101"/>
        <v>0</v>
      </c>
      <c r="DP49" s="1698"/>
      <c r="DQ49" s="956"/>
      <c r="DR49" s="956"/>
    </row>
    <row r="50" spans="1:122" ht="10.5" customHeight="1">
      <c r="A50" s="1115" t="s">
        <v>122</v>
      </c>
      <c r="B50" s="993"/>
      <c r="C50" s="982">
        <f t="shared" si="113"/>
        <v>0</v>
      </c>
      <c r="D50" s="982">
        <f t="shared" si="113"/>
        <v>-0.105</v>
      </c>
      <c r="E50" s="982">
        <f t="shared" si="113"/>
        <v>-0.65600000000000003</v>
      </c>
      <c r="F50" s="993"/>
      <c r="G50" s="982">
        <f t="shared" si="114"/>
        <v>-0.23200000000000001</v>
      </c>
      <c r="H50" s="977">
        <f t="shared" si="115"/>
        <v>-0.58099999999999996</v>
      </c>
      <c r="I50" s="977">
        <f t="shared" si="115"/>
        <v>-0.71899999999999997</v>
      </c>
      <c r="J50" s="977">
        <f t="shared" si="115"/>
        <v>-0.75700000000000001</v>
      </c>
      <c r="K50" s="977">
        <f t="shared" si="93"/>
        <v>-0.75700000000000001</v>
      </c>
      <c r="L50" s="993"/>
      <c r="M50" s="982">
        <f t="shared" si="116"/>
        <v>-0.151</v>
      </c>
      <c r="N50" s="977">
        <f t="shared" si="117"/>
        <v>-0.31</v>
      </c>
      <c r="O50" s="977">
        <f t="shared" si="117"/>
        <v>-0.44600000000000001</v>
      </c>
      <c r="P50" s="977">
        <f t="shared" si="117"/>
        <v>-0.53100000000000003</v>
      </c>
      <c r="Q50" s="982">
        <f t="shared" si="95"/>
        <v>-0.53100000000000003</v>
      </c>
      <c r="R50" s="993"/>
      <c r="S50" s="982">
        <f t="shared" si="118"/>
        <v>-5.8000000000000003E-2</v>
      </c>
      <c r="T50" s="977">
        <v>-0.215</v>
      </c>
      <c r="U50" s="977">
        <v>-0.35399999999999998</v>
      </c>
      <c r="V50" s="977">
        <v>-0.49299999999999999</v>
      </c>
      <c r="W50" s="982">
        <f t="shared" si="96"/>
        <v>-0.49299999999999999</v>
      </c>
      <c r="X50" s="977"/>
      <c r="Y50" s="977">
        <v>-0.14000000000000001</v>
      </c>
      <c r="Z50" s="977">
        <v>-0.311</v>
      </c>
      <c r="AA50" s="977">
        <v>-0.46300000000000002</v>
      </c>
      <c r="AB50" s="977">
        <v>-0.61399999999999999</v>
      </c>
      <c r="AC50" s="982">
        <f t="shared" si="102"/>
        <v>-0.61399999999999999</v>
      </c>
      <c r="AD50" s="977"/>
      <c r="AE50" s="977">
        <v>-0.151</v>
      </c>
      <c r="AF50" s="977">
        <v>-0.30399999999999999</v>
      </c>
      <c r="AG50" s="977">
        <v>-0.45900000000000002</v>
      </c>
      <c r="AH50" s="977">
        <f>AG50-0.158</f>
        <v>-0.61699999999999999</v>
      </c>
      <c r="AI50" s="983">
        <f t="shared" si="103"/>
        <v>-0.61699999999999999</v>
      </c>
      <c r="AJ50" s="977"/>
      <c r="AK50" s="977">
        <v>-0.157</v>
      </c>
      <c r="AL50" s="977">
        <v>-0.16300000000000001</v>
      </c>
      <c r="AM50" s="977">
        <v>-0.16900000000000001</v>
      </c>
      <c r="AN50" s="977">
        <v>-0.17499999999999999</v>
      </c>
      <c r="AO50" s="978">
        <f t="shared" si="104"/>
        <v>-0.17499999999999999</v>
      </c>
      <c r="AP50" s="977"/>
      <c r="AQ50" s="977">
        <v>-5.0000000000000001E-3</v>
      </c>
      <c r="AR50" s="977">
        <v>-5.0000000000000001E-3</v>
      </c>
      <c r="AS50" s="977">
        <v>-0.29099999999999998</v>
      </c>
      <c r="AT50" s="977">
        <v>-0.997</v>
      </c>
      <c r="AU50" s="983">
        <f t="shared" si="105"/>
        <v>-0.997</v>
      </c>
      <c r="AV50" s="977"/>
      <c r="AW50" s="977">
        <v>-1.248</v>
      </c>
      <c r="AX50" s="977">
        <v>-3.5059999999999998</v>
      </c>
      <c r="AY50" s="977">
        <v>-5.9039999999999999</v>
      </c>
      <c r="AZ50" s="977">
        <v>0</v>
      </c>
      <c r="BA50" s="983">
        <f t="shared" si="106"/>
        <v>0</v>
      </c>
      <c r="BB50" s="977"/>
      <c r="BC50" s="977">
        <v>-1.9179999999999999</v>
      </c>
      <c r="BD50" s="977">
        <v>-4.0410000000000004</v>
      </c>
      <c r="BE50" s="977">
        <v>-7.157</v>
      </c>
      <c r="BF50" s="977">
        <v>-10.355</v>
      </c>
      <c r="BG50" s="983">
        <f t="shared" si="107"/>
        <v>-10.355</v>
      </c>
      <c r="BH50" s="977"/>
      <c r="BI50" s="977">
        <v>-3.5619999999999998</v>
      </c>
      <c r="BJ50" s="977">
        <v>-14.111000000000001</v>
      </c>
      <c r="BK50" s="977">
        <v>-21.795999999999999</v>
      </c>
      <c r="BL50" s="977">
        <v>-30.533000000000001</v>
      </c>
      <c r="BM50" s="983">
        <f t="shared" si="108"/>
        <v>-30.533000000000001</v>
      </c>
      <c r="BN50" s="977"/>
      <c r="BO50" s="977">
        <v>-7.5739999999999998</v>
      </c>
      <c r="BP50" s="977">
        <f>-15.053</f>
        <v>-15.053000000000001</v>
      </c>
      <c r="BQ50" s="977">
        <v>-22.716999999999999</v>
      </c>
      <c r="BR50" s="977">
        <v>-31.754000000000001</v>
      </c>
      <c r="BS50" s="983">
        <f t="shared" si="109"/>
        <v>-31.754000000000001</v>
      </c>
      <c r="BT50" s="977"/>
      <c r="BU50" s="979">
        <v>-8.4990000000000006</v>
      </c>
      <c r="BV50" s="979">
        <v>-20.606999999999999</v>
      </c>
      <c r="BW50" s="979">
        <f>-33.047</f>
        <v>-33.046999999999997</v>
      </c>
      <c r="BX50" s="979">
        <v>-41.098999999999997</v>
      </c>
      <c r="BY50" s="983">
        <f t="shared" si="110"/>
        <v>-41.098999999999997</v>
      </c>
      <c r="BZ50" s="977"/>
      <c r="CA50" s="979">
        <v>-10.593999999999999</v>
      </c>
      <c r="CB50" s="979">
        <v>-50.935000000000002</v>
      </c>
      <c r="CC50" s="979">
        <v>-61.28</v>
      </c>
      <c r="CD50" s="979">
        <v>-70.662999999999997</v>
      </c>
      <c r="CE50" s="983">
        <f t="shared" si="111"/>
        <v>-70.662999999999997</v>
      </c>
      <c r="CF50" s="977"/>
      <c r="CG50" s="979">
        <v>-16.824999999999999</v>
      </c>
      <c r="CH50" s="979">
        <v>-57.899000000000001</v>
      </c>
      <c r="CI50" s="979">
        <v>-68.843999999999994</v>
      </c>
      <c r="CJ50" s="979">
        <v>-82.33</v>
      </c>
      <c r="CK50" s="983">
        <f t="shared" si="112"/>
        <v>-82.33</v>
      </c>
      <c r="CL50" s="977"/>
      <c r="CM50" s="979">
        <v>-49.968000000000004</v>
      </c>
      <c r="CN50" s="979">
        <v>-62.762999999999998</v>
      </c>
      <c r="CO50" s="979">
        <v>-73.760000000000005</v>
      </c>
      <c r="CP50" s="979">
        <v>-98.156999999999996</v>
      </c>
      <c r="CQ50" s="983">
        <f t="shared" si="97"/>
        <v>-98.156999999999996</v>
      </c>
      <c r="CR50" s="977"/>
      <c r="CS50" s="979">
        <f>+-9.443-200</f>
        <v>-209.44300000000001</v>
      </c>
      <c r="CT50" s="979">
        <f>-75.174-200</f>
        <v>-275.17399999999998</v>
      </c>
      <c r="CU50" s="979">
        <f>-82.89-200</f>
        <v>-282.89</v>
      </c>
      <c r="CV50" s="979">
        <f>-105.896-200</f>
        <v>-305.89600000000002</v>
      </c>
      <c r="CW50" s="983">
        <f t="shared" si="98"/>
        <v>-305.89600000000002</v>
      </c>
      <c r="CX50" s="977"/>
      <c r="CY50" s="979">
        <v>0</v>
      </c>
      <c r="CZ50" s="979">
        <f t="shared" si="120"/>
        <v>0</v>
      </c>
      <c r="DA50" s="979">
        <f t="shared" si="120"/>
        <v>0</v>
      </c>
      <c r="DB50" s="979">
        <f t="shared" si="120"/>
        <v>0</v>
      </c>
      <c r="DC50" s="983">
        <f t="shared" si="99"/>
        <v>0</v>
      </c>
      <c r="DD50" s="977"/>
      <c r="DE50" s="979">
        <f>DB50</f>
        <v>0</v>
      </c>
      <c r="DF50" s="979">
        <f t="shared" si="121"/>
        <v>0</v>
      </c>
      <c r="DG50" s="979">
        <f t="shared" si="122"/>
        <v>0</v>
      </c>
      <c r="DH50" s="979">
        <f t="shared" si="123"/>
        <v>0</v>
      </c>
      <c r="DI50" s="983">
        <f t="shared" si="100"/>
        <v>0</v>
      </c>
      <c r="DJ50" s="977"/>
      <c r="DK50" s="979">
        <f>DH50</f>
        <v>0</v>
      </c>
      <c r="DL50" s="979">
        <f t="shared" si="124"/>
        <v>0</v>
      </c>
      <c r="DM50" s="979">
        <f t="shared" si="125"/>
        <v>0</v>
      </c>
      <c r="DN50" s="979">
        <f t="shared" si="126"/>
        <v>0</v>
      </c>
      <c r="DO50" s="983">
        <f t="shared" si="101"/>
        <v>0</v>
      </c>
      <c r="DP50" s="1698"/>
      <c r="DQ50" s="956"/>
      <c r="DR50" s="956"/>
    </row>
    <row r="51" spans="1:122" ht="10.5" customHeight="1">
      <c r="A51" s="1115" t="s">
        <v>316</v>
      </c>
      <c r="B51" s="993"/>
      <c r="C51" s="982">
        <f t="shared" si="113"/>
        <v>0</v>
      </c>
      <c r="D51" s="982">
        <f t="shared" si="113"/>
        <v>0</v>
      </c>
      <c r="E51" s="982">
        <f t="shared" si="113"/>
        <v>0</v>
      </c>
      <c r="F51" s="993"/>
      <c r="G51" s="982">
        <f t="shared" si="114"/>
        <v>0</v>
      </c>
      <c r="H51" s="977">
        <f t="shared" si="115"/>
        <v>0</v>
      </c>
      <c r="I51" s="977">
        <f t="shared" si="115"/>
        <v>0</v>
      </c>
      <c r="J51" s="977">
        <f t="shared" si="115"/>
        <v>0</v>
      </c>
      <c r="K51" s="977">
        <f t="shared" si="93"/>
        <v>0</v>
      </c>
      <c r="L51" s="993"/>
      <c r="M51" s="982">
        <f t="shared" si="116"/>
        <v>0</v>
      </c>
      <c r="N51" s="977">
        <f t="shared" si="117"/>
        <v>0</v>
      </c>
      <c r="O51" s="977">
        <f t="shared" si="117"/>
        <v>0</v>
      </c>
      <c r="P51" s="977">
        <f t="shared" si="117"/>
        <v>0</v>
      </c>
      <c r="Q51" s="982">
        <f t="shared" si="95"/>
        <v>0</v>
      </c>
      <c r="R51" s="993"/>
      <c r="S51" s="982">
        <f t="shared" si="118"/>
        <v>0</v>
      </c>
      <c r="T51" s="977">
        <v>0</v>
      </c>
      <c r="U51" s="977">
        <v>0</v>
      </c>
      <c r="V51" s="977">
        <f>U51</f>
        <v>0</v>
      </c>
      <c r="W51" s="982">
        <f t="shared" si="96"/>
        <v>0</v>
      </c>
      <c r="X51" s="977"/>
      <c r="Y51" s="977">
        <v>0</v>
      </c>
      <c r="Z51" s="977">
        <f>Y51</f>
        <v>0</v>
      </c>
      <c r="AA51" s="977">
        <v>0</v>
      </c>
      <c r="AB51" s="977">
        <v>0</v>
      </c>
      <c r="AC51" s="982">
        <f t="shared" si="102"/>
        <v>0</v>
      </c>
      <c r="AD51" s="977"/>
      <c r="AE51" s="977">
        <v>0</v>
      </c>
      <c r="AF51" s="977">
        <v>0</v>
      </c>
      <c r="AG51" s="977">
        <v>0</v>
      </c>
      <c r="AH51" s="977">
        <f>AG51</f>
        <v>0</v>
      </c>
      <c r="AI51" s="983">
        <f t="shared" si="103"/>
        <v>0</v>
      </c>
      <c r="AJ51" s="977"/>
      <c r="AK51" s="977">
        <v>0</v>
      </c>
      <c r="AL51" s="977">
        <v>0</v>
      </c>
      <c r="AM51" s="977">
        <v>0</v>
      </c>
      <c r="AN51" s="977">
        <f>AM51</f>
        <v>0</v>
      </c>
      <c r="AO51" s="978">
        <f t="shared" si="104"/>
        <v>0</v>
      </c>
      <c r="AP51" s="977"/>
      <c r="AQ51" s="977">
        <v>0</v>
      </c>
      <c r="AR51" s="977">
        <v>0</v>
      </c>
      <c r="AS51" s="977">
        <v>0</v>
      </c>
      <c r="AT51" s="977">
        <v>0</v>
      </c>
      <c r="AU51" s="983">
        <f t="shared" si="105"/>
        <v>0</v>
      </c>
      <c r="AV51" s="977"/>
      <c r="AW51" s="977">
        <f>AT51</f>
        <v>0</v>
      </c>
      <c r="AX51" s="977">
        <v>0</v>
      </c>
      <c r="AY51" s="977">
        <f t="shared" ref="AY51:AZ54" si="127">AX51</f>
        <v>0</v>
      </c>
      <c r="AZ51" s="977">
        <f t="shared" si="127"/>
        <v>0</v>
      </c>
      <c r="BA51" s="983">
        <f t="shared" si="106"/>
        <v>0</v>
      </c>
      <c r="BB51" s="977"/>
      <c r="BC51" s="977">
        <v>0</v>
      </c>
      <c r="BD51" s="977">
        <f t="shared" ref="BD51:BF54" si="128">BC51</f>
        <v>0</v>
      </c>
      <c r="BE51" s="977">
        <f>-152.243</f>
        <v>-152.24299999999999</v>
      </c>
      <c r="BF51" s="977">
        <v>-171.964</v>
      </c>
      <c r="BG51" s="983">
        <f t="shared" si="107"/>
        <v>-171.964</v>
      </c>
      <c r="BH51" s="977"/>
      <c r="BI51" s="979">
        <v>0</v>
      </c>
      <c r="BJ51" s="979">
        <f>BI51</f>
        <v>0</v>
      </c>
      <c r="BK51" s="979">
        <v>0</v>
      </c>
      <c r="BL51" s="979">
        <f>BK51</f>
        <v>0</v>
      </c>
      <c r="BM51" s="983">
        <f t="shared" si="108"/>
        <v>0</v>
      </c>
      <c r="BN51" s="977"/>
      <c r="BO51" s="979">
        <v>0</v>
      </c>
      <c r="BP51" s="979">
        <f>BO51</f>
        <v>0</v>
      </c>
      <c r="BQ51" s="979">
        <f>BP51</f>
        <v>0</v>
      </c>
      <c r="BR51" s="979">
        <f>BQ51</f>
        <v>0</v>
      </c>
      <c r="BS51" s="983">
        <f t="shared" si="109"/>
        <v>0</v>
      </c>
      <c r="BT51" s="977"/>
      <c r="BU51" s="979">
        <f>BR51</f>
        <v>0</v>
      </c>
      <c r="BV51" s="979">
        <f>BU51</f>
        <v>0</v>
      </c>
      <c r="BW51" s="979">
        <f>BV51</f>
        <v>0</v>
      </c>
      <c r="BX51" s="979">
        <v>0</v>
      </c>
      <c r="BY51" s="983">
        <f t="shared" si="110"/>
        <v>0</v>
      </c>
      <c r="BZ51" s="977"/>
      <c r="CA51" s="979">
        <f>BX51</f>
        <v>0</v>
      </c>
      <c r="CB51" s="979">
        <f>CA51</f>
        <v>0</v>
      </c>
      <c r="CC51" s="979">
        <f>CB51</f>
        <v>0</v>
      </c>
      <c r="CD51" s="979">
        <f>CC51</f>
        <v>0</v>
      </c>
      <c r="CE51" s="983">
        <f t="shared" si="111"/>
        <v>0</v>
      </c>
      <c r="CF51" s="977"/>
      <c r="CG51" s="979">
        <f>CD51</f>
        <v>0</v>
      </c>
      <c r="CH51" s="979">
        <f>CG51</f>
        <v>0</v>
      </c>
      <c r="CI51" s="979">
        <f>CH51</f>
        <v>0</v>
      </c>
      <c r="CJ51" s="979">
        <f>CI51</f>
        <v>0</v>
      </c>
      <c r="CK51" s="983">
        <f t="shared" si="112"/>
        <v>0</v>
      </c>
      <c r="CL51" s="977"/>
      <c r="CM51" s="979">
        <v>0</v>
      </c>
      <c r="CN51" s="979">
        <v>0</v>
      </c>
      <c r="CO51" s="979">
        <v>0</v>
      </c>
      <c r="CP51" s="979">
        <f>CO51</f>
        <v>0</v>
      </c>
      <c r="CQ51" s="983">
        <f t="shared" si="97"/>
        <v>0</v>
      </c>
      <c r="CR51" s="977"/>
      <c r="CS51" s="979">
        <f>CP51</f>
        <v>0</v>
      </c>
      <c r="CT51" s="979">
        <f t="shared" si="119"/>
        <v>0</v>
      </c>
      <c r="CU51" s="979">
        <v>0</v>
      </c>
      <c r="CV51" s="979">
        <f t="shared" si="119"/>
        <v>0</v>
      </c>
      <c r="CW51" s="983">
        <f t="shared" si="98"/>
        <v>0</v>
      </c>
      <c r="CX51" s="977"/>
      <c r="CY51" s="979">
        <f>CV51</f>
        <v>0</v>
      </c>
      <c r="CZ51" s="979">
        <f t="shared" si="120"/>
        <v>0</v>
      </c>
      <c r="DA51" s="979">
        <f t="shared" si="120"/>
        <v>0</v>
      </c>
      <c r="DB51" s="979">
        <f t="shared" si="120"/>
        <v>0</v>
      </c>
      <c r="DC51" s="983">
        <f t="shared" si="99"/>
        <v>0</v>
      </c>
      <c r="DD51" s="977"/>
      <c r="DE51" s="979">
        <f>DB51</f>
        <v>0</v>
      </c>
      <c r="DF51" s="979">
        <f t="shared" si="121"/>
        <v>0</v>
      </c>
      <c r="DG51" s="979">
        <f t="shared" si="122"/>
        <v>0</v>
      </c>
      <c r="DH51" s="979">
        <f t="shared" si="123"/>
        <v>0</v>
      </c>
      <c r="DI51" s="983">
        <f t="shared" si="100"/>
        <v>0</v>
      </c>
      <c r="DJ51" s="977"/>
      <c r="DK51" s="979">
        <f>DH51</f>
        <v>0</v>
      </c>
      <c r="DL51" s="979">
        <f t="shared" si="124"/>
        <v>0</v>
      </c>
      <c r="DM51" s="979">
        <f t="shared" si="125"/>
        <v>0</v>
      </c>
      <c r="DN51" s="979">
        <f t="shared" si="126"/>
        <v>0</v>
      </c>
      <c r="DO51" s="983">
        <f t="shared" si="101"/>
        <v>0</v>
      </c>
      <c r="DP51" s="1698"/>
      <c r="DQ51" s="956"/>
      <c r="DR51" s="956"/>
    </row>
    <row r="52" spans="1:122" ht="10.5" customHeight="1">
      <c r="A52" s="1115" t="s">
        <v>194</v>
      </c>
      <c r="B52" s="993"/>
      <c r="C52" s="982">
        <f t="shared" si="113"/>
        <v>0</v>
      </c>
      <c r="D52" s="982">
        <f t="shared" si="113"/>
        <v>0</v>
      </c>
      <c r="E52" s="982">
        <f t="shared" si="113"/>
        <v>0</v>
      </c>
      <c r="F52" s="993"/>
      <c r="G52" s="982">
        <f t="shared" si="114"/>
        <v>0</v>
      </c>
      <c r="H52" s="977">
        <f t="shared" si="115"/>
        <v>0</v>
      </c>
      <c r="I52" s="977">
        <f t="shared" si="115"/>
        <v>0</v>
      </c>
      <c r="J52" s="977">
        <f t="shared" si="115"/>
        <v>0</v>
      </c>
      <c r="K52" s="977">
        <f t="shared" si="93"/>
        <v>0</v>
      </c>
      <c r="L52" s="993"/>
      <c r="M52" s="982">
        <f t="shared" si="116"/>
        <v>0</v>
      </c>
      <c r="N52" s="977">
        <f t="shared" si="117"/>
        <v>0</v>
      </c>
      <c r="O52" s="977">
        <f t="shared" si="117"/>
        <v>0</v>
      </c>
      <c r="P52" s="977">
        <f t="shared" si="117"/>
        <v>0</v>
      </c>
      <c r="Q52" s="982">
        <f t="shared" si="95"/>
        <v>0</v>
      </c>
      <c r="R52" s="993"/>
      <c r="S52" s="982">
        <f t="shared" si="118"/>
        <v>0</v>
      </c>
      <c r="T52" s="977">
        <v>0</v>
      </c>
      <c r="U52" s="977">
        <v>0</v>
      </c>
      <c r="V52" s="977">
        <f>U52</f>
        <v>0</v>
      </c>
      <c r="W52" s="982">
        <f t="shared" si="96"/>
        <v>0</v>
      </c>
      <c r="X52" s="977"/>
      <c r="Y52" s="977">
        <v>0</v>
      </c>
      <c r="Z52" s="977">
        <f>Y52</f>
        <v>0</v>
      </c>
      <c r="AA52" s="977">
        <v>0</v>
      </c>
      <c r="AB52" s="977">
        <v>0</v>
      </c>
      <c r="AC52" s="982">
        <f t="shared" si="102"/>
        <v>0</v>
      </c>
      <c r="AD52" s="977"/>
      <c r="AE52" s="977">
        <v>0</v>
      </c>
      <c r="AF52" s="977">
        <v>0</v>
      </c>
      <c r="AG52" s="977">
        <v>0</v>
      </c>
      <c r="AH52" s="977">
        <f>AG52</f>
        <v>0</v>
      </c>
      <c r="AI52" s="983">
        <f t="shared" si="103"/>
        <v>0</v>
      </c>
      <c r="AJ52" s="977"/>
      <c r="AK52" s="977">
        <v>0</v>
      </c>
      <c r="AL52" s="977">
        <v>0</v>
      </c>
      <c r="AM52" s="977">
        <v>0</v>
      </c>
      <c r="AN52" s="977">
        <f>AM52</f>
        <v>0</v>
      </c>
      <c r="AO52" s="978">
        <f t="shared" si="104"/>
        <v>0</v>
      </c>
      <c r="AP52" s="977"/>
      <c r="AQ52" s="977">
        <v>0</v>
      </c>
      <c r="AR52" s="977">
        <v>0</v>
      </c>
      <c r="AS52" s="977">
        <v>0</v>
      </c>
      <c r="AT52" s="977">
        <v>0</v>
      </c>
      <c r="AU52" s="983">
        <f t="shared" si="105"/>
        <v>0</v>
      </c>
      <c r="AV52" s="977"/>
      <c r="AW52" s="977">
        <f>AT52</f>
        <v>0</v>
      </c>
      <c r="AX52" s="977">
        <v>0</v>
      </c>
      <c r="AY52" s="977">
        <f t="shared" si="127"/>
        <v>0</v>
      </c>
      <c r="AZ52" s="977">
        <f>567.094</f>
        <v>567.09400000000005</v>
      </c>
      <c r="BA52" s="983">
        <f t="shared" si="106"/>
        <v>567.09400000000005</v>
      </c>
      <c r="BB52" s="977"/>
      <c r="BC52" s="977">
        <v>0</v>
      </c>
      <c r="BD52" s="977">
        <f t="shared" si="128"/>
        <v>0</v>
      </c>
      <c r="BE52" s="977">
        <f t="shared" si="128"/>
        <v>0</v>
      </c>
      <c r="BF52" s="977">
        <f t="shared" si="128"/>
        <v>0</v>
      </c>
      <c r="BG52" s="983">
        <f t="shared" si="107"/>
        <v>0</v>
      </c>
      <c r="BH52" s="977"/>
      <c r="BI52" s="979">
        <f>BF52</f>
        <v>0</v>
      </c>
      <c r="BJ52" s="979">
        <f>BI52</f>
        <v>0</v>
      </c>
      <c r="BK52" s="979">
        <v>0</v>
      </c>
      <c r="BL52" s="979">
        <f>BK52</f>
        <v>0</v>
      </c>
      <c r="BM52" s="983">
        <f t="shared" si="108"/>
        <v>0</v>
      </c>
      <c r="BN52" s="977"/>
      <c r="BO52" s="979">
        <v>0</v>
      </c>
      <c r="BP52" s="979">
        <v>0</v>
      </c>
      <c r="BQ52" s="979">
        <v>0</v>
      </c>
      <c r="BR52" s="979">
        <v>0</v>
      </c>
      <c r="BS52" s="983">
        <f t="shared" si="109"/>
        <v>0</v>
      </c>
      <c r="BT52" s="977"/>
      <c r="BU52" s="977">
        <v>0</v>
      </c>
      <c r="BV52" s="977">
        <f>298.5</f>
        <v>298.5</v>
      </c>
      <c r="BW52" s="977">
        <f>298.5+-7.5</f>
        <v>291</v>
      </c>
      <c r="BX52" s="977">
        <f>298.5+-15</f>
        <v>283.5</v>
      </c>
      <c r="BY52" s="983">
        <f>BX52</f>
        <v>283.5</v>
      </c>
      <c r="BZ52" s="977"/>
      <c r="CA52" s="977">
        <v>-7.5</v>
      </c>
      <c r="CB52" s="977">
        <v>-15</v>
      </c>
      <c r="CC52" s="977">
        <f>297.325-285</f>
        <v>12.324999999999989</v>
      </c>
      <c r="CD52" s="977">
        <f>297.325-285</f>
        <v>12.324999999999989</v>
      </c>
      <c r="CE52" s="983">
        <f>CD52</f>
        <v>12.324999999999989</v>
      </c>
      <c r="CF52" s="977"/>
      <c r="CG52" s="977">
        <v>-300</v>
      </c>
      <c r="CH52" s="977">
        <v>-300</v>
      </c>
      <c r="CI52" s="977">
        <v>-300</v>
      </c>
      <c r="CJ52" s="977">
        <v>-300</v>
      </c>
      <c r="CK52" s="983">
        <f>CJ52</f>
        <v>-300</v>
      </c>
      <c r="CL52" s="977"/>
      <c r="CM52" s="977">
        <v>0</v>
      </c>
      <c r="CN52" s="977">
        <v>495.55</v>
      </c>
      <c r="CO52" s="977">
        <v>495.55</v>
      </c>
      <c r="CP52" s="977">
        <v>495.55</v>
      </c>
      <c r="CQ52" s="983">
        <f t="shared" si="97"/>
        <v>495.55</v>
      </c>
      <c r="CR52" s="977"/>
      <c r="CS52" s="977">
        <v>0</v>
      </c>
      <c r="CT52" s="977">
        <v>0</v>
      </c>
      <c r="CU52" s="977">
        <v>0</v>
      </c>
      <c r="CV52" s="977">
        <v>0</v>
      </c>
      <c r="CW52" s="983">
        <f t="shared" si="98"/>
        <v>0</v>
      </c>
      <c r="CX52" s="977"/>
      <c r="CY52" s="977">
        <f>(BS!CY41-BS!CV41)+(BS!CY35-BS!CV35)</f>
        <v>-198.13499999999993</v>
      </c>
      <c r="CZ52" s="977">
        <f>CY52+(BS!CZ41-BS!CY41)+(BS!CZ35-BS!CY35)</f>
        <v>-198.13499999999993</v>
      </c>
      <c r="DA52" s="977">
        <f>CZ52+(BS!DA41-BS!CZ41)+(BS!DA35-BS!CZ35)</f>
        <v>-198.13499999999993</v>
      </c>
      <c r="DB52" s="977">
        <f>DA52+(BS!DB41-BS!DA41)+(BS!DB35-BS!DA35)</f>
        <v>-198.13499999999993</v>
      </c>
      <c r="DC52" s="983">
        <f t="shared" si="99"/>
        <v>-198.13499999999993</v>
      </c>
      <c r="DD52" s="977"/>
      <c r="DE52" s="977">
        <f>(BS!DE41-BS!DB41)+(BS!DE35-BS!DB35)</f>
        <v>0</v>
      </c>
      <c r="DF52" s="977">
        <f>DE52+(BS!DF41-BS!DE41)+(BS!DF35-BS!DE35)</f>
        <v>0</v>
      </c>
      <c r="DG52" s="977">
        <f>DF52+(BS!DG41-BS!DF41)+(BS!DG35-BS!DF35)</f>
        <v>0</v>
      </c>
      <c r="DH52" s="977">
        <f>DG52+(BS!DH41-BS!DG41)+(BS!DH35-BS!DG35)</f>
        <v>0</v>
      </c>
      <c r="DI52" s="983">
        <f t="shared" si="100"/>
        <v>0</v>
      </c>
      <c r="DJ52" s="977"/>
      <c r="DK52" s="977">
        <f>(BS!DK41-BS!DH41)+(BS!DK35-BS!DH35)</f>
        <v>0</v>
      </c>
      <c r="DL52" s="977">
        <f>DK52+(BS!DL41-BS!DK41)+(BS!DL35-BS!DK35)</f>
        <v>0</v>
      </c>
      <c r="DM52" s="977">
        <f>DL52+(BS!DM41-BS!DL41)+(BS!DM35-BS!DL35)</f>
        <v>0</v>
      </c>
      <c r="DN52" s="977">
        <f>DM52+(BS!DN41-BS!DM41)+(BS!DN35-BS!DM35)</f>
        <v>0</v>
      </c>
      <c r="DO52" s="983">
        <f t="shared" si="101"/>
        <v>0</v>
      </c>
      <c r="DP52" s="1698"/>
      <c r="DQ52" s="956"/>
      <c r="DR52" s="956"/>
    </row>
    <row r="53" spans="1:122" ht="10.5" customHeight="1">
      <c r="A53" s="1115" t="s">
        <v>195</v>
      </c>
      <c r="B53" s="993"/>
      <c r="C53" s="982">
        <f t="shared" si="113"/>
        <v>0</v>
      </c>
      <c r="D53" s="982">
        <f t="shared" si="113"/>
        <v>0</v>
      </c>
      <c r="E53" s="982">
        <f t="shared" si="113"/>
        <v>0</v>
      </c>
      <c r="F53" s="993"/>
      <c r="G53" s="982">
        <f t="shared" si="114"/>
        <v>0</v>
      </c>
      <c r="H53" s="977">
        <f t="shared" si="115"/>
        <v>0</v>
      </c>
      <c r="I53" s="977">
        <f t="shared" si="115"/>
        <v>0</v>
      </c>
      <c r="J53" s="977">
        <f t="shared" si="115"/>
        <v>0</v>
      </c>
      <c r="K53" s="977">
        <f t="shared" si="93"/>
        <v>0</v>
      </c>
      <c r="L53" s="993"/>
      <c r="M53" s="982">
        <f t="shared" si="116"/>
        <v>0</v>
      </c>
      <c r="N53" s="977">
        <f t="shared" si="117"/>
        <v>0</v>
      </c>
      <c r="O53" s="977">
        <f t="shared" si="117"/>
        <v>0</v>
      </c>
      <c r="P53" s="977">
        <f t="shared" si="117"/>
        <v>0</v>
      </c>
      <c r="Q53" s="982">
        <f t="shared" si="95"/>
        <v>0</v>
      </c>
      <c r="R53" s="993"/>
      <c r="S53" s="982">
        <f t="shared" si="118"/>
        <v>0</v>
      </c>
      <c r="T53" s="977">
        <v>0</v>
      </c>
      <c r="U53" s="977">
        <v>0</v>
      </c>
      <c r="V53" s="977">
        <f>U53</f>
        <v>0</v>
      </c>
      <c r="W53" s="982">
        <f t="shared" si="96"/>
        <v>0</v>
      </c>
      <c r="X53" s="977"/>
      <c r="Y53" s="977">
        <v>0</v>
      </c>
      <c r="Z53" s="977">
        <f>Y53</f>
        <v>0</v>
      </c>
      <c r="AA53" s="977">
        <v>0</v>
      </c>
      <c r="AB53" s="977">
        <v>0</v>
      </c>
      <c r="AC53" s="982">
        <f t="shared" si="102"/>
        <v>0</v>
      </c>
      <c r="AD53" s="977"/>
      <c r="AE53" s="977">
        <v>0</v>
      </c>
      <c r="AF53" s="977">
        <v>0</v>
      </c>
      <c r="AG53" s="977">
        <v>0</v>
      </c>
      <c r="AH53" s="977">
        <f>AG53</f>
        <v>0</v>
      </c>
      <c r="AI53" s="983">
        <f t="shared" si="103"/>
        <v>0</v>
      </c>
      <c r="AJ53" s="977"/>
      <c r="AK53" s="977">
        <v>0</v>
      </c>
      <c r="AL53" s="977">
        <v>0</v>
      </c>
      <c r="AM53" s="977">
        <v>0</v>
      </c>
      <c r="AN53" s="977">
        <f>AM53</f>
        <v>0</v>
      </c>
      <c r="AO53" s="978">
        <f t="shared" si="104"/>
        <v>0</v>
      </c>
      <c r="AP53" s="977"/>
      <c r="AQ53" s="977">
        <v>0</v>
      </c>
      <c r="AR53" s="977">
        <v>0</v>
      </c>
      <c r="AS53" s="977">
        <v>0</v>
      </c>
      <c r="AT53" s="977">
        <v>0</v>
      </c>
      <c r="AU53" s="983">
        <f t="shared" si="105"/>
        <v>0</v>
      </c>
      <c r="AV53" s="977"/>
      <c r="AW53" s="977">
        <f>AT53</f>
        <v>0</v>
      </c>
      <c r="AX53" s="977">
        <v>0</v>
      </c>
      <c r="AY53" s="977">
        <f t="shared" si="127"/>
        <v>0</v>
      </c>
      <c r="AZ53" s="977">
        <f>59.283-126.5</f>
        <v>-67.216999999999999</v>
      </c>
      <c r="BA53" s="983">
        <f t="shared" si="106"/>
        <v>-67.216999999999999</v>
      </c>
      <c r="BB53" s="977"/>
      <c r="BC53" s="977">
        <v>0</v>
      </c>
      <c r="BD53" s="977">
        <v>0</v>
      </c>
      <c r="BE53" s="977">
        <v>0</v>
      </c>
      <c r="BF53" s="977">
        <v>0</v>
      </c>
      <c r="BG53" s="983">
        <f t="shared" si="107"/>
        <v>0</v>
      </c>
      <c r="BH53" s="977"/>
      <c r="BI53" s="979">
        <f>BF53</f>
        <v>0</v>
      </c>
      <c r="BJ53" s="979">
        <f>BI53</f>
        <v>0</v>
      </c>
      <c r="BK53" s="979">
        <v>0</v>
      </c>
      <c r="BL53" s="979">
        <f>BK53</f>
        <v>0</v>
      </c>
      <c r="BM53" s="983">
        <f t="shared" si="108"/>
        <v>0</v>
      </c>
      <c r="BN53" s="977"/>
      <c r="BO53" s="979">
        <v>0</v>
      </c>
      <c r="BP53" s="979">
        <v>0</v>
      </c>
      <c r="BQ53" s="979">
        <v>0</v>
      </c>
      <c r="BR53" s="979">
        <v>0</v>
      </c>
      <c r="BS53" s="983">
        <f t="shared" si="109"/>
        <v>0</v>
      </c>
      <c r="BT53" s="977"/>
      <c r="BU53" s="979">
        <f>84.8-153.8+1132.75</f>
        <v>1063.75</v>
      </c>
      <c r="BV53" s="979">
        <f>84.8-153.8+1132.75</f>
        <v>1063.75</v>
      </c>
      <c r="BW53" s="979">
        <f>1132.75+84.8-153.8</f>
        <v>1063.75</v>
      </c>
      <c r="BX53" s="979">
        <f>1132.75+84.8-153.8+-5.992</f>
        <v>1057.758</v>
      </c>
      <c r="BY53" s="983">
        <f t="shared" si="110"/>
        <v>1057.758</v>
      </c>
      <c r="BZ53" s="977"/>
      <c r="CA53" s="979">
        <v>-283.892</v>
      </c>
      <c r="CB53" s="979">
        <v>-297.584</v>
      </c>
      <c r="CC53" s="979">
        <v>-387.22899999999998</v>
      </c>
      <c r="CD53" s="979">
        <v>-568.86199999999997</v>
      </c>
      <c r="CE53" s="983">
        <f t="shared" si="111"/>
        <v>-568.86199999999997</v>
      </c>
      <c r="CF53" s="977"/>
      <c r="CG53" s="979">
        <v>0</v>
      </c>
      <c r="CH53" s="979">
        <v>0</v>
      </c>
      <c r="CI53" s="979">
        <v>0</v>
      </c>
      <c r="CJ53" s="979">
        <v>0</v>
      </c>
      <c r="CK53" s="983">
        <f t="shared" si="112"/>
        <v>0</v>
      </c>
      <c r="CL53" s="977"/>
      <c r="CM53" s="979">
        <v>0</v>
      </c>
      <c r="CN53" s="979">
        <v>0</v>
      </c>
      <c r="CO53" s="979">
        <v>0</v>
      </c>
      <c r="CP53" s="979">
        <v>0</v>
      </c>
      <c r="CQ53" s="983">
        <f t="shared" si="97"/>
        <v>0</v>
      </c>
      <c r="CR53" s="977"/>
      <c r="CS53" s="979">
        <v>0</v>
      </c>
      <c r="CT53" s="979">
        <v>0</v>
      </c>
      <c r="CU53" s="979">
        <v>0</v>
      </c>
      <c r="CV53" s="979">
        <v>-123.179</v>
      </c>
      <c r="CW53" s="983">
        <f t="shared" si="98"/>
        <v>-123.179</v>
      </c>
      <c r="CX53" s="977"/>
      <c r="CY53" s="979">
        <v>0</v>
      </c>
      <c r="CZ53" s="979">
        <f t="shared" ref="CZ53:DB54" si="129">CY53</f>
        <v>0</v>
      </c>
      <c r="DA53" s="979">
        <f t="shared" si="129"/>
        <v>0</v>
      </c>
      <c r="DB53" s="979">
        <f t="shared" si="129"/>
        <v>0</v>
      </c>
      <c r="DC53" s="983">
        <f t="shared" si="99"/>
        <v>0</v>
      </c>
      <c r="DD53" s="977"/>
      <c r="DE53" s="979">
        <v>0</v>
      </c>
      <c r="DF53" s="979">
        <f t="shared" ref="DF53:DF54" si="130">DE53</f>
        <v>0</v>
      </c>
      <c r="DG53" s="979">
        <f t="shared" ref="DG53:DG54" si="131">DF53</f>
        <v>0</v>
      </c>
      <c r="DH53" s="979">
        <f t="shared" ref="DH53:DH54" si="132">DG53</f>
        <v>0</v>
      </c>
      <c r="DI53" s="983">
        <f t="shared" si="100"/>
        <v>0</v>
      </c>
      <c r="DJ53" s="977"/>
      <c r="DK53" s="979">
        <v>0</v>
      </c>
      <c r="DL53" s="979">
        <f t="shared" ref="DL53:DL54" si="133">DK53</f>
        <v>0</v>
      </c>
      <c r="DM53" s="979">
        <f t="shared" ref="DM53:DM54" si="134">DL53</f>
        <v>0</v>
      </c>
      <c r="DN53" s="979">
        <f t="shared" ref="DN53:DN54" si="135">DM53</f>
        <v>0</v>
      </c>
      <c r="DO53" s="983">
        <f t="shared" si="101"/>
        <v>0</v>
      </c>
      <c r="DP53" s="1698"/>
      <c r="DQ53" s="956"/>
      <c r="DR53" s="956"/>
    </row>
    <row r="54" spans="1:122" ht="10.5" customHeight="1">
      <c r="A54" s="1115" t="s">
        <v>671</v>
      </c>
      <c r="B54" s="993"/>
      <c r="C54" s="982">
        <f t="shared" si="113"/>
        <v>-1E-3</v>
      </c>
      <c r="D54" s="982">
        <f t="shared" si="113"/>
        <v>0.28900000000000003</v>
      </c>
      <c r="E54" s="982">
        <f t="shared" si="113"/>
        <v>1.0319999999999998</v>
      </c>
      <c r="F54" s="993"/>
      <c r="G54" s="982">
        <f t="shared" si="114"/>
        <v>-7.0000000000000001E-3</v>
      </c>
      <c r="H54" s="977">
        <f t="shared" si="115"/>
        <v>-0.215</v>
      </c>
      <c r="I54" s="977">
        <f t="shared" si="115"/>
        <v>0.33100000000000007</v>
      </c>
      <c r="J54" s="977">
        <f t="shared" si="115"/>
        <v>0.20900000000000007</v>
      </c>
      <c r="K54" s="977">
        <f>J54</f>
        <v>0.20900000000000007</v>
      </c>
      <c r="L54" s="993"/>
      <c r="M54" s="982">
        <f t="shared" si="116"/>
        <v>-5.0000000000000001E-3</v>
      </c>
      <c r="N54" s="977">
        <f t="shared" si="117"/>
        <v>-1.6E-2</v>
      </c>
      <c r="O54" s="977">
        <f t="shared" si="117"/>
        <v>0.15100000000000002</v>
      </c>
      <c r="P54" s="977">
        <f t="shared" si="117"/>
        <v>0.15000000000000002</v>
      </c>
      <c r="Q54" s="982">
        <f>P54</f>
        <v>0.15000000000000002</v>
      </c>
      <c r="R54" s="993"/>
      <c r="S54" s="982">
        <f t="shared" si="118"/>
        <v>-3.5999999999999997E-2</v>
      </c>
      <c r="T54" s="977">
        <v>0</v>
      </c>
      <c r="U54" s="977">
        <v>0</v>
      </c>
      <c r="V54" s="977">
        <f>1.043-0.254+0.04</f>
        <v>0.82899999999999996</v>
      </c>
      <c r="W54" s="982">
        <f>V54</f>
        <v>0.82899999999999996</v>
      </c>
      <c r="X54" s="977"/>
      <c r="Y54" s="977">
        <f>-0.004+0.727</f>
        <v>0.72299999999999998</v>
      </c>
      <c r="Z54" s="977">
        <f>0.727-0.028</f>
        <v>0.69899999999999995</v>
      </c>
      <c r="AA54" s="977">
        <v>0.72699999999999998</v>
      </c>
      <c r="AB54" s="977">
        <f>0.727-0.028</f>
        <v>0.69899999999999995</v>
      </c>
      <c r="AC54" s="982">
        <f>AB54</f>
        <v>0.69899999999999995</v>
      </c>
      <c r="AD54" s="977"/>
      <c r="AE54" s="977">
        <v>0</v>
      </c>
      <c r="AF54" s="977">
        <v>-0.01</v>
      </c>
      <c r="AG54" s="977">
        <v>-0.01</v>
      </c>
      <c r="AH54" s="977">
        <f>AG54-0.002</f>
        <v>-1.2E-2</v>
      </c>
      <c r="AI54" s="983">
        <f>AH54</f>
        <v>-1.2E-2</v>
      </c>
      <c r="AJ54" s="977"/>
      <c r="AK54" s="977">
        <v>0</v>
      </c>
      <c r="AL54" s="977">
        <v>0</v>
      </c>
      <c r="AM54" s="977">
        <v>0</v>
      </c>
      <c r="AN54" s="977">
        <f>AM54</f>
        <v>0</v>
      </c>
      <c r="AO54" s="978">
        <f>AN54</f>
        <v>0</v>
      </c>
      <c r="AP54" s="977"/>
      <c r="AQ54" s="977">
        <v>0</v>
      </c>
      <c r="AR54" s="977">
        <v>0</v>
      </c>
      <c r="AS54" s="977">
        <v>0</v>
      </c>
      <c r="AT54" s="977">
        <v>0</v>
      </c>
      <c r="AU54" s="983">
        <f>AT54</f>
        <v>0</v>
      </c>
      <c r="AV54" s="977"/>
      <c r="AW54" s="977">
        <f>AT54</f>
        <v>0</v>
      </c>
      <c r="AX54" s="977">
        <v>0</v>
      </c>
      <c r="AY54" s="977">
        <f t="shared" si="127"/>
        <v>0</v>
      </c>
      <c r="AZ54" s="977">
        <v>-8.1189999999999998</v>
      </c>
      <c r="BA54" s="983">
        <f>AZ54</f>
        <v>-8.1189999999999998</v>
      </c>
      <c r="BB54" s="977"/>
      <c r="BC54" s="977">
        <v>0</v>
      </c>
      <c r="BD54" s="977">
        <f t="shared" si="128"/>
        <v>0</v>
      </c>
      <c r="BE54" s="977">
        <f t="shared" si="128"/>
        <v>0</v>
      </c>
      <c r="BF54" s="977">
        <f t="shared" si="128"/>
        <v>0</v>
      </c>
      <c r="BG54" s="983">
        <f>BF54</f>
        <v>0</v>
      </c>
      <c r="BH54" s="977"/>
      <c r="BI54" s="979">
        <v>-2.8</v>
      </c>
      <c r="BJ54" s="979">
        <v>-16.2</v>
      </c>
      <c r="BK54" s="979">
        <v>-16.2</v>
      </c>
      <c r="BL54" s="979">
        <v>-16.2</v>
      </c>
      <c r="BM54" s="983">
        <f>BL54</f>
        <v>-16.2</v>
      </c>
      <c r="BN54" s="977"/>
      <c r="BO54" s="979">
        <v>0</v>
      </c>
      <c r="BP54" s="979">
        <v>0</v>
      </c>
      <c r="BQ54" s="979">
        <v>0</v>
      </c>
      <c r="BR54" s="979">
        <v>0</v>
      </c>
      <c r="BS54" s="983">
        <f>BR54</f>
        <v>0</v>
      </c>
      <c r="BT54" s="977"/>
      <c r="BU54" s="979">
        <f>BR54</f>
        <v>0</v>
      </c>
      <c r="BV54" s="979">
        <f>BU54</f>
        <v>0</v>
      </c>
      <c r="BW54" s="979">
        <f>BV54</f>
        <v>0</v>
      </c>
      <c r="BX54" s="979">
        <v>0</v>
      </c>
      <c r="BY54" s="983">
        <f>BX54</f>
        <v>0</v>
      </c>
      <c r="BZ54" s="977"/>
      <c r="CA54" s="979">
        <v>0</v>
      </c>
      <c r="CB54" s="979">
        <v>0</v>
      </c>
      <c r="CC54" s="979">
        <v>0</v>
      </c>
      <c r="CD54" s="979">
        <v>0</v>
      </c>
      <c r="CE54" s="983">
        <f>CD54</f>
        <v>0</v>
      </c>
      <c r="CF54" s="977"/>
      <c r="CG54" s="979">
        <v>0</v>
      </c>
      <c r="CH54" s="979">
        <v>0</v>
      </c>
      <c r="CI54" s="979">
        <v>0</v>
      </c>
      <c r="CJ54" s="979">
        <v>0</v>
      </c>
      <c r="CK54" s="983">
        <f>CJ54</f>
        <v>0</v>
      </c>
      <c r="CL54" s="977"/>
      <c r="CM54" s="979">
        <v>0</v>
      </c>
      <c r="CN54" s="979">
        <v>0</v>
      </c>
      <c r="CO54" s="979">
        <v>0</v>
      </c>
      <c r="CP54" s="979">
        <v>0</v>
      </c>
      <c r="CQ54" s="983">
        <f t="shared" si="97"/>
        <v>0</v>
      </c>
      <c r="CR54" s="977"/>
      <c r="CS54" s="979">
        <v>0</v>
      </c>
      <c r="CT54" s="979">
        <v>0</v>
      </c>
      <c r="CU54" s="979">
        <v>0</v>
      </c>
      <c r="CV54" s="979">
        <f t="shared" ref="CV54" si="136">CU54</f>
        <v>0</v>
      </c>
      <c r="CW54" s="983">
        <f t="shared" si="98"/>
        <v>0</v>
      </c>
      <c r="CX54" s="977"/>
      <c r="CY54" s="979">
        <f>CV54</f>
        <v>0</v>
      </c>
      <c r="CZ54" s="979">
        <f t="shared" si="129"/>
        <v>0</v>
      </c>
      <c r="DA54" s="979">
        <f t="shared" si="129"/>
        <v>0</v>
      </c>
      <c r="DB54" s="979">
        <f t="shared" si="129"/>
        <v>0</v>
      </c>
      <c r="DC54" s="983">
        <f t="shared" si="99"/>
        <v>0</v>
      </c>
      <c r="DD54" s="977"/>
      <c r="DE54" s="979">
        <f>DB54</f>
        <v>0</v>
      </c>
      <c r="DF54" s="979">
        <f t="shared" si="130"/>
        <v>0</v>
      </c>
      <c r="DG54" s="979">
        <f t="shared" si="131"/>
        <v>0</v>
      </c>
      <c r="DH54" s="979">
        <f t="shared" si="132"/>
        <v>0</v>
      </c>
      <c r="DI54" s="983">
        <f t="shared" si="100"/>
        <v>0</v>
      </c>
      <c r="DJ54" s="977"/>
      <c r="DK54" s="979">
        <f>DH54</f>
        <v>0</v>
      </c>
      <c r="DL54" s="979">
        <f t="shared" si="133"/>
        <v>0</v>
      </c>
      <c r="DM54" s="979">
        <f t="shared" si="134"/>
        <v>0</v>
      </c>
      <c r="DN54" s="979">
        <f t="shared" si="135"/>
        <v>0</v>
      </c>
      <c r="DO54" s="983">
        <f t="shared" si="101"/>
        <v>0</v>
      </c>
      <c r="DP54" s="1698"/>
      <c r="DQ54" s="956"/>
      <c r="DR54" s="956"/>
    </row>
    <row r="55" spans="1:122" ht="10.5" customHeight="1">
      <c r="A55" s="1115" t="s">
        <v>691</v>
      </c>
      <c r="B55" s="993"/>
      <c r="C55" s="982">
        <f t="shared" si="113"/>
        <v>0</v>
      </c>
      <c r="D55" s="982">
        <f t="shared" si="113"/>
        <v>0</v>
      </c>
      <c r="E55" s="982">
        <f t="shared" si="113"/>
        <v>0</v>
      </c>
      <c r="F55" s="993"/>
      <c r="G55" s="982">
        <f t="shared" si="114"/>
        <v>0</v>
      </c>
      <c r="H55" s="977">
        <f t="shared" si="115"/>
        <v>0</v>
      </c>
      <c r="I55" s="977">
        <f t="shared" si="115"/>
        <v>0</v>
      </c>
      <c r="J55" s="977">
        <f t="shared" si="115"/>
        <v>0</v>
      </c>
      <c r="K55" s="977">
        <f>J55</f>
        <v>0</v>
      </c>
      <c r="L55" s="993"/>
      <c r="M55" s="982">
        <f t="shared" si="116"/>
        <v>0</v>
      </c>
      <c r="N55" s="977">
        <f t="shared" si="117"/>
        <v>0</v>
      </c>
      <c r="O55" s="977">
        <f t="shared" si="117"/>
        <v>0</v>
      </c>
      <c r="P55" s="977">
        <f t="shared" si="117"/>
        <v>0</v>
      </c>
      <c r="Q55" s="982">
        <f>P55</f>
        <v>0</v>
      </c>
      <c r="R55" s="993"/>
      <c r="S55" s="982">
        <f t="shared" si="118"/>
        <v>0</v>
      </c>
      <c r="T55" s="977">
        <v>0</v>
      </c>
      <c r="U55" s="977">
        <v>0</v>
      </c>
      <c r="V55" s="977">
        <f>U55-Model!V119</f>
        <v>0</v>
      </c>
      <c r="W55" s="982">
        <f>V55</f>
        <v>0</v>
      </c>
      <c r="X55" s="977"/>
      <c r="Y55" s="977">
        <v>0</v>
      </c>
      <c r="Z55" s="977">
        <f>Y55-Model!Z119</f>
        <v>0</v>
      </c>
      <c r="AA55" s="977">
        <v>0</v>
      </c>
      <c r="AB55" s="977">
        <v>0</v>
      </c>
      <c r="AC55" s="982">
        <f>AB55</f>
        <v>0</v>
      </c>
      <c r="AD55" s="977"/>
      <c r="AE55" s="977">
        <v>0</v>
      </c>
      <c r="AF55" s="977">
        <v>0</v>
      </c>
      <c r="AG55" s="977">
        <v>0</v>
      </c>
      <c r="AH55" s="977">
        <f>AG55-Model!AH119</f>
        <v>0</v>
      </c>
      <c r="AI55" s="983">
        <f>AH55</f>
        <v>0</v>
      </c>
      <c r="AJ55" s="977"/>
      <c r="AK55" s="977">
        <v>0</v>
      </c>
      <c r="AL55" s="977">
        <v>0</v>
      </c>
      <c r="AM55" s="977">
        <v>0</v>
      </c>
      <c r="AN55" s="977">
        <f>AM55-Model!AN119</f>
        <v>0</v>
      </c>
      <c r="AO55" s="978">
        <f>AN55</f>
        <v>0</v>
      </c>
      <c r="AP55" s="977"/>
      <c r="AQ55" s="977">
        <v>0</v>
      </c>
      <c r="AR55" s="977">
        <v>0</v>
      </c>
      <c r="AS55" s="977">
        <v>0</v>
      </c>
      <c r="AT55" s="977">
        <v>0</v>
      </c>
      <c r="AU55" s="983">
        <f>AT55</f>
        <v>0</v>
      </c>
      <c r="AV55" s="977"/>
      <c r="AW55" s="977">
        <f>-Model!AW119</f>
        <v>0</v>
      </c>
      <c r="AX55" s="977">
        <v>0</v>
      </c>
      <c r="AY55" s="977">
        <f>AX55-Model!AY119</f>
        <v>0</v>
      </c>
      <c r="AZ55" s="977">
        <f>AY55-Model!AZ119</f>
        <v>0</v>
      </c>
      <c r="BA55" s="983">
        <f>AZ55</f>
        <v>0</v>
      </c>
      <c r="BB55" s="977"/>
      <c r="BC55" s="977">
        <f>-Model!BC119</f>
        <v>0</v>
      </c>
      <c r="BD55" s="977">
        <f>BC55-Model!BD119</f>
        <v>0</v>
      </c>
      <c r="BE55" s="977">
        <f>BD55-Model!BE119</f>
        <v>0</v>
      </c>
      <c r="BF55" s="977">
        <f>BE55-Model!BF119</f>
        <v>0</v>
      </c>
      <c r="BG55" s="983">
        <f>BF55</f>
        <v>0</v>
      </c>
      <c r="BH55" s="977"/>
      <c r="BI55" s="977">
        <v>0</v>
      </c>
      <c r="BJ55" s="977">
        <f>BI55-Model!BJ119</f>
        <v>0</v>
      </c>
      <c r="BK55" s="977">
        <f>BJ55-Model!BK119</f>
        <v>0</v>
      </c>
      <c r="BL55" s="977">
        <f>BK55-Model!BL119</f>
        <v>0</v>
      </c>
      <c r="BM55" s="983">
        <f>BL55</f>
        <v>0</v>
      </c>
      <c r="BN55" s="977"/>
      <c r="BO55" s="977">
        <v>0</v>
      </c>
      <c r="BP55" s="977">
        <f>BO55-Model!BP119</f>
        <v>0</v>
      </c>
      <c r="BQ55" s="977">
        <f>BP55-Model!BQ119</f>
        <v>0</v>
      </c>
      <c r="BR55" s="977">
        <f>BQ55-Model!BR119</f>
        <v>0</v>
      </c>
      <c r="BS55" s="983">
        <f>BR55</f>
        <v>0</v>
      </c>
      <c r="BT55" s="977"/>
      <c r="BU55" s="977">
        <f>-Model!BU119</f>
        <v>0</v>
      </c>
      <c r="BV55" s="977">
        <f>BU55-Model!BV119</f>
        <v>0</v>
      </c>
      <c r="BW55" s="977">
        <f>BV55-Model!BW119</f>
        <v>0</v>
      </c>
      <c r="BX55" s="977">
        <f>BW55-Model!BX119</f>
        <v>0</v>
      </c>
      <c r="BY55" s="983">
        <f>BX55</f>
        <v>0</v>
      </c>
      <c r="BZ55" s="977"/>
      <c r="CA55" s="977">
        <f>-Model!CA119</f>
        <v>0</v>
      </c>
      <c r="CB55" s="977">
        <f>CA55-Model!CB119</f>
        <v>0</v>
      </c>
      <c r="CC55" s="977">
        <f>CB55-Model!CC119</f>
        <v>0</v>
      </c>
      <c r="CD55" s="977">
        <f>CC55-Model!CD119</f>
        <v>0</v>
      </c>
      <c r="CE55" s="983">
        <f>CD55</f>
        <v>0</v>
      </c>
      <c r="CF55" s="977"/>
      <c r="CG55" s="977">
        <f>-Model!CG119</f>
        <v>0</v>
      </c>
      <c r="CH55" s="977">
        <f>CG55-Model!CH119</f>
        <v>0</v>
      </c>
      <c r="CI55" s="977">
        <f>CH55-Model!CI119</f>
        <v>0</v>
      </c>
      <c r="CJ55" s="977">
        <f>CI55-Model!CJ119</f>
        <v>0</v>
      </c>
      <c r="CK55" s="983">
        <f>CJ55</f>
        <v>0</v>
      </c>
      <c r="CL55" s="977"/>
      <c r="CM55" s="977">
        <f>-Model!CM119</f>
        <v>0</v>
      </c>
      <c r="CN55" s="977">
        <f>CM55-Model!CN119</f>
        <v>0</v>
      </c>
      <c r="CO55" s="977">
        <f>CN55-Model!CO119</f>
        <v>0</v>
      </c>
      <c r="CP55" s="977">
        <f>CO55-Model!CP119</f>
        <v>0</v>
      </c>
      <c r="CQ55" s="983">
        <f t="shared" si="97"/>
        <v>0</v>
      </c>
      <c r="CR55" s="977"/>
      <c r="CS55" s="977">
        <f>-Model!CS119</f>
        <v>0</v>
      </c>
      <c r="CT55" s="977">
        <f>CS55-Model!CT119</f>
        <v>0</v>
      </c>
      <c r="CU55" s="977">
        <f>CT55-Model!CU119</f>
        <v>0</v>
      </c>
      <c r="CV55" s="977">
        <f>CU55-Model!CV119</f>
        <v>0</v>
      </c>
      <c r="CW55" s="983">
        <f t="shared" si="98"/>
        <v>0</v>
      </c>
      <c r="CX55" s="977"/>
      <c r="CY55" s="977">
        <f>-Model!CY119</f>
        <v>0</v>
      </c>
      <c r="CZ55" s="977">
        <f>CY55-Model!CZ119</f>
        <v>0</v>
      </c>
      <c r="DA55" s="977">
        <f>CZ55-Model!DA119</f>
        <v>0</v>
      </c>
      <c r="DB55" s="977">
        <f>DA55-Model!DB119</f>
        <v>0</v>
      </c>
      <c r="DC55" s="983">
        <f t="shared" si="99"/>
        <v>0</v>
      </c>
      <c r="DD55" s="977"/>
      <c r="DE55" s="977">
        <f>-Model!DE119</f>
        <v>0</v>
      </c>
      <c r="DF55" s="977">
        <f>DE55-Model!DF119</f>
        <v>0</v>
      </c>
      <c r="DG55" s="977">
        <f>DF55-Model!DG119</f>
        <v>0</v>
      </c>
      <c r="DH55" s="977">
        <f>DG55-Model!DH119</f>
        <v>0</v>
      </c>
      <c r="DI55" s="983">
        <f t="shared" si="100"/>
        <v>0</v>
      </c>
      <c r="DJ55" s="977"/>
      <c r="DK55" s="977">
        <f>-Model!DK119</f>
        <v>0</v>
      </c>
      <c r="DL55" s="977">
        <f>DK55-Model!DL119</f>
        <v>0</v>
      </c>
      <c r="DM55" s="977">
        <f>DL55-Model!DM119</f>
        <v>0</v>
      </c>
      <c r="DN55" s="977">
        <f>DM55-Model!DN119</f>
        <v>0</v>
      </c>
      <c r="DO55" s="983">
        <f t="shared" si="101"/>
        <v>0</v>
      </c>
      <c r="DP55" s="1698"/>
      <c r="DQ55" s="956"/>
      <c r="DR55" s="956"/>
    </row>
    <row r="56" spans="1:122" ht="10.5" customHeight="1">
      <c r="A56" s="1295" t="s">
        <v>321</v>
      </c>
      <c r="B56" s="990"/>
      <c r="C56" s="1296">
        <f>SUM(C45:C55)</f>
        <v>17.631999999999998</v>
      </c>
      <c r="D56" s="1296">
        <f>SUM(D45:D55)</f>
        <v>45.695</v>
      </c>
      <c r="E56" s="1296">
        <f>SUM(E45:E55)</f>
        <v>3.5469999999999997</v>
      </c>
      <c r="F56" s="1297"/>
      <c r="G56" s="1296">
        <f>SUM(G45:G55)</f>
        <v>-0.21200000000000002</v>
      </c>
      <c r="H56" s="1296">
        <f>SUM(H45:H55)</f>
        <v>-0.74599999999999989</v>
      </c>
      <c r="I56" s="1296">
        <f>SUM(I45:I55)</f>
        <v>-0.24099999999999988</v>
      </c>
      <c r="J56" s="1296">
        <f>SUM(J45:J55)</f>
        <v>1.032</v>
      </c>
      <c r="K56" s="1296">
        <f t="shared" si="93"/>
        <v>1.032</v>
      </c>
      <c r="L56" s="1297"/>
      <c r="M56" s="1296">
        <f>SUM(M45:M55)</f>
        <v>-9.5000000000000001E-2</v>
      </c>
      <c r="N56" s="1296">
        <f>SUM(N45:N55)</f>
        <v>-0.15100000000000002</v>
      </c>
      <c r="O56" s="1296">
        <f>SUM(O45:O55)</f>
        <v>0.52</v>
      </c>
      <c r="P56" s="1296">
        <f>SUM(P45:P55)</f>
        <v>1.099</v>
      </c>
      <c r="Q56" s="1296">
        <f t="shared" si="95"/>
        <v>1.099</v>
      </c>
      <c r="R56" s="1297"/>
      <c r="S56" s="1296">
        <f>SUM(S45:S55)</f>
        <v>1.5479999999999998</v>
      </c>
      <c r="T56" s="1297">
        <f>SUM(T45:T55)</f>
        <v>115.28399999999999</v>
      </c>
      <c r="U56" s="1297">
        <f>SUM(U45:U55)</f>
        <v>115.393</v>
      </c>
      <c r="V56" s="1297">
        <f>SUM(V45:V55)</f>
        <v>118.85</v>
      </c>
      <c r="W56" s="1296">
        <f>V56</f>
        <v>118.85</v>
      </c>
      <c r="X56" s="1297"/>
      <c r="Y56" s="1297">
        <f>SUM(Y45:Y55)</f>
        <v>2.7349999999999999</v>
      </c>
      <c r="Z56" s="1297">
        <f>SUM(Z45:Z55)</f>
        <v>7.83</v>
      </c>
      <c r="AA56" s="1297">
        <f>SUM(AA45:AA55)</f>
        <v>9.8870000000000005</v>
      </c>
      <c r="AB56" s="1297">
        <f>SUM(AB45:AB55)</f>
        <v>15.819999999999999</v>
      </c>
      <c r="AC56" s="1296">
        <f>AB56</f>
        <v>15.819999999999999</v>
      </c>
      <c r="AD56" s="1297"/>
      <c r="AE56" s="1297">
        <f>SUM(AE45:AE55)</f>
        <v>7.952</v>
      </c>
      <c r="AF56" s="1297">
        <f>SUM(AF45:AF55)</f>
        <v>16.504999999999999</v>
      </c>
      <c r="AG56" s="1297">
        <f>SUM(AG45:AG55)</f>
        <v>31.376999999999995</v>
      </c>
      <c r="AH56" s="1297">
        <f>SUM(AH45:AH55)</f>
        <v>45.027000000000001</v>
      </c>
      <c r="AI56" s="1298">
        <f>AH56</f>
        <v>45.027000000000001</v>
      </c>
      <c r="AJ56" s="1297"/>
      <c r="AK56" s="1297">
        <f>SUM(AK45:AK55)</f>
        <v>14.429</v>
      </c>
      <c r="AL56" s="1297">
        <f>SUM(AL45:AL55)</f>
        <v>38.747</v>
      </c>
      <c r="AM56" s="1297">
        <f>SUM(AM45:AM55)</f>
        <v>68.625</v>
      </c>
      <c r="AN56" s="1297">
        <f>SUM(AN45:AN55)</f>
        <v>92.713000000000008</v>
      </c>
      <c r="AO56" s="1299">
        <f>AN56</f>
        <v>92.713000000000008</v>
      </c>
      <c r="AP56" s="1297"/>
      <c r="AQ56" s="1297">
        <f>SUM(AQ45:AQ55)</f>
        <v>24.178000000000001</v>
      </c>
      <c r="AR56" s="1297">
        <f>SUM(AR45:AR55)</f>
        <v>58.545999999999999</v>
      </c>
      <c r="AS56" s="1297">
        <f>SUM(AS45:AS55)</f>
        <v>82.561000000000007</v>
      </c>
      <c r="AT56" s="1325">
        <f>SUM(AT45:AT55)</f>
        <v>96.911000000000001</v>
      </c>
      <c r="AU56" s="1298">
        <f>AT56</f>
        <v>96.911000000000001</v>
      </c>
      <c r="AV56" s="1297"/>
      <c r="AW56" s="1297">
        <f>SUM(AW45:AW55)</f>
        <v>17.367999999999999</v>
      </c>
      <c r="AX56" s="1297">
        <f>SUM(AX45:AX55)</f>
        <v>35.936</v>
      </c>
      <c r="AY56" s="1297">
        <f>SUM(AY45:AY55)</f>
        <v>59.498000000000005</v>
      </c>
      <c r="AZ56" s="1297">
        <f>SUM(AZ45:AZ55)</f>
        <v>637.15300000000002</v>
      </c>
      <c r="BA56" s="1298">
        <f>AZ56</f>
        <v>637.15300000000002</v>
      </c>
      <c r="BB56" s="1297"/>
      <c r="BC56" s="1297">
        <f>SUM(BC45:BC55)</f>
        <v>44.886000000000003</v>
      </c>
      <c r="BD56" s="1297">
        <f>SUM(BD45:BD55)</f>
        <v>99.792000000000002</v>
      </c>
      <c r="BE56" s="1297">
        <f>SUM(BE45:BE55)</f>
        <v>3.3640000000000043</v>
      </c>
      <c r="BF56" s="1297">
        <f>SUM(BF45:BF55)</f>
        <v>14.073999999999984</v>
      </c>
      <c r="BG56" s="1298">
        <f>BF56</f>
        <v>14.073999999999984</v>
      </c>
      <c r="BH56" s="1297"/>
      <c r="BI56" s="1297">
        <f>SUM(BI45:BI55)</f>
        <v>27.957999999999998</v>
      </c>
      <c r="BJ56" s="1297">
        <f>SUM(BJ45:BJ55)</f>
        <v>48.376999999999995</v>
      </c>
      <c r="BK56" s="1297">
        <f>SUM(BK45:BK55)</f>
        <v>63.378</v>
      </c>
      <c r="BL56" s="1297">
        <f>SUM(BL45:BL55)</f>
        <v>75.849999999999994</v>
      </c>
      <c r="BM56" s="1298">
        <f>BL56</f>
        <v>75.849999999999994</v>
      </c>
      <c r="BN56" s="1297"/>
      <c r="BO56" s="1297">
        <f>SUM(BO45:BO55)</f>
        <v>97.035999999999987</v>
      </c>
      <c r="BP56" s="1297">
        <f>SUM(BP45:BP55)</f>
        <v>138.083</v>
      </c>
      <c r="BQ56" s="1297">
        <f>SUM(BQ45:BQ55)</f>
        <v>210.06200000000001</v>
      </c>
      <c r="BR56" s="1297">
        <f>SUM(BR45:BR55)</f>
        <v>334.54499999999996</v>
      </c>
      <c r="BS56" s="1298">
        <f>BR56</f>
        <v>334.54499999999996</v>
      </c>
      <c r="BT56" s="1297"/>
      <c r="BU56" s="1297">
        <f>SUM(BU45:BU55)</f>
        <v>1123.6410000000001</v>
      </c>
      <c r="BV56" s="1297">
        <f>SUM(BV45:BV55)</f>
        <v>1448.95</v>
      </c>
      <c r="BW56" s="1297">
        <f>SUM(BW45:BW55)</f>
        <v>1541.298</v>
      </c>
      <c r="BX56" s="1297">
        <f>SUM(BX45:BX55)</f>
        <v>1598.2339999999999</v>
      </c>
      <c r="BY56" s="1298">
        <f>BX56</f>
        <v>1598.2339999999999</v>
      </c>
      <c r="BZ56" s="1297"/>
      <c r="CA56" s="1297">
        <f>SUM(CA45:CA55)</f>
        <v>-219.14999999999998</v>
      </c>
      <c r="CB56" s="1297">
        <f>SUM(CB45:CB55)</f>
        <v>-226.06900000000002</v>
      </c>
      <c r="CC56" s="1297">
        <f>SUM(CC45:CC55)</f>
        <v>-206.17599999999999</v>
      </c>
      <c r="CD56" s="1297">
        <f>SUM(CD45:CD55)</f>
        <v>-310.48099999999999</v>
      </c>
      <c r="CE56" s="1298">
        <f>CD56</f>
        <v>-310.48099999999999</v>
      </c>
      <c r="CF56" s="1297"/>
      <c r="CG56" s="1297">
        <f>SUM(CG45:CG55)</f>
        <v>-157.58600000000001</v>
      </c>
      <c r="CH56" s="1297">
        <f>SUM(CH45:CH55)</f>
        <v>-83.993999999999971</v>
      </c>
      <c r="CI56" s="1297">
        <f>SUM(CI45:CI55)</f>
        <v>47.683999999999969</v>
      </c>
      <c r="CJ56" s="1297">
        <f>SUM(CJ45:CJ55)</f>
        <v>132.64800000000008</v>
      </c>
      <c r="CK56" s="1298">
        <f>CJ56</f>
        <v>132.64800000000008</v>
      </c>
      <c r="CL56" s="1297"/>
      <c r="CM56" s="1297">
        <f>SUM(CM45:CM55)</f>
        <v>39.173000000000002</v>
      </c>
      <c r="CN56" s="1297">
        <f>SUM(CN45:CN55)</f>
        <v>655.80600000000004</v>
      </c>
      <c r="CO56" s="1297">
        <f>SUM(CO45:CO55)</f>
        <v>737.65499999999997</v>
      </c>
      <c r="CP56" s="1297">
        <f>SUM(CP45:CP55)</f>
        <v>997.69799999999998</v>
      </c>
      <c r="CQ56" s="1298">
        <f t="shared" si="97"/>
        <v>997.69799999999998</v>
      </c>
      <c r="CR56" s="1297"/>
      <c r="CS56" s="1297">
        <f>SUM(CS45:CS55)</f>
        <v>-49.636000000000024</v>
      </c>
      <c r="CT56" s="1297">
        <f>SUM(CT45:CT55)</f>
        <v>67.641999999999996</v>
      </c>
      <c r="CU56" s="1297">
        <f>SUM(CU45:CU55)</f>
        <v>201.89600000000002</v>
      </c>
      <c r="CV56" s="1297">
        <f>SUM(CV45:CV55)</f>
        <v>221.22499999999994</v>
      </c>
      <c r="CW56" s="1298">
        <f t="shared" si="98"/>
        <v>221.22499999999994</v>
      </c>
      <c r="CX56" s="1297"/>
      <c r="CY56" s="1297">
        <f>SUM(CY45:CY55)</f>
        <v>-128.13499999999993</v>
      </c>
      <c r="CZ56" s="1297">
        <f>SUM(CZ45:CZ55)</f>
        <v>-115.63499999999993</v>
      </c>
      <c r="DA56" s="1297">
        <f>SUM(DA45:DA55)</f>
        <v>-103.13499999999993</v>
      </c>
      <c r="DB56" s="1297">
        <f>SUM(DB45:DB55)</f>
        <v>-90.634999999999934</v>
      </c>
      <c r="DC56" s="1298">
        <f t="shared" si="99"/>
        <v>-90.634999999999934</v>
      </c>
      <c r="DD56" s="1297"/>
      <c r="DE56" s="1297">
        <f>SUM(DE45:DE55)</f>
        <v>42.5</v>
      </c>
      <c r="DF56" s="1297">
        <f>SUM(DF45:DF55)</f>
        <v>85</v>
      </c>
      <c r="DG56" s="1297">
        <f>SUM(DG45:DG55)</f>
        <v>127.5</v>
      </c>
      <c r="DH56" s="1297">
        <f>SUM(DH45:DH55)</f>
        <v>170</v>
      </c>
      <c r="DI56" s="1298">
        <f t="shared" si="100"/>
        <v>170</v>
      </c>
      <c r="DJ56" s="1297"/>
      <c r="DK56" s="1297">
        <f>SUM(DK45:DK55)</f>
        <v>42.5</v>
      </c>
      <c r="DL56" s="1297">
        <f>SUM(DL45:DL55)</f>
        <v>85</v>
      </c>
      <c r="DM56" s="1297">
        <f>SUM(DM45:DM55)</f>
        <v>127.5</v>
      </c>
      <c r="DN56" s="1297">
        <f>SUM(DN45:DN55)</f>
        <v>170</v>
      </c>
      <c r="DO56" s="1298">
        <f t="shared" si="101"/>
        <v>170</v>
      </c>
      <c r="DP56" s="958"/>
      <c r="DQ56" s="958"/>
      <c r="DR56" s="958"/>
    </row>
    <row r="57" spans="1:122" ht="5.25" customHeight="1">
      <c r="A57" s="1219"/>
      <c r="B57" s="993"/>
      <c r="C57" s="959"/>
      <c r="D57" s="959"/>
      <c r="E57" s="959"/>
      <c r="F57" s="959"/>
      <c r="G57" s="959"/>
      <c r="H57" s="959"/>
      <c r="I57" s="959"/>
      <c r="J57" s="959"/>
      <c r="K57" s="959"/>
      <c r="L57" s="959"/>
      <c r="M57" s="959"/>
      <c r="N57" s="959"/>
      <c r="O57" s="959"/>
      <c r="P57" s="959"/>
      <c r="Q57" s="959"/>
      <c r="R57" s="959"/>
      <c r="S57" s="959"/>
      <c r="T57" s="1219"/>
      <c r="U57" s="959"/>
      <c r="V57" s="1219"/>
      <c r="W57" s="959"/>
      <c r="X57" s="959"/>
      <c r="Y57" s="959"/>
      <c r="Z57" s="1219"/>
      <c r="AA57" s="1219"/>
      <c r="AB57" s="959"/>
      <c r="AC57" s="959"/>
      <c r="AD57" s="959"/>
      <c r="AE57" s="1219"/>
      <c r="AF57" s="959"/>
      <c r="AG57" s="1219"/>
      <c r="AH57" s="1219"/>
      <c r="AI57" s="1300"/>
      <c r="AJ57" s="959"/>
      <c r="AK57" s="959"/>
      <c r="AL57" s="1219"/>
      <c r="AM57" s="1219"/>
      <c r="AN57" s="1219"/>
      <c r="AO57" s="1317"/>
      <c r="AP57" s="959"/>
      <c r="AQ57" s="1219"/>
      <c r="AR57" s="1219"/>
      <c r="AS57" s="1219"/>
      <c r="AT57" s="1219"/>
      <c r="AU57" s="1300"/>
      <c r="AV57" s="959"/>
      <c r="AW57" s="959"/>
      <c r="AX57" s="1219"/>
      <c r="AY57" s="1219"/>
      <c r="AZ57" s="1219"/>
      <c r="BA57" s="1300"/>
      <c r="BB57" s="959"/>
      <c r="BC57" s="1219"/>
      <c r="BD57" s="959"/>
      <c r="BE57" s="959"/>
      <c r="BF57" s="959"/>
      <c r="BG57" s="1300"/>
      <c r="BH57" s="959"/>
      <c r="BI57" s="959"/>
      <c r="BJ57" s="959"/>
      <c r="BK57" s="959"/>
      <c r="BL57" s="959"/>
      <c r="BM57" s="1300"/>
      <c r="BN57" s="959"/>
      <c r="BO57" s="959"/>
      <c r="BP57" s="959"/>
      <c r="BQ57" s="959"/>
      <c r="BR57" s="959"/>
      <c r="BS57" s="1300"/>
      <c r="BT57" s="959"/>
      <c r="BU57" s="959"/>
      <c r="BV57" s="959"/>
      <c r="BW57" s="959"/>
      <c r="BX57" s="959"/>
      <c r="BY57" s="1300"/>
      <c r="BZ57" s="959"/>
      <c r="CA57" s="959"/>
      <c r="CB57" s="959"/>
      <c r="CC57" s="959"/>
      <c r="CD57" s="959"/>
      <c r="CE57" s="1300"/>
      <c r="CF57" s="959"/>
      <c r="CG57" s="959"/>
      <c r="CH57" s="959"/>
      <c r="CI57" s="959"/>
      <c r="CJ57" s="959"/>
      <c r="CK57" s="1300"/>
      <c r="CL57" s="959"/>
      <c r="CM57" s="959"/>
      <c r="CN57" s="959"/>
      <c r="CO57" s="959"/>
      <c r="CP57" s="959"/>
      <c r="CQ57" s="1300"/>
      <c r="CR57" s="959"/>
      <c r="CS57" s="959"/>
      <c r="CT57" s="959"/>
      <c r="CU57" s="959"/>
      <c r="CV57" s="959"/>
      <c r="CW57" s="1300"/>
      <c r="CX57" s="959"/>
      <c r="CY57" s="959"/>
      <c r="CZ57" s="959"/>
      <c r="DA57" s="959"/>
      <c r="DB57" s="959"/>
      <c r="DC57" s="1300"/>
      <c r="DD57" s="959"/>
      <c r="DE57" s="959"/>
      <c r="DF57" s="959"/>
      <c r="DG57" s="959"/>
      <c r="DH57" s="959"/>
      <c r="DI57" s="1300"/>
      <c r="DJ57" s="959"/>
      <c r="DK57" s="959"/>
      <c r="DL57" s="959"/>
      <c r="DM57" s="959"/>
      <c r="DN57" s="959"/>
      <c r="DO57" s="1300"/>
      <c r="DP57" s="959"/>
      <c r="DQ57" s="959"/>
      <c r="DR57" s="959"/>
    </row>
    <row r="58" spans="1:122" ht="10.5" customHeight="1">
      <c r="A58" s="1115" t="s">
        <v>156</v>
      </c>
      <c r="B58" s="993"/>
      <c r="C58" s="982">
        <f>C131</f>
        <v>0</v>
      </c>
      <c r="D58" s="982">
        <f>D131</f>
        <v>-4.9000000000000002E-2</v>
      </c>
      <c r="E58" s="982">
        <f>E131</f>
        <v>-0.159</v>
      </c>
      <c r="F58" s="993"/>
      <c r="G58" s="982">
        <f>G131</f>
        <v>6.9000000000000006E-2</v>
      </c>
      <c r="H58" s="977">
        <f>G58+H131</f>
        <v>0.13800000000000001</v>
      </c>
      <c r="I58" s="977">
        <f>H58+I131</f>
        <v>0.20800000000000002</v>
      </c>
      <c r="J58" s="977">
        <f>I58+J131</f>
        <v>0.31</v>
      </c>
      <c r="K58" s="977">
        <f t="shared" si="93"/>
        <v>0.31</v>
      </c>
      <c r="L58" s="993"/>
      <c r="M58" s="982">
        <f>M131</f>
        <v>0.01</v>
      </c>
      <c r="N58" s="977">
        <f>M58+N131</f>
        <v>2.0999999999999998E-2</v>
      </c>
      <c r="O58" s="977">
        <f>N58+O131</f>
        <v>3.2000000000000001E-2</v>
      </c>
      <c r="P58" s="977">
        <f>O58+P131</f>
        <v>1.8000000000000002E-2</v>
      </c>
      <c r="Q58" s="982">
        <f t="shared" si="95"/>
        <v>1.8000000000000002E-2</v>
      </c>
      <c r="R58" s="993"/>
      <c r="S58" s="982">
        <f>S131</f>
        <v>-2E-3</v>
      </c>
      <c r="T58" s="977">
        <v>-5.5E-2</v>
      </c>
      <c r="U58" s="977">
        <v>0.123</v>
      </c>
      <c r="V58" s="977">
        <v>-0.255</v>
      </c>
      <c r="W58" s="982">
        <f>V58</f>
        <v>-0.255</v>
      </c>
      <c r="X58" s="977"/>
      <c r="Y58" s="977">
        <v>-6.0000000000000001E-3</v>
      </c>
      <c r="Z58" s="977">
        <v>0.27500000000000002</v>
      </c>
      <c r="AA58" s="977">
        <v>9.6000000000000002E-2</v>
      </c>
      <c r="AB58" s="977">
        <v>0.20300000000000001</v>
      </c>
      <c r="AC58" s="982">
        <f>AB58</f>
        <v>0.20300000000000001</v>
      </c>
      <c r="AD58" s="977"/>
      <c r="AE58" s="977">
        <v>-0.748</v>
      </c>
      <c r="AF58" s="977">
        <v>-0.93500000000000005</v>
      </c>
      <c r="AG58" s="977">
        <v>-0.80800000000000005</v>
      </c>
      <c r="AH58" s="977">
        <f>AG58-0.081</f>
        <v>-0.88900000000000001</v>
      </c>
      <c r="AI58" s="983">
        <f>AH58</f>
        <v>-0.88900000000000001</v>
      </c>
      <c r="AJ58" s="977"/>
      <c r="AK58" s="977">
        <v>0</v>
      </c>
      <c r="AL58" s="977">
        <v>0.11799999999999999</v>
      </c>
      <c r="AM58" s="977">
        <v>-1.343</v>
      </c>
      <c r="AN58" s="977">
        <v>-1.792</v>
      </c>
      <c r="AO58" s="978">
        <f>AN58</f>
        <v>-1.792</v>
      </c>
      <c r="AP58" s="977"/>
      <c r="AQ58" s="977">
        <v>-0.92</v>
      </c>
      <c r="AR58" s="977">
        <v>-1.714</v>
      </c>
      <c r="AS58" s="977">
        <v>-1.665</v>
      </c>
      <c r="AT58" s="977">
        <v>-0.73199999999999998</v>
      </c>
      <c r="AU58" s="983">
        <f>AT58</f>
        <v>-0.73199999999999998</v>
      </c>
      <c r="AV58" s="977"/>
      <c r="AW58" s="977">
        <v>-1.407</v>
      </c>
      <c r="AX58" s="977">
        <v>-3.645</v>
      </c>
      <c r="AY58" s="977">
        <v>-6.1760000000000002</v>
      </c>
      <c r="AZ58" s="977">
        <v>-1.976</v>
      </c>
      <c r="BA58" s="983">
        <f>AZ58</f>
        <v>-1.976</v>
      </c>
      <c r="BB58" s="977"/>
      <c r="BC58" s="977">
        <v>0.82499999999999996</v>
      </c>
      <c r="BD58" s="977">
        <v>4.3179999999999996</v>
      </c>
      <c r="BE58" s="977">
        <v>2.0950000000000002</v>
      </c>
      <c r="BF58" s="977">
        <v>2.3849999999999998</v>
      </c>
      <c r="BG58" s="983">
        <f>BF58</f>
        <v>2.3849999999999998</v>
      </c>
      <c r="BH58" s="977"/>
      <c r="BI58" s="979">
        <v>-6.5179999999999998</v>
      </c>
      <c r="BJ58" s="979">
        <v>-2.76</v>
      </c>
      <c r="BK58" s="979">
        <v>-3.4889999999999999</v>
      </c>
      <c r="BL58" s="979">
        <v>5.3250000000000002</v>
      </c>
      <c r="BM58" s="983">
        <f>BL58</f>
        <v>5.3250000000000002</v>
      </c>
      <c r="BN58" s="977"/>
      <c r="BO58" s="979">
        <v>-1.76</v>
      </c>
      <c r="BP58" s="979">
        <v>8.6549999999999994</v>
      </c>
      <c r="BQ58" s="979">
        <v>9.65</v>
      </c>
      <c r="BR58" s="979">
        <v>7.4370000000000003</v>
      </c>
      <c r="BS58" s="983">
        <f>BR58</f>
        <v>7.4370000000000003</v>
      </c>
      <c r="BT58" s="977"/>
      <c r="BU58" s="979">
        <v>-6.8090000000000002</v>
      </c>
      <c r="BV58" s="979">
        <v>-8.09</v>
      </c>
      <c r="BW58" s="979">
        <v>-2.9060000000000001</v>
      </c>
      <c r="BX58" s="979">
        <v>-7.758</v>
      </c>
      <c r="BY58" s="983">
        <f>BX58</f>
        <v>-7.758</v>
      </c>
      <c r="BZ58" s="977"/>
      <c r="CA58" s="979">
        <v>2.6890000000000001</v>
      </c>
      <c r="CB58" s="979">
        <v>-2.9750000000000001</v>
      </c>
      <c r="CC58" s="979">
        <v>-17.513000000000002</v>
      </c>
      <c r="CD58" s="979">
        <v>-38.390999999999998</v>
      </c>
      <c r="CE58" s="983">
        <f>CD58</f>
        <v>-38.390999999999998</v>
      </c>
      <c r="CF58" s="977"/>
      <c r="CG58" s="979">
        <v>-3.3090000000000002</v>
      </c>
      <c r="CH58" s="979">
        <v>-0.14000000000000001</v>
      </c>
      <c r="CI58" s="979">
        <v>-3.012</v>
      </c>
      <c r="CJ58" s="979">
        <v>-7.109</v>
      </c>
      <c r="CK58" s="983">
        <f>CJ58</f>
        <v>-7.109</v>
      </c>
      <c r="CL58" s="977"/>
      <c r="CM58" s="979">
        <v>0.76300000000000001</v>
      </c>
      <c r="CN58" s="979">
        <v>-7.9729999999999999</v>
      </c>
      <c r="CO58" s="979">
        <v>-19.84</v>
      </c>
      <c r="CP58" s="979">
        <v>-27.369</v>
      </c>
      <c r="CQ58" s="983">
        <f>CP58</f>
        <v>-27.369</v>
      </c>
      <c r="CR58" s="977"/>
      <c r="CS58" s="979">
        <v>6.1219999999999999</v>
      </c>
      <c r="CT58" s="979">
        <v>5.4119999999999999</v>
      </c>
      <c r="CU58" s="979">
        <v>3.367</v>
      </c>
      <c r="CV58" s="979">
        <v>-11.753</v>
      </c>
      <c r="CW58" s="983">
        <f>CV58</f>
        <v>-11.753</v>
      </c>
      <c r="CX58" s="977"/>
      <c r="CY58" s="979">
        <v>0</v>
      </c>
      <c r="CZ58" s="979">
        <v>0</v>
      </c>
      <c r="DA58" s="979">
        <v>0</v>
      </c>
      <c r="DB58" s="979">
        <v>0</v>
      </c>
      <c r="DC58" s="983">
        <f>DB58</f>
        <v>0</v>
      </c>
      <c r="DD58" s="977"/>
      <c r="DE58" s="979">
        <v>0</v>
      </c>
      <c r="DF58" s="979">
        <v>0</v>
      </c>
      <c r="DG58" s="979">
        <v>0</v>
      </c>
      <c r="DH58" s="979">
        <v>0</v>
      </c>
      <c r="DI58" s="983">
        <f>DH58</f>
        <v>0</v>
      </c>
      <c r="DJ58" s="977"/>
      <c r="DK58" s="979">
        <v>0</v>
      </c>
      <c r="DL58" s="979">
        <v>0</v>
      </c>
      <c r="DM58" s="979">
        <v>0</v>
      </c>
      <c r="DN58" s="979">
        <v>0</v>
      </c>
      <c r="DO58" s="983">
        <f>DN58</f>
        <v>0</v>
      </c>
      <c r="DP58" s="1698"/>
      <c r="DQ58" s="956"/>
      <c r="DR58" s="956"/>
    </row>
    <row r="59" spans="1:122" ht="5.25" customHeight="1">
      <c r="A59" s="1219"/>
      <c r="B59" s="993"/>
      <c r="C59" s="959"/>
      <c r="D59" s="959"/>
      <c r="E59" s="959"/>
      <c r="F59" s="959"/>
      <c r="G59" s="959"/>
      <c r="H59" s="959"/>
      <c r="I59" s="959"/>
      <c r="J59" s="959"/>
      <c r="K59" s="959"/>
      <c r="L59" s="959"/>
      <c r="M59" s="959"/>
      <c r="N59" s="959"/>
      <c r="O59" s="959"/>
      <c r="P59" s="959"/>
      <c r="Q59" s="980"/>
      <c r="R59" s="959"/>
      <c r="S59" s="959"/>
      <c r="T59" s="1055"/>
      <c r="U59" s="980"/>
      <c r="V59" s="980"/>
      <c r="W59" s="980"/>
      <c r="X59" s="980"/>
      <c r="Y59" s="1055"/>
      <c r="Z59" s="1055"/>
      <c r="AA59" s="1055"/>
      <c r="AB59" s="980"/>
      <c r="AC59" s="980"/>
      <c r="AD59" s="980"/>
      <c r="AE59" s="1055"/>
      <c r="AF59" s="980"/>
      <c r="AG59" s="1055"/>
      <c r="AH59" s="1055"/>
      <c r="AI59" s="981"/>
      <c r="AJ59" s="980"/>
      <c r="AK59" s="1055"/>
      <c r="AL59" s="1055"/>
      <c r="AM59" s="1055"/>
      <c r="AN59" s="1055"/>
      <c r="AO59" s="1311"/>
      <c r="AP59" s="980"/>
      <c r="AQ59" s="1055"/>
      <c r="AR59" s="1055"/>
      <c r="AS59" s="1055"/>
      <c r="AT59" s="1055"/>
      <c r="AU59" s="981"/>
      <c r="AV59" s="980"/>
      <c r="AW59" s="980"/>
      <c r="AX59" s="1055"/>
      <c r="AY59" s="1055"/>
      <c r="AZ59" s="1055"/>
      <c r="BA59" s="981"/>
      <c r="BB59" s="980"/>
      <c r="BC59" s="1055"/>
      <c r="BD59" s="980"/>
      <c r="BE59" s="980"/>
      <c r="BF59" s="980"/>
      <c r="BG59" s="981"/>
      <c r="BH59" s="980"/>
      <c r="BI59" s="980"/>
      <c r="BJ59" s="980"/>
      <c r="BK59" s="980"/>
      <c r="BL59" s="980"/>
      <c r="BM59" s="981"/>
      <c r="BN59" s="980"/>
      <c r="BO59" s="980"/>
      <c r="BP59" s="980"/>
      <c r="BQ59" s="980"/>
      <c r="BR59" s="980"/>
      <c r="BS59" s="981"/>
      <c r="BT59" s="980"/>
      <c r="BU59" s="980"/>
      <c r="BV59" s="980"/>
      <c r="BW59" s="980"/>
      <c r="BX59" s="980"/>
      <c r="BY59" s="981"/>
      <c r="BZ59" s="980"/>
      <c r="CA59" s="980"/>
      <c r="CB59" s="980"/>
      <c r="CC59" s="980"/>
      <c r="CD59" s="980"/>
      <c r="CE59" s="981"/>
      <c r="CF59" s="980"/>
      <c r="CG59" s="980"/>
      <c r="CH59" s="980"/>
      <c r="CI59" s="980"/>
      <c r="CJ59" s="980"/>
      <c r="CK59" s="981"/>
      <c r="CL59" s="980"/>
      <c r="CM59" s="980"/>
      <c r="CN59" s="980"/>
      <c r="CO59" s="980"/>
      <c r="CP59" s="980"/>
      <c r="CQ59" s="981"/>
      <c r="CR59" s="980"/>
      <c r="CS59" s="980"/>
      <c r="CT59" s="980"/>
      <c r="CU59" s="980"/>
      <c r="CV59" s="980"/>
      <c r="CW59" s="981"/>
      <c r="CX59" s="980"/>
      <c r="CY59" s="980"/>
      <c r="CZ59" s="980"/>
      <c r="DA59" s="980"/>
      <c r="DB59" s="980"/>
      <c r="DC59" s="981"/>
      <c r="DD59" s="980"/>
      <c r="DE59" s="980"/>
      <c r="DF59" s="980"/>
      <c r="DG59" s="980"/>
      <c r="DH59" s="980"/>
      <c r="DI59" s="981"/>
      <c r="DJ59" s="980"/>
      <c r="DK59" s="980"/>
      <c r="DL59" s="980"/>
      <c r="DM59" s="980"/>
      <c r="DN59" s="980"/>
      <c r="DO59" s="981"/>
      <c r="DP59" s="959"/>
      <c r="DQ59" s="959"/>
      <c r="DR59" s="959"/>
    </row>
    <row r="60" spans="1:122" ht="10.5" customHeight="1">
      <c r="A60" s="1295" t="s">
        <v>322</v>
      </c>
      <c r="B60" s="990"/>
      <c r="C60" s="1296">
        <f>C30+C42+C56+C58</f>
        <v>12.608999999999998</v>
      </c>
      <c r="D60" s="1296">
        <f>D30+D42+D56+D58</f>
        <v>9.5910000000000011</v>
      </c>
      <c r="E60" s="1296">
        <f>E30+E42+E56+E58</f>
        <v>-10.491000000000005</v>
      </c>
      <c r="F60" s="990"/>
      <c r="G60" s="1296">
        <f>G30+G42+G56+G58</f>
        <v>-2.8409999999999997</v>
      </c>
      <c r="H60" s="1296">
        <f>H30+H42+H56+H58</f>
        <v>-1.5629999999999993</v>
      </c>
      <c r="I60" s="1296">
        <f>I30+I42+I56+I58</f>
        <v>-1.8369999999999982</v>
      </c>
      <c r="J60" s="1296">
        <f>J30+J42+J56+J58</f>
        <v>-2.9999999999999987</v>
      </c>
      <c r="K60" s="1296">
        <f t="shared" si="93"/>
        <v>-2.9999999999999987</v>
      </c>
      <c r="L60" s="990"/>
      <c r="M60" s="1296">
        <f>M30+M42+M56+M58</f>
        <v>-3.7679999999999993</v>
      </c>
      <c r="N60" s="1296">
        <f>N30+N42+N56+N58</f>
        <v>-2.5789999999999997</v>
      </c>
      <c r="O60" s="1296">
        <f>O30+O42+O56+O58</f>
        <v>-2.1729999999999978</v>
      </c>
      <c r="P60" s="1296">
        <f>P30+P42+P56+P58</f>
        <v>1.7540000000000076</v>
      </c>
      <c r="Q60" s="1296">
        <f t="shared" si="95"/>
        <v>1.7540000000000076</v>
      </c>
      <c r="R60" s="990"/>
      <c r="S60" s="1296">
        <f>S30+S42+S56+S58</f>
        <v>-4.9029999999999951</v>
      </c>
      <c r="T60" s="1297">
        <f>T30+T42+T56+T58</f>
        <v>50.629999999999988</v>
      </c>
      <c r="U60" s="1297">
        <f>U30+U42+U56+U58</f>
        <v>12.293000000000015</v>
      </c>
      <c r="V60" s="1297">
        <f>V30+V42+V56+V58</f>
        <v>25.268000000000011</v>
      </c>
      <c r="W60" s="1296">
        <f>V60</f>
        <v>25.268000000000011</v>
      </c>
      <c r="X60" s="1297"/>
      <c r="Y60" s="1297">
        <f>Y30+Y42+Y56+Y58</f>
        <v>4.8730000000000082</v>
      </c>
      <c r="Z60" s="1297">
        <f>Z30+Z42+Z56+Z58</f>
        <v>-10.591000000000001</v>
      </c>
      <c r="AA60" s="1297">
        <f>AA30+AA42+AA56+AA58</f>
        <v>51.624000000000002</v>
      </c>
      <c r="AB60" s="1297">
        <f>AB30+AB42+AB56+AB58</f>
        <v>64.111000000000018</v>
      </c>
      <c r="AC60" s="1296">
        <f>AB60</f>
        <v>64.111000000000018</v>
      </c>
      <c r="AD60" s="1297"/>
      <c r="AE60" s="1297">
        <f>AE30+AE42+AE56+AE58</f>
        <v>28.730999999999991</v>
      </c>
      <c r="AF60" s="1297">
        <f>AF30+AF42+AF56+AF58</f>
        <v>50.150000000000006</v>
      </c>
      <c r="AG60" s="1297">
        <f>AG30+AG42+AG56+AG58</f>
        <v>-29.517999999999979</v>
      </c>
      <c r="AH60" s="1297">
        <f>AH30+AH42+AH56+AH58</f>
        <v>-13.234382148586764</v>
      </c>
      <c r="AI60" s="1298">
        <f>AH60</f>
        <v>-13.234382148586764</v>
      </c>
      <c r="AJ60" s="1297"/>
      <c r="AK60" s="1297">
        <f>AK30+AK42+AK56+AK58</f>
        <v>1.0900000000000016</v>
      </c>
      <c r="AL60" s="1297">
        <f>AL30+AL42+AL56+AL58</f>
        <v>36.341000000000001</v>
      </c>
      <c r="AM60" s="1297">
        <f>AM30+AM42+AM56+AM58</f>
        <v>74.152999999999992</v>
      </c>
      <c r="AN60" s="1297">
        <f>AN30+AN42+AN56+AN58</f>
        <v>192.48699999999999</v>
      </c>
      <c r="AO60" s="1299">
        <f>AN60</f>
        <v>192.48699999999999</v>
      </c>
      <c r="AP60" s="1297"/>
      <c r="AQ60" s="1297">
        <f>AQ30+AQ42+AQ56+AQ58</f>
        <v>99.453000000000003</v>
      </c>
      <c r="AR60" s="1297">
        <f>AR30+AR42+AR56+AR58</f>
        <v>147.94800000000001</v>
      </c>
      <c r="AS60" s="1297">
        <f>AS30+AS42+AS56+AS58</f>
        <v>103.21900000000001</v>
      </c>
      <c r="AT60" s="1297">
        <f>AT30+AT42+AT56+AT58</f>
        <v>204.73899999999995</v>
      </c>
      <c r="AU60" s="1298">
        <f>AT60</f>
        <v>204.73899999999995</v>
      </c>
      <c r="AV60" s="1297"/>
      <c r="AW60" s="1297">
        <f>AW30+AW42+AW56+AW58</f>
        <v>-141.57200000000003</v>
      </c>
      <c r="AX60" s="1297">
        <f>AX30+AX42+AX56+AX58</f>
        <v>-237.66500000000002</v>
      </c>
      <c r="AY60" s="1297">
        <f>AY30+AY42+AY56+AY58</f>
        <v>-240.94600000000003</v>
      </c>
      <c r="AZ60" s="1297">
        <f>AZ30+AZ42+AZ56+AZ58</f>
        <v>527.47200000000009</v>
      </c>
      <c r="BA60" s="1298">
        <f>AZ60</f>
        <v>527.47200000000009</v>
      </c>
      <c r="BB60" s="1297"/>
      <c r="BC60" s="1297">
        <f>BC30+BC42+BC56+BC58</f>
        <v>-320.51199999999994</v>
      </c>
      <c r="BD60" s="1297">
        <f>BD30+BD42+BD56+BD58</f>
        <v>-601.38099999999986</v>
      </c>
      <c r="BE60" s="1297">
        <f>BE30+BE42+BE56+BE58</f>
        <v>-381.00299999999993</v>
      </c>
      <c r="BF60" s="1297">
        <f>BF30+BF42+BF56+BF58</f>
        <v>-587.01400000000024</v>
      </c>
      <c r="BG60" s="1298">
        <f>BF60</f>
        <v>-587.01400000000024</v>
      </c>
      <c r="BH60" s="1297"/>
      <c r="BI60" s="1297">
        <f>BI30+BI42+BI56+BI58</f>
        <v>240.32</v>
      </c>
      <c r="BJ60" s="1297">
        <f>BJ30+BJ42+BJ56+BJ58</f>
        <v>25.501999999999988</v>
      </c>
      <c r="BK60" s="1297">
        <f>BK30+BK42+BK56+BK58</f>
        <v>78.694999999999922</v>
      </c>
      <c r="BL60" s="1297">
        <f>BL30+BL42+BL56+BL58</f>
        <v>182.99199999999988</v>
      </c>
      <c r="BM60" s="1298">
        <f>BL60</f>
        <v>182.99199999999988</v>
      </c>
      <c r="BN60" s="1297"/>
      <c r="BO60" s="1297">
        <f>BO30+BO42+BO56+BO58</f>
        <v>-166.49899999999997</v>
      </c>
      <c r="BP60" s="1297">
        <f>BP30+BP42+BP56+BP58</f>
        <v>393.44599999999991</v>
      </c>
      <c r="BQ60" s="1297">
        <f>BQ30+BQ42+BQ56+BQ58</f>
        <v>-85.563999999999766</v>
      </c>
      <c r="BR60" s="1297">
        <f>BR30+BR42+BR56+BR58</f>
        <v>139.96100000000001</v>
      </c>
      <c r="BS60" s="1298">
        <f>BR60</f>
        <v>139.96100000000001</v>
      </c>
      <c r="BT60" s="1297"/>
      <c r="BU60" s="1297">
        <f>BU30+BU42+BU56+BU58</f>
        <v>1180.7450000000001</v>
      </c>
      <c r="BV60" s="1297">
        <f>BV30+BV42+BV56+BV58</f>
        <v>-167.36400000000012</v>
      </c>
      <c r="BW60" s="1297">
        <f>BW30+BW42+BW56+BW58</f>
        <v>-95.495000000000175</v>
      </c>
      <c r="BX60" s="1297">
        <f>BX30+BX42+BX56+BX58</f>
        <v>34.390000000000136</v>
      </c>
      <c r="BY60" s="1298">
        <f>BX60</f>
        <v>34.390000000000136</v>
      </c>
      <c r="BZ60" s="1297"/>
      <c r="CA60" s="1297">
        <f>CA30+CA42+CA56+CA58</f>
        <v>46.256000000000007</v>
      </c>
      <c r="CB60" s="1297">
        <f>CB30+CB42+CB56+CB58</f>
        <v>-6.9100000000001156</v>
      </c>
      <c r="CC60" s="1297">
        <f>CC30+CC42+CC56+CC58</f>
        <v>64.690000000000026</v>
      </c>
      <c r="CD60" s="1297">
        <f>CD30+CD42+CD56+CD58</f>
        <v>126.48200000000006</v>
      </c>
      <c r="CE60" s="1298">
        <f>CD60</f>
        <v>126.48200000000006</v>
      </c>
      <c r="CF60" s="1297"/>
      <c r="CG60" s="1297">
        <f>CG30+CG42+CG56+CG58</f>
        <v>33.838999999999913</v>
      </c>
      <c r="CH60" s="1297">
        <f>CH30+CH42+CH56+CH58</f>
        <v>181.23400000000021</v>
      </c>
      <c r="CI60" s="1297">
        <f>CI30+CI42+CI56+CI58</f>
        <v>315.20100000000031</v>
      </c>
      <c r="CJ60" s="1297">
        <f>CJ30+CJ42+CJ56+CJ58</f>
        <v>250.24600000000018</v>
      </c>
      <c r="CK60" s="1298">
        <f>CJ60</f>
        <v>250.24600000000018</v>
      </c>
      <c r="CL60" s="1297"/>
      <c r="CM60" s="1297">
        <f>CM30+CM42+CM56+CM58</f>
        <v>640.71999999999991</v>
      </c>
      <c r="CN60" s="1297">
        <f>CN30+CN42+CN56+CN58</f>
        <v>-43.137000000000214</v>
      </c>
      <c r="CO60" s="1297">
        <f>CO30+CO42+CO56+CO58</f>
        <v>-12.627000000000034</v>
      </c>
      <c r="CP60" s="1297">
        <f>CP30+CP42+CP56+CP58</f>
        <v>448.18599999999947</v>
      </c>
      <c r="CQ60" s="1298">
        <f>CP60</f>
        <v>448.18599999999947</v>
      </c>
      <c r="CR60" s="1297"/>
      <c r="CS60" s="1297">
        <f>CS30+CS42+CS56+CS58</f>
        <v>418.3549999999999</v>
      </c>
      <c r="CT60" s="1297">
        <f>CT30+CT42+CT56+CT58</f>
        <v>342.56099999999958</v>
      </c>
      <c r="CU60" s="1297">
        <f>CU30+CU42+CU56+CU58</f>
        <v>465.28799999999967</v>
      </c>
      <c r="CV60" s="1297">
        <f>CV30+CV42+CV56+CV58</f>
        <v>936.9349999999996</v>
      </c>
      <c r="CW60" s="1298">
        <f>CV60</f>
        <v>936.9349999999996</v>
      </c>
      <c r="CX60" s="1297"/>
      <c r="CY60" s="1297">
        <f>CY30+CY42+CY56+CY58</f>
        <v>873.94113474560595</v>
      </c>
      <c r="CZ60" s="1297">
        <f>CZ30+CZ42+CZ56+CZ58</f>
        <v>1324.2856985026694</v>
      </c>
      <c r="DA60" s="1297">
        <f>DA30+DA42+DA56+DA58</f>
        <v>1646.8527703475427</v>
      </c>
      <c r="DB60" s="1297">
        <f>DB30+DB42+DB56+DB58</f>
        <v>2899.0370405146296</v>
      </c>
      <c r="DC60" s="1298">
        <f>DB60</f>
        <v>2899.0370405146296</v>
      </c>
      <c r="DD60" s="1297"/>
      <c r="DE60" s="1297">
        <f>DE30+DE42+DE56+DE58</f>
        <v>1233.6506899336503</v>
      </c>
      <c r="DF60" s="1297">
        <f>DF30+DF42+DF56+DF58</f>
        <v>1778.2217307861647</v>
      </c>
      <c r="DG60" s="1297">
        <f>DG30+DG42+DG56+DG58</f>
        <v>2213.5160531489746</v>
      </c>
      <c r="DH60" s="1297">
        <f>DH30+DH42+DH56+DH58</f>
        <v>4113.3479446533865</v>
      </c>
      <c r="DI60" s="1298">
        <f>DH60</f>
        <v>4113.3479446533865</v>
      </c>
      <c r="DJ60" s="1297"/>
      <c r="DK60" s="1297">
        <f>DK30+DK42+DK56+DK58</f>
        <v>1532.7530866260213</v>
      </c>
      <c r="DL60" s="1297">
        <f>DL30+DL42+DL56+DL58</f>
        <v>2351.2962081172104</v>
      </c>
      <c r="DM60" s="1297">
        <f>DM30+DM42+DM56+DM58</f>
        <v>2965.7839860860713</v>
      </c>
      <c r="DN60" s="1297">
        <f>DN30+DN42+DN56+DN58</f>
        <v>5247.8087005894758</v>
      </c>
      <c r="DO60" s="1298">
        <f>DN60</f>
        <v>5247.8087005894758</v>
      </c>
      <c r="DP60" s="958"/>
      <c r="DQ60" s="958"/>
      <c r="DR60" s="958"/>
    </row>
    <row r="61" spans="1:122" ht="5.25" customHeight="1">
      <c r="A61" s="1219"/>
      <c r="B61" s="993"/>
      <c r="C61" s="959"/>
      <c r="D61" s="959"/>
      <c r="E61" s="959"/>
      <c r="F61" s="959"/>
      <c r="G61" s="959"/>
      <c r="H61" s="980"/>
      <c r="I61" s="980"/>
      <c r="J61" s="980"/>
      <c r="K61" s="980"/>
      <c r="L61" s="959"/>
      <c r="M61" s="959"/>
      <c r="N61" s="980"/>
      <c r="O61" s="980"/>
      <c r="P61" s="980"/>
      <c r="Q61" s="980"/>
      <c r="R61" s="959"/>
      <c r="S61" s="959"/>
      <c r="T61" s="1055"/>
      <c r="U61" s="980"/>
      <c r="V61" s="980"/>
      <c r="W61" s="980"/>
      <c r="X61" s="980"/>
      <c r="Y61" s="1055"/>
      <c r="Z61" s="1055"/>
      <c r="AA61" s="1055"/>
      <c r="AB61" s="980"/>
      <c r="AC61" s="980"/>
      <c r="AD61" s="980"/>
      <c r="AE61" s="1055"/>
      <c r="AF61" s="980"/>
      <c r="AG61" s="1055"/>
      <c r="AH61" s="1055"/>
      <c r="AI61" s="981"/>
      <c r="AJ61" s="980"/>
      <c r="AK61" s="1055"/>
      <c r="AL61" s="1055"/>
      <c r="AM61" s="1055"/>
      <c r="AN61" s="1055"/>
      <c r="AO61" s="1311"/>
      <c r="AP61" s="980"/>
      <c r="AQ61" s="1055"/>
      <c r="AR61" s="1055"/>
      <c r="AS61" s="1055"/>
      <c r="AT61" s="1055"/>
      <c r="AU61" s="981"/>
      <c r="AV61" s="980"/>
      <c r="AW61" s="980"/>
      <c r="AX61" s="1055"/>
      <c r="AY61" s="1055"/>
      <c r="AZ61" s="1055"/>
      <c r="BA61" s="981"/>
      <c r="BB61" s="980"/>
      <c r="BC61" s="1055"/>
      <c r="BD61" s="980"/>
      <c r="BE61" s="980"/>
      <c r="BF61" s="980"/>
      <c r="BG61" s="981"/>
      <c r="BH61" s="980"/>
      <c r="BI61" s="980"/>
      <c r="BJ61" s="980"/>
      <c r="BK61" s="980"/>
      <c r="BL61" s="980"/>
      <c r="BM61" s="981"/>
      <c r="BN61" s="980"/>
      <c r="BO61" s="980"/>
      <c r="BP61" s="980"/>
      <c r="BQ61" s="980"/>
      <c r="BR61" s="980"/>
      <c r="BS61" s="981"/>
      <c r="BT61" s="980"/>
      <c r="BU61" s="980"/>
      <c r="BV61" s="980"/>
      <c r="BW61" s="980"/>
      <c r="BX61" s="980"/>
      <c r="BY61" s="981"/>
      <c r="BZ61" s="980"/>
      <c r="CA61" s="980"/>
      <c r="CB61" s="980"/>
      <c r="CC61" s="980"/>
      <c r="CD61" s="980"/>
      <c r="CE61" s="981"/>
      <c r="CF61" s="980"/>
      <c r="CG61" s="980"/>
      <c r="CH61" s="980"/>
      <c r="CI61" s="980"/>
      <c r="CJ61" s="980"/>
      <c r="CK61" s="981"/>
      <c r="CL61" s="980"/>
      <c r="CM61" s="980"/>
      <c r="CN61" s="980"/>
      <c r="CO61" s="980"/>
      <c r="CP61" s="980"/>
      <c r="CQ61" s="981"/>
      <c r="CR61" s="980"/>
      <c r="CS61" s="980"/>
      <c r="CT61" s="980"/>
      <c r="CU61" s="980"/>
      <c r="CV61" s="980"/>
      <c r="CW61" s="981"/>
      <c r="CX61" s="980"/>
      <c r="CY61" s="980"/>
      <c r="CZ61" s="980"/>
      <c r="DA61" s="980"/>
      <c r="DB61" s="980"/>
      <c r="DC61" s="981"/>
      <c r="DD61" s="980"/>
      <c r="DE61" s="980"/>
      <c r="DF61" s="980"/>
      <c r="DG61" s="980"/>
      <c r="DH61" s="980"/>
      <c r="DI61" s="981"/>
      <c r="DJ61" s="980"/>
      <c r="DK61" s="980"/>
      <c r="DL61" s="980"/>
      <c r="DM61" s="980"/>
      <c r="DN61" s="980"/>
      <c r="DO61" s="981"/>
      <c r="DP61" s="959"/>
      <c r="DQ61" s="959"/>
      <c r="DR61" s="959"/>
    </row>
    <row r="62" spans="1:122" ht="10.5" customHeight="1">
      <c r="A62" s="1295" t="s">
        <v>796</v>
      </c>
      <c r="B62" s="990"/>
      <c r="C62" s="1296">
        <f>C135</f>
        <v>0</v>
      </c>
      <c r="D62" s="1296">
        <f>D135</f>
        <v>12.609</v>
      </c>
      <c r="E62" s="1296">
        <f>E135</f>
        <v>22.2</v>
      </c>
      <c r="F62" s="990"/>
      <c r="G62" s="1296">
        <f>$E$64</f>
        <v>11.708999999999994</v>
      </c>
      <c r="H62" s="1296">
        <f>$E$64</f>
        <v>11.708999999999994</v>
      </c>
      <c r="I62" s="1296">
        <f>$E$64</f>
        <v>11.708999999999994</v>
      </c>
      <c r="J62" s="1296">
        <f>$E$64</f>
        <v>11.708999999999994</v>
      </c>
      <c r="K62" s="1296">
        <f t="shared" si="93"/>
        <v>11.708999999999994</v>
      </c>
      <c r="L62" s="990"/>
      <c r="M62" s="1296">
        <f>$K$64</f>
        <v>8.7089999999999961</v>
      </c>
      <c r="N62" s="1296">
        <f>$K$64</f>
        <v>8.7089999999999961</v>
      </c>
      <c r="O62" s="1296">
        <f>$K$64</f>
        <v>8.7089999999999961</v>
      </c>
      <c r="P62" s="1296">
        <f>$K$64</f>
        <v>8.7089999999999961</v>
      </c>
      <c r="Q62" s="1296">
        <f t="shared" si="95"/>
        <v>8.7089999999999961</v>
      </c>
      <c r="R62" s="990"/>
      <c r="S62" s="1296">
        <f>$Q$64</f>
        <v>10.463000000000005</v>
      </c>
      <c r="T62" s="1297">
        <f>S62</f>
        <v>10.463000000000005</v>
      </c>
      <c r="U62" s="1297">
        <f>T62</f>
        <v>10.463000000000005</v>
      </c>
      <c r="V62" s="1297">
        <f>U62</f>
        <v>10.463000000000005</v>
      </c>
      <c r="W62" s="1296">
        <f>V62</f>
        <v>10.463000000000005</v>
      </c>
      <c r="X62" s="1297"/>
      <c r="Y62" s="1297">
        <f>V64</f>
        <v>35.731000000000016</v>
      </c>
      <c r="Z62" s="1297">
        <f>Y62</f>
        <v>35.731000000000016</v>
      </c>
      <c r="AA62" s="1297">
        <f>Z62</f>
        <v>35.731000000000016</v>
      </c>
      <c r="AB62" s="1297">
        <f>AA62</f>
        <v>35.731000000000016</v>
      </c>
      <c r="AC62" s="1296">
        <f>AB62</f>
        <v>35.731000000000016</v>
      </c>
      <c r="AD62" s="1297"/>
      <c r="AE62" s="1297">
        <f>AB64</f>
        <v>99.842000000000041</v>
      </c>
      <c r="AF62" s="1297">
        <f>AE62</f>
        <v>99.842000000000041</v>
      </c>
      <c r="AG62" s="1297">
        <f>AF62</f>
        <v>99.842000000000041</v>
      </c>
      <c r="AH62" s="1297">
        <f>AG62</f>
        <v>99.842000000000041</v>
      </c>
      <c r="AI62" s="1298">
        <f>AH62</f>
        <v>99.842000000000041</v>
      </c>
      <c r="AJ62" s="1297"/>
      <c r="AK62" s="1297">
        <f>AH64</f>
        <v>86.607617851413281</v>
      </c>
      <c r="AL62" s="1297">
        <f>AK62</f>
        <v>86.607617851413281</v>
      </c>
      <c r="AM62" s="1297">
        <f>AL62</f>
        <v>86.607617851413281</v>
      </c>
      <c r="AN62" s="1297">
        <f>AM62</f>
        <v>86.607617851413281</v>
      </c>
      <c r="AO62" s="1299">
        <f>AN62</f>
        <v>86.607617851413281</v>
      </c>
      <c r="AP62" s="1297"/>
      <c r="AQ62" s="1297">
        <f>AN64</f>
        <v>279.09461785141326</v>
      </c>
      <c r="AR62" s="1297">
        <f>AQ62</f>
        <v>279.09461785141326</v>
      </c>
      <c r="AS62" s="1297">
        <f>AR62</f>
        <v>279.09461785141326</v>
      </c>
      <c r="AT62" s="1297">
        <f>AS62</f>
        <v>279.09461785141326</v>
      </c>
      <c r="AU62" s="1298">
        <f>AT62</f>
        <v>279.09461785141326</v>
      </c>
      <c r="AV62" s="1297"/>
      <c r="AW62" s="1297">
        <f>AT64</f>
        <v>483.83361785141324</v>
      </c>
      <c r="AX62" s="1297">
        <f>AW62</f>
        <v>483.83361785141324</v>
      </c>
      <c r="AY62" s="1297">
        <f>AX62</f>
        <v>483.83361785141324</v>
      </c>
      <c r="AZ62" s="1297">
        <f>AY62</f>
        <v>483.83361785141324</v>
      </c>
      <c r="BA62" s="1298">
        <f>AZ62</f>
        <v>483.83361785141324</v>
      </c>
      <c r="BB62" s="1297"/>
      <c r="BC62" s="1297">
        <f>AZ64</f>
        <v>1011.3056178514133</v>
      </c>
      <c r="BD62" s="1297">
        <f>BC62</f>
        <v>1011.3056178514133</v>
      </c>
      <c r="BE62" s="1297">
        <f>BD62</f>
        <v>1011.3056178514133</v>
      </c>
      <c r="BF62" s="1309">
        <f>BE62</f>
        <v>1011.3056178514133</v>
      </c>
      <c r="BG62" s="1298">
        <f>BF62</f>
        <v>1011.3056178514133</v>
      </c>
      <c r="BH62" s="1297"/>
      <c r="BI62" s="1309">
        <f>BF64</f>
        <v>424.29161785141309</v>
      </c>
      <c r="BJ62" s="1309">
        <f>BI62</f>
        <v>424.29161785141309</v>
      </c>
      <c r="BK62" s="1309">
        <f>BJ62</f>
        <v>424.29161785141309</v>
      </c>
      <c r="BL62" s="1309">
        <f>BK62</f>
        <v>424.29161785141309</v>
      </c>
      <c r="BM62" s="1298">
        <f>BL62</f>
        <v>424.29161785141309</v>
      </c>
      <c r="BN62" s="1297"/>
      <c r="BO62" s="1309">
        <f>BL64</f>
        <v>607.28361785141294</v>
      </c>
      <c r="BP62" s="1309">
        <f>BO62</f>
        <v>607.28361785141294</v>
      </c>
      <c r="BQ62" s="1309">
        <f>BP62</f>
        <v>607.28361785141294</v>
      </c>
      <c r="BR62" s="1309">
        <f>BQ62</f>
        <v>607.28361785141294</v>
      </c>
      <c r="BS62" s="1298">
        <f>BR62</f>
        <v>607.28361785141294</v>
      </c>
      <c r="BT62" s="1297"/>
      <c r="BU62" s="1309">
        <f>BR64</f>
        <v>747.24461785141295</v>
      </c>
      <c r="BV62" s="1309">
        <f>BU62</f>
        <v>747.24461785141295</v>
      </c>
      <c r="BW62" s="1309">
        <f>BV62</f>
        <v>747.24461785141295</v>
      </c>
      <c r="BX62" s="1309">
        <f>BW62</f>
        <v>747.24461785141295</v>
      </c>
      <c r="BY62" s="1298">
        <f>BX62</f>
        <v>747.24461785141295</v>
      </c>
      <c r="BZ62" s="1297"/>
      <c r="CA62" s="1309">
        <f>BX64</f>
        <v>781.63461785141305</v>
      </c>
      <c r="CB62" s="1309">
        <f>CA62</f>
        <v>781.63461785141305</v>
      </c>
      <c r="CC62" s="1309">
        <f>CB62</f>
        <v>781.63461785141305</v>
      </c>
      <c r="CD62" s="1309">
        <f>CC62</f>
        <v>781.63461785141305</v>
      </c>
      <c r="CE62" s="1298">
        <f>CD62</f>
        <v>781.63461785141305</v>
      </c>
      <c r="CF62" s="1297"/>
      <c r="CG62" s="1309">
        <f>CD64</f>
        <v>908.11661785141314</v>
      </c>
      <c r="CH62" s="1309">
        <f>CG62</f>
        <v>908.11661785141314</v>
      </c>
      <c r="CI62" s="1309">
        <f>CH62</f>
        <v>908.11661785141314</v>
      </c>
      <c r="CJ62" s="1309">
        <f>CI62</f>
        <v>908.11661785141314</v>
      </c>
      <c r="CK62" s="1298">
        <f>CJ62</f>
        <v>908.11661785141314</v>
      </c>
      <c r="CL62" s="1297"/>
      <c r="CM62" s="1309">
        <f>CJ64</f>
        <v>1158.3626178514132</v>
      </c>
      <c r="CN62" s="1309">
        <f>CM62</f>
        <v>1158.3626178514132</v>
      </c>
      <c r="CO62" s="1309">
        <f>CN62</f>
        <v>1158.3626178514132</v>
      </c>
      <c r="CP62" s="1309">
        <f>CO62</f>
        <v>1158.3626178514132</v>
      </c>
      <c r="CQ62" s="1298">
        <f>CP62</f>
        <v>1158.3626178514132</v>
      </c>
      <c r="CR62" s="1297"/>
      <c r="CS62" s="1309">
        <f>CP64</f>
        <v>1606.5486178514127</v>
      </c>
      <c r="CT62" s="1309">
        <f>CS62</f>
        <v>1606.5486178514127</v>
      </c>
      <c r="CU62" s="1309">
        <f>CT62</f>
        <v>1606.5486178514127</v>
      </c>
      <c r="CV62" s="1309">
        <f>CU62</f>
        <v>1606.5486178514127</v>
      </c>
      <c r="CW62" s="1298">
        <f>CV62</f>
        <v>1606.5486178514127</v>
      </c>
      <c r="CX62" s="1297"/>
      <c r="CY62" s="1309">
        <f>CV64</f>
        <v>2543.4836178514124</v>
      </c>
      <c r="CZ62" s="1309">
        <f>CY62</f>
        <v>2543.4836178514124</v>
      </c>
      <c r="DA62" s="1309">
        <f>CZ62</f>
        <v>2543.4836178514124</v>
      </c>
      <c r="DB62" s="1309">
        <f>DA62</f>
        <v>2543.4836178514124</v>
      </c>
      <c r="DC62" s="1298">
        <f>DB62</f>
        <v>2543.4836178514124</v>
      </c>
      <c r="DD62" s="1297"/>
      <c r="DE62" s="1309">
        <f>DB64</f>
        <v>5442.520658366042</v>
      </c>
      <c r="DF62" s="1309">
        <f>DE62</f>
        <v>5442.520658366042</v>
      </c>
      <c r="DG62" s="1309">
        <f>DF62</f>
        <v>5442.520658366042</v>
      </c>
      <c r="DH62" s="1309">
        <f>DG62</f>
        <v>5442.520658366042</v>
      </c>
      <c r="DI62" s="1298">
        <f>DH62</f>
        <v>5442.520658366042</v>
      </c>
      <c r="DJ62" s="1297"/>
      <c r="DK62" s="1309">
        <f>DH64</f>
        <v>9555.8686030194294</v>
      </c>
      <c r="DL62" s="1309">
        <f>DK62</f>
        <v>9555.8686030194294</v>
      </c>
      <c r="DM62" s="1309">
        <f>DL62</f>
        <v>9555.8686030194294</v>
      </c>
      <c r="DN62" s="1309">
        <f>DM62</f>
        <v>9555.8686030194294</v>
      </c>
      <c r="DO62" s="1298">
        <f>DN62</f>
        <v>9555.8686030194294</v>
      </c>
      <c r="DP62" s="958"/>
      <c r="DQ62" s="958"/>
      <c r="DR62" s="958"/>
    </row>
    <row r="63" spans="1:122" ht="5.25" customHeight="1">
      <c r="A63" s="1219"/>
      <c r="B63" s="993"/>
      <c r="C63" s="959"/>
      <c r="D63" s="959"/>
      <c r="E63" s="959"/>
      <c r="F63" s="959"/>
      <c r="G63" s="959"/>
      <c r="H63" s="980"/>
      <c r="I63" s="980"/>
      <c r="J63" s="980"/>
      <c r="K63" s="980"/>
      <c r="L63" s="959"/>
      <c r="M63" s="959"/>
      <c r="N63" s="980"/>
      <c r="O63" s="980"/>
      <c r="P63" s="980"/>
      <c r="Q63" s="980"/>
      <c r="R63" s="959"/>
      <c r="S63" s="959"/>
      <c r="T63" s="1055"/>
      <c r="U63" s="980"/>
      <c r="V63" s="980"/>
      <c r="W63" s="980"/>
      <c r="X63" s="980"/>
      <c r="Y63" s="1055"/>
      <c r="Z63" s="980"/>
      <c r="AA63" s="980"/>
      <c r="AB63" s="980"/>
      <c r="AC63" s="980"/>
      <c r="AD63" s="980"/>
      <c r="AE63" s="980"/>
      <c r="AF63" s="980"/>
      <c r="AG63" s="980"/>
      <c r="AH63" s="1055"/>
      <c r="AI63" s="981"/>
      <c r="AJ63" s="980"/>
      <c r="AK63" s="980"/>
      <c r="AL63" s="1055"/>
      <c r="AM63" s="1055"/>
      <c r="AN63" s="1055"/>
      <c r="AO63" s="1311"/>
      <c r="AP63" s="980"/>
      <c r="AQ63" s="1055"/>
      <c r="AR63" s="1055"/>
      <c r="AS63" s="980"/>
      <c r="AT63" s="1055"/>
      <c r="AU63" s="981"/>
      <c r="AV63" s="980"/>
      <c r="AW63" s="980"/>
      <c r="AX63" s="1055"/>
      <c r="AY63" s="1055"/>
      <c r="AZ63" s="1055"/>
      <c r="BA63" s="981"/>
      <c r="BB63" s="980"/>
      <c r="BC63" s="980"/>
      <c r="BD63" s="980"/>
      <c r="BE63" s="980"/>
      <c r="BF63" s="980"/>
      <c r="BG63" s="981"/>
      <c r="BH63" s="980"/>
      <c r="BI63" s="980"/>
      <c r="BJ63" s="980"/>
      <c r="BK63" s="980"/>
      <c r="BL63" s="980"/>
      <c r="BM63" s="981"/>
      <c r="BN63" s="980"/>
      <c r="BO63" s="980"/>
      <c r="BP63" s="980"/>
      <c r="BQ63" s="980"/>
      <c r="BR63" s="980"/>
      <c r="BS63" s="981"/>
      <c r="BT63" s="980"/>
      <c r="BU63" s="980"/>
      <c r="BV63" s="980"/>
      <c r="BW63" s="980"/>
      <c r="BX63" s="980"/>
      <c r="BY63" s="981"/>
      <c r="BZ63" s="980"/>
      <c r="CA63" s="980"/>
      <c r="CB63" s="980"/>
      <c r="CC63" s="980"/>
      <c r="CD63" s="980"/>
      <c r="CE63" s="981"/>
      <c r="CF63" s="980"/>
      <c r="CG63" s="980"/>
      <c r="CH63" s="980"/>
      <c r="CI63" s="980"/>
      <c r="CJ63" s="980"/>
      <c r="CK63" s="981"/>
      <c r="CL63" s="980"/>
      <c r="CM63" s="980"/>
      <c r="CN63" s="980"/>
      <c r="CO63" s="980"/>
      <c r="CP63" s="980"/>
      <c r="CQ63" s="981"/>
      <c r="CR63" s="980"/>
      <c r="CS63" s="980"/>
      <c r="CT63" s="980"/>
      <c r="CU63" s="980"/>
      <c r="CV63" s="980"/>
      <c r="CW63" s="981"/>
      <c r="CX63" s="980"/>
      <c r="CY63" s="980"/>
      <c r="CZ63" s="980"/>
      <c r="DA63" s="980"/>
      <c r="DB63" s="980"/>
      <c r="DC63" s="981"/>
      <c r="DD63" s="980"/>
      <c r="DE63" s="980"/>
      <c r="DF63" s="980"/>
      <c r="DG63" s="980"/>
      <c r="DH63" s="980"/>
      <c r="DI63" s="981"/>
      <c r="DJ63" s="980"/>
      <c r="DK63" s="980"/>
      <c r="DL63" s="980"/>
      <c r="DM63" s="980"/>
      <c r="DN63" s="980"/>
      <c r="DO63" s="981"/>
      <c r="DP63" s="959"/>
      <c r="DQ63" s="959"/>
      <c r="DR63" s="959"/>
    </row>
    <row r="64" spans="1:122" ht="10.5" customHeight="1">
      <c r="A64" s="1326" t="s">
        <v>659</v>
      </c>
      <c r="B64" s="1325"/>
      <c r="C64" s="1296">
        <f>C60+C62</f>
        <v>12.608999999999998</v>
      </c>
      <c r="D64" s="1296">
        <f>D60+D62</f>
        <v>22.200000000000003</v>
      </c>
      <c r="E64" s="1296">
        <f>E60+E62</f>
        <v>11.708999999999994</v>
      </c>
      <c r="F64" s="1297"/>
      <c r="G64" s="1296">
        <f>G60+G62</f>
        <v>8.867999999999995</v>
      </c>
      <c r="H64" s="1296">
        <f>H60+H62</f>
        <v>10.145999999999995</v>
      </c>
      <c r="I64" s="1296">
        <f>I60+I62</f>
        <v>9.8719999999999963</v>
      </c>
      <c r="J64" s="1296">
        <f>J60+J62</f>
        <v>8.7089999999999961</v>
      </c>
      <c r="K64" s="1296">
        <f t="shared" si="93"/>
        <v>8.7089999999999961</v>
      </c>
      <c r="L64" s="1325"/>
      <c r="M64" s="1296">
        <f>M60+M62</f>
        <v>4.9409999999999972</v>
      </c>
      <c r="N64" s="1296">
        <f>N60+N62</f>
        <v>6.1299999999999963</v>
      </c>
      <c r="O64" s="1296">
        <f>O60+O62</f>
        <v>6.5359999999999978</v>
      </c>
      <c r="P64" s="1296">
        <f>P60+P62</f>
        <v>10.463000000000005</v>
      </c>
      <c r="Q64" s="1296">
        <f t="shared" si="95"/>
        <v>10.463000000000005</v>
      </c>
      <c r="R64" s="1297"/>
      <c r="S64" s="1296">
        <f>S60+S62</f>
        <v>5.5600000000000094</v>
      </c>
      <c r="T64" s="1297">
        <f>T60+T62</f>
        <v>61.092999999999989</v>
      </c>
      <c r="U64" s="1297">
        <f>U60+U62</f>
        <v>22.756000000000022</v>
      </c>
      <c r="V64" s="1297">
        <f>V60+V62</f>
        <v>35.731000000000016</v>
      </c>
      <c r="W64" s="1296">
        <f>V64</f>
        <v>35.731000000000016</v>
      </c>
      <c r="X64" s="1297"/>
      <c r="Y64" s="1297">
        <f>Y60+Y62</f>
        <v>40.604000000000028</v>
      </c>
      <c r="Z64" s="1297">
        <f>Z60+Z62</f>
        <v>25.140000000000015</v>
      </c>
      <c r="AA64" s="1297">
        <f>AA60+AA62</f>
        <v>87.355000000000018</v>
      </c>
      <c r="AB64" s="1297">
        <f>AB60+AB62</f>
        <v>99.842000000000041</v>
      </c>
      <c r="AC64" s="1296">
        <f>AB64</f>
        <v>99.842000000000041</v>
      </c>
      <c r="AD64" s="1297"/>
      <c r="AE64" s="1297">
        <f>AE60+AE62</f>
        <v>128.57300000000004</v>
      </c>
      <c r="AF64" s="1297">
        <f>AF60+AF62</f>
        <v>149.99200000000005</v>
      </c>
      <c r="AG64" s="1297">
        <f>AG60+AG62</f>
        <v>70.324000000000069</v>
      </c>
      <c r="AH64" s="1297">
        <f>AH60+AH62</f>
        <v>86.607617851413281</v>
      </c>
      <c r="AI64" s="1298">
        <f>AH64</f>
        <v>86.607617851413281</v>
      </c>
      <c r="AJ64" s="1297"/>
      <c r="AK64" s="1297">
        <f>AK60+AK62</f>
        <v>87.697617851413284</v>
      </c>
      <c r="AL64" s="1297">
        <f>AL60+AL62</f>
        <v>122.94861785141327</v>
      </c>
      <c r="AM64" s="1297">
        <f>AM60+AM62</f>
        <v>160.76061785141326</v>
      </c>
      <c r="AN64" s="1297">
        <f>AN60+AN62</f>
        <v>279.09461785141326</v>
      </c>
      <c r="AO64" s="1299">
        <f>AN64</f>
        <v>279.09461785141326</v>
      </c>
      <c r="AP64" s="1297"/>
      <c r="AQ64" s="1297">
        <f>AQ60+AQ62</f>
        <v>378.54761785141329</v>
      </c>
      <c r="AR64" s="1297">
        <f>AR60+AR62</f>
        <v>427.0426178514133</v>
      </c>
      <c r="AS64" s="1297">
        <f>AS60+AS62</f>
        <v>382.31361785141326</v>
      </c>
      <c r="AT64" s="1297">
        <f>AT60+AT62</f>
        <v>483.83361785141324</v>
      </c>
      <c r="AU64" s="1298">
        <f>AT64</f>
        <v>483.83361785141324</v>
      </c>
      <c r="AV64" s="1297"/>
      <c r="AW64" s="1297">
        <f>AW60+AW62</f>
        <v>342.26161785141323</v>
      </c>
      <c r="AX64" s="1297">
        <f>AX60+AX62</f>
        <v>246.16861785141322</v>
      </c>
      <c r="AY64" s="1297">
        <f>AY60+AY62</f>
        <v>242.88761785141321</v>
      </c>
      <c r="AZ64" s="1297">
        <f>AZ60+AZ62</f>
        <v>1011.3056178514133</v>
      </c>
      <c r="BA64" s="1298">
        <f>AZ64</f>
        <v>1011.3056178514133</v>
      </c>
      <c r="BB64" s="1297"/>
      <c r="BC64" s="1297">
        <f>BC60+BC62</f>
        <v>690.79361785141339</v>
      </c>
      <c r="BD64" s="1297">
        <f>BD60+BD62</f>
        <v>409.92461785141347</v>
      </c>
      <c r="BE64" s="1297">
        <f>BE60+BE62</f>
        <v>630.3026178514134</v>
      </c>
      <c r="BF64" s="1297">
        <f>BF60+BF62</f>
        <v>424.29161785141309</v>
      </c>
      <c r="BG64" s="1298">
        <f>BF64</f>
        <v>424.29161785141309</v>
      </c>
      <c r="BH64" s="1297"/>
      <c r="BI64" s="1297">
        <f>BI60+BI62</f>
        <v>664.61161785141303</v>
      </c>
      <c r="BJ64" s="1297">
        <f>BJ60+BJ62</f>
        <v>449.7936178514131</v>
      </c>
      <c r="BK64" s="1297">
        <f>BK60+BK62</f>
        <v>502.98661785141303</v>
      </c>
      <c r="BL64" s="1297">
        <f>BL60+BL62</f>
        <v>607.28361785141294</v>
      </c>
      <c r="BM64" s="1298">
        <f>BL64</f>
        <v>607.28361785141294</v>
      </c>
      <c r="BN64" s="1297"/>
      <c r="BO64" s="1297">
        <f>BO60+BO62</f>
        <v>440.78461785141297</v>
      </c>
      <c r="BP64" s="1297">
        <f>BP60+BP62</f>
        <v>1000.7296178514129</v>
      </c>
      <c r="BQ64" s="1297">
        <f>BQ60+BQ62</f>
        <v>521.7196178514132</v>
      </c>
      <c r="BR64" s="1297">
        <f>BR60+BR62</f>
        <v>747.24461785141295</v>
      </c>
      <c r="BS64" s="1298">
        <f>BR64</f>
        <v>747.24461785141295</v>
      </c>
      <c r="BT64" s="1297"/>
      <c r="BU64" s="1297">
        <f>BU60+BU62</f>
        <v>1927.9896178514132</v>
      </c>
      <c r="BV64" s="1297">
        <f>BV60+BV62</f>
        <v>579.88061785141281</v>
      </c>
      <c r="BW64" s="1297">
        <f>BW60+BW62</f>
        <v>651.74961785141272</v>
      </c>
      <c r="BX64" s="1297">
        <f>BX60+BX62</f>
        <v>781.63461785141305</v>
      </c>
      <c r="BY64" s="1298">
        <f>BX64</f>
        <v>781.63461785141305</v>
      </c>
      <c r="BZ64" s="1297"/>
      <c r="CA64" s="1297">
        <f>CA60+CA62</f>
        <v>827.89061785141303</v>
      </c>
      <c r="CB64" s="1297">
        <f>CB60+CB62</f>
        <v>774.72461785141297</v>
      </c>
      <c r="CC64" s="1297">
        <f>CC60+CC62</f>
        <v>846.32461785141311</v>
      </c>
      <c r="CD64" s="1297">
        <f>CD60+CD62</f>
        <v>908.11661785141314</v>
      </c>
      <c r="CE64" s="1298">
        <f>CD64</f>
        <v>908.11661785141314</v>
      </c>
      <c r="CF64" s="1297"/>
      <c r="CG64" s="1297">
        <f>CG60+CG62</f>
        <v>941.95561785141308</v>
      </c>
      <c r="CH64" s="1297">
        <f>CH60+CH62</f>
        <v>1089.3506178514133</v>
      </c>
      <c r="CI64" s="1297">
        <f>CI60+CI62</f>
        <v>1223.3176178514134</v>
      </c>
      <c r="CJ64" s="1297">
        <f>CJ60+CJ62</f>
        <v>1158.3626178514132</v>
      </c>
      <c r="CK64" s="1298">
        <f>CJ64</f>
        <v>1158.3626178514132</v>
      </c>
      <c r="CL64" s="1297"/>
      <c r="CM64" s="1297">
        <f>CM60+CM62</f>
        <v>1799.082617851413</v>
      </c>
      <c r="CN64" s="1297">
        <f>CN60+CN62</f>
        <v>1115.2256178514131</v>
      </c>
      <c r="CO64" s="1297">
        <f>CO60+CO62</f>
        <v>1145.7356178514133</v>
      </c>
      <c r="CP64" s="1297">
        <f>CP60+CP62</f>
        <v>1606.5486178514127</v>
      </c>
      <c r="CQ64" s="1298">
        <f>CP64</f>
        <v>1606.5486178514127</v>
      </c>
      <c r="CR64" s="1297"/>
      <c r="CS64" s="1297">
        <f>CS60+CS62</f>
        <v>2024.9036178514125</v>
      </c>
      <c r="CT64" s="1297">
        <f>CT60+CT62</f>
        <v>1949.1096178514122</v>
      </c>
      <c r="CU64" s="1297">
        <f>CU60+CU62</f>
        <v>2071.8366178514125</v>
      </c>
      <c r="CV64" s="1297">
        <f>CV60+CV62</f>
        <v>2543.4836178514124</v>
      </c>
      <c r="CW64" s="1298">
        <f>CV64</f>
        <v>2543.4836178514124</v>
      </c>
      <c r="CX64" s="1297"/>
      <c r="CY64" s="1297">
        <f>CY60+CY62</f>
        <v>3417.4247525970186</v>
      </c>
      <c r="CZ64" s="1297">
        <f>CZ60+CZ62</f>
        <v>3867.7693163540816</v>
      </c>
      <c r="DA64" s="1297">
        <f>DA60+DA62</f>
        <v>4190.3363881989553</v>
      </c>
      <c r="DB64" s="1297">
        <f>DB60+DB62</f>
        <v>5442.520658366042</v>
      </c>
      <c r="DC64" s="1298">
        <f>DB64</f>
        <v>5442.520658366042</v>
      </c>
      <c r="DD64" s="1297"/>
      <c r="DE64" s="1297">
        <f>DE60+DE62</f>
        <v>6676.171348299692</v>
      </c>
      <c r="DF64" s="1297">
        <f>DF60+DF62</f>
        <v>7220.7423891522067</v>
      </c>
      <c r="DG64" s="1297">
        <f>DG60+DG62</f>
        <v>7656.0367115150166</v>
      </c>
      <c r="DH64" s="1297">
        <f>DH60+DH62</f>
        <v>9555.8686030194294</v>
      </c>
      <c r="DI64" s="1298">
        <f>DH64</f>
        <v>9555.8686030194294</v>
      </c>
      <c r="DJ64" s="1297"/>
      <c r="DK64" s="1297">
        <f>DK60+DK62</f>
        <v>11088.62168964545</v>
      </c>
      <c r="DL64" s="1297">
        <f>DL60+DL62</f>
        <v>11907.164811136639</v>
      </c>
      <c r="DM64" s="1297">
        <f>DM60+DM62</f>
        <v>12521.652589105501</v>
      </c>
      <c r="DN64" s="1297">
        <f>DN60+DN62</f>
        <v>14803.677303608905</v>
      </c>
      <c r="DO64" s="1298">
        <f>DN64</f>
        <v>14803.677303608905</v>
      </c>
      <c r="DP64" s="960"/>
      <c r="DQ64" s="960"/>
      <c r="DR64" s="960"/>
    </row>
    <row r="65" spans="1:122" ht="5.25" customHeight="1">
      <c r="A65" s="966"/>
      <c r="B65" s="1118"/>
      <c r="C65" s="948"/>
      <c r="D65" s="948"/>
      <c r="E65" s="948"/>
      <c r="F65" s="948"/>
      <c r="G65" s="948"/>
      <c r="H65" s="948"/>
      <c r="I65" s="948"/>
      <c r="J65" s="948"/>
      <c r="K65" s="948"/>
      <c r="L65" s="948"/>
      <c r="M65" s="948"/>
      <c r="N65" s="948"/>
      <c r="O65" s="948"/>
      <c r="P65" s="948"/>
      <c r="Q65" s="980"/>
      <c r="R65" s="948"/>
      <c r="S65" s="980"/>
      <c r="T65" s="980"/>
      <c r="U65" s="980"/>
      <c r="V65" s="980"/>
      <c r="W65" s="980"/>
      <c r="X65" s="980"/>
      <c r="Y65" s="980"/>
      <c r="Z65" s="980"/>
      <c r="AA65" s="980"/>
      <c r="AB65" s="980"/>
      <c r="AC65" s="980"/>
      <c r="AD65" s="980"/>
      <c r="AE65" s="980"/>
      <c r="AF65" s="980"/>
      <c r="AG65" s="980"/>
      <c r="AH65" s="980"/>
      <c r="AI65" s="981"/>
      <c r="AJ65" s="980"/>
      <c r="AK65" s="980"/>
      <c r="AL65" s="980"/>
      <c r="AM65" s="980"/>
      <c r="AN65" s="980"/>
      <c r="AO65" s="981"/>
      <c r="AP65" s="980"/>
      <c r="AQ65" s="1055"/>
      <c r="AR65" s="980"/>
      <c r="AS65" s="980"/>
      <c r="AT65" s="980"/>
      <c r="AU65" s="981"/>
      <c r="AV65" s="980"/>
      <c r="AW65" s="980"/>
      <c r="AX65" s="980"/>
      <c r="AY65" s="980"/>
      <c r="AZ65" s="980"/>
      <c r="BA65" s="981"/>
      <c r="BB65" s="980"/>
      <c r="BC65" s="980"/>
      <c r="BD65" s="980"/>
      <c r="BE65" s="980"/>
      <c r="BF65" s="980"/>
      <c r="BG65" s="981"/>
      <c r="BH65" s="980"/>
      <c r="BI65" s="980"/>
      <c r="BJ65" s="980"/>
      <c r="BK65" s="980"/>
      <c r="BL65" s="980"/>
      <c r="BM65" s="981"/>
      <c r="BN65" s="980"/>
      <c r="BO65" s="980"/>
      <c r="BP65" s="980"/>
      <c r="BQ65" s="980"/>
      <c r="BR65" s="980"/>
      <c r="BS65" s="981"/>
      <c r="BT65" s="980"/>
      <c r="BU65" s="980"/>
      <c r="BV65" s="980"/>
      <c r="BW65" s="980"/>
      <c r="BX65" s="980"/>
      <c r="BY65" s="981"/>
      <c r="BZ65" s="980"/>
      <c r="CA65" s="980"/>
      <c r="CB65" s="980"/>
      <c r="CC65" s="980"/>
      <c r="CD65" s="980"/>
      <c r="CE65" s="981"/>
      <c r="CF65" s="980"/>
      <c r="CG65" s="980"/>
      <c r="CH65" s="980"/>
      <c r="CI65" s="980"/>
      <c r="CJ65" s="980"/>
      <c r="CK65" s="981"/>
      <c r="CL65" s="980"/>
      <c r="CM65" s="980"/>
      <c r="CN65" s="980"/>
      <c r="CO65" s="980"/>
      <c r="CP65" s="980"/>
      <c r="CQ65" s="981"/>
      <c r="CR65" s="980"/>
      <c r="CS65" s="980"/>
      <c r="CT65" s="980"/>
      <c r="CU65" s="980"/>
      <c r="CV65" s="980"/>
      <c r="CW65" s="981"/>
      <c r="CX65" s="980"/>
      <c r="CY65" s="980"/>
      <c r="CZ65" s="980"/>
      <c r="DA65" s="980"/>
      <c r="DB65" s="980"/>
      <c r="DC65" s="981"/>
      <c r="DD65" s="980"/>
      <c r="DE65" s="980"/>
      <c r="DF65" s="980"/>
      <c r="DG65" s="980"/>
      <c r="DH65" s="980"/>
      <c r="DI65" s="981"/>
      <c r="DJ65" s="980"/>
      <c r="DK65" s="980"/>
      <c r="DL65" s="980"/>
      <c r="DM65" s="980"/>
      <c r="DN65" s="980"/>
      <c r="DO65" s="981"/>
      <c r="DP65" s="948"/>
      <c r="DQ65" s="948"/>
      <c r="DR65" s="948"/>
    </row>
    <row r="66" spans="1:122" ht="11.25" customHeight="1">
      <c r="A66" s="1327" t="s">
        <v>506</v>
      </c>
      <c r="B66" s="1271"/>
      <c r="C66" s="974"/>
      <c r="D66" s="974"/>
      <c r="E66" s="974"/>
      <c r="F66" s="974"/>
      <c r="G66" s="974"/>
      <c r="H66" s="974"/>
      <c r="I66" s="974"/>
      <c r="J66" s="974"/>
      <c r="K66" s="974"/>
      <c r="L66" s="974"/>
      <c r="M66" s="974"/>
      <c r="N66" s="974"/>
      <c r="O66" s="974"/>
      <c r="P66" s="974"/>
      <c r="Q66" s="1328"/>
      <c r="R66" s="974"/>
      <c r="S66" s="1328"/>
      <c r="T66" s="1328"/>
      <c r="U66" s="1328"/>
      <c r="V66" s="1328"/>
      <c r="W66" s="1328"/>
      <c r="X66" s="1328"/>
      <c r="Y66" s="1053">
        <f>Y30+Y34</f>
        <v>8.7530000000000001</v>
      </c>
      <c r="Z66" s="1053">
        <f>Z30+Z34</f>
        <v>19.452999999999996</v>
      </c>
      <c r="AA66" s="1053">
        <f>AA30+AA34</f>
        <v>38.733000000000011</v>
      </c>
      <c r="AB66" s="1053">
        <f>AB30+AB34</f>
        <v>72.459000000000003</v>
      </c>
      <c r="AC66" s="1053">
        <f>AC30+AC34</f>
        <v>72.459000000000003</v>
      </c>
      <c r="AD66" s="1328"/>
      <c r="AE66" s="1053">
        <f>AE30+AE34</f>
        <v>9.820999999999998</v>
      </c>
      <c r="AF66" s="1053">
        <f>AF30+AF34</f>
        <v>37.025000000000006</v>
      </c>
      <c r="AG66" s="1053">
        <f>AG30+AG34</f>
        <v>58.567000000000014</v>
      </c>
      <c r="AH66" s="1053">
        <f>AH30+AH34</f>
        <v>89.100617851413233</v>
      </c>
      <c r="AI66" s="1199">
        <f>AI30+AI34</f>
        <v>89.100617851413233</v>
      </c>
      <c r="AJ66" s="1328"/>
      <c r="AK66" s="1053">
        <f>AK30+AK34</f>
        <v>20.873000000000005</v>
      </c>
      <c r="AL66" s="1053">
        <f>AL30+AL34</f>
        <v>45.423000000000009</v>
      </c>
      <c r="AM66" s="1053">
        <f>AM30+AM34</f>
        <v>88.299000000000007</v>
      </c>
      <c r="AN66" s="1053">
        <f>AN30+AN34</f>
        <v>160.72299999999998</v>
      </c>
      <c r="AO66" s="1199">
        <f>AO30+AO34</f>
        <v>160.72299999999998</v>
      </c>
      <c r="AP66" s="1328"/>
      <c r="AQ66" s="1053">
        <f>AQ30+AQ34</f>
        <v>59.655000000000008</v>
      </c>
      <c r="AR66" s="1053">
        <f>AR30+AR34</f>
        <v>99.694000000000017</v>
      </c>
      <c r="AS66" s="1053">
        <f>AS30+AS34</f>
        <v>105.20100000000002</v>
      </c>
      <c r="AT66" s="1053">
        <f>AT30+AT34</f>
        <v>168.49799999999996</v>
      </c>
      <c r="AU66" s="1199">
        <f>AU30+AU34</f>
        <v>168.49799999999996</v>
      </c>
      <c r="AV66" s="1328"/>
      <c r="AW66" s="1053">
        <f>AW30+AW34</f>
        <v>85.105000000000018</v>
      </c>
      <c r="AX66" s="1053">
        <f>AX30+AX34</f>
        <v>111.07499999999999</v>
      </c>
      <c r="AY66" s="1053">
        <f>AY30+AY34</f>
        <v>132.50599999999997</v>
      </c>
      <c r="AZ66" s="1053">
        <f>AZ30+AZ34</f>
        <v>217.01000000000005</v>
      </c>
      <c r="BA66" s="1199">
        <f>BA30+BA34</f>
        <v>217.01000000000005</v>
      </c>
      <c r="BB66" s="1328"/>
      <c r="BC66" s="1053">
        <f>BC30+BC34+BC35</f>
        <v>130.99300000000002</v>
      </c>
      <c r="BD66" s="1053">
        <f>BD30+BD34+BD35</f>
        <v>179.75799999999998</v>
      </c>
      <c r="BE66" s="1053">
        <f>BE30+BE34+BE35</f>
        <v>225.00800000000001</v>
      </c>
      <c r="BF66" s="1053">
        <f>BF30+BF34+BF35</f>
        <v>90.249999999999886</v>
      </c>
      <c r="BG66" s="1199">
        <f>BG30+BG34+BG35</f>
        <v>90.249999999999886</v>
      </c>
      <c r="BH66" s="1328"/>
      <c r="BI66" s="1053">
        <f>BI30+BI34+BI35</f>
        <v>111.19000000000001</v>
      </c>
      <c r="BJ66" s="1053">
        <f>BJ30+BJ34+BJ35</f>
        <v>143.65</v>
      </c>
      <c r="BK66" s="1053">
        <f>BK30+BK34+BK35</f>
        <v>231.02699999999996</v>
      </c>
      <c r="BL66" s="1053">
        <f>BL30+BL34+BL35</f>
        <v>420.20699999999999</v>
      </c>
      <c r="BM66" s="1199">
        <f>BM30+BM34+BM35</f>
        <v>420.20699999999999</v>
      </c>
      <c r="BN66" s="1328"/>
      <c r="BO66" s="1053">
        <f>BO30+BO34+BO35</f>
        <v>164.38500000000005</v>
      </c>
      <c r="BP66" s="1053">
        <f>BP30+BP34+BP35</f>
        <v>271.27799999999991</v>
      </c>
      <c r="BQ66" s="1053">
        <f>BQ30+BQ34+BQ35</f>
        <v>326.13900000000012</v>
      </c>
      <c r="BR66" s="1053">
        <f>BR30+BR34+BR35</f>
        <v>557.19000000000005</v>
      </c>
      <c r="BS66" s="1199">
        <f>BS30+BS34+BS35</f>
        <v>557.19000000000005</v>
      </c>
      <c r="BT66" s="1328"/>
      <c r="BU66" s="1053">
        <f>BU30+BU34+BU35</f>
        <v>229.17899999999997</v>
      </c>
      <c r="BV66" s="1053">
        <f>BV30+BV34+BV35</f>
        <v>309.81299999999999</v>
      </c>
      <c r="BW66" s="1053">
        <f>BW30+BW34+BW35</f>
        <v>374.96999999999991</v>
      </c>
      <c r="BX66" s="1053">
        <f>BX30+BX34+BX35</f>
        <v>576.35900000000004</v>
      </c>
      <c r="BY66" s="1199">
        <f>BY30+BY34+BY35</f>
        <v>576.35900000000004</v>
      </c>
      <c r="BZ66" s="1328"/>
      <c r="CA66" s="1053">
        <f>CA30+CA34+CA35</f>
        <v>442.98899999999998</v>
      </c>
      <c r="CB66" s="1053">
        <f>CB30+CB34+CB35</f>
        <v>618.30600000000004</v>
      </c>
      <c r="CC66" s="1053">
        <f>CC30+CC34+CC35</f>
        <v>744.69599999999991</v>
      </c>
      <c r="CD66" s="1053">
        <f>CD30+CD34+CD35</f>
        <v>980.06500000000005</v>
      </c>
      <c r="CE66" s="1199">
        <f>CE30+CE34+CE35</f>
        <v>980.06500000000005</v>
      </c>
      <c r="CF66" s="1328"/>
      <c r="CG66" s="1053">
        <f>CG30+CG34+CG35</f>
        <v>352.26100000000002</v>
      </c>
      <c r="CH66" s="1053">
        <f>CH30+CH34+CH35</f>
        <v>595.22100000000023</v>
      </c>
      <c r="CI66" s="1053">
        <f>CI30+CI34+CI35</f>
        <v>753.86900000000026</v>
      </c>
      <c r="CJ66" s="1053">
        <f>CJ30+CJ34+CJ35</f>
        <v>1144.8139999999999</v>
      </c>
      <c r="CK66" s="1199">
        <f>CK30+CK34+CK35</f>
        <v>1144.8139999999999</v>
      </c>
      <c r="CL66" s="1328"/>
      <c r="CM66" s="1053">
        <f>CM30+CM34+CM35</f>
        <v>967.76099999999985</v>
      </c>
      <c r="CN66" s="1053">
        <f>CN30+CN34+CN35</f>
        <v>1122.4089999999999</v>
      </c>
      <c r="CO66" s="1053">
        <f>CO30+CO34+CO35</f>
        <v>1136.0680000000002</v>
      </c>
      <c r="CP66" s="1053">
        <f>CP30+CP34+CP35</f>
        <v>1698.2399999999998</v>
      </c>
      <c r="CQ66" s="1199">
        <f>CQ30+CQ34+CQ35</f>
        <v>1698.2399999999998</v>
      </c>
      <c r="CR66" s="1328"/>
      <c r="CS66" s="1053">
        <f>CS30+CS34+CS35</f>
        <v>1072.9819999999997</v>
      </c>
      <c r="CT66" s="1053">
        <f>CT30+CT34+CT35</f>
        <v>1275.8629999999996</v>
      </c>
      <c r="CU66" s="1053">
        <f>CU30+CU34+CU35</f>
        <v>1290.3769999999997</v>
      </c>
      <c r="CV66" s="1053">
        <f>CV30+CV34+CV35</f>
        <v>2203.9379999999996</v>
      </c>
      <c r="CW66" s="1199">
        <f>CW30+CW34+CW35</f>
        <v>2203.9379999999996</v>
      </c>
      <c r="CX66" s="1328"/>
      <c r="CY66" s="1053">
        <f>CY30+CY34+CY35</f>
        <v>1447.8578474894055</v>
      </c>
      <c r="CZ66" s="1053">
        <f>CZ30+CZ34+CZ35</f>
        <v>1743.7229412390025</v>
      </c>
      <c r="DA66" s="1053">
        <f>DA30+DA34+DA35</f>
        <v>1899.5083782431936</v>
      </c>
      <c r="DB66" s="1053">
        <f>DB30+DB34+DB35</f>
        <v>2987.7076823084617</v>
      </c>
      <c r="DC66" s="1199">
        <f>DC30+DC34+DC35</f>
        <v>2987.7076823084617</v>
      </c>
      <c r="DD66" s="1328"/>
      <c r="DE66" s="1053">
        <f>DE30+DE34+DE35</f>
        <v>1708.0316774401238</v>
      </c>
      <c r="DF66" s="1053">
        <f>DF30+DF34+DF35</f>
        <v>2021.5952357338695</v>
      </c>
      <c r="DG66" s="1053">
        <f>DG30+DG34+DG35</f>
        <v>2214.5352685128441</v>
      </c>
      <c r="DH66" s="1053">
        <f>DH30+DH34+DH35</f>
        <v>3875.8619974453331</v>
      </c>
      <c r="DI66" s="1199">
        <f>DI30+DI34+DI35</f>
        <v>3875.8619974453331</v>
      </c>
      <c r="DJ66" s="1328"/>
      <c r="DK66" s="1053">
        <f>DK30+DK34+DK35</f>
        <v>2094.7893357498019</v>
      </c>
      <c r="DL66" s="1053">
        <f>DL30+DL34+DL35</f>
        <v>2626.7948164320114</v>
      </c>
      <c r="DM66" s="1053">
        <f>DM30+DM34+DM35</f>
        <v>2941.2651248837997</v>
      </c>
      <c r="DN66" s="1053">
        <f>DN30+DN34+DN35</f>
        <v>4929.8235941740713</v>
      </c>
      <c r="DO66" s="1199">
        <f>DO30+DO34+DO35</f>
        <v>4929.8235941740713</v>
      </c>
      <c r="DP66" s="948"/>
      <c r="DQ66" s="948"/>
      <c r="DR66" s="948"/>
    </row>
    <row r="67" spans="1:122" ht="11.25" customHeight="1">
      <c r="A67" s="1329" t="s">
        <v>449</v>
      </c>
      <c r="B67" s="1110"/>
      <c r="C67" s="975"/>
      <c r="D67" s="975"/>
      <c r="E67" s="975"/>
      <c r="F67" s="975"/>
      <c r="G67" s="975"/>
      <c r="H67" s="975"/>
      <c r="I67" s="975"/>
      <c r="J67" s="975"/>
      <c r="K67" s="975"/>
      <c r="L67" s="975"/>
      <c r="M67" s="975"/>
      <c r="N67" s="975"/>
      <c r="O67" s="975"/>
      <c r="P67" s="975"/>
      <c r="Q67" s="1330"/>
      <c r="R67" s="975"/>
      <c r="S67" s="1330"/>
      <c r="T67" s="1330"/>
      <c r="U67" s="1330"/>
      <c r="V67" s="1330"/>
      <c r="W67" s="1330"/>
      <c r="X67" s="1330"/>
      <c r="Y67" s="1331" t="e">
        <f>Y66/S66-1</f>
        <v>#DIV/0!</v>
      </c>
      <c r="Z67" s="1331" t="e">
        <f>Z66/T66-1</f>
        <v>#DIV/0!</v>
      </c>
      <c r="AA67" s="1331" t="e">
        <f>AA66/U66-1</f>
        <v>#DIV/0!</v>
      </c>
      <c r="AB67" s="1331" t="e">
        <f>AB66/V66-1</f>
        <v>#DIV/0!</v>
      </c>
      <c r="AC67" s="1331" t="e">
        <f>AC66/W66-1</f>
        <v>#DIV/0!</v>
      </c>
      <c r="AD67" s="1330"/>
      <c r="AE67" s="1331">
        <f>AE66/Y66-1</f>
        <v>0.12201530903690139</v>
      </c>
      <c r="AF67" s="1331">
        <f>AF66/Z66-1</f>
        <v>0.90330540276564086</v>
      </c>
      <c r="AG67" s="1331">
        <f>AG66/AA66-1</f>
        <v>0.51206981127204187</v>
      </c>
      <c r="AH67" s="1331">
        <f>AH66/AB66-1</f>
        <v>0.22966943859856226</v>
      </c>
      <c r="AI67" s="1332">
        <f>AI66/AC66-1</f>
        <v>0.22966943859856226</v>
      </c>
      <c r="AJ67" s="1330"/>
      <c r="AK67" s="1331">
        <f>AK66/AE66-1</f>
        <v>1.1253436513593331</v>
      </c>
      <c r="AL67" s="1331">
        <f>AL66/AF66-1</f>
        <v>0.22681971640783249</v>
      </c>
      <c r="AM67" s="1331">
        <f>AM66/AG66-1</f>
        <v>0.5076578960848257</v>
      </c>
      <c r="AN67" s="1331">
        <f>AN66/AH66-1</f>
        <v>0.80383709872838716</v>
      </c>
      <c r="AO67" s="1332">
        <f>AO66/AI66-1</f>
        <v>0.80383709872838716</v>
      </c>
      <c r="AP67" s="1330"/>
      <c r="AQ67" s="1331">
        <f>AQ66/AK66-1</f>
        <v>1.8579983711014227</v>
      </c>
      <c r="AR67" s="1331">
        <f>AR66/AL66-1</f>
        <v>1.1947911850824471</v>
      </c>
      <c r="AS67" s="1331">
        <f>AS66/AM66-1</f>
        <v>0.19141779635103462</v>
      </c>
      <c r="AT67" s="1331">
        <f>AT66/AN66-1</f>
        <v>4.8375154769385809E-2</v>
      </c>
      <c r="AU67" s="1332">
        <f>AU66/AO66-1</f>
        <v>4.8375154769385809E-2</v>
      </c>
      <c r="AV67" s="1330"/>
      <c r="AW67" s="1331">
        <f>AW66/AQ66-1</f>
        <v>0.42661973011482712</v>
      </c>
      <c r="AX67" s="1331">
        <f>AX66/AR66-1</f>
        <v>0.11415932754227898</v>
      </c>
      <c r="AY67" s="1331">
        <f>AY66/AS66-1</f>
        <v>0.25955076472657046</v>
      </c>
      <c r="AZ67" s="1331">
        <f>AZ66/AT66-1</f>
        <v>0.28790846182150598</v>
      </c>
      <c r="BA67" s="1332">
        <f>BA66/AU66-1</f>
        <v>0.28790846182150598</v>
      </c>
      <c r="BB67" s="1330"/>
      <c r="BC67" s="1331">
        <f>BC66/AW66-1</f>
        <v>0.53919276188238063</v>
      </c>
      <c r="BD67" s="1331">
        <f>BD66/AX66-1</f>
        <v>0.61834796308800355</v>
      </c>
      <c r="BE67" s="1331">
        <f>BE66/AY66-1</f>
        <v>0.69809668996120977</v>
      </c>
      <c r="BF67" s="1331">
        <f>BF66/AZ66-1</f>
        <v>-0.58412054744021069</v>
      </c>
      <c r="BG67" s="1332">
        <f>BG66/BA66-1</f>
        <v>-0.58412054744021069</v>
      </c>
      <c r="BH67" s="1330"/>
      <c r="BI67" s="1331">
        <f>BI66/BC66-1</f>
        <v>-0.15117601703907846</v>
      </c>
      <c r="BJ67" s="1331">
        <f>BJ66/BD66-1</f>
        <v>-0.20087005863438612</v>
      </c>
      <c r="BK67" s="1331">
        <f>BK66/BE66-1</f>
        <v>2.6750159994311185E-2</v>
      </c>
      <c r="BL67" s="1331">
        <f>BL66/BF66-1</f>
        <v>3.6560332409972354</v>
      </c>
      <c r="BM67" s="1332">
        <f>BM66/BG66-1</f>
        <v>3.6560332409972354</v>
      </c>
      <c r="BN67" s="1330"/>
      <c r="BO67" s="1331">
        <f>BO66/BI66-1</f>
        <v>0.47841532511916562</v>
      </c>
      <c r="BP67" s="1331">
        <f>BP66/BJ66-1</f>
        <v>0.88846501914375153</v>
      </c>
      <c r="BQ67" s="1331">
        <f>BQ66/BK66-1</f>
        <v>0.41169213987975506</v>
      </c>
      <c r="BR67" s="1331">
        <f>BR66/BL66-1</f>
        <v>0.32598933382832751</v>
      </c>
      <c r="BS67" s="1332">
        <f>BS66/BM66-1</f>
        <v>0.32598933382832751</v>
      </c>
      <c r="BT67" s="1330"/>
      <c r="BU67" s="1331">
        <f>BU66/BO66-1</f>
        <v>0.39416005109955221</v>
      </c>
      <c r="BV67" s="1331">
        <f>BV66/BP66-1</f>
        <v>0.14204985291840888</v>
      </c>
      <c r="BW67" s="1331">
        <f>BW66/BQ66-1</f>
        <v>0.14972450396916592</v>
      </c>
      <c r="BX67" s="1331">
        <f>BX66/BR66-1</f>
        <v>3.4402986413970105E-2</v>
      </c>
      <c r="BY67" s="1332">
        <f>BY66/BS66-1</f>
        <v>3.4402986413970105E-2</v>
      </c>
      <c r="BZ67" s="1330"/>
      <c r="CA67" s="1331">
        <f>CA66/BU66-1</f>
        <v>0.93293888183472329</v>
      </c>
      <c r="CB67" s="1331">
        <f>CB66/BV66-1</f>
        <v>0.99573936535910401</v>
      </c>
      <c r="CC67" s="1331">
        <f>CC66/BW66-1</f>
        <v>0.98601488119049541</v>
      </c>
      <c r="CD67" s="1331">
        <f>CD66/BX66-1</f>
        <v>0.70044191207216344</v>
      </c>
      <c r="CE67" s="1332">
        <f>CE66/BY66-1</f>
        <v>0.70044191207216344</v>
      </c>
      <c r="CF67" s="1330"/>
      <c r="CG67" s="1331">
        <f>CG66/CA66-1</f>
        <v>-0.20480869728142226</v>
      </c>
      <c r="CH67" s="1331">
        <f>CH66/CB66-1</f>
        <v>-3.7335882233068718E-2</v>
      </c>
      <c r="CI67" s="1331">
        <f>CI66/CC66-1</f>
        <v>1.2317777992631118E-2</v>
      </c>
      <c r="CJ67" s="1331">
        <f>CJ66/CD66-1</f>
        <v>0.16810007499502566</v>
      </c>
      <c r="CK67" s="1332">
        <f>CK66/CE66-1</f>
        <v>0.16810007499502566</v>
      </c>
      <c r="CL67" s="1330"/>
      <c r="CM67" s="1331">
        <f>CM66/CG66-1</f>
        <v>1.74728397409875</v>
      </c>
      <c r="CN67" s="1331">
        <f>CN66/CH66-1</f>
        <v>0.88570127734068427</v>
      </c>
      <c r="CO67" s="1331">
        <f>CO66/CI66-1</f>
        <v>0.50698330877115239</v>
      </c>
      <c r="CP67" s="1331">
        <f>CP66/CJ66-1</f>
        <v>0.48342001408088997</v>
      </c>
      <c r="CQ67" s="1332">
        <f>CQ66/CK66-1</f>
        <v>0.48342001408088997</v>
      </c>
      <c r="CR67" s="1330"/>
      <c r="CS67" s="1331">
        <f>CS66/CM66-1</f>
        <v>0.1087262247600389</v>
      </c>
      <c r="CT67" s="1331">
        <f>CT66/CN66-1</f>
        <v>0.13671843329837863</v>
      </c>
      <c r="CU67" s="1331">
        <f>CU66/CO66-1</f>
        <v>0.13582725681913366</v>
      </c>
      <c r="CV67" s="1331">
        <f>CV66/CP66-1</f>
        <v>0.29777769926512154</v>
      </c>
      <c r="CW67" s="1332">
        <f>CW66/CQ66-1</f>
        <v>0.29777769926512154</v>
      </c>
      <c r="CX67" s="1330"/>
      <c r="CY67" s="1331">
        <f>CY66/CS66-1</f>
        <v>0.34937757342565456</v>
      </c>
      <c r="CZ67" s="1331">
        <f>CZ66/CT66-1</f>
        <v>0.36670076743271252</v>
      </c>
      <c r="DA67" s="1331">
        <f>DA66/CU66-1</f>
        <v>0.47205690913833243</v>
      </c>
      <c r="DB67" s="1331">
        <f>DB66/CV66-1</f>
        <v>0.35562238243928013</v>
      </c>
      <c r="DC67" s="1332">
        <f>DC66/CW66-1</f>
        <v>0.35562238243928013</v>
      </c>
      <c r="DD67" s="1330"/>
      <c r="DE67" s="1331">
        <f>DE66/CY66-1</f>
        <v>0.17969570037684379</v>
      </c>
      <c r="DF67" s="1331">
        <f>DF66/CZ66-1</f>
        <v>0.15935575997952101</v>
      </c>
      <c r="DG67" s="1331">
        <f>DG66/DA66-1</f>
        <v>0.16584653896657753</v>
      </c>
      <c r="DH67" s="1331">
        <f>DH66/DB66-1</f>
        <v>0.29726948201660619</v>
      </c>
      <c r="DI67" s="1332">
        <f>DI66/DC66-1</f>
        <v>0.29726948201660619</v>
      </c>
      <c r="DJ67" s="1330"/>
      <c r="DK67" s="1331">
        <f>DK66/DE66-1</f>
        <v>0.22643471044361596</v>
      </c>
      <c r="DL67" s="1331">
        <f>DL66/DF66-1</f>
        <v>0.29936733625039702</v>
      </c>
      <c r="DM67" s="1331">
        <f>DM66/DG66-1</f>
        <v>0.32816359563285968</v>
      </c>
      <c r="DN67" s="1331">
        <f>DN66/DH66-1</f>
        <v>0.27192959847988085</v>
      </c>
      <c r="DO67" s="1332">
        <f>DO66/DI66-1</f>
        <v>0.27192959847988085</v>
      </c>
      <c r="DP67" s="948"/>
      <c r="DQ67" s="948"/>
      <c r="DR67" s="948"/>
    </row>
    <row r="68" spans="1:122" ht="5.25" hidden="1" customHeight="1" outlineLevel="1">
      <c r="A68" s="966"/>
      <c r="B68" s="1118"/>
      <c r="C68" s="948"/>
      <c r="D68" s="948"/>
      <c r="E68" s="948"/>
      <c r="F68" s="948"/>
      <c r="G68" s="948"/>
      <c r="H68" s="948"/>
      <c r="I68" s="948"/>
      <c r="J68" s="948"/>
      <c r="K68" s="948"/>
      <c r="L68" s="948"/>
      <c r="M68" s="948"/>
      <c r="N68" s="948"/>
      <c r="O68" s="948"/>
      <c r="P68" s="948"/>
      <c r="Q68" s="980"/>
      <c r="R68" s="948"/>
      <c r="S68" s="980"/>
      <c r="T68" s="980"/>
      <c r="U68" s="980"/>
      <c r="V68" s="980"/>
      <c r="W68" s="980"/>
      <c r="X68" s="980"/>
      <c r="Y68" s="980"/>
      <c r="Z68" s="980"/>
      <c r="AA68" s="980"/>
      <c r="AB68" s="980"/>
      <c r="AC68" s="980"/>
      <c r="AD68" s="980"/>
      <c r="AE68" s="980"/>
      <c r="AF68" s="980"/>
      <c r="AG68" s="980"/>
      <c r="AH68" s="980"/>
      <c r="AI68" s="981"/>
      <c r="AJ68" s="980"/>
      <c r="AK68" s="980"/>
      <c r="AL68" s="980"/>
      <c r="AM68" s="980"/>
      <c r="AN68" s="980"/>
      <c r="AO68" s="981"/>
      <c r="AP68" s="980"/>
      <c r="AQ68" s="1055"/>
      <c r="AR68" s="980"/>
      <c r="AS68" s="980"/>
      <c r="AT68" s="980"/>
      <c r="AU68" s="981"/>
      <c r="AV68" s="980"/>
      <c r="AW68" s="980"/>
      <c r="AX68" s="980"/>
      <c r="AY68" s="980"/>
      <c r="AZ68" s="980"/>
      <c r="BA68" s="981"/>
      <c r="BB68" s="980"/>
      <c r="BC68" s="980"/>
      <c r="BD68" s="980"/>
      <c r="BE68" s="980"/>
      <c r="BF68" s="980"/>
      <c r="BG68" s="981"/>
      <c r="BH68" s="980"/>
      <c r="BI68" s="980"/>
      <c r="BJ68" s="980"/>
      <c r="BK68" s="980"/>
      <c r="BL68" s="980"/>
      <c r="BM68" s="981"/>
      <c r="BN68" s="980"/>
      <c r="BO68" s="980"/>
      <c r="BP68" s="980"/>
      <c r="BQ68" s="980"/>
      <c r="BR68" s="980"/>
      <c r="BS68" s="981"/>
      <c r="BT68" s="980"/>
      <c r="BU68" s="980"/>
      <c r="BV68" s="980"/>
      <c r="BW68" s="980"/>
      <c r="BX68" s="980"/>
      <c r="BY68" s="981"/>
      <c r="BZ68" s="980"/>
      <c r="CA68" s="980"/>
      <c r="CB68" s="980"/>
      <c r="CC68" s="980"/>
      <c r="CD68" s="980"/>
      <c r="CE68" s="981"/>
      <c r="CF68" s="980"/>
      <c r="CG68" s="980"/>
      <c r="CH68" s="980"/>
      <c r="CI68" s="980"/>
      <c r="CJ68" s="980"/>
      <c r="CK68" s="981"/>
      <c r="CL68" s="980"/>
      <c r="CM68" s="980"/>
      <c r="CN68" s="980"/>
      <c r="CO68" s="980"/>
      <c r="CP68" s="980"/>
      <c r="CQ68" s="981"/>
      <c r="CR68" s="980"/>
      <c r="CS68" s="980"/>
      <c r="CT68" s="980"/>
      <c r="CU68" s="980"/>
      <c r="CV68" s="980"/>
      <c r="CW68" s="981"/>
      <c r="CX68" s="980"/>
      <c r="CY68" s="980"/>
      <c r="CZ68" s="980"/>
      <c r="DA68" s="980"/>
      <c r="DB68" s="980"/>
      <c r="DC68" s="981"/>
      <c r="DD68" s="980"/>
      <c r="DE68" s="980"/>
      <c r="DF68" s="980"/>
      <c r="DG68" s="980"/>
      <c r="DH68" s="980"/>
      <c r="DI68" s="981"/>
      <c r="DJ68" s="980"/>
      <c r="DK68" s="980"/>
      <c r="DL68" s="980"/>
      <c r="DM68" s="980"/>
      <c r="DN68" s="980"/>
      <c r="DO68" s="981"/>
      <c r="DP68" s="948"/>
      <c r="DQ68" s="948"/>
      <c r="DR68" s="948"/>
    </row>
    <row r="69" spans="1:122" ht="12.75" hidden="1" customHeight="1" outlineLevel="1">
      <c r="A69" s="1302" t="s">
        <v>712</v>
      </c>
      <c r="B69" s="993"/>
      <c r="C69" s="1333"/>
      <c r="D69" s="1333"/>
      <c r="E69" s="1333"/>
      <c r="F69" s="993"/>
      <c r="G69" s="977">
        <f>G30+G34</f>
        <v>2.2999999999999998</v>
      </c>
      <c r="H69" s="977">
        <f>H30+H34</f>
        <v>4.1110000000000007</v>
      </c>
      <c r="I69" s="977">
        <f>I30+I34</f>
        <v>3.4960000000000009</v>
      </c>
      <c r="J69" s="977">
        <f>J30+J34</f>
        <v>3.1910000000000007</v>
      </c>
      <c r="K69" s="977">
        <f>K30+K34</f>
        <v>3.1910000000000007</v>
      </c>
      <c r="L69" s="993"/>
      <c r="M69" s="977">
        <f>M31+M34</f>
        <v>4.43</v>
      </c>
      <c r="N69" s="977">
        <f>N31+N34</f>
        <v>7.9279999999999999</v>
      </c>
      <c r="O69" s="977">
        <f>O31+O34</f>
        <v>14.104000000000001</v>
      </c>
      <c r="P69" s="977">
        <f>P31+P34</f>
        <v>18.865000000000006</v>
      </c>
      <c r="Q69" s="977">
        <f>Q31+Q34</f>
        <v>18.865000000000006</v>
      </c>
      <c r="R69" s="993"/>
      <c r="S69" s="977">
        <f>S31+S34</f>
        <v>6.381000000000002</v>
      </c>
      <c r="T69" s="977">
        <f>T31+T34</f>
        <v>20.831999999999997</v>
      </c>
      <c r="U69" s="977">
        <f>U31+U34</f>
        <v>32.701000000000001</v>
      </c>
      <c r="V69" s="977">
        <f>V31+V34</f>
        <v>50.765999999999998</v>
      </c>
      <c r="W69" s="977">
        <f>W31+W34</f>
        <v>50.765999999999998</v>
      </c>
      <c r="X69" s="993"/>
      <c r="Y69" s="977">
        <f>Y31+Y34</f>
        <v>8.7530000000000001</v>
      </c>
      <c r="Z69" s="977">
        <f>Z31+Z34</f>
        <v>19.452999999999996</v>
      </c>
      <c r="AA69" s="977">
        <f>AA31+AA34</f>
        <v>38.733000000000011</v>
      </c>
      <c r="AB69" s="977">
        <f>AB31+AB34</f>
        <v>68.796999999999997</v>
      </c>
      <c r="AC69" s="977">
        <f>AC31+AC34</f>
        <v>68.796999999999997</v>
      </c>
      <c r="AD69" s="993"/>
      <c r="AE69" s="977">
        <f>AE31+AE34</f>
        <v>9.820999999999998</v>
      </c>
      <c r="AF69" s="977">
        <f>AF31+AF34</f>
        <v>37.025000000000006</v>
      </c>
      <c r="AG69" s="977">
        <f>AG31+AG34</f>
        <v>58.567000000000014</v>
      </c>
      <c r="AH69" s="977">
        <f>AH31+AH34</f>
        <v>89.100617851413233</v>
      </c>
      <c r="AI69" s="978">
        <f>AI31+AI34</f>
        <v>89.100617851413233</v>
      </c>
      <c r="AJ69" s="993"/>
      <c r="AK69" s="977">
        <f>AK31+AK34</f>
        <v>20.873000000000005</v>
      </c>
      <c r="AL69" s="977">
        <f>AL31+AL34</f>
        <v>45.423000000000009</v>
      </c>
      <c r="AM69" s="977">
        <f>AM31+AM34</f>
        <v>88.299000000000007</v>
      </c>
      <c r="AN69" s="977">
        <f>AN31+AN34</f>
        <v>160.72299999999998</v>
      </c>
      <c r="AO69" s="978">
        <f>AO31+AO34</f>
        <v>160.72299999999998</v>
      </c>
      <c r="AP69" s="993"/>
      <c r="AQ69" s="977">
        <f>AQ31+AQ34</f>
        <v>72.353000000000009</v>
      </c>
      <c r="AR69" s="977">
        <f>AR31+AR34</f>
        <v>124.23500000000001</v>
      </c>
      <c r="AS69" s="977">
        <f>AS31+AS34</f>
        <v>147.44800000000004</v>
      </c>
      <c r="AT69" s="977">
        <f>AT31+AT34</f>
        <v>223.09499999999994</v>
      </c>
      <c r="AU69" s="978">
        <f>AU31+AU34</f>
        <v>168.49799999999996</v>
      </c>
      <c r="AV69" s="993"/>
      <c r="AW69" s="977">
        <f>AW31+AW34</f>
        <v>94.553000000000026</v>
      </c>
      <c r="AX69" s="977">
        <f>AX31+AX34</f>
        <v>136.20999999999998</v>
      </c>
      <c r="AY69" s="977">
        <f>AY31+AY34</f>
        <v>165.04199999999997</v>
      </c>
      <c r="AZ69" s="977">
        <f>AZ31+AZ34</f>
        <v>268.54900000000004</v>
      </c>
      <c r="BA69" s="978">
        <f>BA31+BA34</f>
        <v>217.01000000000005</v>
      </c>
      <c r="BB69" s="993"/>
      <c r="BC69" s="977">
        <f>BC31+BC34</f>
        <v>140.28100000000003</v>
      </c>
      <c r="BD69" s="977">
        <f>BD31+BD34</f>
        <v>211.94799999999998</v>
      </c>
      <c r="BE69" s="977">
        <f>BE31+BE34</f>
        <v>279.77600000000001</v>
      </c>
      <c r="BF69" s="977">
        <f>BF31+BF34</f>
        <v>404.18499999999989</v>
      </c>
      <c r="BG69" s="978">
        <f>BG31+BG34</f>
        <v>368.1939999999999</v>
      </c>
      <c r="BH69" s="993"/>
      <c r="BI69" s="977">
        <f>BI31+BI34</f>
        <v>114.238</v>
      </c>
      <c r="BJ69" s="977">
        <f>BJ31+BJ34</f>
        <v>154.20600000000002</v>
      </c>
      <c r="BK69" s="977">
        <f>BK31+BK34</f>
        <v>255.12899999999996</v>
      </c>
      <c r="BL69" s="977">
        <f>BL31+BL34</f>
        <v>445.88</v>
      </c>
      <c r="BM69" s="978">
        <f>BM31+BM34</f>
        <v>439.86199999999997</v>
      </c>
      <c r="BN69" s="993"/>
      <c r="BO69" s="977">
        <f>BO31+BO34</f>
        <v>179.53400000000005</v>
      </c>
      <c r="BP69" s="977">
        <f>BP31+BP34</f>
        <v>301.12899999999991</v>
      </c>
      <c r="BQ69" s="977">
        <f>BQ31+BQ34</f>
        <v>359.15000000000015</v>
      </c>
      <c r="BR69" s="977">
        <f>BR31+BR34</f>
        <v>576.22900000000004</v>
      </c>
      <c r="BS69" s="978">
        <f>BS31+BS34</f>
        <v>561.29600000000005</v>
      </c>
      <c r="BT69" s="993"/>
      <c r="BU69" s="977">
        <f>BU31+BU34</f>
        <v>231.04499999999996</v>
      </c>
      <c r="BV69" s="977">
        <f>BV31+BV34</f>
        <v>310.40099999999995</v>
      </c>
      <c r="BW69" s="977">
        <f>BW31+BW34</f>
        <v>377.13599999999997</v>
      </c>
      <c r="BX69" s="977">
        <f>BX31+BX34</f>
        <v>584.50300000000004</v>
      </c>
      <c r="BY69" s="978">
        <f>BY31+BY34</f>
        <v>576.35900000000004</v>
      </c>
      <c r="BZ69" s="993"/>
      <c r="CA69" s="977">
        <f>CA31+CA34</f>
        <v>422.03</v>
      </c>
      <c r="CB69" s="977">
        <f>CB31+CB34</f>
        <v>589.53200000000004</v>
      </c>
      <c r="CC69" s="977">
        <f>CC31+CC34</f>
        <v>639.83799999999997</v>
      </c>
      <c r="CD69" s="977">
        <f>CD31+CD34</f>
        <v>890.99</v>
      </c>
      <c r="CE69" s="978">
        <f>CE31+CE34</f>
        <v>883.26</v>
      </c>
      <c r="CF69" s="993"/>
      <c r="CG69" s="977">
        <f>CG31+CG34</f>
        <v>663.99400000000003</v>
      </c>
      <c r="CH69" s="977">
        <f>CH31+CH34</f>
        <v>903.38900000000012</v>
      </c>
      <c r="CI69" s="977">
        <f>CI31+CI34</f>
        <v>985.86200000000031</v>
      </c>
      <c r="CJ69" s="977">
        <f>CJ31+CJ34</f>
        <v>1387.605</v>
      </c>
      <c r="CK69" s="978">
        <f>CK31+CK34</f>
        <v>1328.1089999999999</v>
      </c>
      <c r="CL69" s="993"/>
      <c r="CM69" s="977">
        <f>CM31+CM34</f>
        <v>967.76099999999985</v>
      </c>
      <c r="CN69" s="977">
        <f>CN31+CN34</f>
        <v>1122.4089999999999</v>
      </c>
      <c r="CO69" s="977">
        <f>CO31+CO34</f>
        <v>1136.0680000000002</v>
      </c>
      <c r="CP69" s="977">
        <f>CP31+CP34</f>
        <v>1698.2399999999998</v>
      </c>
      <c r="CQ69" s="978">
        <f>CQ31+CQ34</f>
        <v>1698.2399999999998</v>
      </c>
      <c r="CR69" s="993"/>
      <c r="CS69" s="977">
        <f>CS31+CS34</f>
        <v>1072.9819999999997</v>
      </c>
      <c r="CT69" s="977">
        <f>CT31+CT34</f>
        <v>1275.8629999999996</v>
      </c>
      <c r="CU69" s="977">
        <f>CU31+CU34</f>
        <v>1290.3769999999997</v>
      </c>
      <c r="CV69" s="977">
        <f>CV31+CV34</f>
        <v>2203.9379999999996</v>
      </c>
      <c r="CW69" s="978">
        <f>CW31+CW34</f>
        <v>2203.9379999999996</v>
      </c>
      <c r="CX69" s="993"/>
      <c r="CY69" s="977">
        <f>CY31+CY34</f>
        <v>1452.8578474894055</v>
      </c>
      <c r="CZ69" s="977">
        <f>CZ31+CZ34</f>
        <v>1753.7229412390025</v>
      </c>
      <c r="DA69" s="977">
        <f>DA31+DA34</f>
        <v>1914.5083782431936</v>
      </c>
      <c r="DB69" s="977">
        <f>DB31+DB34</f>
        <v>3007.7076823084617</v>
      </c>
      <c r="DC69" s="978">
        <f>DC31+DC34</f>
        <v>2987.7076823084617</v>
      </c>
      <c r="DD69" s="993"/>
      <c r="DE69" s="977">
        <f>DE31+DE34</f>
        <v>1713.0316774401238</v>
      </c>
      <c r="DF69" s="977">
        <f>DF31+DF34</f>
        <v>2031.5952357338695</v>
      </c>
      <c r="DG69" s="977">
        <f>DG31+DG34</f>
        <v>2229.5352685128441</v>
      </c>
      <c r="DH69" s="977">
        <f>DH31+DH34</f>
        <v>3895.8619974453331</v>
      </c>
      <c r="DI69" s="978">
        <f>DI31+DI34</f>
        <v>3875.8619974453331</v>
      </c>
      <c r="DJ69" s="993"/>
      <c r="DK69" s="977">
        <f>DK31+DK34</f>
        <v>2099.7893357498019</v>
      </c>
      <c r="DL69" s="977">
        <f>DL31+DL34</f>
        <v>2636.7948164320114</v>
      </c>
      <c r="DM69" s="977">
        <f>DM31+DM34</f>
        <v>2956.2651248837997</v>
      </c>
      <c r="DN69" s="977">
        <f>DN31+DN34</f>
        <v>4949.8235941740713</v>
      </c>
      <c r="DO69" s="978">
        <f>DO31+DO34</f>
        <v>4929.8235941740713</v>
      </c>
      <c r="DP69" s="1698"/>
      <c r="DQ69" s="956"/>
      <c r="DR69" s="956"/>
    </row>
    <row r="70" spans="1:122" ht="12.75" hidden="1" customHeight="1" outlineLevel="1">
      <c r="A70" s="1302" t="s">
        <v>449</v>
      </c>
      <c r="B70" s="966"/>
      <c r="C70" s="966"/>
      <c r="D70" s="966"/>
      <c r="E70" s="966"/>
      <c r="F70" s="966"/>
      <c r="G70" s="966"/>
      <c r="H70" s="966"/>
      <c r="I70" s="966"/>
      <c r="J70" s="966"/>
      <c r="K70" s="966"/>
      <c r="L70" s="966"/>
      <c r="M70" s="1252">
        <f>M69/G69-1</f>
        <v>0.92608695652173911</v>
      </c>
      <c r="N70" s="1252">
        <f>N69/H69-1</f>
        <v>0.92848455363658444</v>
      </c>
      <c r="O70" s="1252">
        <f>O69/I69-1</f>
        <v>3.0343249427917609</v>
      </c>
      <c r="P70" s="1252">
        <f>P69/J69-1</f>
        <v>4.9119398307740525</v>
      </c>
      <c r="Q70" s="1252">
        <f>Q69/K69-1</f>
        <v>4.9119398307740525</v>
      </c>
      <c r="R70" s="966"/>
      <c r="S70" s="1252">
        <f>S69/M69-1</f>
        <v>0.44040632054176121</v>
      </c>
      <c r="T70" s="1252">
        <f>T69/N69-1</f>
        <v>1.6276488395560036</v>
      </c>
      <c r="U70" s="1252">
        <f>U69/O69-1</f>
        <v>1.3185621100397049</v>
      </c>
      <c r="V70" s="1252">
        <f>V69/P69-1</f>
        <v>1.6910151073416371</v>
      </c>
      <c r="W70" s="1252">
        <f>W69/Q69-1</f>
        <v>1.6910151073416371</v>
      </c>
      <c r="X70" s="966"/>
      <c r="Y70" s="1252">
        <f>Y69/S69-1</f>
        <v>0.37172856918978181</v>
      </c>
      <c r="Z70" s="1252">
        <f>Z69/T69-1</f>
        <v>-6.6196236559139865E-2</v>
      </c>
      <c r="AA70" s="1252">
        <f>AA69/U69-1</f>
        <v>0.18445919085043294</v>
      </c>
      <c r="AB70" s="1252">
        <f>AB69/V69-1</f>
        <v>0.35517866288460787</v>
      </c>
      <c r="AC70" s="1252">
        <f>AC69/W69-1</f>
        <v>0.35517866288460787</v>
      </c>
      <c r="AD70" s="966"/>
      <c r="AE70" s="1252">
        <f>AE69/Y69-1</f>
        <v>0.12201530903690139</v>
      </c>
      <c r="AF70" s="1252">
        <f>AF69/Z69-1</f>
        <v>0.90330540276564086</v>
      </c>
      <c r="AG70" s="1252">
        <f>AG69/AA69-1</f>
        <v>0.51206981127204187</v>
      </c>
      <c r="AH70" s="1252">
        <f>AH69/AB69-1</f>
        <v>0.29512359334583249</v>
      </c>
      <c r="AI70" s="1334">
        <f>AI69/AC69-1</f>
        <v>0.29512359334583249</v>
      </c>
      <c r="AJ70" s="966"/>
      <c r="AK70" s="1252">
        <f>AK69/AE69-1</f>
        <v>1.1253436513593331</v>
      </c>
      <c r="AL70" s="1252">
        <f>AL69/AF69-1</f>
        <v>0.22681971640783249</v>
      </c>
      <c r="AM70" s="1252">
        <f>AM69/AG69-1</f>
        <v>0.5076578960848257</v>
      </c>
      <c r="AN70" s="1252">
        <f>AN69/AH69-1</f>
        <v>0.80383709872838716</v>
      </c>
      <c r="AO70" s="1334">
        <f>AO69/AI69-1</f>
        <v>0.80383709872838716</v>
      </c>
      <c r="AP70" s="966"/>
      <c r="AQ70" s="1252">
        <f>AQ69/AK69-1</f>
        <v>2.466344080870023</v>
      </c>
      <c r="AR70" s="1252">
        <f>AR69/AL69-1</f>
        <v>1.7350681372872772</v>
      </c>
      <c r="AS70" s="1252">
        <f>AS69/AM69-1</f>
        <v>0.66987168597605895</v>
      </c>
      <c r="AT70" s="1252">
        <f>AT69/AN69-1</f>
        <v>0.38807140235062798</v>
      </c>
      <c r="AU70" s="1334">
        <f>AU69/AO69-1</f>
        <v>4.8375154769385809E-2</v>
      </c>
      <c r="AV70" s="966"/>
      <c r="AW70" s="1252">
        <f>AW69/AQ69-1</f>
        <v>0.30682901883819635</v>
      </c>
      <c r="AX70" s="1252">
        <f>AX69/AR69-1</f>
        <v>9.638990622610355E-2</v>
      </c>
      <c r="AY70" s="1252">
        <f>AY69/AS69-1</f>
        <v>0.11932342249470951</v>
      </c>
      <c r="AZ70" s="1252">
        <f>AZ69/AT69-1</f>
        <v>0.20374280015240198</v>
      </c>
      <c r="BA70" s="1334">
        <f>BA69/AU69-1</f>
        <v>0.28790846182150598</v>
      </c>
      <c r="BB70" s="966"/>
      <c r="BC70" s="1252">
        <f>BC69/AW69-1</f>
        <v>0.48362294163061992</v>
      </c>
      <c r="BD70" s="1252">
        <f>BD69/AX69-1</f>
        <v>0.55603847000954421</v>
      </c>
      <c r="BE70" s="1252">
        <f>BE69/AY69-1</f>
        <v>0.69518062069049114</v>
      </c>
      <c r="BF70" s="1252">
        <f>BF69/AZ69-1</f>
        <v>0.50506983827904706</v>
      </c>
      <c r="BG70" s="1334">
        <f>BG69/BA69-1</f>
        <v>0.69666835629694401</v>
      </c>
      <c r="BH70" s="966"/>
      <c r="BI70" s="1252">
        <f>BI69/BC69-1</f>
        <v>-0.18564880489873914</v>
      </c>
      <c r="BJ70" s="1252">
        <f>BJ69/BD69-1</f>
        <v>-0.2724347481457714</v>
      </c>
      <c r="BK70" s="1252">
        <f>BK69/BE69-1</f>
        <v>-8.8095476381105042E-2</v>
      </c>
      <c r="BL70" s="1252">
        <f>BL69/BF69-1</f>
        <v>0.10315820725657843</v>
      </c>
      <c r="BM70" s="1334">
        <f>BM69/BG69-1</f>
        <v>0.19464738697534467</v>
      </c>
      <c r="BN70" s="966"/>
      <c r="BO70" s="1252">
        <f>BO69/BI69-1</f>
        <v>0.57157863407972864</v>
      </c>
      <c r="BP70" s="1252">
        <f>BP69/BJ69-1</f>
        <v>0.95277096870420008</v>
      </c>
      <c r="BQ70" s="1252">
        <f>BQ69/BK69-1</f>
        <v>0.40771923223153861</v>
      </c>
      <c r="BR70" s="1252">
        <f>BR69/BL69-1</f>
        <v>0.29234098860680025</v>
      </c>
      <c r="BS70" s="1334">
        <f>BS69/BM69-1</f>
        <v>0.27607295015254807</v>
      </c>
      <c r="BT70" s="966"/>
      <c r="BU70" s="1252">
        <f>BU69/BO69-1</f>
        <v>0.28691501331224112</v>
      </c>
      <c r="BV70" s="1252">
        <f>BV69/BP69-1</f>
        <v>3.079079065782464E-2</v>
      </c>
      <c r="BW70" s="1252">
        <f>BW69/BQ69-1</f>
        <v>5.0079354030349021E-2</v>
      </c>
      <c r="BX70" s="1252">
        <f>BX69/BR69-1</f>
        <v>1.4358874683502609E-2</v>
      </c>
      <c r="BY70" s="1334">
        <f>BY69/BS69-1</f>
        <v>2.6836107864655956E-2</v>
      </c>
      <c r="BZ70" s="966"/>
      <c r="CA70" s="1252">
        <f>CA69/BU69-1</f>
        <v>0.82661386310026197</v>
      </c>
      <c r="CB70" s="1252">
        <f>CB69/BV69-1</f>
        <v>0.89925934516963579</v>
      </c>
      <c r="CC70" s="1252">
        <f>CC69/BW69-1</f>
        <v>0.69657099826057456</v>
      </c>
      <c r="CD70" s="1252">
        <f>CD69/BX69-1</f>
        <v>0.52435487927350244</v>
      </c>
      <c r="CE70" s="1334">
        <f>CE69/BY69-1</f>
        <v>0.53248235908522279</v>
      </c>
      <c r="CF70" s="966"/>
      <c r="CG70" s="1252">
        <f>CG69/CA69-1</f>
        <v>0.57333364926663988</v>
      </c>
      <c r="CH70" s="1252">
        <f>CH69/CB69-1</f>
        <v>0.53238331422212881</v>
      </c>
      <c r="CI70" s="1252">
        <f>CI69/CC69-1</f>
        <v>0.5407993898455552</v>
      </c>
      <c r="CJ70" s="1252">
        <f>CJ69/CD69-1</f>
        <v>0.55737438130618755</v>
      </c>
      <c r="CK70" s="1334">
        <f>CK69/CE69-1</f>
        <v>0.50364445350180009</v>
      </c>
      <c r="CL70" s="966"/>
      <c r="CM70" s="1252">
        <f>CM69/CG69-1</f>
        <v>0.45748455558333334</v>
      </c>
      <c r="CN70" s="1252">
        <f>CN69/CH69-1</f>
        <v>0.24244262438440112</v>
      </c>
      <c r="CO70" s="1252">
        <f>CO69/CI69-1</f>
        <v>0.15236006662190027</v>
      </c>
      <c r="CP70" s="1252">
        <f>CP69/CJ69-1</f>
        <v>0.22386414001102595</v>
      </c>
      <c r="CQ70" s="1334">
        <f>CQ69/CK69-1</f>
        <v>0.27869022798580523</v>
      </c>
      <c r="CR70" s="966"/>
      <c r="CS70" s="1252">
        <f>CS69/CM69-1</f>
        <v>0.1087262247600389</v>
      </c>
      <c r="CT70" s="1252">
        <f>CT69/CN69-1</f>
        <v>0.13671843329837863</v>
      </c>
      <c r="CU70" s="1252">
        <f>CU69/CO69-1</f>
        <v>0.13582725681913366</v>
      </c>
      <c r="CV70" s="1252">
        <f>CV69/CP69-1</f>
        <v>0.29777769926512154</v>
      </c>
      <c r="CW70" s="1334">
        <f>CW69/CQ69-1</f>
        <v>0.29777769926512154</v>
      </c>
      <c r="CX70" s="966"/>
      <c r="CY70" s="1252">
        <f>CY69/CS69-1</f>
        <v>0.35403748384353673</v>
      </c>
      <c r="CZ70" s="1252">
        <f>CZ69/CT69-1</f>
        <v>0.37453859955105129</v>
      </c>
      <c r="DA70" s="1252">
        <f>DA69/CU69-1</f>
        <v>0.48368141887463434</v>
      </c>
      <c r="DB70" s="1252">
        <f>DB69/CV69-1</f>
        <v>0.36469704787905211</v>
      </c>
      <c r="DC70" s="1334">
        <f>DC69/CW69-1</f>
        <v>0.35562238243928013</v>
      </c>
      <c r="DD70" s="966"/>
      <c r="DE70" s="1252">
        <f>DE69/CY69-1</f>
        <v>0.17907727889573555</v>
      </c>
      <c r="DF70" s="1252">
        <f>DF69/CZ69-1</f>
        <v>0.15844708873942803</v>
      </c>
      <c r="DG70" s="1252">
        <f>DG69/DA69-1</f>
        <v>0.16454714633253675</v>
      </c>
      <c r="DH70" s="1252">
        <f>DH69/DB69-1</f>
        <v>0.29529276410771388</v>
      </c>
      <c r="DI70" s="1334">
        <f>DI69/DC69-1</f>
        <v>0.29726948201660619</v>
      </c>
      <c r="DJ70" s="966"/>
      <c r="DK70" s="1252">
        <f>DK69/DE69-1</f>
        <v>0.22577379239573148</v>
      </c>
      <c r="DL70" s="1252">
        <f>DL69/DF69-1</f>
        <v>0.29789377827494601</v>
      </c>
      <c r="DM70" s="1252">
        <f>DM69/DG69-1</f>
        <v>0.32595575707385094</v>
      </c>
      <c r="DN70" s="1252">
        <f>DN69/DH69-1</f>
        <v>0.27053360653428205</v>
      </c>
      <c r="DO70" s="1334">
        <f>DO69/DI69-1</f>
        <v>0.27192959847988085</v>
      </c>
      <c r="DP70" s="1699"/>
      <c r="DQ70" s="966"/>
      <c r="DR70" s="966"/>
    </row>
    <row r="71" spans="1:122" collapsed="1">
      <c r="A71" s="1302"/>
      <c r="B71" s="966"/>
      <c r="C71" s="966"/>
      <c r="D71" s="966"/>
      <c r="E71" s="966"/>
      <c r="F71" s="966"/>
      <c r="G71" s="966"/>
      <c r="H71" s="966"/>
      <c r="I71" s="966"/>
      <c r="J71" s="966"/>
      <c r="K71" s="966"/>
      <c r="L71" s="966"/>
      <c r="M71" s="966"/>
      <c r="N71" s="966"/>
      <c r="O71" s="966"/>
      <c r="P71" s="966"/>
      <c r="Q71" s="977"/>
      <c r="R71" s="966"/>
      <c r="S71" s="966"/>
      <c r="T71" s="966"/>
      <c r="U71" s="966"/>
      <c r="V71" s="966"/>
      <c r="W71" s="966"/>
      <c r="X71" s="966"/>
      <c r="Y71" s="966"/>
      <c r="Z71" s="966"/>
      <c r="AA71" s="966"/>
      <c r="AB71" s="966"/>
      <c r="AC71" s="993"/>
      <c r="AD71" s="966"/>
      <c r="AE71" s="966"/>
      <c r="AF71" s="966"/>
      <c r="AG71" s="966"/>
      <c r="AH71" s="966"/>
      <c r="AI71" s="993"/>
      <c r="AJ71" s="966"/>
      <c r="AK71" s="966"/>
      <c r="AL71" s="966"/>
      <c r="AM71" s="1138"/>
      <c r="AN71" s="966"/>
      <c r="AO71" s="966"/>
      <c r="AP71" s="966"/>
      <c r="AQ71" s="966"/>
      <c r="AR71" s="977"/>
      <c r="AS71" s="1138"/>
      <c r="AT71" s="966"/>
      <c r="AU71" s="993"/>
      <c r="AV71" s="966"/>
      <c r="AW71" s="966"/>
      <c r="AX71" s="977"/>
      <c r="AY71" s="966"/>
      <c r="AZ71" s="966"/>
      <c r="BA71" s="993"/>
      <c r="BB71" s="966"/>
      <c r="BC71" s="966"/>
      <c r="BD71" s="966"/>
      <c r="BE71" s="966"/>
      <c r="BF71" s="966"/>
      <c r="BG71" s="993"/>
      <c r="BH71" s="966"/>
      <c r="BI71" s="966"/>
      <c r="BJ71" s="966"/>
      <c r="BK71" s="966"/>
      <c r="BL71" s="966"/>
      <c r="BM71" s="993"/>
      <c r="BN71" s="966"/>
      <c r="BO71" s="966"/>
      <c r="BP71" s="966"/>
      <c r="BQ71" s="966"/>
      <c r="BR71" s="966"/>
      <c r="BS71" s="993"/>
      <c r="BT71" s="966"/>
      <c r="BU71" s="966"/>
      <c r="BV71" s="966"/>
      <c r="BW71" s="966"/>
      <c r="BX71" s="966"/>
      <c r="BY71" s="993"/>
      <c r="BZ71" s="966"/>
      <c r="CA71" s="966"/>
      <c r="CB71" s="966"/>
      <c r="CC71" s="966"/>
      <c r="CD71" s="966"/>
      <c r="CE71" s="993"/>
      <c r="CF71" s="966"/>
      <c r="CG71" s="966"/>
      <c r="CH71" s="966"/>
      <c r="CI71" s="966"/>
      <c r="CJ71" s="966"/>
      <c r="CK71" s="993"/>
      <c r="CL71" s="966"/>
      <c r="CM71" s="966"/>
      <c r="CN71" s="966"/>
      <c r="CO71" s="966"/>
      <c r="CP71" s="966"/>
      <c r="CQ71" s="993"/>
      <c r="CR71" s="966"/>
      <c r="CS71" s="966"/>
      <c r="CT71" s="966"/>
      <c r="CU71" s="966"/>
      <c r="CV71" s="966"/>
      <c r="CW71" s="993"/>
      <c r="CX71" s="966"/>
      <c r="CY71" s="966"/>
      <c r="CZ71" s="966"/>
      <c r="DA71" s="966"/>
      <c r="DB71" s="966"/>
      <c r="DC71" s="993"/>
      <c r="DD71" s="966"/>
      <c r="DE71" s="966"/>
      <c r="DF71" s="966"/>
      <c r="DG71" s="966"/>
      <c r="DH71" s="966"/>
      <c r="DI71" s="993"/>
      <c r="DJ71" s="966"/>
      <c r="DK71" s="966"/>
      <c r="DL71" s="966"/>
      <c r="DM71" s="966"/>
      <c r="DN71" s="966"/>
      <c r="DO71" s="993"/>
      <c r="DP71" s="1699"/>
      <c r="DQ71" s="966"/>
      <c r="DR71" s="966"/>
    </row>
    <row r="72" spans="1:122" ht="5.25" customHeight="1">
      <c r="A72" s="1219"/>
      <c r="B72" s="993"/>
      <c r="C72" s="959"/>
      <c r="D72" s="959"/>
      <c r="E72" s="959"/>
      <c r="F72" s="959"/>
      <c r="G72" s="959"/>
      <c r="H72" s="959"/>
      <c r="I72" s="959"/>
      <c r="J72" s="959"/>
      <c r="K72" s="959"/>
      <c r="L72" s="959"/>
      <c r="M72" s="959"/>
      <c r="N72" s="959"/>
      <c r="O72" s="959"/>
      <c r="P72" s="959"/>
      <c r="Q72" s="959"/>
      <c r="R72" s="959"/>
      <c r="S72" s="959"/>
      <c r="T72" s="959"/>
      <c r="U72" s="959"/>
      <c r="V72" s="959"/>
      <c r="W72" s="959"/>
      <c r="X72" s="959"/>
      <c r="Y72" s="959"/>
      <c r="Z72" s="959"/>
      <c r="AA72" s="959"/>
      <c r="AB72" s="959"/>
      <c r="AC72" s="959"/>
      <c r="AD72" s="959"/>
      <c r="AE72" s="959"/>
      <c r="AF72" s="959"/>
      <c r="AG72" s="959"/>
      <c r="AH72" s="959"/>
      <c r="AI72" s="959"/>
      <c r="AJ72" s="959"/>
      <c r="AK72" s="959"/>
      <c r="AL72" s="959"/>
      <c r="AM72" s="959"/>
      <c r="AN72" s="959"/>
      <c r="AO72" s="959"/>
      <c r="AP72" s="959"/>
      <c r="AQ72" s="959"/>
      <c r="AR72" s="959"/>
      <c r="AS72" s="959"/>
      <c r="AT72" s="959"/>
      <c r="AU72" s="959"/>
      <c r="AV72" s="959"/>
      <c r="AW72" s="959"/>
      <c r="AX72" s="959"/>
      <c r="AY72" s="959"/>
      <c r="AZ72" s="959"/>
      <c r="BA72" s="959"/>
      <c r="BB72" s="959"/>
      <c r="BC72" s="959"/>
      <c r="BD72" s="959"/>
      <c r="BE72" s="959"/>
      <c r="BF72" s="959"/>
      <c r="BG72" s="1335"/>
      <c r="BH72" s="959"/>
      <c r="BI72" s="959"/>
      <c r="BJ72" s="959"/>
      <c r="BK72" s="959"/>
      <c r="BL72" s="959"/>
      <c r="BM72" s="1335"/>
      <c r="BN72" s="959"/>
      <c r="BO72" s="959"/>
      <c r="BP72" s="959"/>
      <c r="BQ72" s="959"/>
      <c r="BR72" s="959"/>
      <c r="BS72" s="1335"/>
      <c r="BT72" s="959"/>
      <c r="BU72" s="959"/>
      <c r="BV72" s="959"/>
      <c r="BW72" s="959"/>
      <c r="BX72" s="959"/>
      <c r="BY72" s="959"/>
      <c r="BZ72" s="959"/>
      <c r="CA72" s="959"/>
      <c r="CB72" s="959"/>
      <c r="CC72" s="959"/>
      <c r="CD72" s="959"/>
      <c r="CE72" s="959"/>
      <c r="CF72" s="959"/>
      <c r="CG72" s="959"/>
      <c r="CH72" s="959"/>
      <c r="CI72" s="959"/>
      <c r="CJ72" s="959"/>
      <c r="CK72" s="959"/>
      <c r="CL72" s="959"/>
      <c r="CM72" s="959"/>
      <c r="CN72" s="959"/>
      <c r="CO72" s="959"/>
      <c r="CP72" s="959"/>
      <c r="CQ72" s="959"/>
      <c r="CR72" s="959"/>
      <c r="CS72" s="959"/>
      <c r="CT72" s="959"/>
      <c r="CU72" s="959"/>
      <c r="CV72" s="959"/>
      <c r="CW72" s="959"/>
      <c r="CX72" s="959"/>
      <c r="CY72" s="959"/>
      <c r="CZ72" s="959"/>
      <c r="DA72" s="959"/>
      <c r="DB72" s="959"/>
      <c r="DC72" s="959"/>
      <c r="DD72" s="959"/>
      <c r="DE72" s="959"/>
      <c r="DF72" s="959"/>
      <c r="DG72" s="959"/>
      <c r="DH72" s="959"/>
      <c r="DI72" s="959"/>
      <c r="DJ72" s="959"/>
      <c r="DK72" s="959"/>
      <c r="DL72" s="959"/>
      <c r="DM72" s="959"/>
      <c r="DN72" s="959"/>
      <c r="DO72" s="959"/>
      <c r="DP72" s="959"/>
      <c r="DQ72" s="959"/>
      <c r="DR72" s="959"/>
    </row>
    <row r="73" spans="1:122" ht="20.100000000000001" customHeight="1">
      <c r="A73" s="1269" t="str">
        <f>A1</f>
        <v>salesforce.com</v>
      </c>
      <c r="B73" s="586"/>
      <c r="C73" s="628"/>
      <c r="D73" s="628"/>
      <c r="E73" s="628"/>
      <c r="F73" s="628"/>
      <c r="G73" s="628"/>
      <c r="H73" s="628"/>
      <c r="I73" s="628"/>
      <c r="J73" s="628"/>
      <c r="K73" s="628"/>
      <c r="L73" s="628"/>
      <c r="M73" s="628"/>
      <c r="N73" s="628"/>
      <c r="O73" s="628"/>
      <c r="P73" s="628"/>
      <c r="Q73" s="628"/>
      <c r="R73" s="628"/>
      <c r="S73" s="628"/>
      <c r="T73" s="628"/>
      <c r="U73" s="628"/>
      <c r="V73" s="628"/>
      <c r="W73" s="628"/>
      <c r="X73" s="628"/>
      <c r="Y73" s="628"/>
      <c r="Z73" s="628"/>
      <c r="AA73" s="628"/>
      <c r="AB73" s="628"/>
      <c r="AC73" s="627"/>
      <c r="AD73" s="628"/>
      <c r="AE73" s="628"/>
      <c r="AF73" s="628"/>
      <c r="AG73" s="628"/>
      <c r="AH73" s="628"/>
      <c r="AI73" s="627"/>
      <c r="AJ73" s="628"/>
      <c r="AK73" s="628"/>
      <c r="AL73" s="628"/>
      <c r="AM73" s="628"/>
      <c r="AN73" s="628"/>
      <c r="AO73" s="628"/>
      <c r="AP73" s="628"/>
      <c r="AQ73" s="628"/>
      <c r="AR73" s="628"/>
      <c r="AS73" s="628"/>
      <c r="AT73" s="628"/>
      <c r="AU73" s="628"/>
      <c r="AV73" s="628"/>
      <c r="AW73" s="628"/>
      <c r="AX73" s="628"/>
      <c r="AY73" s="628"/>
      <c r="AZ73" s="628"/>
      <c r="BA73" s="628"/>
      <c r="BB73" s="628"/>
      <c r="BC73" s="628"/>
      <c r="BD73" s="628"/>
      <c r="BE73" s="628"/>
      <c r="BF73" s="628"/>
      <c r="BG73" s="628"/>
      <c r="BH73" s="628"/>
      <c r="BI73" s="628"/>
      <c r="BJ73" s="628"/>
      <c r="BK73" s="628"/>
      <c r="BL73" s="628"/>
      <c r="BM73" s="628"/>
      <c r="BN73" s="628"/>
      <c r="BO73" s="628"/>
      <c r="BP73" s="628"/>
      <c r="BQ73" s="628"/>
      <c r="BR73" s="628"/>
      <c r="BS73" s="628"/>
      <c r="BT73" s="628"/>
      <c r="BU73" s="628"/>
      <c r="BV73" s="628"/>
      <c r="BW73" s="628"/>
      <c r="BX73" s="628"/>
      <c r="BY73" s="628"/>
      <c r="BZ73" s="628"/>
      <c r="CA73" s="628"/>
      <c r="CB73" s="628"/>
      <c r="CC73" s="628"/>
      <c r="CD73" s="628"/>
      <c r="CE73" s="628"/>
      <c r="CF73" s="628"/>
      <c r="CG73" s="628"/>
      <c r="CH73" s="628"/>
      <c r="CI73" s="628"/>
      <c r="CJ73" s="628"/>
      <c r="CK73" s="628"/>
      <c r="CL73" s="628"/>
      <c r="CM73" s="628"/>
      <c r="CN73" s="628"/>
      <c r="CO73" s="628"/>
      <c r="CP73" s="628"/>
      <c r="CQ73" s="930"/>
      <c r="CR73" s="930"/>
      <c r="CS73" s="2021"/>
      <c r="CT73" s="2021"/>
      <c r="CU73" s="2021"/>
      <c r="CV73" s="2022"/>
      <c r="CW73" s="2021"/>
      <c r="CX73" s="2021"/>
      <c r="CY73" s="2021"/>
      <c r="CZ73" s="2021"/>
      <c r="DA73" s="2021"/>
      <c r="DB73" s="2021"/>
      <c r="DC73" s="2022"/>
      <c r="DD73" s="2021"/>
      <c r="DE73" s="2021"/>
      <c r="DF73" s="2021"/>
      <c r="DG73" s="2021"/>
      <c r="DH73" s="2021"/>
      <c r="DI73" s="2022"/>
      <c r="DJ73" s="2021"/>
      <c r="DK73" s="2021">
        <v>5598.8218138620032</v>
      </c>
      <c r="DL73" s="930"/>
      <c r="DM73" s="930"/>
      <c r="DN73" s="930"/>
      <c r="DO73" s="1913"/>
      <c r="DP73" s="948"/>
      <c r="DQ73" s="948"/>
      <c r="DR73" s="948"/>
    </row>
    <row r="74" spans="1:122" ht="20.100000000000001" customHeight="1">
      <c r="A74" s="692" t="s">
        <v>799</v>
      </c>
      <c r="B74" s="586"/>
      <c r="C74" s="694"/>
      <c r="D74" s="694"/>
      <c r="E74" s="694"/>
      <c r="F74" s="695"/>
      <c r="G74" s="936"/>
      <c r="H74" s="695"/>
      <c r="I74" s="694"/>
      <c r="J74" s="695"/>
      <c r="K74" s="694"/>
      <c r="L74" s="695"/>
      <c r="M74" s="695"/>
      <c r="N74" s="695"/>
      <c r="O74" s="695"/>
      <c r="P74" s="695"/>
      <c r="Q74" s="695"/>
      <c r="R74" s="695"/>
      <c r="S74" s="695"/>
      <c r="T74" s="695"/>
      <c r="U74" s="695"/>
      <c r="V74" s="695"/>
      <c r="W74" s="695"/>
      <c r="X74" s="695"/>
      <c r="Y74" s="695"/>
      <c r="Z74" s="695"/>
      <c r="AA74" s="695"/>
      <c r="AB74" s="695"/>
      <c r="AC74" s="695"/>
      <c r="AD74" s="695"/>
      <c r="AE74" s="695"/>
      <c r="AF74" s="695"/>
      <c r="AG74" s="695"/>
      <c r="AH74" s="695"/>
      <c r="AI74" s="695"/>
      <c r="AJ74" s="695"/>
      <c r="AK74" s="695"/>
      <c r="AL74" s="695"/>
      <c r="AM74" s="695"/>
      <c r="AN74" s="695"/>
      <c r="AO74" s="695"/>
      <c r="AP74" s="695"/>
      <c r="AQ74" s="695"/>
      <c r="AR74" s="695"/>
      <c r="AS74" s="695"/>
      <c r="AT74" s="695"/>
      <c r="AU74" s="695"/>
      <c r="AV74" s="695"/>
      <c r="AW74" s="695"/>
      <c r="AX74" s="695"/>
      <c r="AY74" s="695"/>
      <c r="AZ74" s="695"/>
      <c r="BA74" s="695"/>
      <c r="BB74" s="695"/>
      <c r="BC74" s="695"/>
      <c r="BD74" s="695"/>
      <c r="BE74" s="695"/>
      <c r="BF74" s="695"/>
      <c r="BG74" s="695"/>
      <c r="BH74" s="695"/>
      <c r="BI74" s="695"/>
      <c r="BJ74" s="695"/>
      <c r="BK74" s="695"/>
      <c r="BL74" s="695"/>
      <c r="BM74" s="695"/>
      <c r="BN74" s="695"/>
      <c r="BO74" s="695"/>
      <c r="BP74" s="695"/>
      <c r="BQ74" s="695"/>
      <c r="BR74" s="695"/>
      <c r="BS74" s="695"/>
      <c r="BT74" s="695"/>
      <c r="BU74" s="695"/>
      <c r="BV74" s="695"/>
      <c r="BW74" s="695"/>
      <c r="BX74" s="695"/>
      <c r="BY74" s="695"/>
      <c r="BZ74" s="695"/>
      <c r="CA74" s="695"/>
      <c r="CB74" s="1595"/>
      <c r="CC74" s="695"/>
      <c r="CD74" s="695"/>
      <c r="CE74" s="695"/>
      <c r="CF74" s="695"/>
      <c r="CG74" s="695"/>
      <c r="CH74" s="695"/>
      <c r="CI74" s="695"/>
      <c r="CJ74" s="695"/>
      <c r="CK74" s="695"/>
      <c r="CL74" s="695"/>
      <c r="CM74" s="695"/>
      <c r="CN74" s="695"/>
      <c r="CO74" s="695"/>
      <c r="CP74" s="695"/>
      <c r="CQ74" s="695"/>
      <c r="CR74" s="695"/>
      <c r="CS74" s="695"/>
      <c r="CT74" s="695"/>
      <c r="CU74" s="695"/>
      <c r="CV74" s="695"/>
      <c r="CW74" s="695"/>
      <c r="CX74" s="695"/>
      <c r="CY74" s="695"/>
      <c r="CZ74" s="695"/>
      <c r="DA74" s="695"/>
      <c r="DB74" s="695"/>
      <c r="DC74" s="695"/>
      <c r="DD74" s="695"/>
      <c r="DE74" s="695"/>
      <c r="DF74" s="695"/>
      <c r="DG74" s="695"/>
      <c r="DH74" s="695"/>
      <c r="DI74" s="695"/>
      <c r="DJ74" s="695"/>
      <c r="DK74" s="695"/>
      <c r="DL74" s="695"/>
      <c r="DM74" s="695"/>
      <c r="DN74" s="695"/>
      <c r="DO74" s="695"/>
      <c r="DP74" s="948"/>
      <c r="DQ74" s="948"/>
      <c r="DR74" s="948"/>
    </row>
    <row r="75" spans="1:122" ht="5.25" customHeight="1">
      <c r="A75" s="547"/>
      <c r="B75" s="586"/>
      <c r="C75" s="548"/>
      <c r="D75" s="548"/>
      <c r="E75" s="548"/>
      <c r="F75" s="548"/>
      <c r="G75" s="548"/>
      <c r="H75" s="548"/>
      <c r="I75" s="548"/>
      <c r="J75" s="548"/>
      <c r="K75" s="548"/>
      <c r="L75" s="548"/>
      <c r="M75" s="548"/>
      <c r="N75" s="548"/>
      <c r="O75" s="548"/>
      <c r="P75" s="548"/>
      <c r="Q75" s="548"/>
      <c r="R75" s="548"/>
      <c r="S75" s="548"/>
      <c r="T75" s="548"/>
      <c r="U75" s="548"/>
      <c r="V75" s="548"/>
      <c r="W75" s="548"/>
      <c r="X75" s="548"/>
      <c r="Y75" s="548"/>
      <c r="Z75" s="548"/>
      <c r="AA75" s="548"/>
      <c r="AB75" s="548"/>
      <c r="AC75" s="548"/>
      <c r="AD75" s="548"/>
      <c r="AE75" s="548"/>
      <c r="AF75" s="548"/>
      <c r="AG75" s="548"/>
      <c r="AH75" s="548"/>
      <c r="AI75" s="548"/>
      <c r="AJ75" s="548"/>
      <c r="AK75" s="548"/>
      <c r="AL75" s="548"/>
      <c r="AM75" s="548"/>
      <c r="AN75" s="548"/>
      <c r="AO75" s="548"/>
      <c r="AP75" s="548"/>
      <c r="AQ75" s="548"/>
      <c r="AR75" s="548"/>
      <c r="AS75" s="548"/>
      <c r="AT75" s="548"/>
      <c r="AU75" s="548"/>
      <c r="AV75" s="548"/>
      <c r="AW75" s="548"/>
      <c r="AX75" s="548"/>
      <c r="AY75" s="548"/>
      <c r="AZ75" s="548"/>
      <c r="BA75" s="548"/>
      <c r="BB75" s="548"/>
      <c r="BC75" s="548"/>
      <c r="BD75" s="548"/>
      <c r="BE75" s="548"/>
      <c r="BF75" s="548"/>
      <c r="BG75" s="548"/>
      <c r="BH75" s="548"/>
      <c r="BI75" s="548"/>
      <c r="BJ75" s="548"/>
      <c r="BK75" s="548"/>
      <c r="BL75" s="548"/>
      <c r="BM75" s="548"/>
      <c r="BN75" s="548"/>
      <c r="BO75" s="548"/>
      <c r="BP75" s="548"/>
      <c r="BQ75" s="548"/>
      <c r="BR75" s="548"/>
      <c r="BS75" s="548"/>
      <c r="BT75" s="548"/>
      <c r="BU75" s="548"/>
      <c r="BV75" s="548"/>
      <c r="BW75" s="548"/>
      <c r="BX75" s="548"/>
      <c r="BY75" s="548"/>
      <c r="BZ75" s="548"/>
      <c r="CA75" s="548"/>
      <c r="CB75" s="548"/>
      <c r="CC75" s="548"/>
      <c r="CD75" s="548"/>
      <c r="CE75" s="548"/>
      <c r="CF75" s="548"/>
      <c r="CG75" s="548"/>
      <c r="CH75" s="548"/>
      <c r="CI75" s="548"/>
      <c r="CJ75" s="548"/>
      <c r="CK75" s="548"/>
      <c r="CL75" s="548"/>
      <c r="CM75" s="548"/>
      <c r="CN75" s="548"/>
      <c r="CO75" s="548"/>
      <c r="CP75" s="548"/>
      <c r="CQ75" s="548"/>
      <c r="CR75" s="548"/>
      <c r="CS75" s="548"/>
      <c r="CT75" s="548"/>
      <c r="CU75" s="548"/>
      <c r="CV75" s="548"/>
      <c r="CW75" s="548"/>
      <c r="CX75" s="548"/>
      <c r="CY75" s="548"/>
      <c r="CZ75" s="548"/>
      <c r="DA75" s="548"/>
      <c r="DB75" s="548"/>
      <c r="DC75" s="548"/>
      <c r="DD75" s="548"/>
      <c r="DE75" s="548"/>
      <c r="DF75" s="548"/>
      <c r="DG75" s="548"/>
      <c r="DH75" s="548"/>
      <c r="DI75" s="548"/>
      <c r="DJ75" s="548"/>
      <c r="DK75" s="548"/>
      <c r="DL75" s="548"/>
      <c r="DM75" s="548"/>
      <c r="DN75" s="548"/>
      <c r="DO75" s="548"/>
      <c r="DP75" s="948"/>
      <c r="DQ75" s="948"/>
      <c r="DR75" s="948"/>
    </row>
    <row r="76" spans="1:122" ht="11.25" customHeight="1">
      <c r="A76" s="235" t="s">
        <v>151</v>
      </c>
      <c r="B76" s="412"/>
      <c r="C76" s="236"/>
      <c r="D76" s="236"/>
      <c r="E76" s="236"/>
      <c r="F76" s="236"/>
      <c r="G76" s="237"/>
      <c r="H76" s="237"/>
      <c r="I76" s="237"/>
      <c r="J76" s="237"/>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1697"/>
      <c r="DQ76" s="951"/>
      <c r="DR76" s="951"/>
    </row>
    <row r="77" spans="1:122" ht="11.25" customHeight="1">
      <c r="A77" s="235"/>
      <c r="B77" s="412"/>
      <c r="C77" s="236"/>
      <c r="D77" s="236"/>
      <c r="E77" s="236"/>
      <c r="F77" s="236"/>
      <c r="G77" s="237"/>
      <c r="H77" s="237"/>
      <c r="I77" s="237"/>
      <c r="J77" s="237"/>
      <c r="K77" s="236"/>
      <c r="L77" s="236"/>
      <c r="M77" s="236"/>
      <c r="N77" s="236"/>
      <c r="O77" s="236"/>
      <c r="P77" s="236"/>
      <c r="Q77" s="236"/>
      <c r="R77" s="236"/>
      <c r="S77" s="236"/>
      <c r="T77" s="236"/>
      <c r="U77" s="236"/>
      <c r="V77" s="236"/>
      <c r="W77" s="236"/>
      <c r="X77" s="236"/>
      <c r="Y77" s="236"/>
      <c r="Z77" s="236"/>
      <c r="AA77" s="236"/>
      <c r="AB77" s="236"/>
      <c r="AC77" s="236"/>
      <c r="AD77" s="236"/>
      <c r="AE77" s="236"/>
      <c r="AF77" s="236"/>
      <c r="AG77" s="236"/>
      <c r="AH77" s="236"/>
      <c r="AI77" s="236"/>
      <c r="AJ77" s="236"/>
      <c r="AK77" s="236"/>
      <c r="AL77" s="236"/>
      <c r="AM77" s="236"/>
      <c r="AN77" s="236"/>
      <c r="AO77" s="236"/>
      <c r="AP77" s="236"/>
      <c r="AQ77" s="236"/>
      <c r="AR77" s="236"/>
      <c r="AS77" s="236"/>
      <c r="AT77" s="236"/>
      <c r="AU77" s="236"/>
      <c r="AV77" s="236"/>
      <c r="AW77" s="236"/>
      <c r="AX77" s="236"/>
      <c r="AY77" s="236"/>
      <c r="AZ77" s="236"/>
      <c r="BA77" s="236"/>
      <c r="BB77" s="236"/>
      <c r="BC77" s="236"/>
      <c r="BD77" s="236"/>
      <c r="BE77" s="236"/>
      <c r="BF77" s="236"/>
      <c r="BG77" s="236"/>
      <c r="BH77" s="236"/>
      <c r="BI77" s="236"/>
      <c r="BJ77" s="236"/>
      <c r="BK77" s="236"/>
      <c r="BL77" s="236"/>
      <c r="BM77" s="236"/>
      <c r="BN77" s="236"/>
      <c r="BO77" s="236"/>
      <c r="BP77" s="236"/>
      <c r="BQ77" s="236"/>
      <c r="BR77" s="236"/>
      <c r="BS77" s="236"/>
      <c r="BT77" s="236"/>
      <c r="BU77" s="236"/>
      <c r="BV77" s="236"/>
      <c r="BW77" s="236"/>
      <c r="BX77" s="236"/>
      <c r="BY77" s="236"/>
      <c r="BZ77" s="236"/>
      <c r="CA77" s="236"/>
      <c r="CB77" s="236"/>
      <c r="CC77" s="236"/>
      <c r="CD77" s="236"/>
      <c r="CE77" s="236"/>
      <c r="CF77" s="236"/>
      <c r="CG77" s="236"/>
      <c r="CH77" s="236"/>
      <c r="CI77" s="236"/>
      <c r="CJ77" s="236"/>
      <c r="CK77" s="236"/>
      <c r="CL77" s="236"/>
      <c r="CM77" s="236"/>
      <c r="CN77" s="236"/>
      <c r="CO77" s="236"/>
      <c r="CP77" s="236"/>
      <c r="CQ77" s="236"/>
      <c r="CR77" s="236"/>
      <c r="CS77" s="236"/>
      <c r="CT77" s="236"/>
      <c r="CU77" s="236"/>
      <c r="CV77" s="236"/>
      <c r="CW77" s="236"/>
      <c r="CX77" s="236"/>
      <c r="CY77" s="236"/>
      <c r="CZ77" s="236"/>
      <c r="DA77" s="236"/>
      <c r="DB77" s="236"/>
      <c r="DC77" s="236"/>
      <c r="DD77" s="236"/>
      <c r="DE77" s="236"/>
      <c r="DF77" s="236"/>
      <c r="DG77" s="236"/>
      <c r="DH77" s="236"/>
      <c r="DI77" s="236"/>
      <c r="DJ77" s="236"/>
      <c r="DK77" s="236"/>
      <c r="DL77" s="236"/>
      <c r="DM77" s="236"/>
      <c r="DN77" s="236"/>
      <c r="DO77" s="236"/>
      <c r="DP77" s="1697"/>
      <c r="DQ77" s="951"/>
      <c r="DR77" s="951"/>
    </row>
    <row r="78" spans="1:122" ht="11.25" customHeight="1">
      <c r="A78" s="394"/>
      <c r="B78" s="412"/>
      <c r="C78" s="395"/>
      <c r="D78" s="395"/>
      <c r="E78" s="395"/>
      <c r="F78" s="396"/>
      <c r="G78" s="395" t="s">
        <v>152</v>
      </c>
      <c r="H78" s="395"/>
      <c r="I78" s="413"/>
      <c r="J78" s="395"/>
      <c r="K78" s="395"/>
      <c r="L78" s="396"/>
      <c r="M78" s="395" t="s">
        <v>842</v>
      </c>
      <c r="N78" s="395"/>
      <c r="O78" s="413"/>
      <c r="P78" s="395"/>
      <c r="Q78" s="395"/>
      <c r="R78" s="396"/>
      <c r="S78" s="413" t="s">
        <v>906</v>
      </c>
      <c r="T78" s="395"/>
      <c r="U78" s="413"/>
      <c r="V78" s="395"/>
      <c r="W78" s="395"/>
      <c r="X78" s="396"/>
      <c r="Y78" s="413" t="s">
        <v>757</v>
      </c>
      <c r="Z78" s="395"/>
      <c r="AA78" s="413"/>
      <c r="AB78" s="395"/>
      <c r="AC78" s="395"/>
      <c r="AD78" s="396"/>
      <c r="AE78" s="397">
        <v>2007</v>
      </c>
      <c r="AF78" s="395"/>
      <c r="AG78" s="413"/>
      <c r="AH78" s="395"/>
      <c r="AI78" s="395"/>
      <c r="AJ78" s="396"/>
      <c r="AK78" s="395" t="s">
        <v>276</v>
      </c>
      <c r="AL78" s="395"/>
      <c r="AM78" s="395"/>
      <c r="AN78" s="395"/>
      <c r="AO78" s="395"/>
      <c r="AP78" s="396"/>
      <c r="AQ78" s="395" t="s">
        <v>755</v>
      </c>
      <c r="AR78" s="395"/>
      <c r="AS78" s="413"/>
      <c r="AT78" s="395"/>
      <c r="AU78" s="395"/>
      <c r="AV78" s="396"/>
      <c r="AW78" s="414">
        <v>2010</v>
      </c>
      <c r="AX78" s="395"/>
      <c r="AY78" s="413"/>
      <c r="AZ78" s="395"/>
      <c r="BA78" s="395"/>
      <c r="BB78" s="396"/>
      <c r="BC78" s="414">
        <v>2011</v>
      </c>
      <c r="BD78" s="395"/>
      <c r="BE78" s="413"/>
      <c r="BF78" s="395"/>
      <c r="BG78" s="395"/>
      <c r="BH78" s="396"/>
      <c r="BI78" s="395" t="s">
        <v>415</v>
      </c>
      <c r="BJ78" s="395"/>
      <c r="BK78" s="413"/>
      <c r="BL78" s="395"/>
      <c r="BM78" s="246"/>
      <c r="BN78" s="396"/>
      <c r="BO78" s="414">
        <v>2013</v>
      </c>
      <c r="BP78" s="395"/>
      <c r="BQ78" s="413"/>
      <c r="BR78" s="395"/>
      <c r="BS78" s="246"/>
      <c r="BT78" s="396"/>
      <c r="BU78" s="414">
        <v>2014</v>
      </c>
      <c r="BV78" s="395"/>
      <c r="BW78" s="413"/>
      <c r="BX78" s="395"/>
      <c r="BY78" s="246"/>
      <c r="BZ78" s="241"/>
      <c r="CA78" s="2028" t="s">
        <v>171</v>
      </c>
      <c r="CB78" s="2028"/>
      <c r="CC78" s="2028"/>
      <c r="CD78" s="2028"/>
      <c r="CE78" s="412"/>
      <c r="CF78" s="395"/>
      <c r="CG78" s="2028">
        <v>2016</v>
      </c>
      <c r="CH78" s="2028"/>
      <c r="CI78" s="2028"/>
      <c r="CJ78" s="2028"/>
      <c r="CK78" s="412"/>
      <c r="CL78" s="395"/>
      <c r="CM78" s="2028">
        <f>CM6</f>
        <v>2017</v>
      </c>
      <c r="CN78" s="2028"/>
      <c r="CO78" s="2028"/>
      <c r="CP78" s="2028"/>
      <c r="CQ78" s="412"/>
      <c r="CR78" s="395"/>
      <c r="CS78" s="2028">
        <f>CS6</f>
        <v>2018</v>
      </c>
      <c r="CT78" s="2028"/>
      <c r="CU78" s="2028"/>
      <c r="CV78" s="2028"/>
      <c r="CW78" s="412"/>
      <c r="CX78" s="395"/>
      <c r="CY78" s="2028" t="str">
        <f>CY6</f>
        <v xml:space="preserve">  2019E</v>
      </c>
      <c r="CZ78" s="2028"/>
      <c r="DA78" s="2028"/>
      <c r="DB78" s="2028"/>
      <c r="DC78" s="412"/>
      <c r="DD78" s="395"/>
      <c r="DE78" s="2028" t="str">
        <f>DE6</f>
        <v xml:space="preserve">  2020E</v>
      </c>
      <c r="DF78" s="2028"/>
      <c r="DG78" s="2028"/>
      <c r="DH78" s="2028"/>
      <c r="DI78" s="412"/>
      <c r="DJ78" s="395"/>
      <c r="DK78" s="2028" t="str">
        <f>DK6</f>
        <v xml:space="preserve">  2021E</v>
      </c>
      <c r="DL78" s="2028"/>
      <c r="DM78" s="2028"/>
      <c r="DN78" s="2028"/>
      <c r="DO78" s="412"/>
      <c r="DP78" s="952"/>
      <c r="DQ78" s="952"/>
      <c r="DR78" s="952"/>
    </row>
    <row r="79" spans="1:122">
      <c r="A79" s="399"/>
      <c r="B79" s="415"/>
      <c r="C79" s="402" t="str">
        <f>C7</f>
        <v>FY00</v>
      </c>
      <c r="D79" s="402" t="str">
        <f>D7</f>
        <v>FY01</v>
      </c>
      <c r="E79" s="402" t="str">
        <f>E7</f>
        <v>FY02</v>
      </c>
      <c r="F79" s="402"/>
      <c r="G79" s="402" t="str">
        <f>G7</f>
        <v>4/02</v>
      </c>
      <c r="H79" s="402" t="str">
        <f>H7</f>
        <v>7/02</v>
      </c>
      <c r="I79" s="402" t="str">
        <f>I7</f>
        <v>10/02</v>
      </c>
      <c r="J79" s="402" t="str">
        <f>J7</f>
        <v>1/03</v>
      </c>
      <c r="K79" s="402" t="str">
        <f>K7</f>
        <v>FY03</v>
      </c>
      <c r="L79" s="402"/>
      <c r="M79" s="402" t="str">
        <f>M7</f>
        <v>4/03</v>
      </c>
      <c r="N79" s="402" t="str">
        <f>N7</f>
        <v>7/03</v>
      </c>
      <c r="O79" s="402" t="str">
        <f>O7</f>
        <v>10/03</v>
      </c>
      <c r="P79" s="402" t="str">
        <f>P7</f>
        <v>1/04</v>
      </c>
      <c r="Q79" s="402" t="str">
        <f>Q7</f>
        <v>FY04</v>
      </c>
      <c r="R79" s="402"/>
      <c r="S79" s="402" t="str">
        <f>S7</f>
        <v>4/04</v>
      </c>
      <c r="T79" s="402" t="str">
        <f>T7</f>
        <v xml:space="preserve"> 7/04</v>
      </c>
      <c r="U79" s="402" t="str">
        <f>U7</f>
        <v xml:space="preserve"> 10/04</v>
      </c>
      <c r="V79" s="402" t="str">
        <f>V7</f>
        <v>1/05</v>
      </c>
      <c r="W79" s="402" t="str">
        <f>W7</f>
        <v>FY05</v>
      </c>
      <c r="X79" s="402"/>
      <c r="Y79" s="402" t="str">
        <f>Y7</f>
        <v>4/05</v>
      </c>
      <c r="Z79" s="402" t="str">
        <f>Z7</f>
        <v xml:space="preserve"> 7/05</v>
      </c>
      <c r="AA79" s="402" t="str">
        <f>AA7</f>
        <v xml:space="preserve"> 10/05</v>
      </c>
      <c r="AB79" s="402" t="str">
        <f>AB7</f>
        <v>1/06</v>
      </c>
      <c r="AC79" s="402" t="str">
        <f>AC7</f>
        <v>FY06</v>
      </c>
      <c r="AD79" s="402"/>
      <c r="AE79" s="402" t="str">
        <f>AE7</f>
        <v>4/06</v>
      </c>
      <c r="AF79" s="402" t="str">
        <f>AF7</f>
        <v xml:space="preserve"> 7/06</v>
      </c>
      <c r="AG79" s="402" t="str">
        <f>AG7</f>
        <v xml:space="preserve"> 10/06</v>
      </c>
      <c r="AH79" s="402" t="str">
        <f>AH7</f>
        <v>1/07</v>
      </c>
      <c r="AI79" s="403" t="str">
        <f>AI7</f>
        <v>FY07</v>
      </c>
      <c r="AJ79" s="402"/>
      <c r="AK79" s="402" t="str">
        <f>AK7</f>
        <v>4/07</v>
      </c>
      <c r="AL79" s="402" t="str">
        <f>AL7</f>
        <v xml:space="preserve"> 7/07</v>
      </c>
      <c r="AM79" s="402" t="str">
        <f>AM7</f>
        <v xml:space="preserve"> 10/07</v>
      </c>
      <c r="AN79" s="402" t="str">
        <f>AN7</f>
        <v>1/08</v>
      </c>
      <c r="AO79" s="403" t="str">
        <f>AO7</f>
        <v>FY08</v>
      </c>
      <c r="AP79" s="402"/>
      <c r="AQ79" s="402" t="str">
        <f>AQ7</f>
        <v>4/08</v>
      </c>
      <c r="AR79" s="402" t="str">
        <f>AR7</f>
        <v xml:space="preserve"> 7/08</v>
      </c>
      <c r="AS79" s="402" t="str">
        <f>AS7</f>
        <v xml:space="preserve"> 10/08</v>
      </c>
      <c r="AT79" s="402" t="str">
        <f>AT7</f>
        <v>1/09</v>
      </c>
      <c r="AU79" s="403" t="str">
        <f>AU7</f>
        <v>FY09</v>
      </c>
      <c r="AV79" s="402"/>
      <c r="AW79" s="402" t="str">
        <f>AW7</f>
        <v>4/09</v>
      </c>
      <c r="AX79" s="402" t="str">
        <f>AX7</f>
        <v xml:space="preserve"> 7/09</v>
      </c>
      <c r="AY79" s="402" t="str">
        <f>AY7</f>
        <v xml:space="preserve"> 10/09</v>
      </c>
      <c r="AZ79" s="402" t="str">
        <f>AZ7</f>
        <v>1/10</v>
      </c>
      <c r="BA79" s="403" t="str">
        <f>BA7</f>
        <v>FY10</v>
      </c>
      <c r="BB79" s="402"/>
      <c r="BC79" s="402" t="str">
        <f>BC7</f>
        <v>4/10</v>
      </c>
      <c r="BD79" s="402" t="str">
        <f>BD7</f>
        <v xml:space="preserve"> 7/10</v>
      </c>
      <c r="BE79" s="402" t="str">
        <f>BE7</f>
        <v xml:space="preserve"> 10/10</v>
      </c>
      <c r="BF79" s="402" t="str">
        <f>BF7</f>
        <v>1/11</v>
      </c>
      <c r="BG79" s="403" t="str">
        <f>BG7</f>
        <v>FY11</v>
      </c>
      <c r="BH79" s="402"/>
      <c r="BI79" s="402" t="str">
        <f>BI7</f>
        <v>4/11</v>
      </c>
      <c r="BJ79" s="402" t="str">
        <f>BJ7</f>
        <v xml:space="preserve"> 7/11</v>
      </c>
      <c r="BK79" s="402" t="str">
        <f>BK7</f>
        <v xml:space="preserve"> 10/11</v>
      </c>
      <c r="BL79" s="402" t="str">
        <f>BL7</f>
        <v>1/12</v>
      </c>
      <c r="BM79" s="403" t="str">
        <f>BM7</f>
        <v>FY12</v>
      </c>
      <c r="BN79" s="402"/>
      <c r="BO79" s="402" t="str">
        <f>BO7</f>
        <v>4/12</v>
      </c>
      <c r="BP79" s="402" t="str">
        <f>BP7</f>
        <v xml:space="preserve"> 7/12</v>
      </c>
      <c r="BQ79" s="402" t="str">
        <f>BQ7</f>
        <v xml:space="preserve"> 10/12</v>
      </c>
      <c r="BR79" s="402" t="str">
        <f>BR7</f>
        <v>1/13</v>
      </c>
      <c r="BS79" s="403" t="str">
        <f>BS7</f>
        <v>FY13</v>
      </c>
      <c r="BT79" s="402"/>
      <c r="BU79" s="402" t="str">
        <f>BU7</f>
        <v>4/13</v>
      </c>
      <c r="BV79" s="402" t="str">
        <f>BV7</f>
        <v xml:space="preserve"> 7/13</v>
      </c>
      <c r="BW79" s="402" t="str">
        <f>BW7</f>
        <v xml:space="preserve"> 10/13</v>
      </c>
      <c r="BX79" s="402" t="str">
        <f>BX7</f>
        <v>1/14</v>
      </c>
      <c r="BY79" s="403" t="str">
        <f>BY7</f>
        <v>FY14</v>
      </c>
      <c r="BZ79" s="402"/>
      <c r="CA79" s="402" t="str">
        <f>CA7</f>
        <v>4/14</v>
      </c>
      <c r="CB79" s="402" t="str">
        <f>CB7</f>
        <v xml:space="preserve"> 7/14</v>
      </c>
      <c r="CC79" s="402" t="str">
        <f>CC7</f>
        <v xml:space="preserve"> 10/14</v>
      </c>
      <c r="CD79" s="402" t="str">
        <f>CD7</f>
        <v>1/15</v>
      </c>
      <c r="CE79" s="403" t="str">
        <f>CE7</f>
        <v>FY15</v>
      </c>
      <c r="CF79" s="402"/>
      <c r="CG79" s="402" t="str">
        <f>CG7</f>
        <v>4/15</v>
      </c>
      <c r="CH79" s="402" t="str">
        <f>CH7</f>
        <v xml:space="preserve"> 7/15</v>
      </c>
      <c r="CI79" s="402" t="str">
        <f>CI7</f>
        <v xml:space="preserve"> 10/15</v>
      </c>
      <c r="CJ79" s="402" t="str">
        <f>CJ7</f>
        <v>1/16</v>
      </c>
      <c r="CK79" s="403" t="str">
        <f>CK7</f>
        <v>FY16</v>
      </c>
      <c r="CL79" s="402"/>
      <c r="CM79" s="402" t="str">
        <f>CM7</f>
        <v>4/16</v>
      </c>
      <c r="CN79" s="402" t="str">
        <f>CN7</f>
        <v xml:space="preserve"> 7/16</v>
      </c>
      <c r="CO79" s="402" t="str">
        <f>CO7</f>
        <v xml:space="preserve"> 10/16</v>
      </c>
      <c r="CP79" s="402" t="str">
        <f>CP7</f>
        <v>1/17</v>
      </c>
      <c r="CQ79" s="403" t="str">
        <f>CQ7</f>
        <v>FY17</v>
      </c>
      <c r="CR79" s="402"/>
      <c r="CS79" s="402" t="str">
        <f>CS7</f>
        <v>4/17</v>
      </c>
      <c r="CT79" s="402" t="str">
        <f>CT7</f>
        <v xml:space="preserve"> 7/17</v>
      </c>
      <c r="CU79" s="402" t="str">
        <f>CU7</f>
        <v xml:space="preserve"> 10/17</v>
      </c>
      <c r="CV79" s="402" t="str">
        <f>CV7</f>
        <v>1/18</v>
      </c>
      <c r="CW79" s="403" t="str">
        <f>CW7</f>
        <v>FY18</v>
      </c>
      <c r="CX79" s="402"/>
      <c r="CY79" s="402" t="str">
        <f>CY7</f>
        <v>4/18E</v>
      </c>
      <c r="CZ79" s="402" t="str">
        <f>CZ7</f>
        <v xml:space="preserve"> 7/18E</v>
      </c>
      <c r="DA79" s="402" t="str">
        <f>DA7</f>
        <v xml:space="preserve"> 10/18E</v>
      </c>
      <c r="DB79" s="402" t="str">
        <f>DB7</f>
        <v>1/19E</v>
      </c>
      <c r="DC79" s="403" t="str">
        <f>DC7</f>
        <v>FY19E</v>
      </c>
      <c r="DD79" s="402"/>
      <c r="DE79" s="402" t="str">
        <f>DE7</f>
        <v>4/19E</v>
      </c>
      <c r="DF79" s="402" t="str">
        <f>DF7</f>
        <v xml:space="preserve"> 7/19E</v>
      </c>
      <c r="DG79" s="402" t="str">
        <f>DG7</f>
        <v xml:space="preserve"> 10/19E</v>
      </c>
      <c r="DH79" s="402" t="str">
        <f>DH7</f>
        <v>1/20E</v>
      </c>
      <c r="DI79" s="403" t="str">
        <f>DI7</f>
        <v>FY20E</v>
      </c>
      <c r="DJ79" s="402"/>
      <c r="DK79" s="402" t="str">
        <f>DK7</f>
        <v>4/20E</v>
      </c>
      <c r="DL79" s="402" t="str">
        <f>DL7</f>
        <v xml:space="preserve"> 7/20E</v>
      </c>
      <c r="DM79" s="402" t="str">
        <f>DM7</f>
        <v xml:space="preserve"> 10/20E</v>
      </c>
      <c r="DN79" s="402" t="str">
        <f>DN7</f>
        <v>1/21E</v>
      </c>
      <c r="DO79" s="403" t="str">
        <f>DO7</f>
        <v>FY21E</v>
      </c>
      <c r="DP79" s="953"/>
      <c r="DQ79" s="953"/>
      <c r="DR79" s="953"/>
    </row>
    <row r="80" spans="1:122" ht="5.25" customHeight="1">
      <c r="A80" s="547"/>
      <c r="B80" s="586"/>
      <c r="C80" s="548"/>
      <c r="D80" s="548"/>
      <c r="E80" s="548"/>
      <c r="F80" s="548"/>
      <c r="G80" s="548"/>
      <c r="H80" s="548"/>
      <c r="I80" s="548"/>
      <c r="J80" s="548"/>
      <c r="K80" s="548"/>
      <c r="L80" s="548"/>
      <c r="M80" s="548"/>
      <c r="N80" s="548"/>
      <c r="O80" s="548"/>
      <c r="P80" s="548"/>
      <c r="Q80" s="548"/>
      <c r="R80" s="548"/>
      <c r="S80" s="548"/>
      <c r="T80" s="548"/>
      <c r="U80" s="548"/>
      <c r="V80" s="548"/>
      <c r="W80" s="548"/>
      <c r="X80" s="548"/>
      <c r="Y80" s="548"/>
      <c r="Z80" s="548"/>
      <c r="AA80" s="548"/>
      <c r="AB80" s="548"/>
      <c r="AC80" s="548"/>
      <c r="AD80" s="548"/>
      <c r="AE80" s="548"/>
      <c r="AF80" s="548"/>
      <c r="AG80" s="548"/>
      <c r="AH80" s="548"/>
      <c r="AI80" s="549"/>
      <c r="AJ80" s="548"/>
      <c r="AK80" s="548"/>
      <c r="AL80" s="548"/>
      <c r="AM80" s="548"/>
      <c r="AN80" s="548"/>
      <c r="AO80" s="549"/>
      <c r="AP80" s="548"/>
      <c r="AQ80" s="548"/>
      <c r="AR80" s="548"/>
      <c r="AS80" s="548"/>
      <c r="AT80" s="548"/>
      <c r="AU80" s="549"/>
      <c r="AV80" s="548"/>
      <c r="AW80" s="548"/>
      <c r="AX80" s="548"/>
      <c r="AY80" s="548"/>
      <c r="AZ80" s="548"/>
      <c r="BA80" s="549"/>
      <c r="BB80" s="548"/>
      <c r="BC80" s="548"/>
      <c r="BD80" s="548"/>
      <c r="BE80" s="548"/>
      <c r="BF80" s="548"/>
      <c r="BG80" s="549"/>
      <c r="BH80" s="548"/>
      <c r="BI80" s="548"/>
      <c r="BJ80" s="548"/>
      <c r="BK80" s="548"/>
      <c r="BL80" s="548"/>
      <c r="BM80" s="549"/>
      <c r="BN80" s="548"/>
      <c r="BO80" s="548"/>
      <c r="BP80" s="548"/>
      <c r="BQ80" s="548"/>
      <c r="BR80" s="548"/>
      <c r="BS80" s="549"/>
      <c r="BT80" s="548"/>
      <c r="BU80" s="548"/>
      <c r="BV80" s="548"/>
      <c r="BW80" s="548"/>
      <c r="BX80" s="548"/>
      <c r="BY80" s="549"/>
      <c r="BZ80" s="548"/>
      <c r="CA80" s="548"/>
      <c r="CB80" s="548"/>
      <c r="CC80" s="548"/>
      <c r="CD80" s="548"/>
      <c r="CE80" s="549"/>
      <c r="CF80" s="548"/>
      <c r="CG80" s="548"/>
      <c r="CH80" s="548"/>
      <c r="CI80" s="548"/>
      <c r="CJ80" s="548"/>
      <c r="CK80" s="549"/>
      <c r="CL80" s="548"/>
      <c r="CM80" s="548"/>
      <c r="CN80" s="548"/>
      <c r="CO80" s="548"/>
      <c r="CP80" s="548"/>
      <c r="CQ80" s="549"/>
      <c r="CR80" s="548"/>
      <c r="CS80" s="548"/>
      <c r="CT80" s="548"/>
      <c r="CU80" s="548"/>
      <c r="CV80" s="548"/>
      <c r="CW80" s="549"/>
      <c r="CX80" s="548"/>
      <c r="CY80" s="548"/>
      <c r="CZ80" s="548"/>
      <c r="DA80" s="548"/>
      <c r="DB80" s="548"/>
      <c r="DC80" s="549"/>
      <c r="DD80" s="548"/>
      <c r="DE80" s="548"/>
      <c r="DF80" s="548"/>
      <c r="DG80" s="548"/>
      <c r="DH80" s="548"/>
      <c r="DI80" s="549"/>
      <c r="DJ80" s="548"/>
      <c r="DK80" s="548"/>
      <c r="DL80" s="548"/>
      <c r="DM80" s="548"/>
      <c r="DN80" s="548"/>
      <c r="DO80" s="549"/>
      <c r="DP80" s="948"/>
      <c r="DQ80" s="948"/>
      <c r="DR80" s="948"/>
    </row>
    <row r="81" spans="1:122" ht="10.5" customHeight="1">
      <c r="A81" s="587" t="s">
        <v>387</v>
      </c>
      <c r="B81" s="586"/>
      <c r="C81" s="588"/>
      <c r="D81" s="588"/>
      <c r="E81" s="588"/>
      <c r="F81" s="588"/>
      <c r="G81" s="588"/>
      <c r="H81" s="588"/>
      <c r="I81" s="589"/>
      <c r="J81" s="589"/>
      <c r="K81" s="588"/>
      <c r="L81" s="588"/>
      <c r="M81" s="589"/>
      <c r="N81" s="589"/>
      <c r="O81" s="589"/>
      <c r="P81" s="589"/>
      <c r="Q81" s="588"/>
      <c r="R81" s="588"/>
      <c r="S81" s="589"/>
      <c r="T81" s="589"/>
      <c r="U81" s="589"/>
      <c r="V81" s="589"/>
      <c r="W81" s="588"/>
      <c r="X81" s="588"/>
      <c r="Y81" s="589"/>
      <c r="Z81" s="589"/>
      <c r="AA81" s="589"/>
      <c r="AB81" s="589"/>
      <c r="AC81" s="588"/>
      <c r="AD81" s="588"/>
      <c r="AE81" s="589"/>
      <c r="AF81" s="589"/>
      <c r="AG81" s="589"/>
      <c r="AH81" s="589"/>
      <c r="AI81" s="590"/>
      <c r="AJ81" s="588"/>
      <c r="AK81" s="589"/>
      <c r="AL81" s="589"/>
      <c r="AM81" s="589"/>
      <c r="AN81" s="589"/>
      <c r="AO81" s="591"/>
      <c r="AP81" s="588"/>
      <c r="AQ81" s="589"/>
      <c r="AR81" s="589"/>
      <c r="AS81" s="589"/>
      <c r="AT81" s="589"/>
      <c r="AU81" s="590"/>
      <c r="AV81" s="588"/>
      <c r="AW81" s="589"/>
      <c r="AX81" s="589"/>
      <c r="AY81" s="589"/>
      <c r="AZ81" s="589"/>
      <c r="BA81" s="590"/>
      <c r="BB81" s="588"/>
      <c r="BC81" s="589"/>
      <c r="BD81" s="589"/>
      <c r="BE81" s="589"/>
      <c r="BF81" s="589"/>
      <c r="BG81" s="590"/>
      <c r="BH81" s="588"/>
      <c r="BI81" s="589"/>
      <c r="BJ81" s="589"/>
      <c r="BK81" s="589"/>
      <c r="BL81" s="589"/>
      <c r="BM81" s="590"/>
      <c r="BN81" s="588"/>
      <c r="BO81" s="589"/>
      <c r="BP81" s="589"/>
      <c r="BQ81" s="589"/>
      <c r="BR81" s="589"/>
      <c r="BS81" s="590"/>
      <c r="BT81" s="588"/>
      <c r="BU81" s="589"/>
      <c r="BV81" s="589"/>
      <c r="BW81" s="589"/>
      <c r="BX81" s="589"/>
      <c r="BY81" s="590"/>
      <c r="BZ81" s="588"/>
      <c r="CA81" s="589"/>
      <c r="CB81" s="589"/>
      <c r="CC81" s="589"/>
      <c r="CD81" s="589"/>
      <c r="CE81" s="590"/>
      <c r="CF81" s="588"/>
      <c r="CG81" s="589"/>
      <c r="CH81" s="589"/>
      <c r="CI81" s="589"/>
      <c r="CJ81" s="589"/>
      <c r="CK81" s="590"/>
      <c r="CL81" s="588"/>
      <c r="CM81" s="589"/>
      <c r="CN81" s="589"/>
      <c r="CO81" s="589"/>
      <c r="CP81" s="589"/>
      <c r="CQ81" s="590"/>
      <c r="CR81" s="588"/>
      <c r="CS81" s="589"/>
      <c r="CT81" s="589"/>
      <c r="CU81" s="589"/>
      <c r="CV81" s="589"/>
      <c r="CW81" s="590"/>
      <c r="CX81" s="588"/>
      <c r="CY81" s="589"/>
      <c r="CZ81" s="589"/>
      <c r="DA81" s="589"/>
      <c r="DB81" s="589"/>
      <c r="DC81" s="590"/>
      <c r="DD81" s="588"/>
      <c r="DE81" s="589"/>
      <c r="DF81" s="589"/>
      <c r="DG81" s="589"/>
      <c r="DH81" s="589"/>
      <c r="DI81" s="590"/>
      <c r="DJ81" s="588"/>
      <c r="DK81" s="589"/>
      <c r="DL81" s="589"/>
      <c r="DM81" s="589"/>
      <c r="DN81" s="589"/>
      <c r="DO81" s="590"/>
      <c r="DP81" s="1700"/>
      <c r="DQ81" s="1294"/>
      <c r="DR81" s="1294"/>
    </row>
    <row r="82" spans="1:122" ht="10.5" customHeight="1">
      <c r="A82" s="578" t="s">
        <v>442</v>
      </c>
      <c r="B82" s="584"/>
      <c r="C82" s="565">
        <v>-5.452</v>
      </c>
      <c r="D82" s="565">
        <v>-31.670999999999999</v>
      </c>
      <c r="E82" s="565">
        <v>-28.609000000000002</v>
      </c>
      <c r="F82" s="584"/>
      <c r="G82" s="556">
        <v>-1.5620000000000001</v>
      </c>
      <c r="H82" s="556">
        <v>-1.1259999999999999</v>
      </c>
      <c r="I82" s="556">
        <v>-4.8410000000000002</v>
      </c>
      <c r="J82" s="556">
        <v>-2.1869999999999998</v>
      </c>
      <c r="K82" s="565">
        <f>SUM(G82:J82)</f>
        <v>-9.7159999999999993</v>
      </c>
      <c r="L82" s="556"/>
      <c r="M82" s="556">
        <v>0.36799999999999999</v>
      </c>
      <c r="N82" s="556">
        <v>0.122</v>
      </c>
      <c r="O82" s="556">
        <v>3.7890000000000001</v>
      </c>
      <c r="P82" s="556">
        <v>-0.76500000000000001</v>
      </c>
      <c r="Q82" s="592">
        <f>SUM(M82:P82)</f>
        <v>3.5139999999999998</v>
      </c>
      <c r="R82" s="580"/>
      <c r="S82" s="592">
        <v>0.437</v>
      </c>
      <c r="T82" s="592">
        <f>IF(S10="-","-",SUM(T10)-SUM(S10))</f>
        <v>1.17</v>
      </c>
      <c r="U82" s="592">
        <f>IF(T10="-","-",SUM(U10)-SUM(T10))</f>
        <v>2.1529999999999996</v>
      </c>
      <c r="V82" s="592">
        <f>IF(U10="-","-",SUM(V10)-SUM(U10))</f>
        <v>3.5860000000000003</v>
      </c>
      <c r="W82" s="592">
        <f>SUM(S82:V82)</f>
        <v>7.3460000000000001</v>
      </c>
      <c r="X82" s="580"/>
      <c r="Y82" s="592">
        <f>Y10</f>
        <v>4.38</v>
      </c>
      <c r="Z82" s="592">
        <f>IF(Y10="-","-",SUM(Z10)-SUM(Y10))</f>
        <v>5.04</v>
      </c>
      <c r="AA82" s="592">
        <f>IF(Z10="-","-",SUM(AA10)-SUM(Z10))</f>
        <v>13.097</v>
      </c>
      <c r="AB82" s="592">
        <f>IF(AA10="-","-",SUM(AB10)-SUM(AA10))</f>
        <v>5.9570000000000007</v>
      </c>
      <c r="AC82" s="592">
        <f>SUM(Y82:AB82)</f>
        <v>28.474</v>
      </c>
      <c r="AD82" s="580"/>
      <c r="AE82" s="592">
        <f>AE10</f>
        <v>-0.22900000000000001</v>
      </c>
      <c r="AF82" s="592">
        <f>IF(AE10="-","-",SUM(AF10)-SUM(AE10))</f>
        <v>-0.14499999999999999</v>
      </c>
      <c r="AG82" s="592">
        <f>IF(AF10="-","-",SUM(AG10)-SUM(AF10))</f>
        <v>0.33899999999999997</v>
      </c>
      <c r="AH82" s="592">
        <f>IF(AG10="-","-",SUM(AH10)-SUM(AG10))</f>
        <v>0.51561785141324001</v>
      </c>
      <c r="AI82" s="593">
        <f>SUM(AE82:AH82)</f>
        <v>0.48061785141323998</v>
      </c>
      <c r="AJ82" s="580"/>
      <c r="AK82" s="592">
        <f>AK10</f>
        <v>0.73000000000000353</v>
      </c>
      <c r="AL82" s="592">
        <f>IF(AK10="-","-",SUM(AL10)-SUM(AK10))</f>
        <v>3.7349999999999963</v>
      </c>
      <c r="AM82" s="592">
        <f>IF(AL10="-","-",SUM(AM10)-SUM(AL10))</f>
        <v>6.5120000000000005</v>
      </c>
      <c r="AN82" s="592">
        <f>IF(AM10="-","-",SUM(AN10)-SUM(AM10))</f>
        <v>7.3790000000000013</v>
      </c>
      <c r="AO82" s="593">
        <f>SUM(AK82:AN82)</f>
        <v>18.356000000000002</v>
      </c>
      <c r="AP82" s="580"/>
      <c r="AQ82" s="592">
        <f>AQ10</f>
        <v>9.5549999999999997</v>
      </c>
      <c r="AR82" s="592">
        <f>IF(AQ10="-","-",SUM(AR10)-SUM(AQ10))</f>
        <v>9.9959999999999987</v>
      </c>
      <c r="AS82" s="592">
        <f>IF(AR10="-","-",SUM(AS10)-SUM(AR10))</f>
        <v>10.124000000000002</v>
      </c>
      <c r="AT82" s="592">
        <f>IF(AS10="-","-",SUM(AT10)-SUM(AS10))</f>
        <v>13.752999999999997</v>
      </c>
      <c r="AU82" s="593">
        <f>SUM(AQ82:AT82)</f>
        <v>43.427999999999997</v>
      </c>
      <c r="AV82" s="580"/>
      <c r="AW82" s="592">
        <f>AW10</f>
        <v>18.993000000000002</v>
      </c>
      <c r="AX82" s="592">
        <f>IF(AW10="-","-",SUM(AX10)-SUM(AW10))</f>
        <v>21.841000000000001</v>
      </c>
      <c r="AY82" s="592">
        <f>IF(AX10="-","-",SUM(AY10)-SUM(AX10))</f>
        <v>20.690999999999988</v>
      </c>
      <c r="AZ82" s="592">
        <f>IF(AY10="-","-",SUM(AZ10)-SUM(AY10))</f>
        <v>23.167000000000002</v>
      </c>
      <c r="BA82" s="593">
        <f>SUM(AW82:AZ82)</f>
        <v>84.691999999999993</v>
      </c>
      <c r="BB82" s="580"/>
      <c r="BC82" s="592">
        <f>BC10</f>
        <v>19.876000000000001</v>
      </c>
      <c r="BD82" s="592">
        <f>IF(BC10="-","-",SUM(BD10)-SUM(BC10))</f>
        <v>16.583000000000002</v>
      </c>
      <c r="BE82" s="592">
        <f>IF(BD10="-","-",SUM(BE10)-SUM(BD10))</f>
        <v>22.367999999999995</v>
      </c>
      <c r="BF82" s="592">
        <f>IF(BE10="-","-",SUM(BF10)-SUM(BE10))</f>
        <v>10.870000000000005</v>
      </c>
      <c r="BG82" s="593">
        <f>SUM(BC82:BF82)</f>
        <v>69.697000000000003</v>
      </c>
      <c r="BH82" s="580"/>
      <c r="BI82" s="592">
        <f>BI10</f>
        <v>0.53</v>
      </c>
      <c r="BJ82" s="592">
        <f>IF(BI10="-","-",SUM(BJ10)-SUM(BI10))</f>
        <v>-4.2679999999999998</v>
      </c>
      <c r="BK82" s="592">
        <f>IF(BJ10="-","-",SUM(BK10)-SUM(BJ10))</f>
        <v>-3.7559999999999998</v>
      </c>
      <c r="BL82" s="592">
        <f>IF(BK10="-","-",SUM(BL10)-SUM(BK10))</f>
        <v>-4.0779999999999994</v>
      </c>
      <c r="BM82" s="593">
        <f>SUM(BI82:BL82)</f>
        <v>-11.571999999999999</v>
      </c>
      <c r="BN82" s="580"/>
      <c r="BO82" s="592">
        <f>BO10</f>
        <v>-19.475000000000001</v>
      </c>
      <c r="BP82" s="592">
        <f>IF(BO10="-","-",SUM(BP10)-SUM(BO10))</f>
        <v>-9.8289999999999971</v>
      </c>
      <c r="BQ82" s="592">
        <f>IF(BP10="-","-",SUM(BQ10)-SUM(BP10))</f>
        <v>-220.297</v>
      </c>
      <c r="BR82" s="592">
        <f>IF(BQ10="-","-",SUM(BR10)-SUM(BQ10))</f>
        <v>-20.843999999999994</v>
      </c>
      <c r="BS82" s="593">
        <f>SUM(BO82:BR82)</f>
        <v>-270.44499999999999</v>
      </c>
      <c r="BT82" s="580"/>
      <c r="BU82" s="592">
        <f>BU10</f>
        <v>-67.721000000000004</v>
      </c>
      <c r="BV82" s="592">
        <f>IF(BU10="-","-",SUM(BV10)-SUM(BU10))</f>
        <v>76.603000000000009</v>
      </c>
      <c r="BW82" s="592">
        <f>IF(BV10="-","-",SUM(BW10)-SUM(BV10))</f>
        <v>-124.43400000000001</v>
      </c>
      <c r="BX82" s="592">
        <f>IF(BW10="-","-",SUM(BX10)-SUM(BW10))</f>
        <v>-116.623</v>
      </c>
      <c r="BY82" s="593">
        <f>SUM(BU82:BX82)</f>
        <v>-232.17500000000001</v>
      </c>
      <c r="BZ82" s="580"/>
      <c r="CA82" s="592">
        <f>CA10</f>
        <v>-96.911000000000001</v>
      </c>
      <c r="CB82" s="592">
        <f>IF(CA10="-","-",SUM(CB10)-SUM(CA10))</f>
        <v>-61.087999999999994</v>
      </c>
      <c r="CC82" s="592">
        <f>IF(CB10="-","-",SUM(CC10)-SUM(CB10))</f>
        <v>-38.924000000000007</v>
      </c>
      <c r="CD82" s="592">
        <f>IF(CC10="-","-",SUM(CD10)-SUM(CC10))</f>
        <v>-65.764999999999986</v>
      </c>
      <c r="CE82" s="593">
        <f>SUM(CA82:CD82)</f>
        <v>-262.68799999999999</v>
      </c>
      <c r="CF82" s="580"/>
      <c r="CG82" s="592">
        <f>CG10</f>
        <v>4.0919999999999996</v>
      </c>
      <c r="CH82" s="592">
        <f>IF(CG10="-","-",SUM(CH10)-SUM(CG10))</f>
        <v>-0.85199999999999942</v>
      </c>
      <c r="CI82" s="592">
        <f>IF(CH10="-","-",SUM(CI10)-SUM(CH10))</f>
        <v>-25.157000000000004</v>
      </c>
      <c r="CJ82" s="592">
        <f>IF(CI10="-","-",SUM(CJ10)-SUM(CI10))</f>
        <v>-25.509</v>
      </c>
      <c r="CK82" s="593">
        <f>SUM(CG82:CJ82)</f>
        <v>-47.426000000000002</v>
      </c>
      <c r="CL82" s="580"/>
      <c r="CM82" s="592">
        <f>CM10</f>
        <v>38.759</v>
      </c>
      <c r="CN82" s="592">
        <f>IF(CM10="-","-",SUM(CN10)-SUM(CM10))</f>
        <v>229.62199999999996</v>
      </c>
      <c r="CO82" s="592">
        <f>IF(CN10="-","-",SUM(CO10)-SUM(CN10))</f>
        <v>-37.308999999999969</v>
      </c>
      <c r="CP82" s="592">
        <f>IF(CO10="-","-",SUM(CP10)-SUM(CO10))</f>
        <v>-51.44</v>
      </c>
      <c r="CQ82" s="593">
        <f>SUM(CM82:CP82)</f>
        <v>179.63200000000001</v>
      </c>
      <c r="CR82" s="580"/>
      <c r="CS82" s="592">
        <f>CS10</f>
        <v>-9.2070000000000931</v>
      </c>
      <c r="CT82" s="592">
        <f>IF(CS10="-","-",SUM(CT10)-SUM(CS10))</f>
        <v>17.735999999999834</v>
      </c>
      <c r="CU82" s="592">
        <f>IF(CT10="-","-",SUM(CU10)-SUM(CT10))</f>
        <v>51.393999999999998</v>
      </c>
      <c r="CV82" s="592">
        <f>IF(CU10="-","-",SUM(CV10)-SUM(CU10))</f>
        <v>67.55499999999995</v>
      </c>
      <c r="CW82" s="593">
        <f>SUM(CS82:CV82)</f>
        <v>127.4779999999997</v>
      </c>
      <c r="CX82" s="580"/>
      <c r="CY82" s="592">
        <f>CY10</f>
        <v>97.809190844782123</v>
      </c>
      <c r="CZ82" s="592">
        <f>IF(CY10="-","-",SUM(CZ10)-SUM(CY10))</f>
        <v>173.32252293632484</v>
      </c>
      <c r="DA82" s="592">
        <f>IF(CZ10="-","-",SUM(DA10)-SUM(CZ10))</f>
        <v>233.53141069605761</v>
      </c>
      <c r="DB82" s="592">
        <f>IF(DA10="-","-",SUM(DB10)-SUM(DA10))</f>
        <v>204.1044684444102</v>
      </c>
      <c r="DC82" s="593">
        <f>SUM(CY82:DB82)</f>
        <v>708.76759292157476</v>
      </c>
      <c r="DD82" s="580"/>
      <c r="DE82" s="592">
        <f>DE10</f>
        <v>227.15016487057653</v>
      </c>
      <c r="DF82" s="592">
        <f>IF(DE10="-","-",SUM(DF10)-SUM(DE10))</f>
        <v>319.03215437252106</v>
      </c>
      <c r="DG82" s="592">
        <f>IF(DF10="-","-",SUM(DG10)-SUM(DF10))</f>
        <v>378.77290601204027</v>
      </c>
      <c r="DH82" s="592">
        <f>IF(DG10="-","-",SUM(DH10)-SUM(DG10))</f>
        <v>380.96653321425958</v>
      </c>
      <c r="DI82" s="593">
        <f>SUM(DE82:DH82)</f>
        <v>1305.9217584693974</v>
      </c>
      <c r="DJ82" s="580"/>
      <c r="DK82" s="592">
        <f>DK10</f>
        <v>395.79980077232744</v>
      </c>
      <c r="DL82" s="592">
        <f>IF(DK10="-","-",SUM(DL10)-SUM(DK10))</f>
        <v>509.85188064907936</v>
      </c>
      <c r="DM82" s="592">
        <f>IF(DL10="-","-",SUM(DM10)-SUM(DL10))</f>
        <v>578.09900821549729</v>
      </c>
      <c r="DN82" s="592">
        <f>IF(DM10="-","-",SUM(DN10)-SUM(DM10))</f>
        <v>600.72681415982197</v>
      </c>
      <c r="DO82" s="593">
        <f>SUM(DK82:DN82)</f>
        <v>2084.4775037967261</v>
      </c>
      <c r="DP82" s="958"/>
      <c r="DQ82" s="958"/>
      <c r="DR82" s="958"/>
    </row>
    <row r="83" spans="1:122" ht="7.5" customHeight="1">
      <c r="A83" s="560"/>
      <c r="B83" s="584"/>
      <c r="C83" s="561"/>
      <c r="D83" s="561"/>
      <c r="E83" s="561"/>
      <c r="F83" s="594"/>
      <c r="G83" s="561"/>
      <c r="H83" s="561"/>
      <c r="I83" s="561"/>
      <c r="J83" s="561"/>
      <c r="K83" s="561"/>
      <c r="L83" s="561"/>
      <c r="M83" s="561"/>
      <c r="N83" s="561"/>
      <c r="O83" s="561"/>
      <c r="P83" s="561"/>
      <c r="Q83" s="560"/>
      <c r="R83" s="560"/>
      <c r="S83" s="562"/>
      <c r="T83" s="562"/>
      <c r="U83" s="560"/>
      <c r="V83" s="560"/>
      <c r="W83" s="560"/>
      <c r="X83" s="560"/>
      <c r="Y83" s="560"/>
      <c r="Z83" s="560"/>
      <c r="AA83" s="560"/>
      <c r="AB83" s="560"/>
      <c r="AC83" s="560"/>
      <c r="AD83" s="560"/>
      <c r="AE83" s="560"/>
      <c r="AF83" s="560"/>
      <c r="AG83" s="560"/>
      <c r="AH83" s="560"/>
      <c r="AI83" s="595"/>
      <c r="AJ83" s="560"/>
      <c r="AK83" s="560"/>
      <c r="AL83" s="560"/>
      <c r="AM83" s="560"/>
      <c r="AN83" s="560"/>
      <c r="AO83" s="595"/>
      <c r="AP83" s="560"/>
      <c r="AQ83" s="560"/>
      <c r="AR83" s="560"/>
      <c r="AS83" s="560"/>
      <c r="AT83" s="560"/>
      <c r="AU83" s="595"/>
      <c r="AV83" s="560"/>
      <c r="AW83" s="560"/>
      <c r="AX83" s="560"/>
      <c r="AY83" s="560"/>
      <c r="AZ83" s="560"/>
      <c r="BA83" s="595"/>
      <c r="BB83" s="560"/>
      <c r="BC83" s="560"/>
      <c r="BD83" s="560"/>
      <c r="BE83" s="560"/>
      <c r="BF83" s="560"/>
      <c r="BG83" s="596"/>
      <c r="BH83" s="560"/>
      <c r="BI83" s="560"/>
      <c r="BJ83" s="560"/>
      <c r="BK83" s="560"/>
      <c r="BL83" s="560"/>
      <c r="BM83" s="596"/>
      <c r="BN83" s="560"/>
      <c r="BO83" s="560"/>
      <c r="BP83" s="560"/>
      <c r="BQ83" s="560"/>
      <c r="BR83" s="560"/>
      <c r="BS83" s="596"/>
      <c r="BT83" s="560"/>
      <c r="BU83" s="560"/>
      <c r="BV83" s="560"/>
      <c r="BW83" s="560"/>
      <c r="BX83" s="560"/>
      <c r="BY83" s="596"/>
      <c r="BZ83" s="560"/>
      <c r="CA83" s="560"/>
      <c r="CB83" s="560"/>
      <c r="CC83" s="560"/>
      <c r="CD83" s="560"/>
      <c r="CE83" s="596"/>
      <c r="CF83" s="560"/>
      <c r="CG83" s="560"/>
      <c r="CH83" s="560"/>
      <c r="CI83" s="560"/>
      <c r="CJ83" s="560"/>
      <c r="CK83" s="596"/>
      <c r="CL83" s="560"/>
      <c r="CM83" s="560"/>
      <c r="CN83" s="560"/>
      <c r="CO83" s="560"/>
      <c r="CP83" s="560"/>
      <c r="CQ83" s="596"/>
      <c r="CR83" s="560"/>
      <c r="CS83" s="560"/>
      <c r="CT83" s="560"/>
      <c r="CU83" s="560"/>
      <c r="CV83" s="560"/>
      <c r="CW83" s="596"/>
      <c r="CX83" s="560"/>
      <c r="CY83" s="560"/>
      <c r="CZ83" s="560"/>
      <c r="DA83" s="560"/>
      <c r="DB83" s="560"/>
      <c r="DC83" s="596"/>
      <c r="DD83" s="560"/>
      <c r="DE83" s="560"/>
      <c r="DF83" s="560"/>
      <c r="DG83" s="560"/>
      <c r="DH83" s="560"/>
      <c r="DI83" s="596"/>
      <c r="DJ83" s="560"/>
      <c r="DK83" s="560"/>
      <c r="DL83" s="560"/>
      <c r="DM83" s="560"/>
      <c r="DN83" s="560"/>
      <c r="DO83" s="596"/>
      <c r="DP83" s="1701"/>
      <c r="DQ83" s="1219"/>
      <c r="DR83" s="1219"/>
    </row>
    <row r="84" spans="1:122" ht="10.5" customHeight="1">
      <c r="A84" s="597" t="s">
        <v>388</v>
      </c>
      <c r="B84" s="584"/>
      <c r="C84" s="592"/>
      <c r="D84" s="592"/>
      <c r="E84" s="592"/>
      <c r="F84" s="580"/>
      <c r="G84" s="598"/>
      <c r="H84" s="598"/>
      <c r="I84" s="598"/>
      <c r="J84" s="598"/>
      <c r="K84" s="592"/>
      <c r="L84" s="598"/>
      <c r="M84" s="599"/>
      <c r="N84" s="599"/>
      <c r="O84" s="599"/>
      <c r="P84" s="599"/>
      <c r="Q84" s="600"/>
      <c r="R84" s="584"/>
      <c r="S84" s="556"/>
      <c r="T84" s="556"/>
      <c r="U84" s="584"/>
      <c r="V84" s="584"/>
      <c r="W84" s="600"/>
      <c r="X84" s="584"/>
      <c r="Y84" s="584"/>
      <c r="Z84" s="584"/>
      <c r="AA84" s="584"/>
      <c r="AB84" s="584"/>
      <c r="AC84" s="600"/>
      <c r="AD84" s="584"/>
      <c r="AE84" s="584"/>
      <c r="AF84" s="584"/>
      <c r="AG84" s="584"/>
      <c r="AH84" s="584"/>
      <c r="AI84" s="601"/>
      <c r="AJ84" s="584"/>
      <c r="AK84" s="584"/>
      <c r="AL84" s="584"/>
      <c r="AM84" s="584"/>
      <c r="AN84" s="584"/>
      <c r="AO84" s="602"/>
      <c r="AP84" s="584"/>
      <c r="AQ84" s="584"/>
      <c r="AR84" s="584"/>
      <c r="AS84" s="584"/>
      <c r="AT84" s="584"/>
      <c r="AU84" s="601"/>
      <c r="AV84" s="584"/>
      <c r="AW84" s="584"/>
      <c r="AX84" s="584"/>
      <c r="AY84" s="584"/>
      <c r="AZ84" s="584"/>
      <c r="BA84" s="603"/>
      <c r="BB84" s="584"/>
      <c r="BC84" s="584"/>
      <c r="BD84" s="584"/>
      <c r="BE84" s="584"/>
      <c r="BF84" s="584"/>
      <c r="BG84" s="603"/>
      <c r="BH84" s="584"/>
      <c r="BI84" s="584"/>
      <c r="BJ84" s="584"/>
      <c r="BK84" s="584"/>
      <c r="BL84" s="584"/>
      <c r="BM84" s="603"/>
      <c r="BN84" s="584"/>
      <c r="BO84" s="584"/>
      <c r="BP84" s="584"/>
      <c r="BQ84" s="584"/>
      <c r="BR84" s="584"/>
      <c r="BS84" s="603"/>
      <c r="BT84" s="584"/>
      <c r="BU84" s="584"/>
      <c r="BV84" s="584"/>
      <c r="BW84" s="584"/>
      <c r="BX84" s="584"/>
      <c r="BY84" s="603"/>
      <c r="BZ84" s="584"/>
      <c r="CA84" s="584"/>
      <c r="CB84" s="584"/>
      <c r="CC84" s="584"/>
      <c r="CD84" s="584"/>
      <c r="CE84" s="603"/>
      <c r="CF84" s="584"/>
      <c r="CG84" s="584"/>
      <c r="CH84" s="584"/>
      <c r="CI84" s="584"/>
      <c r="CJ84" s="584"/>
      <c r="CK84" s="603"/>
      <c r="CL84" s="584"/>
      <c r="CM84" s="584"/>
      <c r="CN84" s="584"/>
      <c r="CO84" s="584"/>
      <c r="CP84" s="584"/>
      <c r="CQ84" s="603"/>
      <c r="CR84" s="584"/>
      <c r="CS84" s="584"/>
      <c r="CT84" s="584"/>
      <c r="CU84" s="584"/>
      <c r="CV84" s="584"/>
      <c r="CW84" s="603"/>
      <c r="CX84" s="584"/>
      <c r="CY84" s="584"/>
      <c r="CZ84" s="584"/>
      <c r="DA84" s="584"/>
      <c r="DB84" s="584"/>
      <c r="DC84" s="603"/>
      <c r="DD84" s="584"/>
      <c r="DE84" s="584"/>
      <c r="DF84" s="584"/>
      <c r="DG84" s="584"/>
      <c r="DH84" s="584"/>
      <c r="DI84" s="603"/>
      <c r="DJ84" s="584"/>
      <c r="DK84" s="584"/>
      <c r="DL84" s="584"/>
      <c r="DM84" s="584"/>
      <c r="DN84" s="584"/>
      <c r="DO84" s="603"/>
      <c r="DP84" s="1698"/>
      <c r="DQ84" s="956"/>
      <c r="DR84" s="956"/>
    </row>
    <row r="85" spans="1:122" ht="10.5" customHeight="1">
      <c r="A85" s="578" t="s">
        <v>389</v>
      </c>
      <c r="B85" s="580"/>
      <c r="C85" s="565">
        <v>9.8000000000000004E-2</v>
      </c>
      <c r="D85" s="565">
        <v>0.86099999999999999</v>
      </c>
      <c r="E85" s="565">
        <v>2.403</v>
      </c>
      <c r="F85" s="584"/>
      <c r="G85" s="556">
        <v>0.63300000000000001</v>
      </c>
      <c r="H85" s="556">
        <v>0.66500000000000004</v>
      </c>
      <c r="I85" s="556">
        <v>0.64300000000000002</v>
      </c>
      <c r="J85" s="556">
        <v>0.72299999999999998</v>
      </c>
      <c r="K85" s="565">
        <f t="shared" ref="K85:K94" si="137">SUM(G85:J85)</f>
        <v>2.6640000000000001</v>
      </c>
      <c r="L85" s="556"/>
      <c r="M85" s="556">
        <v>0.61799999999999999</v>
      </c>
      <c r="N85" s="556">
        <v>0.70699999999999996</v>
      </c>
      <c r="O85" s="556">
        <v>0.63100000000000001</v>
      </c>
      <c r="P85" s="556">
        <v>0.63500000000000001</v>
      </c>
      <c r="Q85" s="592">
        <f t="shared" ref="Q85:Q94" si="138">SUM(M85:P85)</f>
        <v>2.5910000000000002</v>
      </c>
      <c r="R85" s="580"/>
      <c r="S85" s="592">
        <v>0.748</v>
      </c>
      <c r="T85" s="592">
        <f t="shared" ref="T85:V87" si="139">IF(S13="-","-",SUM(T13)-SUM(S13))</f>
        <v>0.67900000000000005</v>
      </c>
      <c r="U85" s="592">
        <f t="shared" si="139"/>
        <v>0.79999999999999982</v>
      </c>
      <c r="V85" s="592">
        <f t="shared" si="139"/>
        <v>0.91999999999999993</v>
      </c>
      <c r="W85" s="592">
        <f>SUM(S85:V85)</f>
        <v>3.1469999999999998</v>
      </c>
      <c r="X85" s="604"/>
      <c r="Y85" s="592">
        <f>Y13</f>
        <v>1.121</v>
      </c>
      <c r="Z85" s="592">
        <f t="shared" ref="Z85:AB88" si="140">IF(Y13="-","-",SUM(Z13)-SUM(Y13))</f>
        <v>1.468</v>
      </c>
      <c r="AA85" s="592">
        <f t="shared" si="140"/>
        <v>1.4899999999999998</v>
      </c>
      <c r="AB85" s="592">
        <f t="shared" si="140"/>
        <v>1.9480000000000004</v>
      </c>
      <c r="AC85" s="592">
        <f>SUM(Y85:AB85)</f>
        <v>6.0270000000000001</v>
      </c>
      <c r="AD85" s="604"/>
      <c r="AE85" s="592">
        <f>AE13</f>
        <v>2.2360000000000002</v>
      </c>
      <c r="AF85" s="592">
        <f t="shared" ref="AF85:AH88" si="141">IF(AE13="-","-",SUM(AF13)-SUM(AE13))</f>
        <v>2.5619999999999998</v>
      </c>
      <c r="AG85" s="592">
        <f t="shared" si="141"/>
        <v>3.9689999999999994</v>
      </c>
      <c r="AH85" s="592">
        <f t="shared" si="141"/>
        <v>3.1289999999999996</v>
      </c>
      <c r="AI85" s="593">
        <f>SUM(AE85:AH85)</f>
        <v>11.895999999999999</v>
      </c>
      <c r="AJ85" s="604"/>
      <c r="AK85" s="592">
        <f>AK13</f>
        <v>4.8479999999999999</v>
      </c>
      <c r="AL85" s="592">
        <f t="shared" ref="AL85:AN86" si="142">IF(AK13="-","-",SUM(AL13)-SUM(AK13))</f>
        <v>6.0450000000000008</v>
      </c>
      <c r="AM85" s="592">
        <f t="shared" si="142"/>
        <v>6.7579999999999991</v>
      </c>
      <c r="AN85" s="592">
        <f t="shared" si="142"/>
        <v>6.5680000000000014</v>
      </c>
      <c r="AO85" s="593">
        <f>SUM(AK85:AN85)</f>
        <v>24.219000000000001</v>
      </c>
      <c r="AP85" s="604"/>
      <c r="AQ85" s="592">
        <f>AQ13</f>
        <v>8.1579999999999995</v>
      </c>
      <c r="AR85" s="592">
        <f t="shared" ref="AR85:AT88" si="143">IF(AQ13="-","-",SUM(AR13)-SUM(AQ13))</f>
        <v>8.8699999999999992</v>
      </c>
      <c r="AS85" s="592">
        <f t="shared" si="143"/>
        <v>7.91</v>
      </c>
      <c r="AT85" s="592">
        <f t="shared" si="143"/>
        <v>11.032999999999998</v>
      </c>
      <c r="AU85" s="593">
        <f>SUM(AQ85:AT85)</f>
        <v>35.970999999999997</v>
      </c>
      <c r="AV85" s="604"/>
      <c r="AW85" s="592">
        <f>AW13</f>
        <v>12.145</v>
      </c>
      <c r="AX85" s="592">
        <f t="shared" ref="AX85:AX94" si="144">IF(AW13="-","-",SUM(AX13)-SUM(AW13))</f>
        <v>12.144000000000002</v>
      </c>
      <c r="AY85" s="592">
        <f t="shared" ref="AY85:AY94" si="145">IF(AX13="-","-",SUM(AY13)-SUM(AX13))</f>
        <v>13.600999999999999</v>
      </c>
      <c r="AZ85" s="592">
        <f t="shared" ref="AZ85:AZ94" si="146">IF(AY13="-","-",SUM(AZ13)-SUM(AY13))</f>
        <v>15.286999999999999</v>
      </c>
      <c r="BA85" s="593">
        <f>SUM(AW85:AZ85)</f>
        <v>53.177</v>
      </c>
      <c r="BB85" s="604"/>
      <c r="BC85" s="592">
        <f>BC13</f>
        <v>14.505000000000001</v>
      </c>
      <c r="BD85" s="592">
        <f t="shared" ref="BD85:BD94" si="147">IF(BC13="-","-",SUM(BD13)-SUM(BC13))</f>
        <v>17.792999999999999</v>
      </c>
      <c r="BE85" s="592">
        <f t="shared" ref="BE85:BE94" si="148">IF(BD13="-","-",SUM(BE13)-SUM(BD13))</f>
        <v>19.71</v>
      </c>
      <c r="BF85" s="592">
        <f t="shared" ref="BF85:BF94" si="149">IF(BE13="-","-",SUM(BF13)-SUM(BE13))</f>
        <v>23.737999999999992</v>
      </c>
      <c r="BG85" s="593">
        <f>SUM(BC85:BF85)</f>
        <v>75.745999999999995</v>
      </c>
      <c r="BH85" s="604"/>
      <c r="BI85" s="592">
        <f>BI13</f>
        <v>29.593</v>
      </c>
      <c r="BJ85" s="592">
        <f t="shared" ref="BJ85:BL94" si="150">IF(BI13="-","-",SUM(BJ13)-SUM(BI13))</f>
        <v>40.23899999999999</v>
      </c>
      <c r="BK85" s="592">
        <f t="shared" si="150"/>
        <v>41.553000000000011</v>
      </c>
      <c r="BL85" s="592">
        <f t="shared" si="150"/>
        <v>45.900999999999996</v>
      </c>
      <c r="BM85" s="593">
        <f>SUM(BI85:BL85)</f>
        <v>157.286</v>
      </c>
      <c r="BN85" s="604"/>
      <c r="BO85" s="592">
        <f>BO13</f>
        <v>49.441000000000003</v>
      </c>
      <c r="BP85" s="592">
        <f>IF(BO13="-","-",SUM(BP13)-SUM(BO13))</f>
        <v>49.998999999999995</v>
      </c>
      <c r="BQ85" s="592">
        <f t="shared" ref="BQ85:BR94" si="151">IF(BP13="-","-",SUM(BQ13)-SUM(BP13))</f>
        <v>59.960000000000008</v>
      </c>
      <c r="BR85" s="592">
        <f t="shared" si="151"/>
        <v>57.394999999999982</v>
      </c>
      <c r="BS85" s="593">
        <f>SUM(BO85:BR85)</f>
        <v>216.79499999999999</v>
      </c>
      <c r="BT85" s="604"/>
      <c r="BU85" s="592">
        <f>BU13</f>
        <v>62.296999999999997</v>
      </c>
      <c r="BV85" s="592">
        <f>IF(BU13="-","-",SUM(BV13)-SUM(BU13))</f>
        <v>77.966000000000008</v>
      </c>
      <c r="BW85" s="592">
        <f>IF(BV13="-","-",SUM(BW13)-SUM(BV13))</f>
        <v>114.34700000000001</v>
      </c>
      <c r="BX85" s="592">
        <f t="shared" ref="BX85:BX94" si="152">IF(BW13="-","-",SUM(BX13)-SUM(BW13))</f>
        <v>114.81299999999999</v>
      </c>
      <c r="BY85" s="593">
        <f>SUM(BU85:BX85)</f>
        <v>369.423</v>
      </c>
      <c r="BZ85" s="604"/>
      <c r="CA85" s="592">
        <f>CA13</f>
        <v>110.80800000000001</v>
      </c>
      <c r="CB85" s="592">
        <f>IF(CA13="-","-",SUM(CB13)-SUM(CA13))</f>
        <v>107.59599999999999</v>
      </c>
      <c r="CC85" s="592">
        <f t="shared" ref="CB85:CD87" si="153">IF(CB13="-","-",SUM(CC13)-SUM(CB13))</f>
        <v>111.95400000000001</v>
      </c>
      <c r="CD85" s="592">
        <f t="shared" si="153"/>
        <v>117.93799999999999</v>
      </c>
      <c r="CE85" s="593">
        <f>SUM(CA85:CD85)</f>
        <v>448.29599999999999</v>
      </c>
      <c r="CF85" s="604"/>
      <c r="CG85" s="592">
        <f>CG13</f>
        <v>127.92700000000001</v>
      </c>
      <c r="CH85" s="592">
        <f t="shared" ref="CH85:CJ87" si="154">IF(CG13="-","-",SUM(CH13)-SUM(CG13))</f>
        <v>131.67499999999995</v>
      </c>
      <c r="CI85" s="592">
        <f t="shared" si="154"/>
        <v>134.23600000000005</v>
      </c>
      <c r="CJ85" s="592">
        <f>IF(CI13="-","-",SUM(CJ13)-SUM(CI13))</f>
        <v>131.91199999999998</v>
      </c>
      <c r="CK85" s="593">
        <f>SUM(CG85:CJ85)</f>
        <v>525.75</v>
      </c>
      <c r="CL85" s="604"/>
      <c r="CM85" s="592">
        <f>CM13</f>
        <v>132.77199999999999</v>
      </c>
      <c r="CN85" s="592">
        <f t="shared" ref="CN85:CP87" si="155">IF(CM13="-","-",SUM(CN13)-SUM(CM13))</f>
        <v>149.36099999999999</v>
      </c>
      <c r="CO85" s="592">
        <f t="shared" si="155"/>
        <v>169.346</v>
      </c>
      <c r="CP85" s="592">
        <f t="shared" si="155"/>
        <v>180.76600000000002</v>
      </c>
      <c r="CQ85" s="593">
        <f>SUM(CM85:CP85)</f>
        <v>632.245</v>
      </c>
      <c r="CR85" s="604"/>
      <c r="CS85" s="592">
        <f>CS13</f>
        <v>185.108</v>
      </c>
      <c r="CT85" s="592">
        <f t="shared" ref="CT85:CV87" si="156">IF(CS13="-","-",SUM(CT13)-SUM(CS13))</f>
        <v>192.25700000000001</v>
      </c>
      <c r="CU85" s="592">
        <f t="shared" si="156"/>
        <v>187.54599999999994</v>
      </c>
      <c r="CV85" s="592">
        <f t="shared" si="156"/>
        <v>187.68900000000008</v>
      </c>
      <c r="CW85" s="593">
        <f>SUM(CS85:CV85)</f>
        <v>752.6</v>
      </c>
      <c r="CX85" s="604"/>
      <c r="CY85" s="592">
        <f>CY13</f>
        <v>213.97960099019826</v>
      </c>
      <c r="CZ85" s="592">
        <f t="shared" ref="CZ85:DB87" si="157">IF(CY13="-","-",SUM(CZ13)-SUM(CY13))</f>
        <v>219.71672665100868</v>
      </c>
      <c r="DA85" s="592">
        <f t="shared" si="157"/>
        <v>224.15561053878162</v>
      </c>
      <c r="DB85" s="592">
        <f t="shared" si="157"/>
        <v>228.70059939216446</v>
      </c>
      <c r="DC85" s="593">
        <f>SUM(CY85:DB85)</f>
        <v>886.55253757215303</v>
      </c>
      <c r="DD85" s="604"/>
      <c r="DE85" s="592">
        <f>DE13</f>
        <v>234.82955940627937</v>
      </c>
      <c r="DF85" s="592">
        <f t="shared" ref="DF85:DF87" si="158">IF(DE13="-","-",SUM(DF13)-SUM(DE13))</f>
        <v>241.35224641489208</v>
      </c>
      <c r="DG85" s="592">
        <f t="shared" ref="DG85:DG87" si="159">IF(DF13="-","-",SUM(DG13)-SUM(DF13))</f>
        <v>246.69232795125936</v>
      </c>
      <c r="DH85" s="592">
        <f t="shared" ref="DH85:DH87" si="160">IF(DG13="-","-",SUM(DH13)-SUM(DG13))</f>
        <v>252.14178657329239</v>
      </c>
      <c r="DI85" s="593">
        <f>SUM(DE85:DH85)</f>
        <v>975.0159203457232</v>
      </c>
      <c r="DJ85" s="604"/>
      <c r="DK85" s="592">
        <f>DK13</f>
        <v>258.58365399901686</v>
      </c>
      <c r="DL85" s="592">
        <f t="shared" ref="DL85:DL87" si="161">IF(DK13="-","-",SUM(DL13)-SUM(DK13))</f>
        <v>265.49134927337502</v>
      </c>
      <c r="DM85" s="592">
        <f t="shared" ref="DM85:DM87" si="162">IF(DL13="-","-",SUM(DM13)-SUM(DL13))</f>
        <v>271.86547284251344</v>
      </c>
      <c r="DN85" s="592">
        <f t="shared" ref="DN85:DN87" si="163">IF(DM13="-","-",SUM(DN13)-SUM(DM13))</f>
        <v>278.87079345943243</v>
      </c>
      <c r="DO85" s="593">
        <f>SUM(DK85:DN85)</f>
        <v>1074.8112695743378</v>
      </c>
      <c r="DP85" s="958"/>
      <c r="DQ85" s="958"/>
      <c r="DR85" s="958"/>
    </row>
    <row r="86" spans="1:122" ht="10.5" customHeight="1">
      <c r="A86" s="555" t="s">
        <v>375</v>
      </c>
      <c r="B86" s="584"/>
      <c r="C86" s="565">
        <v>1.0980000000000001</v>
      </c>
      <c r="D86" s="565">
        <v>3.452</v>
      </c>
      <c r="E86" s="565">
        <v>4.4509999999999996</v>
      </c>
      <c r="F86" s="584"/>
      <c r="G86" s="565">
        <v>0.85799999999999998</v>
      </c>
      <c r="H86" s="556">
        <v>0.91200000000000003</v>
      </c>
      <c r="I86" s="556">
        <v>1.7150000000000001</v>
      </c>
      <c r="J86" s="556">
        <v>1.282</v>
      </c>
      <c r="K86" s="565">
        <f t="shared" si="137"/>
        <v>4.7670000000000003</v>
      </c>
      <c r="L86" s="556"/>
      <c r="M86" s="556">
        <v>1.0840000000000001</v>
      </c>
      <c r="N86" s="556">
        <v>1.044</v>
      </c>
      <c r="O86" s="556">
        <v>1.0089999999999999</v>
      </c>
      <c r="P86" s="556">
        <v>1.222</v>
      </c>
      <c r="Q86" s="565">
        <f t="shared" si="138"/>
        <v>4.359</v>
      </c>
      <c r="R86" s="584"/>
      <c r="S86" s="556">
        <v>0.877</v>
      </c>
      <c r="T86" s="565">
        <f t="shared" si="139"/>
        <v>1.1000000000000001</v>
      </c>
      <c r="U86" s="565">
        <f t="shared" si="139"/>
        <v>1.1910000000000001</v>
      </c>
      <c r="V86" s="565">
        <f t="shared" si="139"/>
        <v>0.44599999999999973</v>
      </c>
      <c r="W86" s="565">
        <f>SUM(S86:V86)</f>
        <v>3.6139999999999999</v>
      </c>
      <c r="X86" s="584"/>
      <c r="Y86" s="565">
        <f>Y14</f>
        <v>0.85599999999999998</v>
      </c>
      <c r="Z86" s="565">
        <f t="shared" si="140"/>
        <v>0.93800000000000006</v>
      </c>
      <c r="AA86" s="565">
        <f t="shared" si="140"/>
        <v>0.82500000000000018</v>
      </c>
      <c r="AB86" s="565">
        <f t="shared" si="140"/>
        <v>0.82899999999999974</v>
      </c>
      <c r="AC86" s="565">
        <f>SUM(Y86:AB86)</f>
        <v>3.448</v>
      </c>
      <c r="AD86" s="556"/>
      <c r="AE86" s="565">
        <f>AE14</f>
        <v>7.6059999999999999</v>
      </c>
      <c r="AF86" s="565">
        <f t="shared" si="141"/>
        <v>10.193</v>
      </c>
      <c r="AG86" s="565">
        <f t="shared" si="141"/>
        <v>10.240000000000002</v>
      </c>
      <c r="AH86" s="565">
        <f t="shared" si="141"/>
        <v>11.165999999999997</v>
      </c>
      <c r="AI86" s="568">
        <f>SUM(AE86:AH86)</f>
        <v>39.204999999999998</v>
      </c>
      <c r="AJ86" s="556"/>
      <c r="AK86" s="565">
        <f>AK14</f>
        <v>12.012</v>
      </c>
      <c r="AL86" s="565">
        <f t="shared" si="142"/>
        <v>13.431000000000001</v>
      </c>
      <c r="AM86" s="565">
        <f t="shared" si="142"/>
        <v>14.178000000000001</v>
      </c>
      <c r="AN86" s="565">
        <f t="shared" si="142"/>
        <v>15.585999999999999</v>
      </c>
      <c r="AO86" s="568">
        <f>SUM(AK86:AN86)</f>
        <v>55.207000000000001</v>
      </c>
      <c r="AP86" s="556"/>
      <c r="AQ86" s="565">
        <f>AQ14</f>
        <v>18.065000000000001</v>
      </c>
      <c r="AR86" s="565">
        <f t="shared" si="143"/>
        <v>18.883999999999997</v>
      </c>
      <c r="AS86" s="565">
        <f t="shared" si="143"/>
        <v>19.276000000000003</v>
      </c>
      <c r="AT86" s="565">
        <f>IF(AS14="-","-",SUM(AT14)-SUM(AS14))</f>
        <v>21.140999999999998</v>
      </c>
      <c r="AU86" s="568">
        <f>SUM(AQ86:AT86)</f>
        <v>77.366</v>
      </c>
      <c r="AV86" s="556"/>
      <c r="AW86" s="565">
        <f>AW14</f>
        <v>21.663</v>
      </c>
      <c r="AX86" s="565">
        <f t="shared" si="144"/>
        <v>20.876999999999999</v>
      </c>
      <c r="AY86" s="565">
        <f t="shared" si="145"/>
        <v>20.407000000000004</v>
      </c>
      <c r="AZ86" s="565">
        <f t="shared" si="146"/>
        <v>25.944999999999993</v>
      </c>
      <c r="BA86" s="568">
        <f>SUM(AW86:AZ86)</f>
        <v>88.891999999999996</v>
      </c>
      <c r="BB86" s="556"/>
      <c r="BC86" s="565">
        <f>BC14</f>
        <v>26.468</v>
      </c>
      <c r="BD86" s="565">
        <f t="shared" si="147"/>
        <v>26.614999999999998</v>
      </c>
      <c r="BE86" s="565">
        <f t="shared" si="148"/>
        <v>25.632000000000005</v>
      </c>
      <c r="BF86" s="565">
        <f t="shared" si="149"/>
        <v>41.713999999999999</v>
      </c>
      <c r="BG86" s="568">
        <f>SUM(BC86:BF86)</f>
        <v>120.429</v>
      </c>
      <c r="BH86" s="556"/>
      <c r="BI86" s="565">
        <f>BI14</f>
        <v>47.558</v>
      </c>
      <c r="BJ86" s="565">
        <f>IF(BI14="-","-",SUM(BJ14)-SUM(BI14))</f>
        <v>54.594000000000001</v>
      </c>
      <c r="BK86" s="565">
        <f>IF(BJ14="-","-",SUM(BK14)-SUM(BJ14))</f>
        <v>57.005999999999986</v>
      </c>
      <c r="BL86" s="565">
        <f>IF(BK14="-","-",SUM(BL14)-SUM(BK14))</f>
        <v>70.100000000000023</v>
      </c>
      <c r="BM86" s="568">
        <f>SUM(BI86:BL86)</f>
        <v>229.25800000000001</v>
      </c>
      <c r="BN86" s="556"/>
      <c r="BO86" s="565">
        <f>BO14</f>
        <v>81.266000000000005</v>
      </c>
      <c r="BP86" s="565">
        <f t="shared" ref="BP86:BP94" si="164">IF(BO14="-","-",SUM(BP14)-SUM(BO14))</f>
        <v>85.416999999999987</v>
      </c>
      <c r="BQ86" s="565">
        <f t="shared" si="151"/>
        <v>105.11200000000002</v>
      </c>
      <c r="BR86" s="565">
        <f>IF(BQ14="-","-",SUM(BR14)-SUM(BQ14))</f>
        <v>107.55500000000001</v>
      </c>
      <c r="BS86" s="568">
        <f>SUM(BO86:BR86)</f>
        <v>379.35</v>
      </c>
      <c r="BT86" s="556"/>
      <c r="BU86" s="565">
        <f>BU14</f>
        <v>114.729</v>
      </c>
      <c r="BV86" s="565">
        <f t="shared" ref="BV86:BW94" si="165">IF(BU14="-","-",SUM(BV14)-SUM(BU14))</f>
        <v>110.47600000000001</v>
      </c>
      <c r="BW86" s="565">
        <f t="shared" si="165"/>
        <v>141.53599999999997</v>
      </c>
      <c r="BX86" s="565">
        <f t="shared" si="152"/>
        <v>136.53899999999999</v>
      </c>
      <c r="BY86" s="568">
        <f>SUM(BU86:BX86)</f>
        <v>503.28</v>
      </c>
      <c r="BZ86" s="556"/>
      <c r="CA86" s="565">
        <f>CA14</f>
        <v>131.09200000000001</v>
      </c>
      <c r="CB86" s="565">
        <f t="shared" si="153"/>
        <v>142.41099999999997</v>
      </c>
      <c r="CC86" s="565">
        <f t="shared" si="153"/>
        <v>139.46000000000004</v>
      </c>
      <c r="CD86" s="565">
        <f>IF(CC14="-","-",SUM(CD14)-SUM(CC14))</f>
        <v>151.80199999999996</v>
      </c>
      <c r="CE86" s="568">
        <f>SUM(CA86:CD86)</f>
        <v>564.76499999999999</v>
      </c>
      <c r="CF86" s="556"/>
      <c r="CG86" s="565">
        <f>CG14</f>
        <v>142.56</v>
      </c>
      <c r="CH86" s="565">
        <f t="shared" si="154"/>
        <v>147.779</v>
      </c>
      <c r="CI86" s="565">
        <f t="shared" si="154"/>
        <v>144.31700000000001</v>
      </c>
      <c r="CJ86" s="565">
        <f t="shared" si="154"/>
        <v>158.97200000000004</v>
      </c>
      <c r="CK86" s="568">
        <f>SUM(CG86:CJ86)</f>
        <v>593.62800000000004</v>
      </c>
      <c r="CL86" s="556"/>
      <c r="CM86" s="565">
        <f>CM14</f>
        <v>188.91900000000001</v>
      </c>
      <c r="CN86" s="565">
        <f t="shared" si="155"/>
        <v>182.30999999999997</v>
      </c>
      <c r="CO86" s="565">
        <f t="shared" si="155"/>
        <v>204.75100000000003</v>
      </c>
      <c r="CP86" s="565">
        <f t="shared" si="155"/>
        <v>244.38699999999994</v>
      </c>
      <c r="CQ86" s="568">
        <f>SUM(CM86:CP86)</f>
        <v>820.36699999999996</v>
      </c>
      <c r="CR86" s="556"/>
      <c r="CS86" s="565">
        <f>CS14</f>
        <v>251.56899999999999</v>
      </c>
      <c r="CT86" s="565">
        <f t="shared" si="156"/>
        <v>256.48500000000001</v>
      </c>
      <c r="CU86" s="565">
        <f t="shared" si="156"/>
        <v>251.27700000000004</v>
      </c>
      <c r="CV86" s="565">
        <f t="shared" si="156"/>
        <v>237.68200000000002</v>
      </c>
      <c r="CW86" s="568">
        <f>SUM(CS86:CV86)</f>
        <v>997.01300000000003</v>
      </c>
      <c r="CX86" s="556"/>
      <c r="CY86" s="565">
        <f>CY14</f>
        <v>264.14744999999999</v>
      </c>
      <c r="CZ86" s="565">
        <f t="shared" si="157"/>
        <v>282.13350000000008</v>
      </c>
      <c r="DA86" s="565">
        <f t="shared" si="157"/>
        <v>276.40470000000005</v>
      </c>
      <c r="DB86" s="565">
        <f t="shared" si="157"/>
        <v>261.4502</v>
      </c>
      <c r="DC86" s="568">
        <f>SUM(CY86:DB86)</f>
        <v>1084.1358500000001</v>
      </c>
      <c r="DD86" s="556"/>
      <c r="DE86" s="565">
        <f>DE14</f>
        <v>277.35482250000001</v>
      </c>
      <c r="DF86" s="565">
        <f t="shared" si="158"/>
        <v>296.24017500000008</v>
      </c>
      <c r="DG86" s="565">
        <f t="shared" si="159"/>
        <v>290.22493499999996</v>
      </c>
      <c r="DH86" s="565">
        <f t="shared" si="160"/>
        <v>274.52270999999996</v>
      </c>
      <c r="DI86" s="568">
        <f>SUM(DE86:DH86)</f>
        <v>1138.3426425</v>
      </c>
      <c r="DJ86" s="556"/>
      <c r="DK86" s="565">
        <f>DK14</f>
        <v>291.22256362500002</v>
      </c>
      <c r="DL86" s="565">
        <f t="shared" si="161"/>
        <v>311.05218375000004</v>
      </c>
      <c r="DM86" s="565">
        <f t="shared" si="162"/>
        <v>304.73618175000001</v>
      </c>
      <c r="DN86" s="565">
        <f t="shared" si="163"/>
        <v>288.24884550000002</v>
      </c>
      <c r="DO86" s="568">
        <f>SUM(DK86:DN86)</f>
        <v>1195.2597746250001</v>
      </c>
      <c r="DP86" s="1702"/>
      <c r="DQ86" s="956"/>
      <c r="DR86" s="956"/>
    </row>
    <row r="87" spans="1:122" ht="10.5" customHeight="1">
      <c r="A87" s="555" t="s">
        <v>437</v>
      </c>
      <c r="B87" s="584"/>
      <c r="C87" s="565">
        <v>0</v>
      </c>
      <c r="D87" s="565">
        <v>0</v>
      </c>
      <c r="E87" s="565">
        <v>0.24099999999999999</v>
      </c>
      <c r="F87" s="584"/>
      <c r="G87" s="565">
        <v>0.35499999999999998</v>
      </c>
      <c r="H87" s="556">
        <v>0.55600000000000005</v>
      </c>
      <c r="I87" s="556">
        <v>0.79900000000000004</v>
      </c>
      <c r="J87" s="556">
        <v>1.175</v>
      </c>
      <c r="K87" s="565">
        <f t="shared" si="137"/>
        <v>2.8849999999999998</v>
      </c>
      <c r="L87" s="556"/>
      <c r="M87" s="556">
        <v>1.452</v>
      </c>
      <c r="N87" s="556">
        <v>1.7989999999999999</v>
      </c>
      <c r="O87" s="556">
        <v>2.2320000000000002</v>
      </c>
      <c r="P87" s="556">
        <v>3.1160000000000001</v>
      </c>
      <c r="Q87" s="565">
        <f t="shared" si="138"/>
        <v>8.5990000000000002</v>
      </c>
      <c r="R87" s="584"/>
      <c r="S87" s="565">
        <v>3.593</v>
      </c>
      <c r="T87" s="565">
        <f t="shared" si="139"/>
        <v>3.875</v>
      </c>
      <c r="U87" s="565">
        <f t="shared" si="139"/>
        <v>4.2550000000000008</v>
      </c>
      <c r="V87" s="565">
        <f t="shared" si="139"/>
        <v>3.875</v>
      </c>
      <c r="W87" s="565">
        <f t="shared" ref="W87:W94" si="166">SUM(S87:V87)</f>
        <v>15.598000000000001</v>
      </c>
      <c r="X87" s="584"/>
      <c r="Y87" s="565">
        <f>Y15</f>
        <v>3.4020000000000001</v>
      </c>
      <c r="Z87" s="565">
        <f t="shared" si="140"/>
        <v>3.3259999999999996</v>
      </c>
      <c r="AA87" s="565">
        <f t="shared" si="140"/>
        <v>3.6289999999999996</v>
      </c>
      <c r="AB87" s="565">
        <f t="shared" si="140"/>
        <v>4.2490000000000006</v>
      </c>
      <c r="AC87" s="565">
        <f t="shared" ref="AC87:AC94" si="167">SUM(Y87:AB87)</f>
        <v>14.606</v>
      </c>
      <c r="AD87" s="556"/>
      <c r="AE87" s="565">
        <f>AE15</f>
        <v>5.1269999999999998</v>
      </c>
      <c r="AF87" s="565">
        <f t="shared" si="141"/>
        <v>5.6510000000000007</v>
      </c>
      <c r="AG87" s="565">
        <f t="shared" si="141"/>
        <v>5.827</v>
      </c>
      <c r="AH87" s="565">
        <f t="shared" si="141"/>
        <v>6.7759999999999998</v>
      </c>
      <c r="AI87" s="568">
        <f t="shared" ref="AI87:AI94" si="168">SUM(AE87:AH87)</f>
        <v>23.381</v>
      </c>
      <c r="AJ87" s="556"/>
      <c r="AK87" s="565">
        <f>AK15</f>
        <v>9.0389999999999997</v>
      </c>
      <c r="AL87" s="565">
        <f t="shared" ref="AL87:AN88" si="169">IF(AK15="-","-",SUM(AL15)-SUM(AK15))</f>
        <v>9.6440000000000001</v>
      </c>
      <c r="AM87" s="565">
        <f t="shared" si="169"/>
        <v>11.044</v>
      </c>
      <c r="AN87" s="565">
        <f t="shared" si="169"/>
        <v>12.468</v>
      </c>
      <c r="AO87" s="568">
        <f t="shared" ref="AO87:AO94" si="170">SUM(AK87:AN87)</f>
        <v>42.195</v>
      </c>
      <c r="AP87" s="556"/>
      <c r="AQ87" s="565">
        <f>AQ15</f>
        <v>14.723000000000001</v>
      </c>
      <c r="AR87" s="565">
        <f t="shared" si="143"/>
        <v>13.906999999999998</v>
      </c>
      <c r="AS87" s="565">
        <f t="shared" si="143"/>
        <v>14.784000000000002</v>
      </c>
      <c r="AT87" s="565">
        <f t="shared" si="143"/>
        <v>15.317999999999998</v>
      </c>
      <c r="AU87" s="568">
        <f t="shared" ref="AU87:AU94" si="171">SUM(AQ87:AT87)</f>
        <v>58.731999999999999</v>
      </c>
      <c r="AV87" s="556"/>
      <c r="AW87" s="565">
        <f>AW15</f>
        <v>14.946</v>
      </c>
      <c r="AX87" s="565">
        <f t="shared" si="144"/>
        <v>15.315</v>
      </c>
      <c r="AY87" s="565">
        <f t="shared" si="145"/>
        <v>15.698000000000004</v>
      </c>
      <c r="AZ87" s="565">
        <f t="shared" si="146"/>
        <v>17.931999999999995</v>
      </c>
      <c r="BA87" s="568">
        <f>SUM(AW87:AZ87)</f>
        <v>63.890999999999998</v>
      </c>
      <c r="BB87" s="556"/>
      <c r="BC87" s="565">
        <f>BC15</f>
        <v>19.489000000000001</v>
      </c>
      <c r="BD87" s="565">
        <f t="shared" si="147"/>
        <v>18.105999999999998</v>
      </c>
      <c r="BE87" s="565">
        <f t="shared" si="148"/>
        <v>19.959000000000003</v>
      </c>
      <c r="BF87" s="565">
        <f>IF(BE15="-","-",SUM(BF15)-SUM(BE15))</f>
        <v>22.605000000000004</v>
      </c>
      <c r="BG87" s="568">
        <f>SUM(BC87:BF87)</f>
        <v>80.159000000000006</v>
      </c>
      <c r="BH87" s="556"/>
      <c r="BI87" s="565">
        <f>BI15</f>
        <v>24.675000000000001</v>
      </c>
      <c r="BJ87" s="565">
        <f t="shared" si="150"/>
        <v>24.916</v>
      </c>
      <c r="BK87" s="565">
        <f t="shared" si="150"/>
        <v>26.862000000000002</v>
      </c>
      <c r="BL87" s="565">
        <f t="shared" si="150"/>
        <v>30.74199999999999</v>
      </c>
      <c r="BM87" s="568">
        <f>SUM(BI87:BL87)</f>
        <v>107.19499999999999</v>
      </c>
      <c r="BN87" s="556"/>
      <c r="BO87" s="565">
        <f>BO15</f>
        <v>36.246000000000002</v>
      </c>
      <c r="BP87" s="565">
        <f t="shared" si="164"/>
        <v>35.782999999999994</v>
      </c>
      <c r="BQ87" s="565">
        <f t="shared" si="151"/>
        <v>39.070000000000007</v>
      </c>
      <c r="BR87" s="565">
        <f t="shared" si="151"/>
        <v>43.719000000000008</v>
      </c>
      <c r="BS87" s="568">
        <f>SUM(BO87:BR87)</f>
        <v>154.81800000000001</v>
      </c>
      <c r="BT87" s="556"/>
      <c r="BU87" s="565">
        <f>BU15</f>
        <v>45.667000000000002</v>
      </c>
      <c r="BV87" s="565">
        <f t="shared" si="165"/>
        <v>46.188999999999993</v>
      </c>
      <c r="BW87" s="565">
        <f t="shared" si="165"/>
        <v>48.00800000000001</v>
      </c>
      <c r="BX87" s="565">
        <f t="shared" si="152"/>
        <v>54.688999999999993</v>
      </c>
      <c r="BY87" s="568">
        <f>SUM(BU87:BX87)</f>
        <v>194.553</v>
      </c>
      <c r="BZ87" s="556"/>
      <c r="CA87" s="565">
        <f>CA15</f>
        <v>59.854999999999997</v>
      </c>
      <c r="CB87" s="565">
        <f>IF(CA15="-","-",SUM(CB15)-SUM(CA15))</f>
        <v>61.300000000000004</v>
      </c>
      <c r="CC87" s="565">
        <f t="shared" si="153"/>
        <v>65.371000000000009</v>
      </c>
      <c r="CD87" s="565">
        <f t="shared" si="153"/>
        <v>71.115999999999985</v>
      </c>
      <c r="CE87" s="568">
        <f>SUM(CA87:CD87)</f>
        <v>257.642</v>
      </c>
      <c r="CF87" s="556"/>
      <c r="CG87" s="565">
        <f>CG15</f>
        <v>77.155000000000001</v>
      </c>
      <c r="CH87" s="565">
        <f t="shared" si="154"/>
        <v>76.679000000000002</v>
      </c>
      <c r="CI87" s="565">
        <f t="shared" si="154"/>
        <v>78.933999999999997</v>
      </c>
      <c r="CJ87" s="565">
        <f t="shared" si="154"/>
        <v>86.306000000000012</v>
      </c>
      <c r="CK87" s="568">
        <f>SUM(CG87:CJ87)</f>
        <v>319.07400000000001</v>
      </c>
      <c r="CL87" s="556"/>
      <c r="CM87" s="565">
        <f>CM15</f>
        <v>88.513999999999996</v>
      </c>
      <c r="CN87" s="565">
        <f t="shared" si="155"/>
        <v>88.783000000000001</v>
      </c>
      <c r="CO87" s="565">
        <f t="shared" si="155"/>
        <v>93.22999999999999</v>
      </c>
      <c r="CP87" s="565">
        <f t="shared" si="155"/>
        <v>101.01400000000001</v>
      </c>
      <c r="CQ87" s="568">
        <f>SUM(CM87:CP87)</f>
        <v>371.541</v>
      </c>
      <c r="CR87" s="556"/>
      <c r="CS87" s="565">
        <f>CS15</f>
        <v>106.142</v>
      </c>
      <c r="CT87" s="565">
        <f t="shared" si="156"/>
        <v>107.86799999999999</v>
      </c>
      <c r="CU87" s="565">
        <f t="shared" si="156"/>
        <v>117.67700000000002</v>
      </c>
      <c r="CV87" s="565">
        <f t="shared" si="156"/>
        <v>132.97499999999997</v>
      </c>
      <c r="CW87" s="568">
        <f>SUM(CS87:CV87)</f>
        <v>464.66199999999998</v>
      </c>
      <c r="CX87" s="556"/>
      <c r="CY87" s="565">
        <f>CY15</f>
        <v>180.70835440066861</v>
      </c>
      <c r="CZ87" s="565">
        <f t="shared" si="157"/>
        <v>170.39063394403041</v>
      </c>
      <c r="DA87" s="565">
        <f t="shared" si="157"/>
        <v>168.73870468493726</v>
      </c>
      <c r="DB87" s="565">
        <f t="shared" si="157"/>
        <v>199.04103594963806</v>
      </c>
      <c r="DC87" s="568">
        <f>SUM(CY87:DB87)</f>
        <v>718.87872897927434</v>
      </c>
      <c r="DD87" s="556"/>
      <c r="DE87" s="565">
        <f>DE15</f>
        <v>236.82292681023489</v>
      </c>
      <c r="DF87" s="565">
        <f t="shared" si="158"/>
        <v>216.33165055545714</v>
      </c>
      <c r="DG87" s="565">
        <f t="shared" si="159"/>
        <v>208.30951696080876</v>
      </c>
      <c r="DH87" s="565">
        <f t="shared" si="160"/>
        <v>231.48028751874278</v>
      </c>
      <c r="DI87" s="568">
        <f>SUM(DE87:DH87)</f>
        <v>892.94438184524358</v>
      </c>
      <c r="DJ87" s="556"/>
      <c r="DK87" s="565">
        <f>DK15</f>
        <v>289.90056342832298</v>
      </c>
      <c r="DL87" s="565">
        <f t="shared" si="161"/>
        <v>258.43480716868652</v>
      </c>
      <c r="DM87" s="565">
        <f t="shared" si="162"/>
        <v>243.99028428448366</v>
      </c>
      <c r="DN87" s="565">
        <f t="shared" si="163"/>
        <v>259.36886811130648</v>
      </c>
      <c r="DO87" s="568">
        <f>SUM(DK87:DN87)</f>
        <v>1051.6945229927996</v>
      </c>
      <c r="DP87" s="1698"/>
      <c r="DQ87" s="956"/>
      <c r="DR87" s="956"/>
    </row>
    <row r="88" spans="1:122" ht="10.5" customHeight="1">
      <c r="A88" s="555" t="s">
        <v>47</v>
      </c>
      <c r="B88" s="584"/>
      <c r="C88" s="565"/>
      <c r="D88" s="565"/>
      <c r="E88" s="565"/>
      <c r="F88" s="584"/>
      <c r="G88" s="565"/>
      <c r="H88" s="556"/>
      <c r="I88" s="556"/>
      <c r="J88" s="556"/>
      <c r="K88" s="565"/>
      <c r="L88" s="556"/>
      <c r="M88" s="556"/>
      <c r="N88" s="556"/>
      <c r="O88" s="556"/>
      <c r="P88" s="556"/>
      <c r="Q88" s="565"/>
      <c r="R88" s="584"/>
      <c r="S88" s="565"/>
      <c r="T88" s="565"/>
      <c r="U88" s="565"/>
      <c r="V88" s="565"/>
      <c r="W88" s="565"/>
      <c r="X88" s="584"/>
      <c r="Y88" s="565">
        <f>Y16</f>
        <v>0</v>
      </c>
      <c r="Z88" s="565">
        <f t="shared" si="140"/>
        <v>0</v>
      </c>
      <c r="AA88" s="565">
        <f t="shared" si="140"/>
        <v>0</v>
      </c>
      <c r="AB88" s="565">
        <f t="shared" si="140"/>
        <v>0</v>
      </c>
      <c r="AC88" s="565">
        <f>SUM(Y88:AB88)</f>
        <v>0</v>
      </c>
      <c r="AD88" s="556"/>
      <c r="AE88" s="565">
        <f>AE16</f>
        <v>8.8999999999999996E-2</v>
      </c>
      <c r="AF88" s="565">
        <f t="shared" si="141"/>
        <v>0.54100000000000004</v>
      </c>
      <c r="AG88" s="565">
        <f t="shared" si="141"/>
        <v>-0.63</v>
      </c>
      <c r="AH88" s="565">
        <f t="shared" si="141"/>
        <v>0.60799999999999998</v>
      </c>
      <c r="AI88" s="568">
        <f>SUM(AE88:AH88)</f>
        <v>0.60799999999999998</v>
      </c>
      <c r="AJ88" s="556"/>
      <c r="AK88" s="565">
        <f>AK16</f>
        <v>0</v>
      </c>
      <c r="AL88" s="565">
        <f t="shared" si="169"/>
        <v>0</v>
      </c>
      <c r="AM88" s="565">
        <f t="shared" si="169"/>
        <v>0</v>
      </c>
      <c r="AN88" s="565">
        <f t="shared" si="169"/>
        <v>0</v>
      </c>
      <c r="AO88" s="568">
        <f>SUM(AK88:AN88)</f>
        <v>0</v>
      </c>
      <c r="AP88" s="556"/>
      <c r="AQ88" s="565">
        <f>AQ16</f>
        <v>0</v>
      </c>
      <c r="AR88" s="565">
        <f t="shared" si="143"/>
        <v>0</v>
      </c>
      <c r="AS88" s="565">
        <f t="shared" si="143"/>
        <v>0</v>
      </c>
      <c r="AT88" s="565">
        <f t="shared" si="143"/>
        <v>0</v>
      </c>
      <c r="AU88" s="568">
        <f>SUM(AQ88:AT88)</f>
        <v>0</v>
      </c>
      <c r="AV88" s="556"/>
      <c r="AW88" s="565">
        <f>AW16</f>
        <v>0</v>
      </c>
      <c r="AX88" s="565">
        <f t="shared" si="144"/>
        <v>0</v>
      </c>
      <c r="AY88" s="565">
        <f t="shared" si="145"/>
        <v>0</v>
      </c>
      <c r="AZ88" s="565">
        <f t="shared" si="146"/>
        <v>0.72799999999999998</v>
      </c>
      <c r="BA88" s="568">
        <f>SUM(AW88:AZ88)</f>
        <v>0.72799999999999998</v>
      </c>
      <c r="BB88" s="556"/>
      <c r="BC88" s="565">
        <f>BC16</f>
        <v>0</v>
      </c>
      <c r="BD88" s="565">
        <f t="shared" si="147"/>
        <v>10.984</v>
      </c>
      <c r="BE88" s="565">
        <f t="shared" si="148"/>
        <v>6.6549999999999994</v>
      </c>
      <c r="BF88" s="565">
        <f>IF(BE16="-","-",SUM(BF16)-SUM(BE16))</f>
        <v>1.9819999999999993</v>
      </c>
      <c r="BG88" s="568">
        <f>SUM(BC88:BF88)</f>
        <v>19.620999999999999</v>
      </c>
      <c r="BH88" s="556"/>
      <c r="BI88" s="565">
        <f>BI16</f>
        <v>2.2549999999999999</v>
      </c>
      <c r="BJ88" s="565">
        <f t="shared" si="150"/>
        <v>2.077</v>
      </c>
      <c r="BK88" s="565">
        <f t="shared" si="150"/>
        <v>2.1379999999999999</v>
      </c>
      <c r="BL88" s="565">
        <f t="shared" si="150"/>
        <v>3.8769999999999998</v>
      </c>
      <c r="BM88" s="568">
        <f>SUM(BI88:BL88)</f>
        <v>10.347</v>
      </c>
      <c r="BN88" s="556"/>
      <c r="BO88" s="565">
        <f>BO16</f>
        <v>4.6689999999999996</v>
      </c>
      <c r="BP88" s="565">
        <f>BP16-BO16</f>
        <v>6.3709999999999996</v>
      </c>
      <c r="BQ88" s="565">
        <f>BQ16-BP16</f>
        <v>6.4710000000000001</v>
      </c>
      <c r="BR88" s="565">
        <f t="shared" si="151"/>
        <v>6.5749999999999993</v>
      </c>
      <c r="BS88" s="568">
        <f>SUM(BO88:BR88)</f>
        <v>24.085999999999999</v>
      </c>
      <c r="BT88" s="556"/>
      <c r="BU88" s="565">
        <f>BU16</f>
        <v>9.67</v>
      </c>
      <c r="BV88" s="565">
        <f>BV16-BU16</f>
        <v>13.194000000000001</v>
      </c>
      <c r="BW88" s="565">
        <f>BW16-BV16</f>
        <v>13.343</v>
      </c>
      <c r="BX88" s="565">
        <f>BX16-BW16</f>
        <v>13.588999999999999</v>
      </c>
      <c r="BY88" s="568">
        <f>SUM(BU88:BX88)</f>
        <v>49.795999999999999</v>
      </c>
      <c r="BZ88" s="556"/>
      <c r="CA88" s="565">
        <f>CA16</f>
        <v>20.32</v>
      </c>
      <c r="CB88" s="565">
        <f>CB16-CA16</f>
        <v>10.309999999999999</v>
      </c>
      <c r="CC88" s="565">
        <f>CC16-CB16</f>
        <v>0.53000000000000114</v>
      </c>
      <c r="CD88" s="565">
        <f>CD16-CC16</f>
        <v>8.4599999999999973</v>
      </c>
      <c r="CE88" s="568">
        <f>SUM(CA88:CD88)</f>
        <v>39.619999999999997</v>
      </c>
      <c r="CF88" s="556"/>
      <c r="CG88" s="565">
        <f>CG16</f>
        <v>5.8609999999999998</v>
      </c>
      <c r="CH88" s="565">
        <f>CH16-CG16</f>
        <v>7.2909999999999995</v>
      </c>
      <c r="CI88" s="565">
        <f>CI16-CH16</f>
        <v>7.1379999999999999</v>
      </c>
      <c r="CJ88" s="565">
        <f>CJ16-CI16</f>
        <v>7.1769999999999996</v>
      </c>
      <c r="CK88" s="568">
        <f>SUM(CG88:CJ88)</f>
        <v>27.466999999999999</v>
      </c>
      <c r="CL88" s="556"/>
      <c r="CM88" s="565">
        <f>CM16</f>
        <v>7.1849999999999996</v>
      </c>
      <c r="CN88" s="565">
        <f>CN16-CM16</f>
        <v>6.8680000000000012</v>
      </c>
      <c r="CO88" s="565">
        <f>CO16-CN16</f>
        <v>7.2809999999999988</v>
      </c>
      <c r="CP88" s="565">
        <f>CP16-CO16</f>
        <v>9.2070000000000007</v>
      </c>
      <c r="CQ88" s="568">
        <f>SUM(CM88:CP88)</f>
        <v>30.541</v>
      </c>
      <c r="CR88" s="556"/>
      <c r="CS88" s="565">
        <f>CS16</f>
        <v>7.7169999999999996</v>
      </c>
      <c r="CT88" s="565">
        <f>CT16-CS16</f>
        <v>7.753000000000001</v>
      </c>
      <c r="CU88" s="565">
        <f>CU16-CT16</f>
        <v>7.7949999999999999</v>
      </c>
      <c r="CV88" s="565">
        <f>CV16-CU16</f>
        <v>8.0019999999999989</v>
      </c>
      <c r="CW88" s="568">
        <f>SUM(CS88:CV88)</f>
        <v>31.266999999999999</v>
      </c>
      <c r="CX88" s="556"/>
      <c r="CY88" s="565">
        <f>CY16</f>
        <v>124.77799999999979</v>
      </c>
      <c r="CZ88" s="565">
        <f>CZ16-CY16</f>
        <v>6</v>
      </c>
      <c r="DA88" s="565">
        <f>DA16-CZ16</f>
        <v>6</v>
      </c>
      <c r="DB88" s="565">
        <f>DB16-DA16</f>
        <v>6</v>
      </c>
      <c r="DC88" s="568">
        <f>SUM(CY88:DB88)</f>
        <v>142.77799999999979</v>
      </c>
      <c r="DD88" s="556"/>
      <c r="DE88" s="565">
        <f>DE16</f>
        <v>6</v>
      </c>
      <c r="DF88" s="565">
        <f>DF16-DE16</f>
        <v>6</v>
      </c>
      <c r="DG88" s="565">
        <f>DG16-DF16</f>
        <v>6</v>
      </c>
      <c r="DH88" s="565">
        <f>DH16-DG16</f>
        <v>6</v>
      </c>
      <c r="DI88" s="568">
        <f>SUM(DE88:DH88)</f>
        <v>24</v>
      </c>
      <c r="DJ88" s="556"/>
      <c r="DK88" s="565">
        <f>DK16</f>
        <v>6</v>
      </c>
      <c r="DL88" s="565">
        <f>DL16-DK16</f>
        <v>6</v>
      </c>
      <c r="DM88" s="565">
        <f>DM16-DL16</f>
        <v>6</v>
      </c>
      <c r="DN88" s="565">
        <f>DN16-DM16</f>
        <v>6</v>
      </c>
      <c r="DO88" s="568">
        <f>SUM(DK88:DN88)</f>
        <v>24</v>
      </c>
      <c r="DP88" s="1698"/>
      <c r="DQ88" s="956"/>
      <c r="DR88" s="956"/>
    </row>
    <row r="89" spans="1:122" ht="10.5" customHeight="1">
      <c r="A89" s="555" t="s">
        <v>350</v>
      </c>
      <c r="B89" s="584"/>
      <c r="C89" s="565">
        <v>0</v>
      </c>
      <c r="D89" s="565">
        <v>0</v>
      </c>
      <c r="E89" s="565">
        <v>0</v>
      </c>
      <c r="F89" s="584"/>
      <c r="G89" s="565">
        <v>0</v>
      </c>
      <c r="H89" s="565">
        <v>0</v>
      </c>
      <c r="I89" s="565">
        <v>0</v>
      </c>
      <c r="J89" s="565">
        <v>0</v>
      </c>
      <c r="K89" s="565">
        <f t="shared" si="137"/>
        <v>0</v>
      </c>
      <c r="L89" s="556"/>
      <c r="M89" s="565">
        <v>0</v>
      </c>
      <c r="N89" s="565">
        <v>0</v>
      </c>
      <c r="O89" s="565">
        <v>0</v>
      </c>
      <c r="P89" s="565">
        <v>0</v>
      </c>
      <c r="Q89" s="565">
        <f t="shared" si="138"/>
        <v>0</v>
      </c>
      <c r="R89" s="584"/>
      <c r="S89" s="565">
        <v>0</v>
      </c>
      <c r="T89" s="565">
        <f t="shared" ref="T89:V92" si="172">IF(S17="-","-",SUM(T17)-SUM(S17))</f>
        <v>0</v>
      </c>
      <c r="U89" s="565">
        <f t="shared" si="172"/>
        <v>0</v>
      </c>
      <c r="V89" s="565">
        <f t="shared" si="172"/>
        <v>0.79800000000000004</v>
      </c>
      <c r="W89" s="565">
        <f t="shared" si="166"/>
        <v>0.79800000000000004</v>
      </c>
      <c r="X89" s="584"/>
      <c r="Y89" s="565">
        <f>Y17</f>
        <v>0</v>
      </c>
      <c r="Z89" s="565">
        <f t="shared" ref="Z89:AB94" si="173">IF(Y17="-","-",SUM(Z17)-SUM(Y17))</f>
        <v>0</v>
      </c>
      <c r="AA89" s="565">
        <f t="shared" si="173"/>
        <v>0</v>
      </c>
      <c r="AB89" s="565">
        <f t="shared" si="173"/>
        <v>3.6619999999999999</v>
      </c>
      <c r="AC89" s="565">
        <f t="shared" si="167"/>
        <v>3.6619999999999999</v>
      </c>
      <c r="AD89" s="556"/>
      <c r="AE89" s="565">
        <f>AE17</f>
        <v>0</v>
      </c>
      <c r="AF89" s="565">
        <f t="shared" ref="AF89:AH94" si="174">IF(AE17="-","-",SUM(AF17)-SUM(AE17))</f>
        <v>-5.9279999999999999</v>
      </c>
      <c r="AG89" s="565">
        <f t="shared" si="174"/>
        <v>-4.8779999999999992</v>
      </c>
      <c r="AH89" s="565">
        <f t="shared" si="174"/>
        <v>-5.7679999999999989</v>
      </c>
      <c r="AI89" s="568">
        <f t="shared" si="168"/>
        <v>-16.573999999999998</v>
      </c>
      <c r="AJ89" s="556"/>
      <c r="AK89" s="565">
        <f t="shared" ref="AK89:AK101" si="175">AK17</f>
        <v>-6.2859999999999996</v>
      </c>
      <c r="AL89" s="565">
        <f t="shared" ref="AL89:AL94" si="176">IF(AK17="-","-",SUM(AL17)-SUM(AK17))</f>
        <v>-8.92</v>
      </c>
      <c r="AM89" s="565">
        <f t="shared" ref="AM89:AM94" si="177">IF(AL17="-","-",SUM(AM17)-SUM(AL17))</f>
        <v>-9.2980000000000018</v>
      </c>
      <c r="AN89" s="565">
        <f t="shared" ref="AN89:AN94" si="178">IF(AM17="-","-",SUM(AN17)-SUM(AM17))</f>
        <v>-7.4740000000000002</v>
      </c>
      <c r="AO89" s="568">
        <f t="shared" si="170"/>
        <v>-31.978000000000002</v>
      </c>
      <c r="AP89" s="556"/>
      <c r="AQ89" s="565">
        <f>AQ17</f>
        <v>-12.698</v>
      </c>
      <c r="AR89" s="565">
        <f t="shared" ref="AR89:AR94" si="179">IF(AQ17="-","-",SUM(AR17)-SUM(AQ17))</f>
        <v>-11.843</v>
      </c>
      <c r="AS89" s="565">
        <f t="shared" ref="AS89:AS94" si="180">IF(AR17="-","-",SUM(AS17)-SUM(AR17))</f>
        <v>-17.706</v>
      </c>
      <c r="AT89" s="565">
        <f t="shared" ref="AT89:AT94" si="181">IF(AS17="-","-",SUM(AT17)-SUM(AS17))</f>
        <v>-12.350000000000001</v>
      </c>
      <c r="AU89" s="568">
        <f t="shared" si="171"/>
        <v>-54.597000000000001</v>
      </c>
      <c r="AV89" s="556"/>
      <c r="AW89" s="565">
        <f t="shared" ref="AW89:AW101" si="182">AW17</f>
        <v>-9.4480000000000004</v>
      </c>
      <c r="AX89" s="565">
        <f t="shared" si="144"/>
        <v>-15.687000000000001</v>
      </c>
      <c r="AY89" s="565">
        <f t="shared" si="145"/>
        <v>-7.4009999999999998</v>
      </c>
      <c r="AZ89" s="565">
        <f t="shared" si="146"/>
        <v>-19.003</v>
      </c>
      <c r="BA89" s="568">
        <f t="shared" ref="BA89:BA94" si="183">SUM(AW89:AZ89)</f>
        <v>-51.539000000000001</v>
      </c>
      <c r="BB89" s="556"/>
      <c r="BC89" s="565">
        <f t="shared" ref="BC89:BC101" si="184">BC17</f>
        <v>-9.2880000000000003</v>
      </c>
      <c r="BD89" s="565">
        <f t="shared" si="147"/>
        <v>-22.901999999999997</v>
      </c>
      <c r="BE89" s="565">
        <f t="shared" si="148"/>
        <v>-14.578000000000003</v>
      </c>
      <c r="BF89" s="565">
        <f>IF(BE17="-","-",SUM(BF17)-SUM(BE17))</f>
        <v>10.777000000000001</v>
      </c>
      <c r="BG89" s="568">
        <f t="shared" ref="BG89:BG94" si="185">SUM(BC89:BF89)</f>
        <v>-35.991</v>
      </c>
      <c r="BH89" s="556"/>
      <c r="BI89" s="565">
        <f t="shared" ref="BI89:BI101" si="186">BI17</f>
        <v>-2.0339999999999998</v>
      </c>
      <c r="BJ89" s="565">
        <f t="shared" si="150"/>
        <v>-2.0860000000000003</v>
      </c>
      <c r="BK89" s="565">
        <f t="shared" si="150"/>
        <v>-6.8920000000000003</v>
      </c>
      <c r="BL89" s="565">
        <f t="shared" si="150"/>
        <v>4.9940000000000007</v>
      </c>
      <c r="BM89" s="568">
        <f t="shared" ref="BM89:BM94" si="187">SUM(BI89:BL89)</f>
        <v>-6.0179999999999998</v>
      </c>
      <c r="BN89" s="556"/>
      <c r="BO89" s="565">
        <f t="shared" ref="BO89:BO101" si="188">BO17</f>
        <v>-11.042999999999999</v>
      </c>
      <c r="BP89" s="565">
        <f t="shared" si="164"/>
        <v>-14.702000000000002</v>
      </c>
      <c r="BQ89" s="565">
        <f t="shared" si="151"/>
        <v>-3.16</v>
      </c>
      <c r="BR89" s="565">
        <f t="shared" si="151"/>
        <v>13.972000000000001</v>
      </c>
      <c r="BS89" s="568">
        <f t="shared" ref="BS89:BS94" si="189">SUM(BO89:BR89)</f>
        <v>-14.933</v>
      </c>
      <c r="BT89" s="556"/>
      <c r="BU89" s="565">
        <f t="shared" ref="BU89:BU101" si="190">BU17</f>
        <v>-1.8660000000000001</v>
      </c>
      <c r="BV89" s="565">
        <f t="shared" si="165"/>
        <v>1.278</v>
      </c>
      <c r="BW89" s="565">
        <f t="shared" si="165"/>
        <v>-1.5779999999999998</v>
      </c>
      <c r="BX89" s="565">
        <f t="shared" si="152"/>
        <v>-5.9779999999999998</v>
      </c>
      <c r="BY89" s="568">
        <f t="shared" ref="BY89:BY94" si="191">SUM(BU89:BX89)</f>
        <v>-8.1440000000000001</v>
      </c>
      <c r="BZ89" s="556"/>
      <c r="CA89" s="565">
        <f t="shared" ref="CA89:CA101" si="192">CA17</f>
        <v>-9.0410000000000004</v>
      </c>
      <c r="CB89" s="565">
        <f t="shared" ref="CB89:CB94" si="193">IF(CA17="-","-",SUM(CB17)-SUM(CA17))</f>
        <v>6.8150000000000004</v>
      </c>
      <c r="CC89" s="565">
        <f t="shared" ref="CC89:CC94" si="194">IF(CB17="-","-",SUM(CC17)-SUM(CB17))</f>
        <v>-1.2210000000000001</v>
      </c>
      <c r="CD89" s="565">
        <f t="shared" ref="CD89:CD94" si="195">IF(CC17="-","-",SUM(CD17)-SUM(CC17))</f>
        <v>-4.2830000000000004</v>
      </c>
      <c r="CE89" s="568">
        <f t="shared" ref="CE89:CE94" si="196">SUM(CA89:CD89)</f>
        <v>-7.73</v>
      </c>
      <c r="CF89" s="556"/>
      <c r="CG89" s="565">
        <f t="shared" ref="CG89:CG101" si="197">CG17</f>
        <v>-4.2240000000000002</v>
      </c>
      <c r="CH89" s="565">
        <f t="shared" ref="CH89:CH94" si="198">IF(CG17="-","-",SUM(CH17)-SUM(CG17))</f>
        <v>0.13300000000000001</v>
      </c>
      <c r="CI89" s="565">
        <f t="shared" ref="CI89:CI94" si="199">IF(CH17="-","-",SUM(CI17)-SUM(CH17))</f>
        <v>-44.606999999999999</v>
      </c>
      <c r="CJ89" s="565">
        <f t="shared" ref="CJ89:CJ94" si="200">IF(CI17="-","-",SUM(CJ17)-SUM(CI17))</f>
        <v>-10.798000000000002</v>
      </c>
      <c r="CK89" s="568">
        <f t="shared" ref="CK89:CK94" si="201">SUM(CG89:CJ89)</f>
        <v>-59.496000000000002</v>
      </c>
      <c r="CL89" s="556"/>
      <c r="CM89" s="565">
        <f t="shared" ref="CM89:CM101" si="202">CM17</f>
        <v>0</v>
      </c>
      <c r="CN89" s="565">
        <f t="shared" ref="CN89:CN94" si="203">IF(CM17="-","-",SUM(CN17)-SUM(CM17))</f>
        <v>0</v>
      </c>
      <c r="CO89" s="565">
        <f t="shared" ref="CO89:CO94" si="204">IF(CN17="-","-",SUM(CO17)-SUM(CN17))</f>
        <v>0</v>
      </c>
      <c r="CP89" s="565">
        <f t="shared" ref="CP89:CP94" si="205">IF(CO17="-","-",SUM(CP17)-SUM(CO17))</f>
        <v>0</v>
      </c>
      <c r="CQ89" s="568">
        <f t="shared" ref="CQ89:CQ94" si="206">SUM(CM89:CP89)</f>
        <v>0</v>
      </c>
      <c r="CR89" s="556"/>
      <c r="CS89" s="565">
        <f t="shared" ref="CS89:CS101" si="207">CS17</f>
        <v>0</v>
      </c>
      <c r="CT89" s="565">
        <f t="shared" ref="CT89:CT94" si="208">IF(CS17="-","-",SUM(CT17)-SUM(CS17))</f>
        <v>0</v>
      </c>
      <c r="CU89" s="565">
        <f t="shared" ref="CU89:CU94" si="209">IF(CT17="-","-",SUM(CU17)-SUM(CT17))</f>
        <v>0</v>
      </c>
      <c r="CV89" s="565">
        <f t="shared" ref="CV89:CV94" si="210">IF(CU17="-","-",SUM(CV17)-SUM(CU17))</f>
        <v>0</v>
      </c>
      <c r="CW89" s="568">
        <f t="shared" ref="CW89:CW94" si="211">SUM(CS89:CV89)</f>
        <v>0</v>
      </c>
      <c r="CX89" s="556"/>
      <c r="CY89" s="565">
        <f t="shared" ref="CY89:CY101" si="212">CY17</f>
        <v>-5</v>
      </c>
      <c r="CZ89" s="565">
        <f t="shared" ref="CZ89:CZ94" si="213">IF(CY17="-","-",SUM(CZ17)-SUM(CY17))</f>
        <v>-5</v>
      </c>
      <c r="DA89" s="565">
        <f t="shared" ref="DA89:DA94" si="214">IF(CZ17="-","-",SUM(DA17)-SUM(CZ17))</f>
        <v>-5</v>
      </c>
      <c r="DB89" s="565">
        <f t="shared" ref="DB89:DB94" si="215">IF(DA17="-","-",SUM(DB17)-SUM(DA17))</f>
        <v>-5</v>
      </c>
      <c r="DC89" s="568">
        <f t="shared" ref="DC89:DC94" si="216">SUM(CY89:DB89)</f>
        <v>-20</v>
      </c>
      <c r="DD89" s="556"/>
      <c r="DE89" s="565">
        <f t="shared" ref="DE89:DE101" si="217">DE17</f>
        <v>-5</v>
      </c>
      <c r="DF89" s="565">
        <f t="shared" ref="DF89:DF94" si="218">IF(DE17="-","-",SUM(DF17)-SUM(DE17))</f>
        <v>-5</v>
      </c>
      <c r="DG89" s="565">
        <f t="shared" ref="DG89:DG94" si="219">IF(DF17="-","-",SUM(DG17)-SUM(DF17))</f>
        <v>-5</v>
      </c>
      <c r="DH89" s="565">
        <f t="shared" ref="DH89:DH94" si="220">IF(DG17="-","-",SUM(DH17)-SUM(DG17))</f>
        <v>-5</v>
      </c>
      <c r="DI89" s="568">
        <f t="shared" ref="DI89:DI94" si="221">SUM(DE89:DH89)</f>
        <v>-20</v>
      </c>
      <c r="DJ89" s="556"/>
      <c r="DK89" s="565">
        <f t="shared" ref="DK89:DK101" si="222">DK17</f>
        <v>-5</v>
      </c>
      <c r="DL89" s="565">
        <f t="shared" ref="DL89:DL94" si="223">IF(DK17="-","-",SUM(DL17)-SUM(DK17))</f>
        <v>-5</v>
      </c>
      <c r="DM89" s="565">
        <f t="shared" ref="DM89:DM94" si="224">IF(DL17="-","-",SUM(DM17)-SUM(DL17))</f>
        <v>-5</v>
      </c>
      <c r="DN89" s="565">
        <f t="shared" ref="DN89:DN94" si="225">IF(DM17="-","-",SUM(DN17)-SUM(DM17))</f>
        <v>-5</v>
      </c>
      <c r="DO89" s="568">
        <f t="shared" ref="DO89:DO94" si="226">SUM(DK89:DN89)</f>
        <v>-20</v>
      </c>
      <c r="DP89" s="1698"/>
      <c r="DQ89" s="956"/>
      <c r="DR89" s="956"/>
    </row>
    <row r="90" spans="1:122" ht="10.5" customHeight="1">
      <c r="A90" s="555" t="s">
        <v>549</v>
      </c>
      <c r="B90" s="584"/>
      <c r="C90" s="565">
        <v>0</v>
      </c>
      <c r="D90" s="565">
        <v>0</v>
      </c>
      <c r="E90" s="565">
        <v>0</v>
      </c>
      <c r="F90" s="584"/>
      <c r="G90" s="565">
        <v>0</v>
      </c>
      <c r="H90" s="565">
        <v>0</v>
      </c>
      <c r="I90" s="565">
        <v>0</v>
      </c>
      <c r="J90" s="565">
        <v>0</v>
      </c>
      <c r="K90" s="565">
        <f t="shared" si="137"/>
        <v>0</v>
      </c>
      <c r="L90" s="556"/>
      <c r="M90" s="565">
        <v>0</v>
      </c>
      <c r="N90" s="565">
        <v>0</v>
      </c>
      <c r="O90" s="565">
        <v>0</v>
      </c>
      <c r="P90" s="565">
        <v>0</v>
      </c>
      <c r="Q90" s="565">
        <f t="shared" si="138"/>
        <v>0</v>
      </c>
      <c r="R90" s="584"/>
      <c r="S90" s="565">
        <v>0</v>
      </c>
      <c r="T90" s="565">
        <f t="shared" si="172"/>
        <v>0</v>
      </c>
      <c r="U90" s="565">
        <f t="shared" si="172"/>
        <v>0</v>
      </c>
      <c r="V90" s="565">
        <f t="shared" si="172"/>
        <v>0</v>
      </c>
      <c r="W90" s="565">
        <f t="shared" si="166"/>
        <v>0</v>
      </c>
      <c r="X90" s="584"/>
      <c r="Y90" s="565">
        <f t="shared" ref="Y90:Y101" si="227">Y18</f>
        <v>0</v>
      </c>
      <c r="Z90" s="565">
        <f t="shared" si="173"/>
        <v>0</v>
      </c>
      <c r="AA90" s="565">
        <f t="shared" si="173"/>
        <v>0</v>
      </c>
      <c r="AB90" s="565">
        <f t="shared" si="173"/>
        <v>0</v>
      </c>
      <c r="AC90" s="565">
        <f t="shared" si="167"/>
        <v>0</v>
      </c>
      <c r="AD90" s="556"/>
      <c r="AE90" s="565">
        <f t="shared" ref="AE90:AE101" si="228">AE18</f>
        <v>0</v>
      </c>
      <c r="AF90" s="565">
        <f t="shared" si="174"/>
        <v>0</v>
      </c>
      <c r="AG90" s="565">
        <f t="shared" si="174"/>
        <v>0</v>
      </c>
      <c r="AH90" s="565">
        <f t="shared" si="174"/>
        <v>0</v>
      </c>
      <c r="AI90" s="568">
        <f t="shared" si="168"/>
        <v>0</v>
      </c>
      <c r="AJ90" s="556"/>
      <c r="AK90" s="565">
        <f t="shared" si="175"/>
        <v>0</v>
      </c>
      <c r="AL90" s="565">
        <f t="shared" si="176"/>
        <v>0</v>
      </c>
      <c r="AM90" s="565">
        <f t="shared" si="177"/>
        <v>0</v>
      </c>
      <c r="AN90" s="565">
        <f t="shared" si="178"/>
        <v>0</v>
      </c>
      <c r="AO90" s="568">
        <f t="shared" si="170"/>
        <v>0</v>
      </c>
      <c r="AP90" s="556"/>
      <c r="AQ90" s="565">
        <f t="shared" ref="AQ90:AQ100" si="229">AQ18</f>
        <v>0</v>
      </c>
      <c r="AR90" s="565">
        <f t="shared" si="179"/>
        <v>0</v>
      </c>
      <c r="AS90" s="565">
        <f t="shared" si="180"/>
        <v>0</v>
      </c>
      <c r="AT90" s="565">
        <f t="shared" si="181"/>
        <v>0</v>
      </c>
      <c r="AU90" s="568">
        <f t="shared" si="171"/>
        <v>0</v>
      </c>
      <c r="AV90" s="556"/>
      <c r="AW90" s="565">
        <f t="shared" si="182"/>
        <v>0</v>
      </c>
      <c r="AX90" s="565">
        <f t="shared" si="144"/>
        <v>0</v>
      </c>
      <c r="AY90" s="565">
        <f t="shared" si="145"/>
        <v>0</v>
      </c>
      <c r="AZ90" s="565">
        <f t="shared" si="146"/>
        <v>0</v>
      </c>
      <c r="BA90" s="568">
        <f t="shared" si="183"/>
        <v>0</v>
      </c>
      <c r="BB90" s="556"/>
      <c r="BC90" s="565">
        <f t="shared" si="184"/>
        <v>0</v>
      </c>
      <c r="BD90" s="565">
        <f t="shared" si="147"/>
        <v>0</v>
      </c>
      <c r="BE90" s="565">
        <f t="shared" si="148"/>
        <v>0</v>
      </c>
      <c r="BF90" s="565">
        <f t="shared" si="149"/>
        <v>0</v>
      </c>
      <c r="BG90" s="568">
        <f t="shared" si="185"/>
        <v>0</v>
      </c>
      <c r="BH90" s="556"/>
      <c r="BI90" s="565">
        <f t="shared" si="186"/>
        <v>0</v>
      </c>
      <c r="BJ90" s="565">
        <f t="shared" si="150"/>
        <v>0</v>
      </c>
      <c r="BK90" s="565">
        <f t="shared" si="150"/>
        <v>0</v>
      </c>
      <c r="BL90" s="565">
        <f t="shared" si="150"/>
        <v>0</v>
      </c>
      <c r="BM90" s="568">
        <f t="shared" si="187"/>
        <v>0</v>
      </c>
      <c r="BN90" s="556"/>
      <c r="BO90" s="565">
        <f t="shared" si="188"/>
        <v>0</v>
      </c>
      <c r="BP90" s="565">
        <f t="shared" si="164"/>
        <v>0</v>
      </c>
      <c r="BQ90" s="565">
        <f t="shared" si="151"/>
        <v>0</v>
      </c>
      <c r="BR90" s="565">
        <f t="shared" si="151"/>
        <v>0</v>
      </c>
      <c r="BS90" s="568">
        <f t="shared" si="189"/>
        <v>0</v>
      </c>
      <c r="BT90" s="556"/>
      <c r="BU90" s="565">
        <f t="shared" si="190"/>
        <v>0</v>
      </c>
      <c r="BV90" s="565">
        <f t="shared" si="165"/>
        <v>0</v>
      </c>
      <c r="BW90" s="565">
        <f t="shared" si="165"/>
        <v>0</v>
      </c>
      <c r="BX90" s="565">
        <f t="shared" si="152"/>
        <v>0</v>
      </c>
      <c r="BY90" s="568">
        <f t="shared" si="191"/>
        <v>0</v>
      </c>
      <c r="BZ90" s="556"/>
      <c r="CA90" s="565">
        <f t="shared" si="192"/>
        <v>0</v>
      </c>
      <c r="CB90" s="565">
        <f t="shared" si="193"/>
        <v>0</v>
      </c>
      <c r="CC90" s="565">
        <f t="shared" si="194"/>
        <v>0</v>
      </c>
      <c r="CD90" s="565">
        <f t="shared" si="195"/>
        <v>0</v>
      </c>
      <c r="CE90" s="568">
        <f t="shared" si="196"/>
        <v>0</v>
      </c>
      <c r="CF90" s="556"/>
      <c r="CG90" s="565">
        <f t="shared" si="197"/>
        <v>0</v>
      </c>
      <c r="CH90" s="565">
        <f t="shared" si="198"/>
        <v>0</v>
      </c>
      <c r="CI90" s="565">
        <f t="shared" si="199"/>
        <v>0</v>
      </c>
      <c r="CJ90" s="565">
        <f t="shared" si="200"/>
        <v>0</v>
      </c>
      <c r="CK90" s="568">
        <f t="shared" si="201"/>
        <v>0</v>
      </c>
      <c r="CL90" s="556"/>
      <c r="CM90" s="565">
        <f t="shared" si="202"/>
        <v>0</v>
      </c>
      <c r="CN90" s="565">
        <f t="shared" si="203"/>
        <v>0</v>
      </c>
      <c r="CO90" s="565">
        <f t="shared" si="204"/>
        <v>0</v>
      </c>
      <c r="CP90" s="565">
        <f t="shared" si="205"/>
        <v>0</v>
      </c>
      <c r="CQ90" s="568">
        <f t="shared" si="206"/>
        <v>0</v>
      </c>
      <c r="CR90" s="556"/>
      <c r="CS90" s="565">
        <f t="shared" si="207"/>
        <v>0</v>
      </c>
      <c r="CT90" s="565">
        <f t="shared" si="208"/>
        <v>0</v>
      </c>
      <c r="CU90" s="565">
        <f t="shared" si="209"/>
        <v>0</v>
      </c>
      <c r="CV90" s="565">
        <f t="shared" si="210"/>
        <v>0</v>
      </c>
      <c r="CW90" s="568">
        <f t="shared" si="211"/>
        <v>0</v>
      </c>
      <c r="CX90" s="556"/>
      <c r="CY90" s="565">
        <f t="shared" si="212"/>
        <v>0</v>
      </c>
      <c r="CZ90" s="565">
        <f t="shared" si="213"/>
        <v>0</v>
      </c>
      <c r="DA90" s="565">
        <f t="shared" si="214"/>
        <v>0</v>
      </c>
      <c r="DB90" s="565">
        <f t="shared" si="215"/>
        <v>0</v>
      </c>
      <c r="DC90" s="568">
        <f t="shared" si="216"/>
        <v>0</v>
      </c>
      <c r="DD90" s="556"/>
      <c r="DE90" s="565">
        <f t="shared" si="217"/>
        <v>0</v>
      </c>
      <c r="DF90" s="565">
        <f t="shared" si="218"/>
        <v>0</v>
      </c>
      <c r="DG90" s="565">
        <f t="shared" si="219"/>
        <v>0</v>
      </c>
      <c r="DH90" s="565">
        <f t="shared" si="220"/>
        <v>0</v>
      </c>
      <c r="DI90" s="568">
        <f t="shared" si="221"/>
        <v>0</v>
      </c>
      <c r="DJ90" s="556"/>
      <c r="DK90" s="565">
        <f t="shared" si="222"/>
        <v>0</v>
      </c>
      <c r="DL90" s="565">
        <f t="shared" si="223"/>
        <v>0</v>
      </c>
      <c r="DM90" s="565">
        <f t="shared" si="224"/>
        <v>0</v>
      </c>
      <c r="DN90" s="565">
        <f t="shared" si="225"/>
        <v>0</v>
      </c>
      <c r="DO90" s="568">
        <f t="shared" si="226"/>
        <v>0</v>
      </c>
      <c r="DP90" s="1698"/>
      <c r="DQ90" s="956"/>
      <c r="DR90" s="956"/>
    </row>
    <row r="91" spans="1:122" ht="10.5" customHeight="1">
      <c r="A91" s="555" t="s">
        <v>670</v>
      </c>
      <c r="B91" s="584"/>
      <c r="C91" s="565">
        <v>0</v>
      </c>
      <c r="D91" s="565">
        <v>0</v>
      </c>
      <c r="E91" s="565">
        <v>0</v>
      </c>
      <c r="F91" s="584"/>
      <c r="G91" s="565">
        <f>0.078</f>
        <v>7.8E-2</v>
      </c>
      <c r="H91" s="565">
        <v>0.09</v>
      </c>
      <c r="I91" s="565">
        <v>0.28999999999999998</v>
      </c>
      <c r="J91" s="565">
        <v>0.13100000000000001</v>
      </c>
      <c r="K91" s="565">
        <f t="shared" si="137"/>
        <v>0.58899999999999997</v>
      </c>
      <c r="L91" s="556"/>
      <c r="M91" s="556">
        <v>1.7000000000000001E-2</v>
      </c>
      <c r="N91" s="556">
        <v>2.5999999999999999E-2</v>
      </c>
      <c r="O91" s="556">
        <v>2.5000000000000001E-2</v>
      </c>
      <c r="P91" s="556">
        <v>0</v>
      </c>
      <c r="Q91" s="565">
        <f t="shared" si="138"/>
        <v>6.8000000000000005E-2</v>
      </c>
      <c r="R91" s="584"/>
      <c r="S91" s="565">
        <v>0</v>
      </c>
      <c r="T91" s="565">
        <f t="shared" si="172"/>
        <v>0</v>
      </c>
      <c r="U91" s="565">
        <f t="shared" si="172"/>
        <v>0</v>
      </c>
      <c r="V91" s="565">
        <f t="shared" si="172"/>
        <v>0</v>
      </c>
      <c r="W91" s="565">
        <f t="shared" si="166"/>
        <v>0</v>
      </c>
      <c r="X91" s="584"/>
      <c r="Y91" s="565">
        <f t="shared" si="227"/>
        <v>0</v>
      </c>
      <c r="Z91" s="565">
        <f t="shared" si="173"/>
        <v>0</v>
      </c>
      <c r="AA91" s="565">
        <f t="shared" si="173"/>
        <v>0</v>
      </c>
      <c r="AB91" s="565">
        <f t="shared" si="173"/>
        <v>0</v>
      </c>
      <c r="AC91" s="565">
        <f t="shared" si="167"/>
        <v>0</v>
      </c>
      <c r="AD91" s="556"/>
      <c r="AE91" s="565">
        <f t="shared" si="228"/>
        <v>0</v>
      </c>
      <c r="AF91" s="565">
        <f t="shared" si="174"/>
        <v>0</v>
      </c>
      <c r="AG91" s="565">
        <f t="shared" si="174"/>
        <v>0</v>
      </c>
      <c r="AH91" s="565">
        <f t="shared" si="174"/>
        <v>0</v>
      </c>
      <c r="AI91" s="568">
        <f t="shared" si="168"/>
        <v>0</v>
      </c>
      <c r="AJ91" s="556"/>
      <c r="AK91" s="565">
        <f t="shared" si="175"/>
        <v>0</v>
      </c>
      <c r="AL91" s="565">
        <f t="shared" si="176"/>
        <v>0</v>
      </c>
      <c r="AM91" s="565">
        <f t="shared" si="177"/>
        <v>0</v>
      </c>
      <c r="AN91" s="565">
        <f t="shared" si="178"/>
        <v>0</v>
      </c>
      <c r="AO91" s="568">
        <f t="shared" si="170"/>
        <v>0</v>
      </c>
      <c r="AP91" s="556"/>
      <c r="AQ91" s="565">
        <f t="shared" si="229"/>
        <v>0</v>
      </c>
      <c r="AR91" s="565">
        <f t="shared" si="179"/>
        <v>0</v>
      </c>
      <c r="AS91" s="565">
        <f t="shared" si="180"/>
        <v>0</v>
      </c>
      <c r="AT91" s="565">
        <f t="shared" si="181"/>
        <v>0</v>
      </c>
      <c r="AU91" s="568">
        <f t="shared" si="171"/>
        <v>0</v>
      </c>
      <c r="AV91" s="556"/>
      <c r="AW91" s="565">
        <f t="shared" si="182"/>
        <v>0</v>
      </c>
      <c r="AX91" s="565">
        <f t="shared" si="144"/>
        <v>0</v>
      </c>
      <c r="AY91" s="565">
        <f t="shared" si="145"/>
        <v>0</v>
      </c>
      <c r="AZ91" s="565">
        <f t="shared" si="146"/>
        <v>0</v>
      </c>
      <c r="BA91" s="568">
        <f t="shared" si="183"/>
        <v>0</v>
      </c>
      <c r="BB91" s="556"/>
      <c r="BC91" s="565">
        <f t="shared" si="184"/>
        <v>0</v>
      </c>
      <c r="BD91" s="565">
        <f t="shared" si="147"/>
        <v>0</v>
      </c>
      <c r="BE91" s="565">
        <f t="shared" si="148"/>
        <v>0</v>
      </c>
      <c r="BF91" s="565">
        <f t="shared" si="149"/>
        <v>0</v>
      </c>
      <c r="BG91" s="568">
        <f t="shared" si="185"/>
        <v>0</v>
      </c>
      <c r="BH91" s="556"/>
      <c r="BI91" s="565">
        <f t="shared" si="186"/>
        <v>0</v>
      </c>
      <c r="BJ91" s="565">
        <f t="shared" si="150"/>
        <v>0</v>
      </c>
      <c r="BK91" s="565">
        <f t="shared" si="150"/>
        <v>0</v>
      </c>
      <c r="BL91" s="565">
        <f t="shared" si="150"/>
        <v>0</v>
      </c>
      <c r="BM91" s="568">
        <f t="shared" si="187"/>
        <v>0</v>
      </c>
      <c r="BN91" s="556"/>
      <c r="BO91" s="565">
        <f t="shared" si="188"/>
        <v>0</v>
      </c>
      <c r="BP91" s="565">
        <f t="shared" si="164"/>
        <v>0</v>
      </c>
      <c r="BQ91" s="565">
        <f t="shared" si="151"/>
        <v>0</v>
      </c>
      <c r="BR91" s="565">
        <f t="shared" si="151"/>
        <v>0</v>
      </c>
      <c r="BS91" s="568">
        <f t="shared" si="189"/>
        <v>0</v>
      </c>
      <c r="BT91" s="556"/>
      <c r="BU91" s="565">
        <f t="shared" si="190"/>
        <v>0</v>
      </c>
      <c r="BV91" s="565">
        <f t="shared" si="165"/>
        <v>0</v>
      </c>
      <c r="BW91" s="565">
        <f t="shared" si="165"/>
        <v>0</v>
      </c>
      <c r="BX91" s="565">
        <f t="shared" si="152"/>
        <v>0</v>
      </c>
      <c r="BY91" s="568">
        <f t="shared" si="191"/>
        <v>0</v>
      </c>
      <c r="BZ91" s="556"/>
      <c r="CA91" s="565">
        <f t="shared" si="192"/>
        <v>0</v>
      </c>
      <c r="CB91" s="565">
        <f t="shared" si="193"/>
        <v>0</v>
      </c>
      <c r="CC91" s="565">
        <f t="shared" si="194"/>
        <v>0</v>
      </c>
      <c r="CD91" s="565">
        <f t="shared" si="195"/>
        <v>0</v>
      </c>
      <c r="CE91" s="568">
        <f t="shared" si="196"/>
        <v>0</v>
      </c>
      <c r="CF91" s="556"/>
      <c r="CG91" s="565">
        <f t="shared" si="197"/>
        <v>0</v>
      </c>
      <c r="CH91" s="565">
        <f t="shared" si="198"/>
        <v>0</v>
      </c>
      <c r="CI91" s="565">
        <f t="shared" si="199"/>
        <v>0</v>
      </c>
      <c r="CJ91" s="565">
        <f t="shared" si="200"/>
        <v>0</v>
      </c>
      <c r="CK91" s="568">
        <f t="shared" si="201"/>
        <v>0</v>
      </c>
      <c r="CL91" s="556"/>
      <c r="CM91" s="565">
        <f t="shared" si="202"/>
        <v>0</v>
      </c>
      <c r="CN91" s="565">
        <f t="shared" si="203"/>
        <v>0</v>
      </c>
      <c r="CO91" s="565">
        <f t="shared" si="204"/>
        <v>0</v>
      </c>
      <c r="CP91" s="565">
        <f t="shared" si="205"/>
        <v>0</v>
      </c>
      <c r="CQ91" s="568">
        <f t="shared" si="206"/>
        <v>0</v>
      </c>
      <c r="CR91" s="556"/>
      <c r="CS91" s="565">
        <f t="shared" si="207"/>
        <v>0</v>
      </c>
      <c r="CT91" s="565">
        <f t="shared" si="208"/>
        <v>0</v>
      </c>
      <c r="CU91" s="565">
        <f t="shared" si="209"/>
        <v>0</v>
      </c>
      <c r="CV91" s="565">
        <f t="shared" si="210"/>
        <v>0</v>
      </c>
      <c r="CW91" s="568">
        <f t="shared" si="211"/>
        <v>0</v>
      </c>
      <c r="CX91" s="556"/>
      <c r="CY91" s="565">
        <f t="shared" si="212"/>
        <v>0</v>
      </c>
      <c r="CZ91" s="565">
        <f t="shared" si="213"/>
        <v>0</v>
      </c>
      <c r="DA91" s="565">
        <f t="shared" si="214"/>
        <v>0</v>
      </c>
      <c r="DB91" s="565">
        <f t="shared" si="215"/>
        <v>0</v>
      </c>
      <c r="DC91" s="568">
        <f t="shared" si="216"/>
        <v>0</v>
      </c>
      <c r="DD91" s="556"/>
      <c r="DE91" s="565">
        <f t="shared" si="217"/>
        <v>0</v>
      </c>
      <c r="DF91" s="565">
        <f t="shared" si="218"/>
        <v>0</v>
      </c>
      <c r="DG91" s="565">
        <f t="shared" si="219"/>
        <v>0</v>
      </c>
      <c r="DH91" s="565">
        <f t="shared" si="220"/>
        <v>0</v>
      </c>
      <c r="DI91" s="568">
        <f t="shared" si="221"/>
        <v>0</v>
      </c>
      <c r="DJ91" s="556"/>
      <c r="DK91" s="565">
        <f t="shared" si="222"/>
        <v>0</v>
      </c>
      <c r="DL91" s="565">
        <f t="shared" si="223"/>
        <v>0</v>
      </c>
      <c r="DM91" s="565">
        <f t="shared" si="224"/>
        <v>0</v>
      </c>
      <c r="DN91" s="565">
        <f t="shared" si="225"/>
        <v>0</v>
      </c>
      <c r="DO91" s="568">
        <f t="shared" si="226"/>
        <v>0</v>
      </c>
      <c r="DP91" s="1698"/>
      <c r="DQ91" s="956"/>
      <c r="DR91" s="956"/>
    </row>
    <row r="92" spans="1:122" ht="10.5" customHeight="1">
      <c r="A92" s="555" t="s">
        <v>575</v>
      </c>
      <c r="B92" s="584"/>
      <c r="C92" s="565">
        <v>0</v>
      </c>
      <c r="D92" s="565">
        <v>0</v>
      </c>
      <c r="E92" s="565">
        <v>0</v>
      </c>
      <c r="F92" s="584"/>
      <c r="G92" s="565">
        <v>0</v>
      </c>
      <c r="H92" s="565">
        <v>0</v>
      </c>
      <c r="I92" s="565">
        <v>0</v>
      </c>
      <c r="J92" s="565">
        <v>0</v>
      </c>
      <c r="K92" s="565">
        <f t="shared" si="137"/>
        <v>0</v>
      </c>
      <c r="L92" s="556"/>
      <c r="M92" s="565">
        <v>0</v>
      </c>
      <c r="N92" s="565">
        <v>0</v>
      </c>
      <c r="O92" s="565">
        <v>0</v>
      </c>
      <c r="P92" s="565">
        <v>0</v>
      </c>
      <c r="Q92" s="565">
        <f t="shared" si="138"/>
        <v>0</v>
      </c>
      <c r="R92" s="584"/>
      <c r="S92" s="565">
        <v>0</v>
      </c>
      <c r="T92" s="565">
        <f t="shared" si="172"/>
        <v>0</v>
      </c>
      <c r="U92" s="565">
        <f t="shared" si="172"/>
        <v>0</v>
      </c>
      <c r="V92" s="565">
        <f t="shared" si="172"/>
        <v>0</v>
      </c>
      <c r="W92" s="565">
        <f t="shared" si="166"/>
        <v>0</v>
      </c>
      <c r="X92" s="584"/>
      <c r="Y92" s="565">
        <f t="shared" si="227"/>
        <v>0</v>
      </c>
      <c r="Z92" s="565">
        <f t="shared" si="173"/>
        <v>0</v>
      </c>
      <c r="AA92" s="565">
        <f t="shared" si="173"/>
        <v>0</v>
      </c>
      <c r="AB92" s="565">
        <f t="shared" si="173"/>
        <v>0</v>
      </c>
      <c r="AC92" s="565">
        <f t="shared" si="167"/>
        <v>0</v>
      </c>
      <c r="AD92" s="556"/>
      <c r="AE92" s="565">
        <f t="shared" si="228"/>
        <v>0</v>
      </c>
      <c r="AF92" s="565">
        <f t="shared" si="174"/>
        <v>0</v>
      </c>
      <c r="AG92" s="565">
        <f t="shared" si="174"/>
        <v>0</v>
      </c>
      <c r="AH92" s="565">
        <f t="shared" si="174"/>
        <v>0</v>
      </c>
      <c r="AI92" s="568">
        <f t="shared" si="168"/>
        <v>0</v>
      </c>
      <c r="AJ92" s="556"/>
      <c r="AK92" s="565">
        <f t="shared" si="175"/>
        <v>0</v>
      </c>
      <c r="AL92" s="565">
        <f t="shared" si="176"/>
        <v>0</v>
      </c>
      <c r="AM92" s="565">
        <f>IF(AL20="-","-",SUM(AM20)-SUM(AL20))</f>
        <v>-1.272</v>
      </c>
      <c r="AN92" s="565">
        <f t="shared" si="178"/>
        <v>0</v>
      </c>
      <c r="AO92" s="568">
        <f t="shared" si="170"/>
        <v>-1.272</v>
      </c>
      <c r="AP92" s="556"/>
      <c r="AQ92" s="565">
        <f t="shared" si="229"/>
        <v>0</v>
      </c>
      <c r="AR92" s="565">
        <f t="shared" si="179"/>
        <v>0</v>
      </c>
      <c r="AS92" s="565">
        <f t="shared" si="180"/>
        <v>0</v>
      </c>
      <c r="AT92" s="565">
        <f t="shared" si="181"/>
        <v>1.7829999999999999</v>
      </c>
      <c r="AU92" s="568">
        <f t="shared" si="171"/>
        <v>1.7829999999999999</v>
      </c>
      <c r="AV92" s="556"/>
      <c r="AW92" s="565">
        <f t="shared" si="182"/>
        <v>0</v>
      </c>
      <c r="AX92" s="565">
        <f t="shared" si="144"/>
        <v>0</v>
      </c>
      <c r="AY92" s="565">
        <f t="shared" si="145"/>
        <v>0</v>
      </c>
      <c r="AZ92" s="565">
        <f t="shared" si="146"/>
        <v>0</v>
      </c>
      <c r="BA92" s="568">
        <f t="shared" si="183"/>
        <v>0</v>
      </c>
      <c r="BB92" s="556"/>
      <c r="BC92" s="565">
        <f t="shared" si="184"/>
        <v>0</v>
      </c>
      <c r="BD92" s="565">
        <f t="shared" si="147"/>
        <v>0</v>
      </c>
      <c r="BE92" s="565">
        <f t="shared" si="148"/>
        <v>0</v>
      </c>
      <c r="BF92" s="565">
        <f t="shared" si="149"/>
        <v>0</v>
      </c>
      <c r="BG92" s="568">
        <f t="shared" si="185"/>
        <v>0</v>
      </c>
      <c r="BH92" s="556"/>
      <c r="BI92" s="565">
        <f t="shared" si="186"/>
        <v>0</v>
      </c>
      <c r="BJ92" s="565">
        <f t="shared" si="150"/>
        <v>0</v>
      </c>
      <c r="BK92" s="565">
        <f t="shared" si="150"/>
        <v>0</v>
      </c>
      <c r="BL92" s="565">
        <f t="shared" si="150"/>
        <v>0</v>
      </c>
      <c r="BM92" s="568">
        <f t="shared" si="187"/>
        <v>0</v>
      </c>
      <c r="BN92" s="556"/>
      <c r="BO92" s="565">
        <f t="shared" si="188"/>
        <v>0</v>
      </c>
      <c r="BP92" s="565">
        <f t="shared" si="164"/>
        <v>0</v>
      </c>
      <c r="BQ92" s="565">
        <f t="shared" si="151"/>
        <v>0</v>
      </c>
      <c r="BR92" s="565">
        <f t="shared" si="151"/>
        <v>0</v>
      </c>
      <c r="BS92" s="568">
        <f t="shared" si="189"/>
        <v>0</v>
      </c>
      <c r="BT92" s="556"/>
      <c r="BU92" s="565">
        <f t="shared" si="190"/>
        <v>0</v>
      </c>
      <c r="BV92" s="565">
        <f t="shared" si="165"/>
        <v>0</v>
      </c>
      <c r="BW92" s="565">
        <f t="shared" si="165"/>
        <v>0</v>
      </c>
      <c r="BX92" s="565">
        <f t="shared" si="152"/>
        <v>0</v>
      </c>
      <c r="BY92" s="568">
        <f t="shared" si="191"/>
        <v>0</v>
      </c>
      <c r="BZ92" s="556"/>
      <c r="CA92" s="565">
        <f t="shared" si="192"/>
        <v>0</v>
      </c>
      <c r="CB92" s="565">
        <f t="shared" si="193"/>
        <v>0</v>
      </c>
      <c r="CC92" s="565">
        <f t="shared" si="194"/>
        <v>0</v>
      </c>
      <c r="CD92" s="565">
        <f t="shared" si="195"/>
        <v>0</v>
      </c>
      <c r="CE92" s="568">
        <f t="shared" si="196"/>
        <v>0</v>
      </c>
      <c r="CF92" s="556"/>
      <c r="CG92" s="565">
        <f t="shared" si="197"/>
        <v>0</v>
      </c>
      <c r="CH92" s="565">
        <f t="shared" si="198"/>
        <v>0</v>
      </c>
      <c r="CI92" s="565">
        <f t="shared" si="199"/>
        <v>0</v>
      </c>
      <c r="CJ92" s="565">
        <f t="shared" si="200"/>
        <v>0</v>
      </c>
      <c r="CK92" s="568">
        <f t="shared" si="201"/>
        <v>0</v>
      </c>
      <c r="CL92" s="556"/>
      <c r="CM92" s="565">
        <f t="shared" si="202"/>
        <v>0</v>
      </c>
      <c r="CN92" s="565">
        <f t="shared" si="203"/>
        <v>0</v>
      </c>
      <c r="CO92" s="565">
        <f t="shared" si="204"/>
        <v>0</v>
      </c>
      <c r="CP92" s="565">
        <f t="shared" si="205"/>
        <v>0</v>
      </c>
      <c r="CQ92" s="568">
        <f t="shared" si="206"/>
        <v>0</v>
      </c>
      <c r="CR92" s="556"/>
      <c r="CS92" s="565">
        <f t="shared" si="207"/>
        <v>0</v>
      </c>
      <c r="CT92" s="565">
        <f t="shared" si="208"/>
        <v>0</v>
      </c>
      <c r="CU92" s="565">
        <f t="shared" si="209"/>
        <v>0</v>
      </c>
      <c r="CV92" s="565">
        <f t="shared" si="210"/>
        <v>0</v>
      </c>
      <c r="CW92" s="568">
        <f t="shared" si="211"/>
        <v>0</v>
      </c>
      <c r="CX92" s="556"/>
      <c r="CY92" s="565">
        <f t="shared" si="212"/>
        <v>0</v>
      </c>
      <c r="CZ92" s="565">
        <f t="shared" si="213"/>
        <v>0</v>
      </c>
      <c r="DA92" s="565">
        <f t="shared" si="214"/>
        <v>0</v>
      </c>
      <c r="DB92" s="565">
        <f t="shared" si="215"/>
        <v>0</v>
      </c>
      <c r="DC92" s="568">
        <f t="shared" si="216"/>
        <v>0</v>
      </c>
      <c r="DD92" s="556"/>
      <c r="DE92" s="565">
        <f t="shared" si="217"/>
        <v>0</v>
      </c>
      <c r="DF92" s="565">
        <f t="shared" si="218"/>
        <v>0</v>
      </c>
      <c r="DG92" s="565">
        <f t="shared" si="219"/>
        <v>0</v>
      </c>
      <c r="DH92" s="565">
        <f t="shared" si="220"/>
        <v>0</v>
      </c>
      <c r="DI92" s="568">
        <f t="shared" si="221"/>
        <v>0</v>
      </c>
      <c r="DJ92" s="556"/>
      <c r="DK92" s="565">
        <f t="shared" si="222"/>
        <v>0</v>
      </c>
      <c r="DL92" s="565">
        <f t="shared" si="223"/>
        <v>0</v>
      </c>
      <c r="DM92" s="565">
        <f t="shared" si="224"/>
        <v>0</v>
      </c>
      <c r="DN92" s="565">
        <f t="shared" si="225"/>
        <v>0</v>
      </c>
      <c r="DO92" s="568">
        <f t="shared" si="226"/>
        <v>0</v>
      </c>
      <c r="DP92" s="1698"/>
      <c r="DQ92" s="956"/>
      <c r="DR92" s="956"/>
    </row>
    <row r="93" spans="1:122" ht="10.5" customHeight="1">
      <c r="A93" s="555" t="s">
        <v>577</v>
      </c>
      <c r="B93" s="584"/>
      <c r="C93" s="565">
        <v>0</v>
      </c>
      <c r="D93" s="565">
        <v>-0.193</v>
      </c>
      <c r="E93" s="565">
        <v>-0.42499999999999999</v>
      </c>
      <c r="F93" s="584"/>
      <c r="G93" s="556">
        <v>-4.2999999999999997E-2</v>
      </c>
      <c r="H93" s="556">
        <v>-7.6999999999999999E-2</v>
      </c>
      <c r="I93" s="556">
        <v>-5.5E-2</v>
      </c>
      <c r="J93" s="556">
        <v>-0.11700000000000001</v>
      </c>
      <c r="K93" s="565">
        <f t="shared" si="137"/>
        <v>-0.29199999999999998</v>
      </c>
      <c r="L93" s="556"/>
      <c r="M93" s="556">
        <v>-1.6E-2</v>
      </c>
      <c r="N93" s="556">
        <v>5.0000000000000001E-3</v>
      </c>
      <c r="O93" s="556">
        <v>0.113</v>
      </c>
      <c r="P93" s="556">
        <v>8.2000000000000003E-2</v>
      </c>
      <c r="Q93" s="565">
        <f t="shared" si="138"/>
        <v>0.184</v>
      </c>
      <c r="R93" s="584"/>
      <c r="S93" s="565">
        <v>1.7000000000000001E-2</v>
      </c>
      <c r="T93" s="565">
        <f>IF(S21="-","-",SUM(T21)-SUM(S21))</f>
        <v>0.14600000000000002</v>
      </c>
      <c r="U93" s="565">
        <f>IF(T21="-","-",SUM(U21)-SUM(T21))</f>
        <v>7.6999999999999985E-2</v>
      </c>
      <c r="V93" s="565">
        <f>IF(U21="-","-",SUM(V21)-SUM(U21))</f>
        <v>0.35</v>
      </c>
      <c r="W93" s="565">
        <f t="shared" si="166"/>
        <v>0.59</v>
      </c>
      <c r="X93" s="584"/>
      <c r="Y93" s="565">
        <f t="shared" si="227"/>
        <v>0.224</v>
      </c>
      <c r="Z93" s="565">
        <f t="shared" si="173"/>
        <v>0.20199999999999999</v>
      </c>
      <c r="AA93" s="565">
        <f t="shared" si="173"/>
        <v>0.34100000000000003</v>
      </c>
      <c r="AB93" s="565">
        <f t="shared" si="173"/>
        <v>0.26700000000000002</v>
      </c>
      <c r="AC93" s="565">
        <f t="shared" si="167"/>
        <v>1.034</v>
      </c>
      <c r="AD93" s="584"/>
      <c r="AE93" s="565">
        <f t="shared" si="228"/>
        <v>0.48399999999999999</v>
      </c>
      <c r="AF93" s="565">
        <f t="shared" si="174"/>
        <v>0.45999999999999996</v>
      </c>
      <c r="AG93" s="565">
        <f t="shared" si="174"/>
        <v>0.56099999999999994</v>
      </c>
      <c r="AH93" s="565">
        <f t="shared" si="174"/>
        <v>0.71499999999999986</v>
      </c>
      <c r="AI93" s="568">
        <f t="shared" si="168"/>
        <v>2.2199999999999998</v>
      </c>
      <c r="AJ93" s="584"/>
      <c r="AK93" s="565">
        <f t="shared" si="175"/>
        <v>0.71799999999999997</v>
      </c>
      <c r="AL93" s="565">
        <f>IF(AK21="-","-",SUM(AL21)-SUM(AK21))</f>
        <v>0.85400000000000009</v>
      </c>
      <c r="AM93" s="565">
        <f>IF(AL21="-","-",SUM(AM21)-SUM(AL21))</f>
        <v>1.125</v>
      </c>
      <c r="AN93" s="565">
        <f t="shared" si="178"/>
        <v>1.7750000000000004</v>
      </c>
      <c r="AO93" s="568">
        <f t="shared" si="170"/>
        <v>4.4720000000000004</v>
      </c>
      <c r="AP93" s="584"/>
      <c r="AQ93" s="565">
        <f t="shared" si="229"/>
        <v>1.514</v>
      </c>
      <c r="AR93" s="565">
        <f t="shared" si="179"/>
        <v>1.4120000000000001</v>
      </c>
      <c r="AS93" s="565">
        <f t="shared" si="180"/>
        <v>1.5590000000000002</v>
      </c>
      <c r="AT93" s="565">
        <f t="shared" si="181"/>
        <v>0.12199999999999989</v>
      </c>
      <c r="AU93" s="568">
        <f t="shared" si="171"/>
        <v>4.6070000000000002</v>
      </c>
      <c r="AV93" s="584"/>
      <c r="AW93" s="565">
        <f t="shared" si="182"/>
        <v>0.55700000000000005</v>
      </c>
      <c r="AX93" s="565">
        <f t="shared" si="144"/>
        <v>-0.55700000000000005</v>
      </c>
      <c r="AY93" s="565">
        <f t="shared" si="145"/>
        <v>0.75200000000000955</v>
      </c>
      <c r="AZ93" s="565">
        <f t="shared" si="146"/>
        <v>-0.75200000000000955</v>
      </c>
      <c r="BA93" s="568">
        <f t="shared" si="183"/>
        <v>0</v>
      </c>
      <c r="BB93" s="584"/>
      <c r="BC93" s="565">
        <f t="shared" si="184"/>
        <v>0</v>
      </c>
      <c r="BD93" s="565">
        <f t="shared" si="147"/>
        <v>0</v>
      </c>
      <c r="BE93" s="565">
        <f t="shared" si="148"/>
        <v>0</v>
      </c>
      <c r="BF93" s="565">
        <f t="shared" si="149"/>
        <v>0</v>
      </c>
      <c r="BG93" s="568">
        <f t="shared" si="185"/>
        <v>0</v>
      </c>
      <c r="BH93" s="584"/>
      <c r="BI93" s="565">
        <f t="shared" si="186"/>
        <v>0</v>
      </c>
      <c r="BJ93" s="565">
        <f t="shared" si="150"/>
        <v>0</v>
      </c>
      <c r="BK93" s="565">
        <f t="shared" si="150"/>
        <v>0</v>
      </c>
      <c r="BL93" s="565">
        <f t="shared" si="150"/>
        <v>0</v>
      </c>
      <c r="BM93" s="568">
        <f t="shared" si="187"/>
        <v>0</v>
      </c>
      <c r="BN93" s="584"/>
      <c r="BO93" s="565">
        <f t="shared" si="188"/>
        <v>0</v>
      </c>
      <c r="BP93" s="565">
        <f t="shared" si="164"/>
        <v>0</v>
      </c>
      <c r="BQ93" s="565">
        <f t="shared" si="151"/>
        <v>0</v>
      </c>
      <c r="BR93" s="565">
        <f t="shared" si="151"/>
        <v>0</v>
      </c>
      <c r="BS93" s="568">
        <f t="shared" si="189"/>
        <v>0</v>
      </c>
      <c r="BT93" s="584"/>
      <c r="BU93" s="565">
        <f t="shared" si="190"/>
        <v>0</v>
      </c>
      <c r="BV93" s="565">
        <f t="shared" si="165"/>
        <v>0</v>
      </c>
      <c r="BW93" s="565">
        <f t="shared" si="165"/>
        <v>0</v>
      </c>
      <c r="BX93" s="565">
        <f t="shared" si="152"/>
        <v>0</v>
      </c>
      <c r="BY93" s="568">
        <f t="shared" si="191"/>
        <v>0</v>
      </c>
      <c r="BZ93" s="584"/>
      <c r="CA93" s="565">
        <f t="shared" si="192"/>
        <v>0</v>
      </c>
      <c r="CB93" s="565">
        <f t="shared" si="193"/>
        <v>0</v>
      </c>
      <c r="CC93" s="565">
        <f t="shared" si="194"/>
        <v>0</v>
      </c>
      <c r="CD93" s="565">
        <f t="shared" si="195"/>
        <v>0</v>
      </c>
      <c r="CE93" s="568">
        <f t="shared" si="196"/>
        <v>0</v>
      </c>
      <c r="CF93" s="584"/>
      <c r="CG93" s="565">
        <f t="shared" si="197"/>
        <v>0</v>
      </c>
      <c r="CH93" s="565">
        <f t="shared" si="198"/>
        <v>0</v>
      </c>
      <c r="CI93" s="565">
        <f t="shared" si="199"/>
        <v>0</v>
      </c>
      <c r="CJ93" s="565">
        <f t="shared" si="200"/>
        <v>0</v>
      </c>
      <c r="CK93" s="568">
        <f t="shared" si="201"/>
        <v>0</v>
      </c>
      <c r="CL93" s="584"/>
      <c r="CM93" s="565">
        <f t="shared" si="202"/>
        <v>0</v>
      </c>
      <c r="CN93" s="565">
        <f t="shared" si="203"/>
        <v>0</v>
      </c>
      <c r="CO93" s="565">
        <f t="shared" si="204"/>
        <v>0</v>
      </c>
      <c r="CP93" s="565">
        <f t="shared" si="205"/>
        <v>0</v>
      </c>
      <c r="CQ93" s="568">
        <f t="shared" si="206"/>
        <v>0</v>
      </c>
      <c r="CR93" s="584"/>
      <c r="CS93" s="565">
        <f t="shared" si="207"/>
        <v>0</v>
      </c>
      <c r="CT93" s="565">
        <f t="shared" si="208"/>
        <v>0</v>
      </c>
      <c r="CU93" s="565">
        <f t="shared" si="209"/>
        <v>0</v>
      </c>
      <c r="CV93" s="565">
        <f t="shared" si="210"/>
        <v>0</v>
      </c>
      <c r="CW93" s="568">
        <f t="shared" si="211"/>
        <v>0</v>
      </c>
      <c r="CX93" s="584"/>
      <c r="CY93" s="565">
        <f t="shared" si="212"/>
        <v>0</v>
      </c>
      <c r="CZ93" s="565">
        <f t="shared" si="213"/>
        <v>0</v>
      </c>
      <c r="DA93" s="565">
        <f t="shared" si="214"/>
        <v>0</v>
      </c>
      <c r="DB93" s="565">
        <f t="shared" si="215"/>
        <v>0</v>
      </c>
      <c r="DC93" s="568">
        <f t="shared" si="216"/>
        <v>0</v>
      </c>
      <c r="DD93" s="584"/>
      <c r="DE93" s="565">
        <f t="shared" si="217"/>
        <v>0</v>
      </c>
      <c r="DF93" s="565">
        <f t="shared" si="218"/>
        <v>0</v>
      </c>
      <c r="DG93" s="565">
        <f t="shared" si="219"/>
        <v>0</v>
      </c>
      <c r="DH93" s="565">
        <f t="shared" si="220"/>
        <v>0</v>
      </c>
      <c r="DI93" s="568">
        <f t="shared" si="221"/>
        <v>0</v>
      </c>
      <c r="DJ93" s="584"/>
      <c r="DK93" s="565">
        <f t="shared" si="222"/>
        <v>0</v>
      </c>
      <c r="DL93" s="565">
        <f t="shared" si="223"/>
        <v>0</v>
      </c>
      <c r="DM93" s="565">
        <f t="shared" si="224"/>
        <v>0</v>
      </c>
      <c r="DN93" s="565">
        <f t="shared" si="225"/>
        <v>0</v>
      </c>
      <c r="DO93" s="568">
        <f t="shared" si="226"/>
        <v>0</v>
      </c>
      <c r="DP93" s="1698"/>
      <c r="DQ93" s="956"/>
      <c r="DR93" s="956"/>
    </row>
    <row r="94" spans="1:122" ht="10.5" customHeight="1">
      <c r="A94" s="555" t="s">
        <v>671</v>
      </c>
      <c r="B94" s="584"/>
      <c r="C94" s="565">
        <v>0</v>
      </c>
      <c r="D94" s="565">
        <v>0</v>
      </c>
      <c r="E94" s="565">
        <f>7.657-0.088</f>
        <v>7.569</v>
      </c>
      <c r="F94" s="584"/>
      <c r="G94" s="565">
        <v>0</v>
      </c>
      <c r="H94" s="565">
        <v>0</v>
      </c>
      <c r="I94" s="565">
        <v>0</v>
      </c>
      <c r="J94" s="565">
        <v>-8.8999999999999996E-2</v>
      </c>
      <c r="K94" s="565">
        <f t="shared" si="137"/>
        <v>-8.8999999999999996E-2</v>
      </c>
      <c r="L94" s="556"/>
      <c r="M94" s="556">
        <v>-2.1000000000000001E-2</v>
      </c>
      <c r="N94" s="556">
        <v>-7.9000000000000001E-2</v>
      </c>
      <c r="O94" s="556">
        <v>-4.3419999999999996</v>
      </c>
      <c r="P94" s="556">
        <v>0.89700000000000002</v>
      </c>
      <c r="Q94" s="565">
        <f t="shared" si="138"/>
        <v>-3.544999999999999</v>
      </c>
      <c r="R94" s="584"/>
      <c r="S94" s="565">
        <v>-2.4E-2</v>
      </c>
      <c r="T94" s="565">
        <f t="shared" ref="T94:V96" si="230">IF(S22="-","-",SUM(T22)-SUM(S22))</f>
        <v>2.4E-2</v>
      </c>
      <c r="U94" s="565">
        <f t="shared" si="230"/>
        <v>0</v>
      </c>
      <c r="V94" s="565">
        <f t="shared" si="230"/>
        <v>0</v>
      </c>
      <c r="W94" s="565">
        <f t="shared" si="166"/>
        <v>0</v>
      </c>
      <c r="X94" s="584"/>
      <c r="Y94" s="565">
        <f t="shared" si="227"/>
        <v>-0.28499999999999998</v>
      </c>
      <c r="Z94" s="565">
        <f t="shared" si="173"/>
        <v>0</v>
      </c>
      <c r="AA94" s="565">
        <f t="shared" si="173"/>
        <v>0</v>
      </c>
      <c r="AB94" s="565">
        <f t="shared" si="173"/>
        <v>-7.1769999999999996</v>
      </c>
      <c r="AC94" s="565">
        <f t="shared" si="167"/>
        <v>-7.4619999999999997</v>
      </c>
      <c r="AD94" s="584"/>
      <c r="AE94" s="565">
        <f t="shared" si="228"/>
        <v>0</v>
      </c>
      <c r="AF94" s="565">
        <f t="shared" si="174"/>
        <v>0</v>
      </c>
      <c r="AG94" s="565">
        <f t="shared" si="174"/>
        <v>0</v>
      </c>
      <c r="AH94" s="565">
        <f t="shared" si="174"/>
        <v>0</v>
      </c>
      <c r="AI94" s="568">
        <f t="shared" si="168"/>
        <v>0</v>
      </c>
      <c r="AJ94" s="584"/>
      <c r="AK94" s="565">
        <f t="shared" si="175"/>
        <v>0</v>
      </c>
      <c r="AL94" s="565">
        <f t="shared" si="176"/>
        <v>0</v>
      </c>
      <c r="AM94" s="565">
        <f t="shared" si="177"/>
        <v>0</v>
      </c>
      <c r="AN94" s="565">
        <f t="shared" si="178"/>
        <v>-0.97</v>
      </c>
      <c r="AO94" s="568">
        <f t="shared" si="170"/>
        <v>-0.97</v>
      </c>
      <c r="AP94" s="584"/>
      <c r="AQ94" s="565">
        <f t="shared" si="229"/>
        <v>0</v>
      </c>
      <c r="AR94" s="565">
        <f t="shared" si="179"/>
        <v>0</v>
      </c>
      <c r="AS94" s="565">
        <f t="shared" si="180"/>
        <v>2.052</v>
      </c>
      <c r="AT94" s="565">
        <f t="shared" si="181"/>
        <v>-2.052</v>
      </c>
      <c r="AU94" s="568">
        <f t="shared" si="171"/>
        <v>0</v>
      </c>
      <c r="AV94" s="584"/>
      <c r="AW94" s="565">
        <f t="shared" si="182"/>
        <v>0</v>
      </c>
      <c r="AX94" s="565">
        <f t="shared" si="144"/>
        <v>0</v>
      </c>
      <c r="AY94" s="565">
        <f t="shared" si="145"/>
        <v>0</v>
      </c>
      <c r="AZ94" s="565">
        <f t="shared" si="146"/>
        <v>0</v>
      </c>
      <c r="BA94" s="568">
        <f t="shared" si="183"/>
        <v>0</v>
      </c>
      <c r="BB94" s="584"/>
      <c r="BC94" s="565">
        <f t="shared" si="184"/>
        <v>5.4509999999999996</v>
      </c>
      <c r="BD94" s="565">
        <f t="shared" si="147"/>
        <v>-5.4509999999999996</v>
      </c>
      <c r="BE94" s="565">
        <f t="shared" si="148"/>
        <v>0</v>
      </c>
      <c r="BF94" s="565">
        <f t="shared" si="149"/>
        <v>0</v>
      </c>
      <c r="BG94" s="568">
        <f t="shared" si="185"/>
        <v>0</v>
      </c>
      <c r="BH94" s="584"/>
      <c r="BI94" s="565">
        <f t="shared" si="186"/>
        <v>0</v>
      </c>
      <c r="BJ94" s="565">
        <f t="shared" si="150"/>
        <v>0</v>
      </c>
      <c r="BK94" s="565">
        <f t="shared" si="150"/>
        <v>0</v>
      </c>
      <c r="BL94" s="565">
        <f t="shared" si="150"/>
        <v>0</v>
      </c>
      <c r="BM94" s="568">
        <f t="shared" si="187"/>
        <v>0</v>
      </c>
      <c r="BN94" s="584"/>
      <c r="BO94" s="565">
        <f t="shared" si="188"/>
        <v>0</v>
      </c>
      <c r="BP94" s="565">
        <f t="shared" si="164"/>
        <v>0</v>
      </c>
      <c r="BQ94" s="565">
        <f>IF(BP22="-","-",SUM(BQ22)-SUM(BP22))</f>
        <v>149.14699999999999</v>
      </c>
      <c r="BR94" s="565">
        <f t="shared" si="151"/>
        <v>-149.14699999999999</v>
      </c>
      <c r="BS94" s="568">
        <f t="shared" si="189"/>
        <v>0</v>
      </c>
      <c r="BT94" s="584"/>
      <c r="BU94" s="565">
        <f t="shared" si="190"/>
        <v>0</v>
      </c>
      <c r="BV94" s="565">
        <f t="shared" si="165"/>
        <v>0</v>
      </c>
      <c r="BW94" s="565">
        <f t="shared" si="165"/>
        <v>0</v>
      </c>
      <c r="BX94" s="565">
        <f t="shared" si="152"/>
        <v>0</v>
      </c>
      <c r="BY94" s="568">
        <f t="shared" si="191"/>
        <v>0</v>
      </c>
      <c r="BZ94" s="584"/>
      <c r="CA94" s="565">
        <f t="shared" si="192"/>
        <v>0</v>
      </c>
      <c r="CB94" s="565">
        <f t="shared" si="193"/>
        <v>0</v>
      </c>
      <c r="CC94" s="565">
        <f t="shared" si="194"/>
        <v>-5.3949999999999996</v>
      </c>
      <c r="CD94" s="565">
        <f t="shared" si="195"/>
        <v>9.6000000000000085E-2</v>
      </c>
      <c r="CE94" s="568">
        <f t="shared" si="196"/>
        <v>-5.2989999999999995</v>
      </c>
      <c r="CF94" s="584"/>
      <c r="CG94" s="565">
        <f t="shared" si="197"/>
        <v>-36.616999999999997</v>
      </c>
      <c r="CH94" s="565">
        <f t="shared" si="198"/>
        <v>0</v>
      </c>
      <c r="CI94" s="565">
        <f t="shared" si="199"/>
        <v>-14.706000000000003</v>
      </c>
      <c r="CJ94" s="565">
        <f t="shared" si="200"/>
        <v>-7.0859999999999985</v>
      </c>
      <c r="CK94" s="568">
        <f t="shared" si="201"/>
        <v>-58.408999999999999</v>
      </c>
      <c r="CL94" s="584"/>
      <c r="CM94" s="565">
        <f t="shared" si="202"/>
        <v>-12.864000000000001</v>
      </c>
      <c r="CN94" s="565">
        <f t="shared" si="203"/>
        <v>0</v>
      </c>
      <c r="CO94" s="565">
        <f t="shared" si="204"/>
        <v>-0.83299999999999841</v>
      </c>
      <c r="CP94" s="565">
        <f t="shared" si="205"/>
        <v>0</v>
      </c>
      <c r="CQ94" s="568">
        <f t="shared" si="206"/>
        <v>-13.696999999999999</v>
      </c>
      <c r="CR94" s="584"/>
      <c r="CS94" s="565">
        <f t="shared" si="207"/>
        <v>0</v>
      </c>
      <c r="CT94" s="565">
        <f t="shared" si="208"/>
        <v>0</v>
      </c>
      <c r="CU94" s="565">
        <f t="shared" si="209"/>
        <v>0</v>
      </c>
      <c r="CV94" s="565">
        <f t="shared" si="210"/>
        <v>0</v>
      </c>
      <c r="CW94" s="568">
        <f t="shared" si="211"/>
        <v>0</v>
      </c>
      <c r="CX94" s="584"/>
      <c r="CY94" s="565">
        <f t="shared" si="212"/>
        <v>0</v>
      </c>
      <c r="CZ94" s="565">
        <f t="shared" si="213"/>
        <v>0</v>
      </c>
      <c r="DA94" s="565">
        <f t="shared" si="214"/>
        <v>0</v>
      </c>
      <c r="DB94" s="565">
        <f t="shared" si="215"/>
        <v>0</v>
      </c>
      <c r="DC94" s="568">
        <f t="shared" si="216"/>
        <v>0</v>
      </c>
      <c r="DD94" s="584"/>
      <c r="DE94" s="565">
        <f t="shared" si="217"/>
        <v>0</v>
      </c>
      <c r="DF94" s="565">
        <f t="shared" si="218"/>
        <v>0</v>
      </c>
      <c r="DG94" s="565">
        <f t="shared" si="219"/>
        <v>0</v>
      </c>
      <c r="DH94" s="565">
        <f t="shared" si="220"/>
        <v>0</v>
      </c>
      <c r="DI94" s="568">
        <f t="shared" si="221"/>
        <v>0</v>
      </c>
      <c r="DJ94" s="584"/>
      <c r="DK94" s="565">
        <f t="shared" si="222"/>
        <v>0</v>
      </c>
      <c r="DL94" s="565">
        <f t="shared" si="223"/>
        <v>0</v>
      </c>
      <c r="DM94" s="565">
        <f t="shared" si="224"/>
        <v>0</v>
      </c>
      <c r="DN94" s="565">
        <f t="shared" si="225"/>
        <v>0</v>
      </c>
      <c r="DO94" s="568">
        <f t="shared" si="226"/>
        <v>0</v>
      </c>
      <c r="DP94" s="1698"/>
      <c r="DQ94" s="956"/>
      <c r="DR94" s="956"/>
    </row>
    <row r="95" spans="1:122" ht="10.5" customHeight="1">
      <c r="A95" s="560"/>
      <c r="B95" s="584"/>
      <c r="C95" s="565"/>
      <c r="D95" s="565"/>
      <c r="E95" s="565"/>
      <c r="F95" s="594"/>
      <c r="G95" s="561"/>
      <c r="H95" s="561"/>
      <c r="I95" s="561"/>
      <c r="J95" s="561"/>
      <c r="K95" s="565"/>
      <c r="L95" s="561"/>
      <c r="M95" s="562"/>
      <c r="N95" s="562"/>
      <c r="O95" s="562"/>
      <c r="P95" s="562"/>
      <c r="Q95" s="562"/>
      <c r="R95" s="560"/>
      <c r="S95" s="565"/>
      <c r="T95" s="565"/>
      <c r="U95" s="605"/>
      <c r="V95" s="605"/>
      <c r="W95" s="560"/>
      <c r="X95" s="560"/>
      <c r="Y95" s="605"/>
      <c r="Z95" s="605"/>
      <c r="AA95" s="605"/>
      <c r="AB95" s="605"/>
      <c r="AC95" s="560"/>
      <c r="AD95" s="560"/>
      <c r="AE95" s="605"/>
      <c r="AF95" s="605"/>
      <c r="AG95" s="605"/>
      <c r="AH95" s="605"/>
      <c r="AI95" s="595"/>
      <c r="AJ95" s="560"/>
      <c r="AK95" s="605"/>
      <c r="AL95" s="605"/>
      <c r="AM95" s="605"/>
      <c r="AN95" s="605"/>
      <c r="AO95" s="606"/>
      <c r="AP95" s="560"/>
      <c r="AQ95" s="605"/>
      <c r="AR95" s="605"/>
      <c r="AS95" s="605"/>
      <c r="AT95" s="605"/>
      <c r="AU95" s="595"/>
      <c r="AV95" s="560"/>
      <c r="AW95" s="605"/>
      <c r="AX95" s="605"/>
      <c r="AY95" s="605"/>
      <c r="AZ95" s="605"/>
      <c r="BA95" s="595"/>
      <c r="BB95" s="560"/>
      <c r="BC95" s="605"/>
      <c r="BD95" s="605"/>
      <c r="BE95" s="605"/>
      <c r="BF95" s="605"/>
      <c r="BG95" s="595"/>
      <c r="BH95" s="560"/>
      <c r="BI95" s="605"/>
      <c r="BJ95" s="605"/>
      <c r="BK95" s="605"/>
      <c r="BL95" s="605"/>
      <c r="BM95" s="595"/>
      <c r="BN95" s="560"/>
      <c r="BO95" s="605"/>
      <c r="BP95" s="605"/>
      <c r="BQ95" s="605"/>
      <c r="BR95" s="605"/>
      <c r="BS95" s="595"/>
      <c r="BT95" s="560"/>
      <c r="BU95" s="605"/>
      <c r="BV95" s="605"/>
      <c r="BW95" s="605"/>
      <c r="BX95" s="605"/>
      <c r="BY95" s="595"/>
      <c r="BZ95" s="560"/>
      <c r="CA95" s="605"/>
      <c r="CB95" s="605"/>
      <c r="CC95" s="605"/>
      <c r="CD95" s="605"/>
      <c r="CE95" s="595"/>
      <c r="CF95" s="560"/>
      <c r="CG95" s="605"/>
      <c r="CH95" s="605"/>
      <c r="CI95" s="605"/>
      <c r="CJ95" s="605"/>
      <c r="CK95" s="595"/>
      <c r="CL95" s="560"/>
      <c r="CM95" s="605"/>
      <c r="CN95" s="605"/>
      <c r="CO95" s="605"/>
      <c r="CP95" s="605"/>
      <c r="CQ95" s="595"/>
      <c r="CR95" s="560"/>
      <c r="CS95" s="605"/>
      <c r="CT95" s="605"/>
      <c r="CU95" s="605"/>
      <c r="CV95" s="605"/>
      <c r="CW95" s="595"/>
      <c r="CX95" s="560"/>
      <c r="CY95" s="605"/>
      <c r="CZ95" s="605"/>
      <c r="DA95" s="605"/>
      <c r="DB95" s="605"/>
      <c r="DC95" s="595"/>
      <c r="DD95" s="560"/>
      <c r="DE95" s="605"/>
      <c r="DF95" s="605"/>
      <c r="DG95" s="605"/>
      <c r="DH95" s="605"/>
      <c r="DI95" s="595"/>
      <c r="DJ95" s="560"/>
      <c r="DK95" s="605"/>
      <c r="DL95" s="605"/>
      <c r="DM95" s="605"/>
      <c r="DN95" s="605"/>
      <c r="DO95" s="595"/>
      <c r="DP95" s="1701"/>
      <c r="DQ95" s="1219"/>
      <c r="DR95" s="1219"/>
    </row>
    <row r="96" spans="1:122" ht="10.5" customHeight="1">
      <c r="A96" s="52" t="s">
        <v>658</v>
      </c>
      <c r="B96" s="53"/>
      <c r="C96" s="54">
        <v>0.495</v>
      </c>
      <c r="D96" s="54">
        <v>0.86499999999999999</v>
      </c>
      <c r="E96" s="54">
        <f>SUM(E97:E101)</f>
        <v>1.2039999999999997</v>
      </c>
      <c r="F96" s="53"/>
      <c r="G96" s="55">
        <v>2.2370000000000001</v>
      </c>
      <c r="H96" s="55">
        <v>1.45</v>
      </c>
      <c r="I96" s="55">
        <v>1.3220000000000001</v>
      </c>
      <c r="J96" s="55">
        <f>-0.693-J94</f>
        <v>-0.60399999999999998</v>
      </c>
      <c r="K96" s="54">
        <f>SUM(K97:K101)</f>
        <v>4.4049999999999994</v>
      </c>
      <c r="L96" s="55"/>
      <c r="M96" s="54">
        <f>SUM(M97:M101)</f>
        <v>1.2589999999999999</v>
      </c>
      <c r="N96" s="55">
        <v>0.36199999999999999</v>
      </c>
      <c r="O96" s="55">
        <v>3.431</v>
      </c>
      <c r="P96" s="55">
        <v>0.95899999999999996</v>
      </c>
      <c r="Q96" s="54">
        <f>SUM(M96:P96)</f>
        <v>6.0109999999999992</v>
      </c>
      <c r="R96" s="53"/>
      <c r="S96" s="54">
        <f>SUM(S97:S101)</f>
        <v>1.0109999999999995</v>
      </c>
      <c r="T96" s="54">
        <f>IF(S24="-","-",SUM(T24)-SUM(S24))</f>
        <v>7.9410000000000007</v>
      </c>
      <c r="U96" s="54">
        <f t="shared" si="230"/>
        <v>4.6739999999999995</v>
      </c>
      <c r="V96" s="54">
        <f t="shared" si="230"/>
        <v>11.153</v>
      </c>
      <c r="W96" s="54">
        <f t="shared" ref="W96:W101" si="231">SUM(S96:V96)</f>
        <v>24.779</v>
      </c>
      <c r="X96" s="53"/>
      <c r="Y96" s="54">
        <f t="shared" si="227"/>
        <v>8.2119999999999997</v>
      </c>
      <c r="Z96" s="54">
        <f t="shared" ref="Z96:AB101" si="232">IF(Y24="-","-",SUM(Z24)-SUM(Y24))</f>
        <v>3.0980000000000008</v>
      </c>
      <c r="AA96" s="54">
        <f t="shared" si="232"/>
        <v>5.1890000000000018</v>
      </c>
      <c r="AB96" s="54">
        <f t="shared" si="232"/>
        <v>29.604999999999997</v>
      </c>
      <c r="AC96" s="54">
        <f t="shared" ref="AC96:AC101" si="233">SUM(Y96:AB96)</f>
        <v>46.103999999999999</v>
      </c>
      <c r="AD96" s="53"/>
      <c r="AE96" s="54">
        <f t="shared" si="228"/>
        <v>-2.8969999999999998</v>
      </c>
      <c r="AF96" s="54">
        <f t="shared" ref="AF96:AH101" si="234">IF(AE24="-","-",SUM(AF24)-SUM(AE24))</f>
        <v>16.687999999999999</v>
      </c>
      <c r="AG96" s="54">
        <f t="shared" si="234"/>
        <v>15.198999999999998</v>
      </c>
      <c r="AH96" s="54">
        <f t="shared" si="234"/>
        <v>21.016999999999999</v>
      </c>
      <c r="AI96" s="73">
        <f t="shared" ref="AI96:AI101" si="235">SUM(AE96:AH96)</f>
        <v>50.006999999999991</v>
      </c>
      <c r="AJ96" s="53"/>
      <c r="AK96" s="54">
        <f t="shared" si="175"/>
        <v>15.769</v>
      </c>
      <c r="AL96" s="54">
        <f t="shared" ref="AL96:AL101" si="236">IF(AK24="-","-",SUM(AL24)-SUM(AK24))</f>
        <v>9.8650000000000002</v>
      </c>
      <c r="AM96" s="54">
        <f t="shared" ref="AM96:AM101" si="237">IF(AL24="-","-",SUM(AM24)-SUM(AL24))</f>
        <v>22.951000000000001</v>
      </c>
      <c r="AN96" s="54">
        <f t="shared" ref="AN96:AN101" si="238">IF(AM24="-","-",SUM(AN24)-SUM(AM24))</f>
        <v>45.461000000000006</v>
      </c>
      <c r="AO96" s="73">
        <f t="shared" ref="AO96:AO101" si="239">SUM(AK96:AN96)</f>
        <v>94.046000000000006</v>
      </c>
      <c r="AP96" s="53"/>
      <c r="AQ96" s="54">
        <f t="shared" si="229"/>
        <v>44.515000000000001</v>
      </c>
      <c r="AR96" s="54">
        <f t="shared" ref="AR96:AR101" si="240">IF(AQ24="-","-",SUM(AR24)-SUM(AQ24))</f>
        <v>11.848999999999997</v>
      </c>
      <c r="AS96" s="54">
        <f t="shared" ref="AS96:AS101" si="241">IF(AR24="-","-",SUM(AS24)-SUM(AR24))</f>
        <v>-20.878</v>
      </c>
      <c r="AT96" s="54">
        <f t="shared" ref="AT96:AT101" si="242">IF(AS24="-","-",SUM(AT24)-SUM(AS24))</f>
        <v>26.781000000000006</v>
      </c>
      <c r="AU96" s="73">
        <f t="shared" ref="AU96:AU101" si="243">SUM(AQ96:AT96)</f>
        <v>62.267000000000003</v>
      </c>
      <c r="AV96" s="53"/>
      <c r="AW96" s="54">
        <f t="shared" si="182"/>
        <v>39.677</v>
      </c>
      <c r="AX96" s="54">
        <f t="shared" ref="AX96:AX101" si="244">IF(AW24="-","-",SUM(AX24)-SUM(AW24))</f>
        <v>-8.6349999999999909</v>
      </c>
      <c r="AY96" s="54">
        <f t="shared" ref="AY96:AY101" si="245">IF(AX24="-","-",SUM(AY24)-SUM(AX24))</f>
        <v>-28.228000000000009</v>
      </c>
      <c r="AZ96" s="54">
        <f t="shared" ref="AZ96:AZ101" si="246">IF(AY24="-","-",SUM(AZ24)-SUM(AY24))</f>
        <v>28.255999999999993</v>
      </c>
      <c r="BA96" s="73">
        <f t="shared" ref="BA96:BA101" si="247">SUM(AW96:AZ96)</f>
        <v>31.069999999999993</v>
      </c>
      <c r="BB96" s="53"/>
      <c r="BC96" s="54">
        <f t="shared" si="184"/>
        <v>66.681999999999988</v>
      </c>
      <c r="BD96" s="54">
        <f t="shared" ref="BD96:BD101" si="248">IF(BC24="-","-",SUM(BD24)-SUM(BC24))</f>
        <v>14.368000000000009</v>
      </c>
      <c r="BE96" s="54">
        <f t="shared" ref="BE96:BE101" si="249">IF(BD24="-","-",SUM(BE24)-SUM(BD24))</f>
        <v>-5.7060000000000031</v>
      </c>
      <c r="BF96" s="54">
        <f t="shared" ref="BF96:BF101" si="250">IF(BE24="-","-",SUM(BF24)-SUM(BE24))</f>
        <v>54.075999999999993</v>
      </c>
      <c r="BG96" s="73">
        <f t="shared" ref="BG96:BG101" si="251">SUM(BC96:BF96)</f>
        <v>129.41999999999999</v>
      </c>
      <c r="BH96" s="53"/>
      <c r="BI96" s="54">
        <f t="shared" si="186"/>
        <v>36.940999999999988</v>
      </c>
      <c r="BJ96" s="54">
        <f t="shared" ref="BJ96:BL101" si="252">IF(BI24="-","-",SUM(BJ24)-SUM(BI24))</f>
        <v>-32.538999999999987</v>
      </c>
      <c r="BK96" s="54">
        <f t="shared" si="252"/>
        <v>11.798000000000005</v>
      </c>
      <c r="BL96" s="54">
        <f t="shared" si="252"/>
        <v>88.810999999999964</v>
      </c>
      <c r="BM96" s="73">
        <f t="shared" ref="BM96:BM101" si="253">SUM(BI96:BL96)</f>
        <v>105.01099999999997</v>
      </c>
      <c r="BN96" s="53"/>
      <c r="BO96" s="54">
        <f t="shared" si="188"/>
        <v>72.108000000000047</v>
      </c>
      <c r="BP96" s="54">
        <f t="shared" ref="BP96:BP101" si="254">IF(BO24="-","-",SUM(BP24)-SUM(BO24))</f>
        <v>-16.842000000000034</v>
      </c>
      <c r="BQ96" s="54">
        <f t="shared" ref="BQ96:BR101" si="255">IF(BP24="-","-",SUM(BQ24)-SUM(BP24))</f>
        <v>-30.387999999999984</v>
      </c>
      <c r="BR96" s="54">
        <f t="shared" si="255"/>
        <v>222.34799999999996</v>
      </c>
      <c r="BS96" s="73">
        <f t="shared" ref="BS96:BS101" si="256">SUM(BO96:BR96)</f>
        <v>247.226</v>
      </c>
      <c r="BT96" s="53"/>
      <c r="BU96" s="54">
        <f t="shared" si="190"/>
        <v>120.41299999999998</v>
      </c>
      <c r="BV96" s="54">
        <f t="shared" ref="BV96:BW101" si="257">IF(BU24="-","-",SUM(BV24)-SUM(BU24))</f>
        <v>-142.52300000000002</v>
      </c>
      <c r="BW96" s="54">
        <f t="shared" si="257"/>
        <v>-53.362999999999985</v>
      </c>
      <c r="BX96" s="54">
        <f t="shared" ref="BX96:BX101" si="258">IF(BW24="-","-",SUM(BX24)-SUM(BW24))</f>
        <v>74.209000000000003</v>
      </c>
      <c r="BY96" s="73">
        <f t="shared" ref="BY96:BY101" si="259">SUM(BU96:BX96)</f>
        <v>-1.2640000000000242</v>
      </c>
      <c r="BZ96" s="53"/>
      <c r="CA96" s="54">
        <f t="shared" si="192"/>
        <v>256.964</v>
      </c>
      <c r="CB96" s="54">
        <f t="shared" ref="CB96:CB101" si="260">IF(CA24="-","-",SUM(CB24)-SUM(CA24))</f>
        <v>-21.451000000000022</v>
      </c>
      <c r="CC96" s="54">
        <f t="shared" ref="CC96:CC101" si="261">IF(CB24="-","-",SUM(CC24)-SUM(CB24))</f>
        <v>-149.2639999999999</v>
      </c>
      <c r="CD96" s="54">
        <f t="shared" ref="CD96:CD101" si="262">IF(CC24="-","-",SUM(CD24)-SUM(CC24))</f>
        <v>52.85899999999998</v>
      </c>
      <c r="CE96" s="73">
        <f t="shared" ref="CE96:CE101" si="263">SUM(CA96:CD96)</f>
        <v>139.10800000000006</v>
      </c>
      <c r="CF96" s="53"/>
      <c r="CG96" s="54">
        <f t="shared" si="197"/>
        <v>414.10299999999995</v>
      </c>
      <c r="CH96" s="54">
        <f t="shared" ref="CH96:CH101" si="264">IF(CG24="-","-",SUM(CH24)-SUM(CG24))</f>
        <v>-58.29400000000004</v>
      </c>
      <c r="CI96" s="54">
        <f t="shared" ref="CI96:CI101" si="265">IF(CH24="-","-",SUM(CI24)-SUM(CH24))</f>
        <v>-162.24799999999993</v>
      </c>
      <c r="CJ96" s="54">
        <f t="shared" ref="CJ96:CJ101" si="266">IF(CI24="-","-",SUM(CJ24)-SUM(CI24))</f>
        <v>118.43600000000009</v>
      </c>
      <c r="CK96" s="73">
        <f t="shared" ref="CK96:CK101" si="267">SUM(CG96:CJ96)</f>
        <v>311.99700000000007</v>
      </c>
      <c r="CL96" s="53"/>
      <c r="CM96" s="54">
        <f t="shared" si="202"/>
        <v>607.77699999999982</v>
      </c>
      <c r="CN96" s="54">
        <f t="shared" ref="CN96:CN101" si="268">IF(CM24="-","-",SUM(CN24)-SUM(CM24))</f>
        <v>-406.26599999999974</v>
      </c>
      <c r="CO96" s="54">
        <f t="shared" ref="CO96:CO101" si="269">IF(CN24="-","-",SUM(CO24)-SUM(CN24))</f>
        <v>-282.154</v>
      </c>
      <c r="CP96" s="54">
        <f t="shared" ref="CP96:CP101" si="270">IF(CO24="-","-",SUM(CP24)-SUM(CO24))</f>
        <v>222.21199999999988</v>
      </c>
      <c r="CQ96" s="73">
        <f t="shared" ref="CQ96:CQ101" si="271">SUM(CM96:CP96)</f>
        <v>141.56899999999996</v>
      </c>
      <c r="CR96" s="53"/>
      <c r="CS96" s="54">
        <f t="shared" si="207"/>
        <v>688.255</v>
      </c>
      <c r="CT96" s="54">
        <f t="shared" ref="CT96:CT101" si="272">IF(CS24="-","-",SUM(CT24)-SUM(CS24))</f>
        <v>-250.83000000000015</v>
      </c>
      <c r="CU96" s="54">
        <f t="shared" ref="CU96:CU101" si="273">IF(CT24="-","-",SUM(CU24)-SUM(CT24))</f>
        <v>-489.89700000000005</v>
      </c>
      <c r="CV96" s="54">
        <f t="shared" ref="CV96:CV101" si="274">IF(CU24="-","-",SUM(CV24)-SUM(CU24))</f>
        <v>417.41700000000037</v>
      </c>
      <c r="CW96" s="73">
        <f t="shared" ref="CW96:CW101" si="275">SUM(CS96:CV96)</f>
        <v>364.94500000000016</v>
      </c>
      <c r="CX96" s="53"/>
      <c r="CY96" s="54">
        <f t="shared" si="212"/>
        <v>728.62809878327425</v>
      </c>
      <c r="CZ96" s="54">
        <f t="shared" ref="CZ96:CZ101" si="276">IF(CY24="-","-",SUM(CZ24)-SUM(CY24))</f>
        <v>-432.50910559238605</v>
      </c>
      <c r="DA96" s="54">
        <f t="shared" ref="DA96:DA101" si="277">IF(CZ24="-","-",SUM(DA24)-SUM(CZ24))</f>
        <v>-653.16774649186436</v>
      </c>
      <c r="DB96" s="54">
        <f t="shared" ref="DB96:DB101" si="278">IF(DA24="-","-",SUM(DB24)-SUM(DA24))</f>
        <v>317.18522281770834</v>
      </c>
      <c r="DC96" s="73">
        <f t="shared" ref="DC96:DC101" si="279">SUM(CY96:DB96)</f>
        <v>-39.863530483267823</v>
      </c>
      <c r="DD96" s="53"/>
      <c r="DE96" s="54">
        <f t="shared" si="217"/>
        <v>901.78206199189754</v>
      </c>
      <c r="DF96" s="54">
        <f t="shared" ref="DF96:DF101" si="280">IF(DE24="-","-",SUM(DF24)-SUM(DE24))</f>
        <v>-618.21154977458127</v>
      </c>
      <c r="DG96" s="54">
        <f t="shared" ref="DG96:DG101" si="281">IF(DF24="-","-",SUM(DG24)-SUM(DF24))</f>
        <v>-817.91685767404761</v>
      </c>
      <c r="DH96" s="54">
        <f t="shared" ref="DH96:DH101" si="282">IF(DG24="-","-",SUM(DH24)-SUM(DG24))</f>
        <v>668.64663001269219</v>
      </c>
      <c r="DI96" s="73">
        <f t="shared" ref="DI96:DI101" si="283">SUM(DE96:DH96)</f>
        <v>134.30028455596084</v>
      </c>
      <c r="DJ96" s="53"/>
      <c r="DK96" s="54">
        <f t="shared" si="222"/>
        <v>1020.0611719734152</v>
      </c>
      <c r="DL96" s="54">
        <f t="shared" ref="DL96:DL101" si="284">IF(DK24="-","-",SUM(DL24)-SUM(DK24))</f>
        <v>-644.03378503801969</v>
      </c>
      <c r="DM96" s="54">
        <f t="shared" ref="DM96:DM101" si="285">IF(DL24="-","-",SUM(DM24)-SUM(DL24))</f>
        <v>-949.05366244297375</v>
      </c>
      <c r="DN96" s="54">
        <f t="shared" ref="DN96:DN101" si="286">IF(DM24="-","-",SUM(DN24)-SUM(DM24))</f>
        <v>760.431561474094</v>
      </c>
      <c r="DO96" s="73">
        <f t="shared" ref="DO96:DO101" si="287">SUM(DK96:DN96)</f>
        <v>187.40528596651575</v>
      </c>
      <c r="DP96" s="1698"/>
      <c r="DQ96" s="956"/>
      <c r="DR96" s="956"/>
    </row>
    <row r="97" spans="1:128" ht="10.5" hidden="1" customHeight="1" outlineLevel="1">
      <c r="A97" s="555" t="s">
        <v>672</v>
      </c>
      <c r="B97" s="584"/>
      <c r="C97" s="565"/>
      <c r="D97" s="565"/>
      <c r="E97" s="565">
        <v>-3.9910000000000001</v>
      </c>
      <c r="F97" s="584"/>
      <c r="G97" s="556"/>
      <c r="H97" s="556"/>
      <c r="I97" s="556"/>
      <c r="J97" s="556"/>
      <c r="K97" s="565">
        <v>-3.8719999999999999</v>
      </c>
      <c r="L97" s="556"/>
      <c r="M97" s="565">
        <v>-2.5430000000000001</v>
      </c>
      <c r="N97" s="575">
        <f t="shared" ref="N97:P101" si="288">IF(M25="-","-",SUM(N25)-SUM(M25))</f>
        <v>-4.8039999999999994</v>
      </c>
      <c r="O97" s="575">
        <f t="shared" si="288"/>
        <v>-4.8040000000000003</v>
      </c>
      <c r="P97" s="575">
        <f t="shared" si="288"/>
        <v>-4.8039999999999985</v>
      </c>
      <c r="Q97" s="565">
        <v>-16.954999999999998</v>
      </c>
      <c r="R97" s="584"/>
      <c r="S97" s="565">
        <v>2.0459999999999998</v>
      </c>
      <c r="T97" s="565">
        <f t="shared" ref="T97:V101" si="289">IF(S25="-","-",SUM(T25)-SUM(S25))</f>
        <v>-5.4540000000000006</v>
      </c>
      <c r="U97" s="565">
        <f t="shared" si="289"/>
        <v>-7.5909999999999975</v>
      </c>
      <c r="V97" s="565">
        <f t="shared" si="289"/>
        <v>-11.339000000000006</v>
      </c>
      <c r="W97" s="565">
        <f t="shared" si="231"/>
        <v>-22.338000000000005</v>
      </c>
      <c r="X97" s="584"/>
      <c r="Y97" s="565">
        <f t="shared" si="227"/>
        <v>6.4909999999999997</v>
      </c>
      <c r="Z97" s="565">
        <f t="shared" si="232"/>
        <v>-7.8009999999999948</v>
      </c>
      <c r="AA97" s="565">
        <f t="shared" si="232"/>
        <v>-3.222999999999999</v>
      </c>
      <c r="AB97" s="565">
        <f t="shared" si="232"/>
        <v>-22.721000000000007</v>
      </c>
      <c r="AC97" s="565">
        <f t="shared" si="233"/>
        <v>-27.254000000000001</v>
      </c>
      <c r="AD97" s="584"/>
      <c r="AE97" s="565">
        <f t="shared" si="228"/>
        <v>3.7909999999999968</v>
      </c>
      <c r="AF97" s="565">
        <f t="shared" si="234"/>
        <v>-3.3669999999999902</v>
      </c>
      <c r="AG97" s="565">
        <f t="shared" si="234"/>
        <v>-7.1040000000000134</v>
      </c>
      <c r="AH97" s="565">
        <f t="shared" si="234"/>
        <v>-45.842999999999996</v>
      </c>
      <c r="AI97" s="568">
        <f t="shared" si="235"/>
        <v>-52.523000000000003</v>
      </c>
      <c r="AJ97" s="584"/>
      <c r="AK97" s="565">
        <f t="shared" si="175"/>
        <v>23.680000000000007</v>
      </c>
      <c r="AL97" s="565">
        <f t="shared" si="236"/>
        <v>-9.0330000000000013</v>
      </c>
      <c r="AM97" s="565">
        <f t="shared" si="237"/>
        <v>-7.914999999999992</v>
      </c>
      <c r="AN97" s="565">
        <f t="shared" si="238"/>
        <v>-98.100000000000009</v>
      </c>
      <c r="AO97" s="568">
        <f t="shared" si="239"/>
        <v>-91.367999999999995</v>
      </c>
      <c r="AP97" s="584"/>
      <c r="AQ97" s="607">
        <f t="shared" si="229"/>
        <v>76.152000000000015</v>
      </c>
      <c r="AR97" s="607">
        <f t="shared" si="240"/>
        <v>-3.0730000000000075</v>
      </c>
      <c r="AS97" s="607">
        <f t="shared" si="241"/>
        <v>-10.698000000000008</v>
      </c>
      <c r="AT97" s="565">
        <f t="shared" si="242"/>
        <v>-107.179</v>
      </c>
      <c r="AU97" s="568">
        <f t="shared" si="243"/>
        <v>-44.798000000000002</v>
      </c>
      <c r="AV97" s="584"/>
      <c r="AW97" s="565">
        <f t="shared" si="182"/>
        <v>120.68600000000001</v>
      </c>
      <c r="AX97" s="565">
        <f t="shared" si="244"/>
        <v>-22.816000000000003</v>
      </c>
      <c r="AY97" s="565">
        <f t="shared" si="245"/>
        <v>-22.515000000000001</v>
      </c>
      <c r="AZ97" s="565">
        <f t="shared" si="246"/>
        <v>-129.87700000000001</v>
      </c>
      <c r="BA97" s="568">
        <f t="shared" si="247"/>
        <v>-54.522000000000006</v>
      </c>
      <c r="BB97" s="584"/>
      <c r="BC97" s="565">
        <f t="shared" si="184"/>
        <v>138.95099999999999</v>
      </c>
      <c r="BD97" s="565">
        <f t="shared" si="248"/>
        <v>-41.412999999999997</v>
      </c>
      <c r="BE97" s="565">
        <f t="shared" si="249"/>
        <v>-30.212000000000003</v>
      </c>
      <c r="BF97" s="565">
        <f t="shared" si="250"/>
        <v>-169.833</v>
      </c>
      <c r="BG97" s="568">
        <f t="shared" si="251"/>
        <v>-102.50700000000001</v>
      </c>
      <c r="BH97" s="584"/>
      <c r="BI97" s="565">
        <f t="shared" si="186"/>
        <v>156.12700000000001</v>
      </c>
      <c r="BJ97" s="565">
        <f t="shared" si="252"/>
        <v>-66.076000000000008</v>
      </c>
      <c r="BK97" s="565">
        <f t="shared" si="252"/>
        <v>30.100999999999999</v>
      </c>
      <c r="BL97" s="565">
        <f t="shared" si="252"/>
        <v>-365.09899999999999</v>
      </c>
      <c r="BM97" s="568">
        <f t="shared" si="253"/>
        <v>-244.947</v>
      </c>
      <c r="BN97" s="584"/>
      <c r="BO97" s="565">
        <f t="shared" si="188"/>
        <v>312.66000000000003</v>
      </c>
      <c r="BP97" s="565">
        <f t="shared" si="254"/>
        <v>-75.52200000000002</v>
      </c>
      <c r="BQ97" s="565">
        <f t="shared" si="255"/>
        <v>33.664000000000016</v>
      </c>
      <c r="BR97" s="565">
        <f t="shared" si="255"/>
        <v>-454.04399999999998</v>
      </c>
      <c r="BS97" s="568">
        <f t="shared" si="256"/>
        <v>-183.24199999999996</v>
      </c>
      <c r="BT97" s="584"/>
      <c r="BU97" s="565">
        <f t="shared" si="190"/>
        <v>369.88900000000001</v>
      </c>
      <c r="BV97" s="565">
        <f t="shared" si="257"/>
        <v>-33.297000000000025</v>
      </c>
      <c r="BW97" s="565">
        <f t="shared" si="257"/>
        <v>-4.5020000000000095</v>
      </c>
      <c r="BX97" s="565">
        <f t="shared" si="258"/>
        <v>-756.79199999999992</v>
      </c>
      <c r="BY97" s="568">
        <f t="shared" si="259"/>
        <v>-424.70199999999994</v>
      </c>
      <c r="BZ97" s="584"/>
      <c r="CA97" s="565">
        <f t="shared" si="192"/>
        <v>676.68200000000002</v>
      </c>
      <c r="CB97" s="565">
        <f t="shared" si="260"/>
        <v>-150.16800000000001</v>
      </c>
      <c r="CC97" s="565">
        <f t="shared" si="261"/>
        <v>39.79200000000003</v>
      </c>
      <c r="CD97" s="565">
        <f>IF(CC25="-","-",SUM(CD25)-SUM(CC25))</f>
        <v>-1110.9160000000002</v>
      </c>
      <c r="CE97" s="568">
        <f t="shared" si="263"/>
        <v>-544.61000000000013</v>
      </c>
      <c r="CF97" s="584"/>
      <c r="CG97" s="565">
        <f>CG25</f>
        <v>979.17</v>
      </c>
      <c r="CH97" s="565">
        <f t="shared" si="264"/>
        <v>-141.41800000000001</v>
      </c>
      <c r="CI97" s="565">
        <f t="shared" si="265"/>
        <v>15.262000000000057</v>
      </c>
      <c r="CJ97" s="565">
        <f t="shared" si="266"/>
        <v>-1435.4389999999999</v>
      </c>
      <c r="CK97" s="568">
        <f t="shared" si="267"/>
        <v>-582.42499999999984</v>
      </c>
      <c r="CL97" s="584"/>
      <c r="CM97" s="565">
        <f t="shared" si="202"/>
        <v>1307.3119999999999</v>
      </c>
      <c r="CN97" s="565">
        <f t="shared" si="268"/>
        <v>-73.166999999999916</v>
      </c>
      <c r="CO97" s="565">
        <f t="shared" si="269"/>
        <v>42.65300000000002</v>
      </c>
      <c r="CP97" s="565">
        <f>IF(CO25="-","-",SUM(CP25)-SUM(CO25))</f>
        <v>-1905.2750000000001</v>
      </c>
      <c r="CQ97" s="568">
        <f t="shared" si="271"/>
        <v>-628.47700000000009</v>
      </c>
      <c r="CR97" s="584"/>
      <c r="CS97" s="565">
        <f t="shared" si="207"/>
        <v>1757.5070000000001</v>
      </c>
      <c r="CT97" s="565">
        <f t="shared" si="272"/>
        <v>-129.44700000000012</v>
      </c>
      <c r="CU97" s="565">
        <f t="shared" si="273"/>
        <v>49.405999999999949</v>
      </c>
      <c r="CV97" s="565">
        <f t="shared" si="274"/>
        <v>-2397.4849999999997</v>
      </c>
      <c r="CW97" s="568">
        <f t="shared" si="275"/>
        <v>-720.01899999999978</v>
      </c>
      <c r="CX97" s="584"/>
      <c r="CY97" s="565">
        <f t="shared" si="212"/>
        <v>2078.8822471409226</v>
      </c>
      <c r="CZ97" s="565">
        <f t="shared" si="276"/>
        <v>-127.3672782215408</v>
      </c>
      <c r="DA97" s="565">
        <f t="shared" si="277"/>
        <v>11.221063950446251</v>
      </c>
      <c r="DB97" s="565">
        <f t="shared" si="278"/>
        <v>-3066.3355470163697</v>
      </c>
      <c r="DC97" s="568">
        <f t="shared" si="279"/>
        <v>-1103.5995141465417</v>
      </c>
      <c r="DD97" s="584"/>
      <c r="DE97" s="565">
        <f t="shared" si="217"/>
        <v>2652.3669368883584</v>
      </c>
      <c r="DF97" s="565">
        <f t="shared" si="280"/>
        <v>-246.08135109065961</v>
      </c>
      <c r="DG97" s="565">
        <f t="shared" si="281"/>
        <v>-20.156501755887803</v>
      </c>
      <c r="DH97" s="565">
        <f t="shared" si="282"/>
        <v>-3603.3398542577165</v>
      </c>
      <c r="DI97" s="568">
        <f t="shared" si="283"/>
        <v>-1217.2107702159055</v>
      </c>
      <c r="DJ97" s="584"/>
      <c r="DK97" s="565">
        <f t="shared" si="222"/>
        <v>3248.9939053692228</v>
      </c>
      <c r="DL97" s="565">
        <f t="shared" si="284"/>
        <v>-220.46834975929278</v>
      </c>
      <c r="DM97" s="565">
        <f t="shared" si="285"/>
        <v>-26.780853332659262</v>
      </c>
      <c r="DN97" s="565">
        <f t="shared" si="286"/>
        <v>-4516.2530971489668</v>
      </c>
      <c r="DO97" s="568">
        <f t="shared" si="287"/>
        <v>-1514.5083948716961</v>
      </c>
      <c r="DP97" s="1698"/>
      <c r="DQ97" s="956"/>
      <c r="DR97" s="956"/>
    </row>
    <row r="98" spans="1:128" ht="10.5" hidden="1" customHeight="1" outlineLevel="1">
      <c r="A98" s="555" t="s">
        <v>673</v>
      </c>
      <c r="B98" s="584"/>
      <c r="C98" s="565"/>
      <c r="D98" s="565"/>
      <c r="E98" s="565">
        <f>-0.87+0.317+0.084</f>
        <v>-0.46899999999999992</v>
      </c>
      <c r="F98" s="584"/>
      <c r="G98" s="556"/>
      <c r="H98" s="556"/>
      <c r="I98" s="556"/>
      <c r="J98" s="556"/>
      <c r="K98" s="565">
        <f>-5.691-0.579+0.016</f>
        <v>-6.2539999999999996</v>
      </c>
      <c r="L98" s="556"/>
      <c r="M98" s="565">
        <f>-1.917-0.248</f>
        <v>-2.165</v>
      </c>
      <c r="N98" s="575">
        <f t="shared" si="288"/>
        <v>-5.6980000000000004</v>
      </c>
      <c r="O98" s="575">
        <f t="shared" si="288"/>
        <v>-5.6979999999999995</v>
      </c>
      <c r="P98" s="575">
        <f t="shared" si="288"/>
        <v>-5.6980000000000004</v>
      </c>
      <c r="Q98" s="565">
        <f>-16.32-2.216-0.723</f>
        <v>-19.259</v>
      </c>
      <c r="R98" s="584"/>
      <c r="S98" s="565">
        <f>-2.348-1.155-0.145</f>
        <v>-3.6480000000000001</v>
      </c>
      <c r="T98" s="565">
        <f t="shared" si="289"/>
        <v>-2.2799999999999971</v>
      </c>
      <c r="U98" s="565">
        <f t="shared" si="289"/>
        <v>-4.3690000000000015</v>
      </c>
      <c r="V98" s="565">
        <f t="shared" si="289"/>
        <v>-3.91</v>
      </c>
      <c r="W98" s="565">
        <f t="shared" si="231"/>
        <v>-14.206999999999999</v>
      </c>
      <c r="X98" s="584"/>
      <c r="Y98" s="565">
        <f t="shared" si="227"/>
        <v>-5.0549999999999988</v>
      </c>
      <c r="Z98" s="565">
        <f t="shared" si="232"/>
        <v>-5.8770000000000016</v>
      </c>
      <c r="AA98" s="565">
        <f t="shared" si="232"/>
        <v>-7.1339999999999986</v>
      </c>
      <c r="AB98" s="565">
        <f t="shared" si="232"/>
        <v>-8.4930000000000021</v>
      </c>
      <c r="AC98" s="565">
        <f t="shared" si="233"/>
        <v>-26.559000000000001</v>
      </c>
      <c r="AD98" s="584"/>
      <c r="AE98" s="565">
        <f t="shared" si="228"/>
        <v>-8.7249999999999979</v>
      </c>
      <c r="AF98" s="565">
        <f t="shared" si="234"/>
        <v>-9.8000000000000007</v>
      </c>
      <c r="AG98" s="565">
        <f t="shared" si="234"/>
        <v>-6.7839999999999989</v>
      </c>
      <c r="AH98" s="565">
        <f t="shared" si="234"/>
        <v>-22.413000000000011</v>
      </c>
      <c r="AI98" s="568">
        <f t="shared" si="235"/>
        <v>-47.722000000000008</v>
      </c>
      <c r="AJ98" s="584"/>
      <c r="AK98" s="565">
        <f t="shared" si="175"/>
        <v>-15.807</v>
      </c>
      <c r="AL98" s="565">
        <f t="shared" si="236"/>
        <v>-20.192</v>
      </c>
      <c r="AM98" s="565">
        <f t="shared" si="237"/>
        <v>-14.669999999999995</v>
      </c>
      <c r="AN98" s="565">
        <f t="shared" si="238"/>
        <v>-31.135000000000005</v>
      </c>
      <c r="AO98" s="568">
        <f t="shared" si="239"/>
        <v>-81.804000000000002</v>
      </c>
      <c r="AP98" s="584"/>
      <c r="AQ98" s="607">
        <f t="shared" si="229"/>
        <v>-19.23299999999999</v>
      </c>
      <c r="AR98" s="607">
        <f t="shared" si="240"/>
        <v>-16.295000000000002</v>
      </c>
      <c r="AS98" s="607">
        <f t="shared" si="241"/>
        <v>-35.970495686133759</v>
      </c>
      <c r="AT98" s="565">
        <f t="shared" si="242"/>
        <v>1.7594956861337465</v>
      </c>
      <c r="AU98" s="568">
        <f t="shared" si="243"/>
        <v>-69.739000000000004</v>
      </c>
      <c r="AV98" s="584"/>
      <c r="AW98" s="565">
        <f t="shared" si="182"/>
        <v>-16.796999999999997</v>
      </c>
      <c r="AX98" s="565">
        <f t="shared" si="244"/>
        <v>-10.145</v>
      </c>
      <c r="AY98" s="565">
        <f t="shared" si="245"/>
        <v>-31.411000000000005</v>
      </c>
      <c r="AZ98" s="565">
        <f t="shared" si="246"/>
        <v>-29.286999999999999</v>
      </c>
      <c r="BA98" s="568">
        <f t="shared" si="247"/>
        <v>-87.64</v>
      </c>
      <c r="BB98" s="584"/>
      <c r="BC98" s="565">
        <f t="shared" si="184"/>
        <v>-10.808</v>
      </c>
      <c r="BD98" s="565">
        <f t="shared" si="248"/>
        <v>-22.770000000000003</v>
      </c>
      <c r="BE98" s="565">
        <f t="shared" si="249"/>
        <v>-47.532999999999987</v>
      </c>
      <c r="BF98" s="565">
        <f>IF(BE26="-","-",SUM(BF26)-SUM(BE26))</f>
        <v>-40.13600000000001</v>
      </c>
      <c r="BG98" s="568">
        <f t="shared" si="251"/>
        <v>-121.247</v>
      </c>
      <c r="BH98" s="584"/>
      <c r="BI98" s="565">
        <f t="shared" si="186"/>
        <v>-9.3829999999999991</v>
      </c>
      <c r="BJ98" s="565">
        <f t="shared" si="252"/>
        <v>-14.237000000000002</v>
      </c>
      <c r="BK98" s="565">
        <f t="shared" si="252"/>
        <v>13.728000000000002</v>
      </c>
      <c r="BL98" s="565">
        <f t="shared" si="252"/>
        <v>-165.16</v>
      </c>
      <c r="BM98" s="568">
        <f t="shared" si="253"/>
        <v>-175.05199999999999</v>
      </c>
      <c r="BN98" s="584"/>
      <c r="BO98" s="565">
        <f t="shared" si="188"/>
        <v>-50.712000000000003</v>
      </c>
      <c r="BP98" s="565">
        <f>IF(BO26="-","-",SUM(BP26)-SUM(BO26))</f>
        <v>-71.86</v>
      </c>
      <c r="BQ98" s="565">
        <f>IF(BP26="-","-",SUM(BQ26)-SUM(BP26))</f>
        <v>113.505</v>
      </c>
      <c r="BR98" s="565">
        <f t="shared" si="255"/>
        <v>-0.6509999999999998</v>
      </c>
      <c r="BS98" s="568">
        <f t="shared" si="256"/>
        <v>-9.7180000000000071</v>
      </c>
      <c r="BT98" s="584"/>
      <c r="BU98" s="565">
        <f t="shared" si="190"/>
        <v>-23.833000000000002</v>
      </c>
      <c r="BV98" s="565">
        <f>IF(BU26="-","-",SUM(BV26)-SUM(BU26))</f>
        <v>-48.277000000000001</v>
      </c>
      <c r="BW98" s="565">
        <f>IF(BV26="-","-",SUM(BW26)-SUM(BV26))</f>
        <v>-34.146000000000001</v>
      </c>
      <c r="BX98" s="565">
        <f>IF(BW26="-","-",SUM(BX26)-SUM(BW26))</f>
        <v>-53.605999999999966</v>
      </c>
      <c r="BY98" s="568">
        <f t="shared" si="259"/>
        <v>-159.86199999999997</v>
      </c>
      <c r="BZ98" s="584"/>
      <c r="CA98" s="565">
        <f t="shared" si="192"/>
        <v>-36.619</v>
      </c>
      <c r="CB98" s="565">
        <f t="shared" si="260"/>
        <v>-42.210000000000008</v>
      </c>
      <c r="CC98" s="565">
        <f t="shared" si="261"/>
        <v>-57.691999999999979</v>
      </c>
      <c r="CD98" s="565">
        <f t="shared" si="262"/>
        <v>-138.56399999999999</v>
      </c>
      <c r="CE98" s="568">
        <f t="shared" si="263"/>
        <v>-275.08499999999998</v>
      </c>
      <c r="CF98" s="584"/>
      <c r="CG98" s="565">
        <f t="shared" si="197"/>
        <v>-61.366</v>
      </c>
      <c r="CH98" s="565">
        <f>IF(CG26="-","-",SUM(CH26)-SUM(CG26))</f>
        <v>-88.816999999999993</v>
      </c>
      <c r="CI98" s="565">
        <f t="shared" si="265"/>
        <v>-46.188999999999993</v>
      </c>
      <c r="CJ98" s="565">
        <f>IF(CI26="-","-",SUM(CJ26)-SUM(CI26))</f>
        <v>-132.87800000000001</v>
      </c>
      <c r="CK98" s="568">
        <f t="shared" si="267"/>
        <v>-329.25</v>
      </c>
      <c r="CL98" s="584"/>
      <c r="CM98" s="565">
        <f t="shared" si="202"/>
        <v>-120.19</v>
      </c>
      <c r="CN98" s="565">
        <f t="shared" si="268"/>
        <v>-80.371000000000009</v>
      </c>
      <c r="CO98" s="565">
        <f t="shared" si="269"/>
        <v>-52.126999999999981</v>
      </c>
      <c r="CP98" s="565">
        <f>IF(CO26="-","-",SUM(CP26)-SUM(CO26))</f>
        <v>-238.19200000000001</v>
      </c>
      <c r="CQ98" s="568">
        <f t="shared" si="271"/>
        <v>-490.88</v>
      </c>
      <c r="CR98" s="584"/>
      <c r="CS98" s="565">
        <f t="shared" si="207"/>
        <v>-267.86</v>
      </c>
      <c r="CT98" s="565">
        <f t="shared" si="272"/>
        <v>-84.406999999999982</v>
      </c>
      <c r="CU98" s="565">
        <f t="shared" si="273"/>
        <v>-187.23100000000005</v>
      </c>
      <c r="CV98" s="565">
        <f t="shared" si="274"/>
        <v>-235.66699999999992</v>
      </c>
      <c r="CW98" s="568">
        <f t="shared" si="275"/>
        <v>-775.16499999999996</v>
      </c>
      <c r="CX98" s="584"/>
      <c r="CY98" s="565">
        <f t="shared" si="212"/>
        <v>-298.42564357615663</v>
      </c>
      <c r="CZ98" s="565">
        <f t="shared" si="276"/>
        <v>-139.70644363605641</v>
      </c>
      <c r="DA98" s="565">
        <f t="shared" si="277"/>
        <v>-283.89486365337348</v>
      </c>
      <c r="DB98" s="565">
        <f t="shared" si="278"/>
        <v>-468.20111822040735</v>
      </c>
      <c r="DC98" s="568">
        <f t="shared" si="279"/>
        <v>-1190.2280690859939</v>
      </c>
      <c r="DD98" s="584"/>
      <c r="DE98" s="565">
        <f t="shared" si="217"/>
        <v>-329.41716780558062</v>
      </c>
      <c r="DF98" s="565">
        <f t="shared" si="280"/>
        <v>-142.59532760436599</v>
      </c>
      <c r="DG98" s="565">
        <f t="shared" si="281"/>
        <v>-318.3283225421585</v>
      </c>
      <c r="DH98" s="565">
        <f t="shared" si="282"/>
        <v>-539.08981933322946</v>
      </c>
      <c r="DI98" s="568">
        <f t="shared" si="283"/>
        <v>-1329.4306372853346</v>
      </c>
      <c r="DJ98" s="584"/>
      <c r="DK98" s="565">
        <f t="shared" si="222"/>
        <v>-370.89352482773796</v>
      </c>
      <c r="DL98" s="565">
        <f t="shared" si="284"/>
        <v>-148.27646580375045</v>
      </c>
      <c r="DM98" s="565">
        <f t="shared" si="285"/>
        <v>-359.86459013045351</v>
      </c>
      <c r="DN98" s="565">
        <f t="shared" si="286"/>
        <v>-615.84375892452272</v>
      </c>
      <c r="DO98" s="568">
        <f t="shared" si="287"/>
        <v>-1494.8783396864646</v>
      </c>
      <c r="DP98" s="1698"/>
      <c r="DQ98" s="956"/>
      <c r="DR98" s="956"/>
    </row>
    <row r="99" spans="1:128" ht="10.5" hidden="1" customHeight="1" outlineLevel="1">
      <c r="A99" s="555" t="s">
        <v>204</v>
      </c>
      <c r="B99" s="584"/>
      <c r="C99" s="565"/>
      <c r="D99" s="565"/>
      <c r="E99" s="565">
        <f>0.07+0.246</f>
        <v>0.316</v>
      </c>
      <c r="F99" s="584"/>
      <c r="G99" s="556"/>
      <c r="H99" s="556"/>
      <c r="I99" s="556"/>
      <c r="J99" s="556"/>
      <c r="K99" s="565">
        <f>-0.199+3.864</f>
        <v>3.665</v>
      </c>
      <c r="L99" s="556"/>
      <c r="M99" s="565">
        <f>0.018+1.075+0.049</f>
        <v>1.1419999999999999</v>
      </c>
      <c r="N99" s="575">
        <f t="shared" si="288"/>
        <v>3.72</v>
      </c>
      <c r="O99" s="575">
        <f t="shared" si="288"/>
        <v>3.7200000000000006</v>
      </c>
      <c r="P99" s="575">
        <f t="shared" si="288"/>
        <v>3.7200000000000006</v>
      </c>
      <c r="Q99" s="565">
        <f>1.429+10.339+0.534</f>
        <v>12.302000000000001</v>
      </c>
      <c r="R99" s="584"/>
      <c r="S99" s="565">
        <f>-0.253+0.326+0.026</f>
        <v>9.9000000000000005E-2</v>
      </c>
      <c r="T99" s="565">
        <f t="shared" si="289"/>
        <v>6.5749999999999993</v>
      </c>
      <c r="U99" s="565">
        <f t="shared" si="289"/>
        <v>3.4480000000000004</v>
      </c>
      <c r="V99" s="565">
        <f t="shared" si="289"/>
        <v>3.9789999999999992</v>
      </c>
      <c r="W99" s="565">
        <f t="shared" si="231"/>
        <v>14.100999999999999</v>
      </c>
      <c r="X99" s="584"/>
      <c r="Y99" s="565">
        <f t="shared" si="227"/>
        <v>-3.4679999999999964</v>
      </c>
      <c r="Z99" s="565">
        <f t="shared" si="232"/>
        <v>4.5020000000000024</v>
      </c>
      <c r="AA99" s="565">
        <f t="shared" si="232"/>
        <v>8.4819999999999993</v>
      </c>
      <c r="AB99" s="565">
        <f t="shared" si="232"/>
        <v>14.691999999999997</v>
      </c>
      <c r="AC99" s="565">
        <f t="shared" si="233"/>
        <v>24.208000000000002</v>
      </c>
      <c r="AD99" s="584"/>
      <c r="AE99" s="565">
        <f t="shared" si="228"/>
        <v>-7.730000000000004</v>
      </c>
      <c r="AF99" s="565">
        <f t="shared" si="234"/>
        <v>4.0120000000000005</v>
      </c>
      <c r="AG99" s="565">
        <f t="shared" si="234"/>
        <v>9.409000000000006</v>
      </c>
      <c r="AH99" s="565">
        <f t="shared" si="234"/>
        <v>20.470999999999997</v>
      </c>
      <c r="AI99" s="568">
        <f t="shared" si="235"/>
        <v>26.161999999999999</v>
      </c>
      <c r="AJ99" s="584"/>
      <c r="AK99" s="565">
        <f t="shared" si="175"/>
        <v>-5.6970000000000027</v>
      </c>
      <c r="AL99" s="565">
        <f t="shared" si="236"/>
        <v>8.2490000000000094</v>
      </c>
      <c r="AM99" s="565">
        <f t="shared" si="237"/>
        <v>17.417999999999992</v>
      </c>
      <c r="AN99" s="565">
        <f t="shared" si="238"/>
        <v>27.588000000000001</v>
      </c>
      <c r="AO99" s="568">
        <f t="shared" si="239"/>
        <v>47.558</v>
      </c>
      <c r="AP99" s="584"/>
      <c r="AQ99" s="607">
        <f t="shared" si="229"/>
        <v>-11.562999999999988</v>
      </c>
      <c r="AR99" s="607">
        <f t="shared" si="240"/>
        <v>9.6970000000000027</v>
      </c>
      <c r="AS99" s="607">
        <f t="shared" si="241"/>
        <v>23.86699999999999</v>
      </c>
      <c r="AT99" s="565">
        <f t="shared" si="242"/>
        <v>15.113</v>
      </c>
      <c r="AU99" s="568">
        <f t="shared" si="243"/>
        <v>37.114000000000004</v>
      </c>
      <c r="AV99" s="584"/>
      <c r="AW99" s="565">
        <f t="shared" si="182"/>
        <v>-19.558999999999997</v>
      </c>
      <c r="AX99" s="565">
        <f t="shared" si="244"/>
        <v>24.688999999999997</v>
      </c>
      <c r="AY99" s="565">
        <f t="shared" si="245"/>
        <v>29.273</v>
      </c>
      <c r="AZ99" s="565">
        <f t="shared" si="246"/>
        <v>28.507000000000005</v>
      </c>
      <c r="BA99" s="568">
        <f t="shared" si="247"/>
        <v>62.910000000000004</v>
      </c>
      <c r="BB99" s="584"/>
      <c r="BC99" s="565">
        <f t="shared" si="184"/>
        <v>-25.242000000000001</v>
      </c>
      <c r="BD99" s="565">
        <f>IF(BC27="-","-",SUM(BD27)-SUM(BC27))</f>
        <v>66.560999999999993</v>
      </c>
      <c r="BE99" s="565">
        <f t="shared" si="249"/>
        <v>60.500999999999998</v>
      </c>
      <c r="BF99" s="565">
        <f>IF(BE27="-","-",SUM(BF27)-SUM(BE27))</f>
        <v>30.183999999999997</v>
      </c>
      <c r="BG99" s="568">
        <f t="shared" si="251"/>
        <v>132.00399999999999</v>
      </c>
      <c r="BH99" s="584"/>
      <c r="BI99" s="565">
        <f t="shared" si="186"/>
        <v>-87.282000000000011</v>
      </c>
      <c r="BJ99" s="565">
        <f t="shared" si="252"/>
        <v>43.625000000000014</v>
      </c>
      <c r="BK99" s="565">
        <f t="shared" si="252"/>
        <v>-27.667000000000002</v>
      </c>
      <c r="BL99" s="565">
        <f t="shared" si="252"/>
        <v>151.66</v>
      </c>
      <c r="BM99" s="568">
        <f t="shared" si="253"/>
        <v>80.335999999999999</v>
      </c>
      <c r="BN99" s="584"/>
      <c r="BO99" s="565">
        <f t="shared" si="188"/>
        <v>-144.26</v>
      </c>
      <c r="BP99" s="565">
        <f t="shared" si="254"/>
        <v>128.071</v>
      </c>
      <c r="BQ99" s="565">
        <f>IF(BP27="-","-",SUM(BQ27)-SUM(BP27))</f>
        <v>-128.79499999999999</v>
      </c>
      <c r="BR99" s="565">
        <f t="shared" si="255"/>
        <v>105.75099999999998</v>
      </c>
      <c r="BS99" s="568">
        <f t="shared" si="256"/>
        <v>-39.233000000000004</v>
      </c>
      <c r="BT99" s="584"/>
      <c r="BU99" s="565">
        <f t="shared" si="190"/>
        <v>-95.808000000000007</v>
      </c>
      <c r="BV99" s="565">
        <f t="shared" si="257"/>
        <v>-70.749999999999986</v>
      </c>
      <c r="BW99" s="565">
        <f t="shared" si="257"/>
        <v>40.403999999999996</v>
      </c>
      <c r="BX99" s="565">
        <f t="shared" si="258"/>
        <v>97.11099999999999</v>
      </c>
      <c r="BY99" s="568">
        <f t="shared" si="259"/>
        <v>-29.043000000000006</v>
      </c>
      <c r="BZ99" s="584"/>
      <c r="CA99" s="565">
        <f t="shared" si="192"/>
        <v>-185.59899999999999</v>
      </c>
      <c r="CB99" s="565">
        <f t="shared" si="260"/>
        <v>142.63799999999998</v>
      </c>
      <c r="CC99" s="565">
        <f t="shared" si="261"/>
        <v>-1.9329999999999998</v>
      </c>
      <c r="CD99" s="565">
        <f t="shared" si="262"/>
        <v>204.86700000000002</v>
      </c>
      <c r="CE99" s="568">
        <f t="shared" si="263"/>
        <v>159.97300000000001</v>
      </c>
      <c r="CF99" s="584"/>
      <c r="CG99" s="565">
        <f t="shared" si="197"/>
        <v>-239.072</v>
      </c>
      <c r="CH99" s="565">
        <f t="shared" si="264"/>
        <v>193.77100000000002</v>
      </c>
      <c r="CI99" s="565">
        <f t="shared" si="265"/>
        <v>57.576999999999998</v>
      </c>
      <c r="CJ99" s="565">
        <f>IF(CI27="-","-",SUM(CJ27)-SUM(CI27))</f>
        <v>241.70999999999998</v>
      </c>
      <c r="CK99" s="568">
        <f t="shared" si="267"/>
        <v>253.98599999999999</v>
      </c>
      <c r="CL99" s="584"/>
      <c r="CM99" s="565">
        <f t="shared" si="202"/>
        <v>-286.22800000000001</v>
      </c>
      <c r="CN99" s="565">
        <f t="shared" si="268"/>
        <v>-46.665999999999997</v>
      </c>
      <c r="CO99" s="565">
        <f t="shared" si="269"/>
        <v>57.836000000000013</v>
      </c>
      <c r="CP99" s="565">
        <f t="shared" si="270"/>
        <v>325.01099999999997</v>
      </c>
      <c r="CQ99" s="568">
        <f t="shared" si="271"/>
        <v>49.952999999999975</v>
      </c>
      <c r="CR99" s="584"/>
      <c r="CS99" s="565">
        <f t="shared" si="207"/>
        <v>-301.24200000000002</v>
      </c>
      <c r="CT99" s="565">
        <f>IF(CS27="-","-",SUM(CT27)-SUM(CS27))</f>
        <v>187.04200000000003</v>
      </c>
      <c r="CU99" s="565">
        <f t="shared" si="273"/>
        <v>74.48</v>
      </c>
      <c r="CV99" s="565">
        <f t="shared" si="274"/>
        <v>347.94500000000005</v>
      </c>
      <c r="CW99" s="568">
        <f t="shared" si="275"/>
        <v>308.22500000000008</v>
      </c>
      <c r="CX99" s="584"/>
      <c r="CY99" s="565">
        <f t="shared" si="212"/>
        <v>-193.96467822164414</v>
      </c>
      <c r="CZ99" s="565">
        <f t="shared" si="276"/>
        <v>128.19066911467326</v>
      </c>
      <c r="DA99" s="565">
        <f t="shared" si="277"/>
        <v>118.11165007851832</v>
      </c>
      <c r="DB99" s="565">
        <f t="shared" si="278"/>
        <v>374.12012932556991</v>
      </c>
      <c r="DC99" s="568">
        <f t="shared" si="279"/>
        <v>426.45777029711735</v>
      </c>
      <c r="DD99" s="584"/>
      <c r="DE99" s="565">
        <f t="shared" si="217"/>
        <v>-247.76294220006957</v>
      </c>
      <c r="DF99" s="565">
        <f t="shared" si="280"/>
        <v>149.05718444968579</v>
      </c>
      <c r="DG99" s="565">
        <f t="shared" si="281"/>
        <v>140.24874844333817</v>
      </c>
      <c r="DH99" s="565">
        <f t="shared" si="282"/>
        <v>447.4744558998309</v>
      </c>
      <c r="DI99" s="568">
        <f t="shared" si="283"/>
        <v>489.01744659278529</v>
      </c>
      <c r="DJ99" s="584"/>
      <c r="DK99" s="565">
        <f t="shared" si="222"/>
        <v>-300.46558460159304</v>
      </c>
      <c r="DL99" s="565">
        <f t="shared" si="284"/>
        <v>173.44362167739473</v>
      </c>
      <c r="DM99" s="565">
        <f t="shared" si="285"/>
        <v>162.23024378841183</v>
      </c>
      <c r="DN99" s="565">
        <f t="shared" si="286"/>
        <v>532.03117860134171</v>
      </c>
      <c r="DO99" s="568">
        <f t="shared" si="287"/>
        <v>567.23945946555523</v>
      </c>
      <c r="DP99" s="1698"/>
      <c r="DQ99" s="956"/>
      <c r="DR99" s="956"/>
    </row>
    <row r="100" spans="1:128" ht="10.5" hidden="1" customHeight="1" outlineLevel="1">
      <c r="A100" s="555" t="s">
        <v>205</v>
      </c>
      <c r="B100" s="584"/>
      <c r="C100" s="565"/>
      <c r="D100" s="565"/>
      <c r="E100" s="565">
        <v>5.3479999999999999</v>
      </c>
      <c r="F100" s="584"/>
      <c r="G100" s="556"/>
      <c r="H100" s="556"/>
      <c r="I100" s="556"/>
      <c r="J100" s="556"/>
      <c r="K100" s="565">
        <v>12.042999999999999</v>
      </c>
      <c r="L100" s="556"/>
      <c r="M100" s="565">
        <v>5.1390000000000002</v>
      </c>
      <c r="N100" s="575">
        <f t="shared" si="288"/>
        <v>7.2336666666666654</v>
      </c>
      <c r="O100" s="575">
        <f t="shared" si="288"/>
        <v>10.302666666666665</v>
      </c>
      <c r="P100" s="575">
        <f t="shared" si="288"/>
        <v>7.8306666666666693</v>
      </c>
      <c r="Q100" s="565">
        <v>30.506</v>
      </c>
      <c r="R100" s="584"/>
      <c r="S100" s="565">
        <v>2.6629999999999998</v>
      </c>
      <c r="T100" s="565">
        <f t="shared" si="289"/>
        <v>9.2169999999999987</v>
      </c>
      <c r="U100" s="565">
        <f t="shared" si="289"/>
        <v>12.682999999999993</v>
      </c>
      <c r="V100" s="565">
        <f t="shared" si="289"/>
        <v>21.660000000000007</v>
      </c>
      <c r="W100" s="565">
        <f t="shared" si="231"/>
        <v>46.222999999999999</v>
      </c>
      <c r="X100" s="584"/>
      <c r="Y100" s="565">
        <f t="shared" si="227"/>
        <v>8.7449999999999903</v>
      </c>
      <c r="Z100" s="565">
        <f t="shared" si="232"/>
        <v>12.666000000000011</v>
      </c>
      <c r="AA100" s="565">
        <f t="shared" si="232"/>
        <v>9.7989999999999924</v>
      </c>
      <c r="AB100" s="565">
        <f t="shared" si="232"/>
        <v>42.065000000000012</v>
      </c>
      <c r="AC100" s="565">
        <f t="shared" si="233"/>
        <v>73.275000000000006</v>
      </c>
      <c r="AD100" s="584"/>
      <c r="AE100" s="565">
        <f t="shared" si="228"/>
        <v>12.86099999999999</v>
      </c>
      <c r="AF100" s="565">
        <f t="shared" si="234"/>
        <v>20.800000000000011</v>
      </c>
      <c r="AG100" s="565">
        <f t="shared" si="234"/>
        <v>16.594999999999999</v>
      </c>
      <c r="AH100" s="565">
        <f t="shared" si="234"/>
        <v>64.631999999999977</v>
      </c>
      <c r="AI100" s="568">
        <f t="shared" si="235"/>
        <v>114.88799999999998</v>
      </c>
      <c r="AJ100" s="584"/>
      <c r="AK100" s="565">
        <f t="shared" si="175"/>
        <v>11.609000000000037</v>
      </c>
      <c r="AL100" s="565">
        <f t="shared" si="236"/>
        <v>26.17999999999995</v>
      </c>
      <c r="AM100" s="565">
        <f t="shared" si="237"/>
        <v>18.956000000000017</v>
      </c>
      <c r="AN100" s="565">
        <f t="shared" si="238"/>
        <v>140.08599999999998</v>
      </c>
      <c r="AO100" s="568">
        <f t="shared" si="239"/>
        <v>196.83099999999999</v>
      </c>
      <c r="AP100" s="584"/>
      <c r="AQ100" s="607">
        <f t="shared" si="229"/>
        <v>-10.908000000000015</v>
      </c>
      <c r="AR100" s="607">
        <f t="shared" si="240"/>
        <v>9.0349999999999682</v>
      </c>
      <c r="AS100" s="607">
        <f t="shared" si="241"/>
        <v>-8.9039999999999964</v>
      </c>
      <c r="AT100" s="565">
        <f t="shared" si="242"/>
        <v>123.62900000000005</v>
      </c>
      <c r="AU100" s="568">
        <f t="shared" si="243"/>
        <v>112.852</v>
      </c>
      <c r="AV100" s="584"/>
      <c r="AW100" s="565">
        <f t="shared" si="182"/>
        <v>-44.652999999999999</v>
      </c>
      <c r="AX100" s="565">
        <f t="shared" si="244"/>
        <v>-0.36299999999999955</v>
      </c>
      <c r="AY100" s="565">
        <f t="shared" si="245"/>
        <v>-3.5750000000000028</v>
      </c>
      <c r="AZ100" s="565">
        <f t="shared" si="246"/>
        <v>158.91300000000001</v>
      </c>
      <c r="BA100" s="568">
        <f t="shared" si="247"/>
        <v>110.322</v>
      </c>
      <c r="BB100" s="584"/>
      <c r="BC100" s="565">
        <f t="shared" si="184"/>
        <v>-39.819000000000003</v>
      </c>
      <c r="BD100" s="565">
        <f t="shared" si="248"/>
        <v>15.590000000000003</v>
      </c>
      <c r="BE100" s="565">
        <f t="shared" si="249"/>
        <v>11.537999999999998</v>
      </c>
      <c r="BF100" s="565">
        <f t="shared" si="250"/>
        <v>240.38400000000001</v>
      </c>
      <c r="BG100" s="568">
        <f t="shared" si="251"/>
        <v>227.69300000000001</v>
      </c>
      <c r="BH100" s="584"/>
      <c r="BI100" s="565">
        <f t="shared" si="186"/>
        <v>-19.808</v>
      </c>
      <c r="BJ100" s="565">
        <f t="shared" si="252"/>
        <v>19.452999999999999</v>
      </c>
      <c r="BK100" s="565">
        <f t="shared" si="252"/>
        <v>-17.445</v>
      </c>
      <c r="BL100" s="565">
        <f t="shared" si="252"/>
        <v>462.47399999999999</v>
      </c>
      <c r="BM100" s="568">
        <f t="shared" si="253"/>
        <v>444.67399999999998</v>
      </c>
      <c r="BN100" s="584"/>
      <c r="BO100" s="565">
        <f t="shared" si="188"/>
        <v>-45.58</v>
      </c>
      <c r="BP100" s="565">
        <f t="shared" si="254"/>
        <v>2.4690000000000012</v>
      </c>
      <c r="BQ100" s="565">
        <f t="shared" si="255"/>
        <v>-48.762000000000008</v>
      </c>
      <c r="BR100" s="565">
        <f t="shared" si="255"/>
        <v>571.29200000000003</v>
      </c>
      <c r="BS100" s="568">
        <f t="shared" si="256"/>
        <v>479.41900000000004</v>
      </c>
      <c r="BT100" s="584"/>
      <c r="BU100" s="565">
        <f t="shared" si="190"/>
        <v>-129.83500000000001</v>
      </c>
      <c r="BV100" s="565">
        <f t="shared" si="257"/>
        <v>9.8010000000000019</v>
      </c>
      <c r="BW100" s="565">
        <f t="shared" si="257"/>
        <v>-55.118999999999986</v>
      </c>
      <c r="BX100" s="565">
        <f t="shared" si="258"/>
        <v>787.49599999999998</v>
      </c>
      <c r="BY100" s="568">
        <f t="shared" si="259"/>
        <v>612.34299999999996</v>
      </c>
      <c r="BZ100" s="584"/>
      <c r="CA100" s="565">
        <f t="shared" si="192"/>
        <v>-197.5</v>
      </c>
      <c r="CB100" s="565">
        <f t="shared" si="260"/>
        <v>28.288999999999987</v>
      </c>
      <c r="CC100" s="565">
        <f t="shared" si="261"/>
        <v>-129.43099999999998</v>
      </c>
      <c r="CD100" s="565">
        <f t="shared" si="262"/>
        <v>1097.472</v>
      </c>
      <c r="CE100" s="568">
        <f t="shared" si="263"/>
        <v>798.82999999999993</v>
      </c>
      <c r="CF100" s="584"/>
      <c r="CG100" s="565">
        <f t="shared" si="197"/>
        <v>-264.62900000000002</v>
      </c>
      <c r="CH100" s="565">
        <f t="shared" si="264"/>
        <v>-21.829999999999984</v>
      </c>
      <c r="CI100" s="565">
        <f t="shared" si="265"/>
        <v>-188.89800000000002</v>
      </c>
      <c r="CJ100" s="565">
        <f t="shared" si="266"/>
        <v>1445.0430000000001</v>
      </c>
      <c r="CK100" s="568">
        <f t="shared" si="267"/>
        <v>969.68600000000015</v>
      </c>
      <c r="CL100" s="584"/>
      <c r="CM100" s="565">
        <f t="shared" si="202"/>
        <v>-293.11700000000002</v>
      </c>
      <c r="CN100" s="565">
        <f t="shared" si="268"/>
        <v>-206.06199999999995</v>
      </c>
      <c r="CO100" s="565">
        <f t="shared" si="269"/>
        <v>-330.51600000000008</v>
      </c>
      <c r="CP100" s="565">
        <f t="shared" si="270"/>
        <v>2040.6680000000001</v>
      </c>
      <c r="CQ100" s="568">
        <f t="shared" si="271"/>
        <v>1210.973</v>
      </c>
      <c r="CR100" s="584"/>
      <c r="CS100" s="565">
        <f t="shared" si="207"/>
        <v>-500.15</v>
      </c>
      <c r="CT100" s="565">
        <f t="shared" si="272"/>
        <v>-224.01800000000003</v>
      </c>
      <c r="CU100" s="565">
        <f t="shared" si="273"/>
        <v>-426.55200000000002</v>
      </c>
      <c r="CV100" s="565">
        <f t="shared" si="274"/>
        <v>2702.6239999999998</v>
      </c>
      <c r="CW100" s="568">
        <f t="shared" si="275"/>
        <v>1551.9039999999998</v>
      </c>
      <c r="CX100" s="584"/>
      <c r="CY100" s="565">
        <f t="shared" si="212"/>
        <v>-857.86382655984744</v>
      </c>
      <c r="CZ100" s="565">
        <f t="shared" si="276"/>
        <v>-293.62605284946221</v>
      </c>
      <c r="DA100" s="565">
        <f t="shared" si="277"/>
        <v>-498.60559686745546</v>
      </c>
      <c r="DB100" s="565">
        <f t="shared" si="278"/>
        <v>3477.6017587289152</v>
      </c>
      <c r="DC100" s="568">
        <f t="shared" si="279"/>
        <v>1827.5062824521501</v>
      </c>
      <c r="DD100" s="584"/>
      <c r="DE100" s="565">
        <f t="shared" si="217"/>
        <v>-1173.4047648908108</v>
      </c>
      <c r="DF100" s="565">
        <f t="shared" si="280"/>
        <v>-378.59205552924141</v>
      </c>
      <c r="DG100" s="565">
        <f t="shared" si="281"/>
        <v>-619.68078181933924</v>
      </c>
      <c r="DH100" s="565">
        <f t="shared" si="282"/>
        <v>4363.6018477038069</v>
      </c>
      <c r="DI100" s="568">
        <f t="shared" si="283"/>
        <v>2191.9242454644154</v>
      </c>
      <c r="DJ100" s="584"/>
      <c r="DK100" s="565">
        <f t="shared" si="222"/>
        <v>-1557.5736239664766</v>
      </c>
      <c r="DL100" s="565">
        <f t="shared" si="284"/>
        <v>-448.73259115237124</v>
      </c>
      <c r="DM100" s="565">
        <f t="shared" si="285"/>
        <v>-724.6384627682728</v>
      </c>
      <c r="DN100" s="565">
        <f t="shared" si="286"/>
        <v>5360.4972389462419</v>
      </c>
      <c r="DO100" s="568">
        <f t="shared" si="287"/>
        <v>2629.5525610591212</v>
      </c>
      <c r="DP100" s="1698"/>
      <c r="DQ100" s="956"/>
      <c r="DR100" s="956"/>
    </row>
    <row r="101" spans="1:128" ht="10.5" hidden="1" customHeight="1" outlineLevel="1">
      <c r="A101" s="555" t="s">
        <v>775</v>
      </c>
      <c r="B101" s="584"/>
      <c r="C101" s="565"/>
      <c r="D101" s="565"/>
      <c r="E101" s="565">
        <v>0</v>
      </c>
      <c r="F101" s="584"/>
      <c r="G101" s="556"/>
      <c r="H101" s="556"/>
      <c r="I101" s="556"/>
      <c r="J101" s="556"/>
      <c r="K101" s="565">
        <v>-1.177</v>
      </c>
      <c r="L101" s="556"/>
      <c r="M101" s="565">
        <v>-0.314</v>
      </c>
      <c r="N101" s="575">
        <f t="shared" si="288"/>
        <v>-8.9666666666666672E-2</v>
      </c>
      <c r="O101" s="575">
        <f t="shared" si="288"/>
        <v>-8.9666666666666672E-2</v>
      </c>
      <c r="P101" s="575">
        <f t="shared" si="288"/>
        <v>-8.9666666666666617E-2</v>
      </c>
      <c r="Q101" s="565">
        <v>-0.58299999999999996</v>
      </c>
      <c r="R101" s="584"/>
      <c r="S101" s="565">
        <v>-0.14899999999999999</v>
      </c>
      <c r="T101" s="565">
        <f t="shared" si="289"/>
        <v>-0.1170000000000018</v>
      </c>
      <c r="U101" s="565">
        <f t="shared" si="289"/>
        <v>0.50300000000000722</v>
      </c>
      <c r="V101" s="565">
        <f t="shared" si="289"/>
        <v>0.76300000000000168</v>
      </c>
      <c r="W101" s="565">
        <f t="shared" si="231"/>
        <v>1.0000000000000071</v>
      </c>
      <c r="X101" s="584"/>
      <c r="Y101" s="565">
        <f t="shared" si="227"/>
        <v>1.4990000000000059</v>
      </c>
      <c r="Z101" s="565">
        <f t="shared" si="232"/>
        <v>-0.39200000000001722</v>
      </c>
      <c r="AA101" s="565">
        <f t="shared" si="232"/>
        <v>-2.7349999999999888</v>
      </c>
      <c r="AB101" s="565">
        <f t="shared" si="232"/>
        <v>4.0620000000000003</v>
      </c>
      <c r="AC101" s="565">
        <f t="shared" si="233"/>
        <v>2.4340000000000002</v>
      </c>
      <c r="AD101" s="584"/>
      <c r="AE101" s="565">
        <f t="shared" si="228"/>
        <v>-3.0939999999999852</v>
      </c>
      <c r="AF101" s="565">
        <f t="shared" si="234"/>
        <v>5.0429999999999833</v>
      </c>
      <c r="AG101" s="565">
        <f t="shared" si="234"/>
        <v>3.0829999999999984</v>
      </c>
      <c r="AH101" s="565">
        <f t="shared" si="234"/>
        <v>4.1700000000000301</v>
      </c>
      <c r="AI101" s="568">
        <f t="shared" si="235"/>
        <v>9.2020000000000266</v>
      </c>
      <c r="AJ101" s="584"/>
      <c r="AK101" s="565">
        <f t="shared" si="175"/>
        <v>1.9839999999999591</v>
      </c>
      <c r="AL101" s="565">
        <f t="shared" si="236"/>
        <v>4.661000000000044</v>
      </c>
      <c r="AM101" s="565">
        <f t="shared" si="237"/>
        <v>9.1619999999999848</v>
      </c>
      <c r="AN101" s="565">
        <f t="shared" si="238"/>
        <v>7.0220000000000127</v>
      </c>
      <c r="AO101" s="568">
        <f t="shared" si="239"/>
        <v>22.829000000000001</v>
      </c>
      <c r="AP101" s="584"/>
      <c r="AQ101" s="607">
        <f>AQ29</f>
        <v>10.066999999999979</v>
      </c>
      <c r="AR101" s="607">
        <f t="shared" si="240"/>
        <v>12.485000000000035</v>
      </c>
      <c r="AS101" s="607">
        <f t="shared" si="241"/>
        <v>10.827495686133773</v>
      </c>
      <c r="AT101" s="565">
        <f t="shared" si="242"/>
        <v>-6.5414956861337856</v>
      </c>
      <c r="AU101" s="568">
        <f t="shared" si="243"/>
        <v>26.838000000000001</v>
      </c>
      <c r="AV101" s="584"/>
      <c r="AW101" s="565">
        <f t="shared" si="182"/>
        <v>0</v>
      </c>
      <c r="AX101" s="565">
        <f t="shared" si="244"/>
        <v>0</v>
      </c>
      <c r="AY101" s="565">
        <f t="shared" si="245"/>
        <v>0</v>
      </c>
      <c r="AZ101" s="565">
        <f t="shared" si="246"/>
        <v>0</v>
      </c>
      <c r="BA101" s="568">
        <f t="shared" si="247"/>
        <v>0</v>
      </c>
      <c r="BB101" s="584"/>
      <c r="BC101" s="565">
        <f t="shared" si="184"/>
        <v>3.6</v>
      </c>
      <c r="BD101" s="565">
        <f t="shared" si="248"/>
        <v>-3.6</v>
      </c>
      <c r="BE101" s="565">
        <f t="shared" si="249"/>
        <v>0</v>
      </c>
      <c r="BF101" s="565">
        <f t="shared" si="250"/>
        <v>-6.5229999999999997</v>
      </c>
      <c r="BG101" s="568">
        <f t="shared" si="251"/>
        <v>-6.5229999999999997</v>
      </c>
      <c r="BH101" s="584"/>
      <c r="BI101" s="565">
        <f t="shared" si="186"/>
        <v>-2.7130000000000001</v>
      </c>
      <c r="BJ101" s="565">
        <f t="shared" si="252"/>
        <v>-15.303999999999998</v>
      </c>
      <c r="BK101" s="565">
        <f t="shared" si="252"/>
        <v>13.081</v>
      </c>
      <c r="BL101" s="565">
        <f t="shared" si="252"/>
        <v>4.9359999999999999</v>
      </c>
      <c r="BM101" s="568">
        <f t="shared" si="253"/>
        <v>0</v>
      </c>
      <c r="BN101" s="584"/>
      <c r="BO101" s="565">
        <f t="shared" si="188"/>
        <v>0</v>
      </c>
      <c r="BP101" s="565">
        <f t="shared" si="254"/>
        <v>0</v>
      </c>
      <c r="BQ101" s="565">
        <f t="shared" si="255"/>
        <v>0</v>
      </c>
      <c r="BR101" s="565">
        <f t="shared" si="255"/>
        <v>0</v>
      </c>
      <c r="BS101" s="568">
        <f t="shared" si="256"/>
        <v>0</v>
      </c>
      <c r="BT101" s="584"/>
      <c r="BU101" s="565">
        <f t="shared" si="190"/>
        <v>0</v>
      </c>
      <c r="BV101" s="565">
        <f t="shared" si="257"/>
        <v>0</v>
      </c>
      <c r="BW101" s="565">
        <f t="shared" si="257"/>
        <v>0</v>
      </c>
      <c r="BX101" s="565">
        <f t="shared" si="258"/>
        <v>0</v>
      </c>
      <c r="BY101" s="568">
        <f t="shared" si="259"/>
        <v>0</v>
      </c>
      <c r="BZ101" s="584"/>
      <c r="CA101" s="565">
        <f t="shared" si="192"/>
        <v>0</v>
      </c>
      <c r="CB101" s="565">
        <f t="shared" si="260"/>
        <v>0</v>
      </c>
      <c r="CC101" s="565">
        <f t="shared" si="261"/>
        <v>0</v>
      </c>
      <c r="CD101" s="565">
        <f t="shared" si="262"/>
        <v>0</v>
      </c>
      <c r="CE101" s="568">
        <f t="shared" si="263"/>
        <v>0</v>
      </c>
      <c r="CF101" s="584"/>
      <c r="CG101" s="565">
        <f t="shared" si="197"/>
        <v>0</v>
      </c>
      <c r="CH101" s="565">
        <f t="shared" si="264"/>
        <v>0</v>
      </c>
      <c r="CI101" s="565">
        <f t="shared" si="265"/>
        <v>0</v>
      </c>
      <c r="CJ101" s="565">
        <f t="shared" si="266"/>
        <v>0</v>
      </c>
      <c r="CK101" s="568">
        <f t="shared" si="267"/>
        <v>0</v>
      </c>
      <c r="CL101" s="584"/>
      <c r="CM101" s="565">
        <f t="shared" si="202"/>
        <v>0</v>
      </c>
      <c r="CN101" s="565">
        <f t="shared" si="268"/>
        <v>0</v>
      </c>
      <c r="CO101" s="565">
        <f t="shared" si="269"/>
        <v>0</v>
      </c>
      <c r="CP101" s="565">
        <f t="shared" si="270"/>
        <v>0</v>
      </c>
      <c r="CQ101" s="568">
        <f t="shared" si="271"/>
        <v>0</v>
      </c>
      <c r="CR101" s="584"/>
      <c r="CS101" s="565">
        <f t="shared" si="207"/>
        <v>0</v>
      </c>
      <c r="CT101" s="565">
        <f t="shared" si="272"/>
        <v>0</v>
      </c>
      <c r="CU101" s="565">
        <f t="shared" si="273"/>
        <v>0</v>
      </c>
      <c r="CV101" s="565">
        <f t="shared" si="274"/>
        <v>0</v>
      </c>
      <c r="CW101" s="568">
        <f t="shared" si="275"/>
        <v>0</v>
      </c>
      <c r="CX101" s="584"/>
      <c r="CY101" s="565">
        <f t="shared" si="212"/>
        <v>0</v>
      </c>
      <c r="CZ101" s="565">
        <f t="shared" si="276"/>
        <v>0</v>
      </c>
      <c r="DA101" s="565">
        <f t="shared" si="277"/>
        <v>0</v>
      </c>
      <c r="DB101" s="565">
        <f t="shared" si="278"/>
        <v>0</v>
      </c>
      <c r="DC101" s="568">
        <f t="shared" si="279"/>
        <v>0</v>
      </c>
      <c r="DD101" s="584"/>
      <c r="DE101" s="565">
        <f t="shared" si="217"/>
        <v>0</v>
      </c>
      <c r="DF101" s="565">
        <f t="shared" si="280"/>
        <v>0</v>
      </c>
      <c r="DG101" s="565">
        <f t="shared" si="281"/>
        <v>0</v>
      </c>
      <c r="DH101" s="565">
        <f t="shared" si="282"/>
        <v>0</v>
      </c>
      <c r="DI101" s="568">
        <f t="shared" si="283"/>
        <v>0</v>
      </c>
      <c r="DJ101" s="584"/>
      <c r="DK101" s="565">
        <f t="shared" si="222"/>
        <v>0</v>
      </c>
      <c r="DL101" s="565">
        <f t="shared" si="284"/>
        <v>0</v>
      </c>
      <c r="DM101" s="565">
        <f t="shared" si="285"/>
        <v>0</v>
      </c>
      <c r="DN101" s="565">
        <f t="shared" si="286"/>
        <v>0</v>
      </c>
      <c r="DO101" s="568">
        <f t="shared" si="287"/>
        <v>0</v>
      </c>
      <c r="DP101" s="1698"/>
      <c r="DQ101" s="956"/>
      <c r="DR101" s="956"/>
    </row>
    <row r="102" spans="1:128" ht="10.5" customHeight="1" collapsed="1">
      <c r="A102" s="416" t="s">
        <v>319</v>
      </c>
      <c r="B102" s="417"/>
      <c r="C102" s="418">
        <f>SUM(C82:C96)</f>
        <v>-3.7610000000000001</v>
      </c>
      <c r="D102" s="418">
        <f>SUM(D82:D96)</f>
        <v>-26.686</v>
      </c>
      <c r="E102" s="418">
        <f>SUM(E82:E96)</f>
        <v>-13.166000000000004</v>
      </c>
      <c r="F102" s="405"/>
      <c r="G102" s="418">
        <f>SUM(G82:G96)</f>
        <v>2.556</v>
      </c>
      <c r="H102" s="418">
        <f>SUM(H82:H96)</f>
        <v>2.4700000000000002</v>
      </c>
      <c r="I102" s="418">
        <f>SUM(I82:I96)</f>
        <v>-0.12700000000000045</v>
      </c>
      <c r="J102" s="418">
        <f>SUM(J82:J96)</f>
        <v>0.31400000000000017</v>
      </c>
      <c r="K102" s="418">
        <f>SUM(K82:K96)</f>
        <v>5.2130000000000001</v>
      </c>
      <c r="L102" s="417"/>
      <c r="M102" s="418">
        <f>SUM(M82:M96)</f>
        <v>4.7610000000000001</v>
      </c>
      <c r="N102" s="418">
        <f>SUM(N82:N96)</f>
        <v>3.9859999999999993</v>
      </c>
      <c r="O102" s="418">
        <f>SUM(O82:O96)</f>
        <v>6.8880000000000017</v>
      </c>
      <c r="P102" s="418">
        <f>SUM(P82:P96)</f>
        <v>6.1459999999999999</v>
      </c>
      <c r="Q102" s="405">
        <f>SUM(Q82,Q85:Q94,Q97:Q101)</f>
        <v>21.781000000000013</v>
      </c>
      <c r="R102" s="405"/>
      <c r="S102" s="405">
        <f>SUM(S82,S85:S94,S97:S101)</f>
        <v>6.6590000000000016</v>
      </c>
      <c r="T102" s="405">
        <f>SUM(T82,T85:T94,T97:T101)</f>
        <v>14.934999999999997</v>
      </c>
      <c r="U102" s="405">
        <f>SUM(U82,U85:U94,U97:U101)</f>
        <v>13.150000000000002</v>
      </c>
      <c r="V102" s="405">
        <f>SUM(V82,V85:V94,V97:V101)</f>
        <v>21.128000000000004</v>
      </c>
      <c r="W102" s="405">
        <f>SUM(W82,W85:W94,W97:W101)</f>
        <v>55.872</v>
      </c>
      <c r="X102" s="405"/>
      <c r="Y102" s="405">
        <f>SUM(Y82,Y85:Y94,Y97:Y101)</f>
        <v>17.91</v>
      </c>
      <c r="Z102" s="405">
        <f>SUM(Z82,Z85:Z94,Z97:Z101)</f>
        <v>14.071999999999999</v>
      </c>
      <c r="AA102" s="405">
        <f>SUM(AA82,AA85:AA94,AA97:AA101)</f>
        <v>24.571000000000002</v>
      </c>
      <c r="AB102" s="405">
        <f>SUM(AB82,AB85:AB94,AB97:AB101)</f>
        <v>39.340000000000003</v>
      </c>
      <c r="AC102" s="405">
        <f>SUM(AC82,AC85:AC94,AC97:AC101)</f>
        <v>95.893000000000001</v>
      </c>
      <c r="AD102" s="405"/>
      <c r="AE102" s="405">
        <f>SUM(AE82,AE85:AE94,AE96)</f>
        <v>12.415999999999999</v>
      </c>
      <c r="AF102" s="405">
        <f>SUM(AF82,AF85:AF94,AF96)</f>
        <v>30.021999999999998</v>
      </c>
      <c r="AG102" s="405">
        <f>SUM(AG82,AG85:AG94,AG96)</f>
        <v>30.626999999999999</v>
      </c>
      <c r="AH102" s="405">
        <f>SUM(AH82,AH85:AH94,AH96)</f>
        <v>38.15861785141324</v>
      </c>
      <c r="AI102" s="406">
        <f>SUM(AI82,AI85:AI94,AI96)</f>
        <v>111.22361785141324</v>
      </c>
      <c r="AJ102" s="405"/>
      <c r="AK102" s="405">
        <f>SUM(AK82,AK85:AK94,AK97:AK101)</f>
        <v>36.830000000000005</v>
      </c>
      <c r="AL102" s="405">
        <f>SUM(AL82,AL85:AL94,AL97:AL101)</f>
        <v>34.653999999999996</v>
      </c>
      <c r="AM102" s="405">
        <f>SUM(AM82,AM85:AM94,AM96)</f>
        <v>51.998000000000005</v>
      </c>
      <c r="AN102" s="405">
        <f>SUM(AN82,AN85:AN94,AN97:AN101)</f>
        <v>80.792999999999978</v>
      </c>
      <c r="AO102" s="406">
        <f>SUM(AO82,AO85:AO94,AO97:AO101)</f>
        <v>204.27499999999998</v>
      </c>
      <c r="AP102" s="405"/>
      <c r="AQ102" s="405">
        <f>SUM(AQ82,AQ85:AQ94,AQ97:AQ101)</f>
        <v>83.832000000000008</v>
      </c>
      <c r="AR102" s="405">
        <f>SUM(AR82,AR85:AR94,AR97:AR101)</f>
        <v>53.074999999999989</v>
      </c>
      <c r="AS102" s="405">
        <f>SUM(AS82,AS85:AS94,AS97:AS101)</f>
        <v>17.121000000000002</v>
      </c>
      <c r="AT102" s="405">
        <f>SUM(AT82,AT85:AT94,AT97:AT101)</f>
        <v>75.528999999999996</v>
      </c>
      <c r="AU102" s="406">
        <f>SUM(AU82,AU85:AU94,AU97:AU101)</f>
        <v>229.55699999999996</v>
      </c>
      <c r="AV102" s="405"/>
      <c r="AW102" s="405">
        <f>SUM(AW82,AW85:AW94,AW97:AW101)</f>
        <v>98.533000000000015</v>
      </c>
      <c r="AX102" s="405">
        <f>SUM(AX82,AX85:AX94,AX97:AX101)</f>
        <v>45.297999999999988</v>
      </c>
      <c r="AY102" s="405">
        <f>SUM(AY82,AY85:AY94,AY97:AY101)</f>
        <v>35.519999999999996</v>
      </c>
      <c r="AZ102" s="405">
        <f>SUM(AZ82,AZ85:AZ94,AZ97:AZ101)</f>
        <v>91.559999999999974</v>
      </c>
      <c r="BA102" s="406">
        <f>SUM(BA82,BA85:BA94,BA97:BA101)</f>
        <v>270.91100000000006</v>
      </c>
      <c r="BB102" s="405"/>
      <c r="BC102" s="405">
        <f>SUM(BC82,BC85:BC94,BC97:BC101)</f>
        <v>143.18300000000002</v>
      </c>
      <c r="BD102" s="405">
        <f>SUM(BD82,BD85:BD94,BD97:BD101)</f>
        <v>76.095999999999989</v>
      </c>
      <c r="BE102" s="405">
        <f>SUM(BE82,BE85:BE94,BE97:BE101)</f>
        <v>74.04000000000002</v>
      </c>
      <c r="BF102" s="405">
        <f>SUM(BF82,BF85:BF94,BF97:BF101)</f>
        <v>165.76200000000003</v>
      </c>
      <c r="BG102" s="406">
        <f>SUM(BG82,BG85:BG94,BG97:BG101)</f>
        <v>459.0809999999999</v>
      </c>
      <c r="BH102" s="405"/>
      <c r="BI102" s="405">
        <f>SUM(BI82,BI85:BI94,BI97:BI101)</f>
        <v>139.518</v>
      </c>
      <c r="BJ102" s="405">
        <f>SUM(BJ82,BJ85:BJ94,BJ97:BJ101)</f>
        <v>82.932999999999993</v>
      </c>
      <c r="BK102" s="405">
        <f>SUM(BK82,BK85:BK94,BK97:BK101)</f>
        <v>128.709</v>
      </c>
      <c r="BL102" s="405">
        <f>SUM(BL82,BL85:BL94,BL97:BL101)</f>
        <v>240.34700000000004</v>
      </c>
      <c r="BM102" s="406">
        <f>SUM(BM82,BM85:BM94,BM97:BM101)</f>
        <v>591.50699999999995</v>
      </c>
      <c r="BN102" s="405"/>
      <c r="BO102" s="405">
        <f>SUM(BO82,BO85:BO94,BO97:BO101)</f>
        <v>213.21200000000005</v>
      </c>
      <c r="BP102" s="405">
        <f>SUM(BP82,BP85:BP94,BP97:BP101)</f>
        <v>136.19699999999995</v>
      </c>
      <c r="BQ102" s="405">
        <f>SUM(BQ82,BQ85:BQ94,BQ97:BQ101)</f>
        <v>105.91500000000005</v>
      </c>
      <c r="BR102" s="405">
        <f>SUM(BR82,BR85:BR94,BR97:BR101)</f>
        <v>281.57300000000004</v>
      </c>
      <c r="BS102" s="406">
        <f>SUM(BS82,BS85:BS94,BS97:BS101)</f>
        <v>736.89700000000016</v>
      </c>
      <c r="BT102" s="405"/>
      <c r="BU102" s="405">
        <f>SUM(BU82,BU85:BU94,BU97:BU101)</f>
        <v>283.18899999999996</v>
      </c>
      <c r="BV102" s="405">
        <f>SUM(BV82,BV85:BV94,BV97:BV101)</f>
        <v>183.18300000000005</v>
      </c>
      <c r="BW102" s="405">
        <f>SUM(BW82,BW85:BW94,BW97:BW101)</f>
        <v>137.85899999999998</v>
      </c>
      <c r="BX102" s="405">
        <f>SUM(BX82,BX85:BX94,BX97:BX101)</f>
        <v>271.23800000000006</v>
      </c>
      <c r="BY102" s="406">
        <f>SUM(BY82,BY85:BY94,BY97:BY101)</f>
        <v>875.46900000000005</v>
      </c>
      <c r="BZ102" s="405"/>
      <c r="CA102" s="405">
        <f>SUM(CA82,CA85:CA94,CA97:CA101)</f>
        <v>473.08699999999999</v>
      </c>
      <c r="CB102" s="405">
        <f>SUM(CB82,CB85:CB94,CB97:CB101)</f>
        <v>245.89299999999994</v>
      </c>
      <c r="CC102" s="405">
        <f>SUM(CC82,CC85:CC94,CC97:CC101)</f>
        <v>122.51100000000017</v>
      </c>
      <c r="CD102" s="405">
        <f>SUM(CD82,CD85:CD94,CD97:CD101)</f>
        <v>332.22299999999973</v>
      </c>
      <c r="CE102" s="406">
        <f>SUM(CE82,CE85:CE94,CE97:CE101)</f>
        <v>1173.7139999999999</v>
      </c>
      <c r="CF102" s="405"/>
      <c r="CG102" s="405">
        <f>SUM(CG82,CG85:CG94,CG97:CG101)</f>
        <v>730.85699999999997</v>
      </c>
      <c r="CH102" s="405">
        <f>SUM(CH82,CH85:CH94,CH97:CH101)</f>
        <v>304.41099999999994</v>
      </c>
      <c r="CI102" s="405">
        <f>SUM(CI82,CI85:CI94,CI97:CI101)</f>
        <v>117.90700000000004</v>
      </c>
      <c r="CJ102" s="405">
        <f>SUM(CJ82,CJ85:CJ94,CJ97:CJ101)</f>
        <v>459.41000000000054</v>
      </c>
      <c r="CK102" s="406">
        <f>SUM(CK82,CK85:CK94,CK97:CK101)</f>
        <v>1612.5850000000003</v>
      </c>
      <c r="CL102" s="405"/>
      <c r="CM102" s="405">
        <f>SUM(CM82,CM85:CM94,CM97:CM101)</f>
        <v>1051.0619999999999</v>
      </c>
      <c r="CN102" s="405">
        <f>SUM(CN82,CN85:CN94,CN97:CN101)</f>
        <v>250.67800000000011</v>
      </c>
      <c r="CO102" s="405">
        <f>SUM(CO82,CO85:CO94,CO97:CO101)</f>
        <v>154.31200000000001</v>
      </c>
      <c r="CP102" s="405">
        <f>SUM(CP82,CP85:CP94,CP97:CP101)</f>
        <v>706.14599999999996</v>
      </c>
      <c r="CQ102" s="406">
        <f>SUM(CQ82,CQ85:CQ94,CQ97:CQ101)</f>
        <v>2162.1979999999999</v>
      </c>
      <c r="CR102" s="405"/>
      <c r="CS102" s="405">
        <f>SUM(CS82,CS85:CS94,CS97:CS101)</f>
        <v>1229.5839999999998</v>
      </c>
      <c r="CT102" s="405">
        <f>SUM(CT82,CT85:CT94,CT97:CT101)</f>
        <v>331.26899999999978</v>
      </c>
      <c r="CU102" s="405">
        <f>SUM(CU82,CU85:CU94,CU97:CU101)</f>
        <v>125.7919999999998</v>
      </c>
      <c r="CV102" s="405">
        <f>SUM(CV82,CV85:CV94,CV97:CV101)</f>
        <v>1051.3200000000002</v>
      </c>
      <c r="CW102" s="406">
        <f>SUM(CW82,CW85:CW94,CW97:CW101)</f>
        <v>2737.9649999999997</v>
      </c>
      <c r="CX102" s="405"/>
      <c r="CY102" s="405">
        <f>SUM(CY82,CY85:CY94,CY97:CY101)</f>
        <v>1605.0506950189233</v>
      </c>
      <c r="CZ102" s="405">
        <f>SUM(CZ82,CZ85:CZ94,CZ97:CZ101)</f>
        <v>414.05427793897786</v>
      </c>
      <c r="DA102" s="405">
        <f>SUM(DA82,DA85:DA94,DA97:DA101)</f>
        <v>250.66267942791217</v>
      </c>
      <c r="DB102" s="405">
        <f>SUM(DB82,DB85:DB94,DB97:DB101)</f>
        <v>1211.4815266039209</v>
      </c>
      <c r="DC102" s="406">
        <f>SUM(DC82,DC85:DC94,DC97:DC101)</f>
        <v>3481.2491789897344</v>
      </c>
      <c r="DD102" s="405"/>
      <c r="DE102" s="405">
        <f>SUM(DE82,DE85:DE94,DE97:DE101)</f>
        <v>1878.9395355789884</v>
      </c>
      <c r="DF102" s="405">
        <f>SUM(DF82,DF85:DF94,DF97:DF101)</f>
        <v>455.74467656828915</v>
      </c>
      <c r="DG102" s="405">
        <f>SUM(DG82,DG85:DG94,DG97:DG101)</f>
        <v>307.08282825006086</v>
      </c>
      <c r="DH102" s="405">
        <f>SUM(DH82,DH85:DH94,DH97:DH101)</f>
        <v>1808.7579473189862</v>
      </c>
      <c r="DI102" s="406">
        <f>SUM(DI82,DI85:DI94,DI97:DI101)</f>
        <v>4450.5249877163251</v>
      </c>
      <c r="DJ102" s="405"/>
      <c r="DK102" s="405">
        <f>SUM(DK82,DK85:DK94,DK97:DK101)</f>
        <v>2256.5677537980828</v>
      </c>
      <c r="DL102" s="405">
        <f>SUM(DL82,DL85:DL94,DL97:DL101)</f>
        <v>701.79643580312131</v>
      </c>
      <c r="DM102" s="405">
        <f>SUM(DM82,DM85:DM94,DM97:DM101)</f>
        <v>450.63728464952055</v>
      </c>
      <c r="DN102" s="405">
        <f>SUM(DN82,DN85:DN94,DN97:DN101)</f>
        <v>2188.6468827046551</v>
      </c>
      <c r="DO102" s="406">
        <f>SUM(DO82,DO85:DO94,DO97:DO101)</f>
        <v>5597.6483569553802</v>
      </c>
      <c r="DP102" s="960"/>
      <c r="DQ102" s="960"/>
      <c r="DR102" s="960"/>
    </row>
    <row r="103" spans="1:128" ht="12.75" customHeight="1">
      <c r="A103" s="47" t="s">
        <v>60</v>
      </c>
      <c r="B103" s="16"/>
      <c r="C103" s="17"/>
      <c r="D103" s="17"/>
      <c r="E103" s="17"/>
      <c r="F103" s="9"/>
      <c r="G103" s="17"/>
      <c r="H103" s="17"/>
      <c r="I103" s="17"/>
      <c r="J103" s="17"/>
      <c r="K103" s="17"/>
      <c r="L103" s="9"/>
      <c r="M103" s="46">
        <f>M102-M89</f>
        <v>4.7610000000000001</v>
      </c>
      <c r="N103" s="46">
        <f>N102-N89</f>
        <v>3.9859999999999993</v>
      </c>
      <c r="O103" s="46">
        <f>O102-O89</f>
        <v>6.8880000000000017</v>
      </c>
      <c r="P103" s="46">
        <f>P102-P89</f>
        <v>6.1459999999999999</v>
      </c>
      <c r="Q103" s="46">
        <f>Q102-Q89</f>
        <v>21.781000000000013</v>
      </c>
      <c r="R103" s="9"/>
      <c r="S103" s="46">
        <f>S102-S89</f>
        <v>6.6590000000000016</v>
      </c>
      <c r="T103" s="46">
        <f>T102-T89</f>
        <v>14.934999999999997</v>
      </c>
      <c r="U103" s="46">
        <f>U102-U89</f>
        <v>13.150000000000002</v>
      </c>
      <c r="V103" s="46">
        <f>V102-V89</f>
        <v>20.330000000000005</v>
      </c>
      <c r="W103" s="46">
        <f>W102-W89</f>
        <v>55.073999999999998</v>
      </c>
      <c r="X103" s="9"/>
      <c r="Y103" s="46">
        <f>Y102-Y89</f>
        <v>17.91</v>
      </c>
      <c r="Z103" s="46">
        <f>Z102-Z89</f>
        <v>14.071999999999999</v>
      </c>
      <c r="AA103" s="46">
        <f>AA102-AA89</f>
        <v>24.571000000000002</v>
      </c>
      <c r="AB103" s="46">
        <f>AB102-AB89</f>
        <v>35.678000000000004</v>
      </c>
      <c r="AC103" s="46">
        <f>AC102-AC89</f>
        <v>92.230999999999995</v>
      </c>
      <c r="AD103" s="9"/>
      <c r="AE103" s="46">
        <f>AE102</f>
        <v>12.415999999999999</v>
      </c>
      <c r="AF103" s="46">
        <f>AF102</f>
        <v>30.021999999999998</v>
      </c>
      <c r="AG103" s="46">
        <f>AG102</f>
        <v>30.626999999999999</v>
      </c>
      <c r="AH103" s="46">
        <f>AH102</f>
        <v>38.15861785141324</v>
      </c>
      <c r="AI103" s="72">
        <f>AI102</f>
        <v>111.22361785141324</v>
      </c>
      <c r="AJ103" s="9"/>
      <c r="AK103" s="46">
        <f>AK102</f>
        <v>36.830000000000005</v>
      </c>
      <c r="AL103" s="46">
        <f>AL102</f>
        <v>34.653999999999996</v>
      </c>
      <c r="AM103" s="46">
        <f>AM102</f>
        <v>51.998000000000005</v>
      </c>
      <c r="AN103" s="46">
        <f>AN102</f>
        <v>80.792999999999978</v>
      </c>
      <c r="AO103" s="72">
        <f>AO102</f>
        <v>204.27499999999998</v>
      </c>
      <c r="AP103" s="9"/>
      <c r="AQ103" s="46">
        <f>AQ102-AQ89</f>
        <v>96.53</v>
      </c>
      <c r="AR103" s="46">
        <f>AR102-AR89</f>
        <v>64.917999999999992</v>
      </c>
      <c r="AS103" s="46">
        <f>AS102-AS89</f>
        <v>34.826999999999998</v>
      </c>
      <c r="AT103" s="46">
        <f>AT102-AT89</f>
        <v>87.878999999999991</v>
      </c>
      <c r="AU103" s="72">
        <f>AU102-AU89</f>
        <v>284.15399999999994</v>
      </c>
      <c r="AV103" s="9"/>
      <c r="AW103" s="46">
        <f>AW102-AW89</f>
        <v>107.98100000000002</v>
      </c>
      <c r="AX103" s="46">
        <f>AX102-AX89</f>
        <v>60.984999999999985</v>
      </c>
      <c r="AY103" s="46">
        <f>AY102-AY89</f>
        <v>42.920999999999992</v>
      </c>
      <c r="AZ103" s="46">
        <f>AZ102-AZ89</f>
        <v>110.56299999999997</v>
      </c>
      <c r="BA103" s="72">
        <f>BA102-BA89</f>
        <v>322.45000000000005</v>
      </c>
      <c r="BB103" s="9"/>
      <c r="BC103" s="46">
        <f>BC102-BC89</f>
        <v>152.47100000000003</v>
      </c>
      <c r="BD103" s="46">
        <f>BD102-BD89</f>
        <v>98.99799999999999</v>
      </c>
      <c r="BE103" s="46">
        <f>BE102-BE89</f>
        <v>88.618000000000023</v>
      </c>
      <c r="BF103" s="46">
        <f>BF102-BF89</f>
        <v>154.98500000000001</v>
      </c>
      <c r="BG103" s="72">
        <f>BG102-BG89</f>
        <v>495.07199999999989</v>
      </c>
      <c r="BH103" s="9"/>
      <c r="BI103" s="46">
        <f>BI102-BI89</f>
        <v>141.55199999999999</v>
      </c>
      <c r="BJ103" s="46">
        <f>BJ102-BJ89</f>
        <v>85.018999999999991</v>
      </c>
      <c r="BK103" s="46">
        <f>BK102-BK89</f>
        <v>135.601</v>
      </c>
      <c r="BL103" s="46">
        <f>BL102-BL89</f>
        <v>235.35300000000004</v>
      </c>
      <c r="BM103" s="72">
        <f>BM102-BM89</f>
        <v>597.52499999999998</v>
      </c>
      <c r="BN103" s="9"/>
      <c r="BO103" s="46">
        <f>BO102-BO89</f>
        <v>224.25500000000005</v>
      </c>
      <c r="BP103" s="46">
        <f>BP102-BP89</f>
        <v>150.89899999999994</v>
      </c>
      <c r="BQ103" s="46">
        <f>BQ102-BQ89</f>
        <v>109.07500000000005</v>
      </c>
      <c r="BR103" s="46">
        <f>BR102-BR89</f>
        <v>267.60100000000006</v>
      </c>
      <c r="BS103" s="72">
        <f>BS102-BS89</f>
        <v>751.83000000000015</v>
      </c>
      <c r="BT103" s="9"/>
      <c r="BU103" s="46">
        <f>BU102-BU89</f>
        <v>285.05499999999995</v>
      </c>
      <c r="BV103" s="46">
        <f>BV102-BV89</f>
        <v>181.90500000000006</v>
      </c>
      <c r="BW103" s="46">
        <f>BW102-BW89</f>
        <v>139.43699999999998</v>
      </c>
      <c r="BX103" s="46">
        <f>BX102-BX89</f>
        <v>277.21600000000007</v>
      </c>
      <c r="BY103" s="72">
        <f>BY102-BY89</f>
        <v>883.61300000000006</v>
      </c>
      <c r="BZ103" s="9"/>
      <c r="CA103" s="46">
        <f>CA102-CA89</f>
        <v>482.12799999999999</v>
      </c>
      <c r="CB103" s="46">
        <f>CB102-CB89</f>
        <v>239.07799999999995</v>
      </c>
      <c r="CC103" s="46">
        <f>CC102-CC89</f>
        <v>123.73200000000017</v>
      </c>
      <c r="CD103" s="46">
        <f>CD102-CD89</f>
        <v>336.50599999999974</v>
      </c>
      <c r="CE103" s="72">
        <f>CE102-CE89</f>
        <v>1181.444</v>
      </c>
      <c r="CF103" s="9"/>
      <c r="CG103" s="46">
        <f>CG102-CG89</f>
        <v>735.08100000000002</v>
      </c>
      <c r="CH103" s="46">
        <f>CH102-CH89</f>
        <v>304.27799999999996</v>
      </c>
      <c r="CI103" s="46">
        <f>CI102-CI89</f>
        <v>162.51400000000004</v>
      </c>
      <c r="CJ103" s="46">
        <f>CJ102-CJ89</f>
        <v>470.20800000000054</v>
      </c>
      <c r="CK103" s="72">
        <f>CK102-CK89</f>
        <v>1672.0810000000004</v>
      </c>
      <c r="CL103" s="9"/>
      <c r="CM103" s="46">
        <f>CM102-CM89</f>
        <v>1051.0619999999999</v>
      </c>
      <c r="CN103" s="46">
        <f>CN102-CN89</f>
        <v>250.67800000000011</v>
      </c>
      <c r="CO103" s="46">
        <f>CO102-CO89</f>
        <v>154.31200000000001</v>
      </c>
      <c r="CP103" s="46">
        <f>CP102-CP89</f>
        <v>706.14599999999996</v>
      </c>
      <c r="CQ103" s="72">
        <f>CQ102-CQ89</f>
        <v>2162.1979999999999</v>
      </c>
      <c r="CR103" s="9"/>
      <c r="CS103" s="46">
        <f>CS102-CS89</f>
        <v>1229.5839999999998</v>
      </c>
      <c r="CT103" s="46">
        <f>CT102-CT89</f>
        <v>331.26899999999978</v>
      </c>
      <c r="CU103" s="46">
        <f>CU102-CU89</f>
        <v>125.7919999999998</v>
      </c>
      <c r="CV103" s="46">
        <f>CV102-CV89</f>
        <v>1051.3200000000002</v>
      </c>
      <c r="CW103" s="72">
        <f>CW102-CW89</f>
        <v>2737.9649999999997</v>
      </c>
      <c r="CX103" s="9"/>
      <c r="CY103" s="46">
        <f>CY102-CY89</f>
        <v>1610.0506950189233</v>
      </c>
      <c r="CZ103" s="46">
        <f>CZ102-CZ89</f>
        <v>419.05427793897786</v>
      </c>
      <c r="DA103" s="46">
        <f>DA102-DA89</f>
        <v>255.66267942791217</v>
      </c>
      <c r="DB103" s="46">
        <f>DB102-DB89</f>
        <v>1216.4815266039209</v>
      </c>
      <c r="DC103" s="72">
        <f>DC102-DC89</f>
        <v>3501.2491789897344</v>
      </c>
      <c r="DD103" s="9"/>
      <c r="DE103" s="46">
        <f>DE102-DE89</f>
        <v>1883.9395355789884</v>
      </c>
      <c r="DF103" s="46">
        <f>DF102-DF89</f>
        <v>460.74467656828915</v>
      </c>
      <c r="DG103" s="46">
        <f>DG102-DG89</f>
        <v>312.08282825006086</v>
      </c>
      <c r="DH103" s="46">
        <f>DH102-DH89</f>
        <v>1813.7579473189862</v>
      </c>
      <c r="DI103" s="72">
        <f>DI102-DI89</f>
        <v>4470.5249877163251</v>
      </c>
      <c r="DJ103" s="9"/>
      <c r="DK103" s="46">
        <f>DK102-DK89</f>
        <v>2261.5677537980828</v>
      </c>
      <c r="DL103" s="46">
        <f>DL102-DL89</f>
        <v>706.79643580312131</v>
      </c>
      <c r="DM103" s="46">
        <f>DM102-DM89</f>
        <v>455.63728464952055</v>
      </c>
      <c r="DN103" s="46">
        <f>DN102-DN89</f>
        <v>2193.6468827046551</v>
      </c>
      <c r="DO103" s="72">
        <f>DO102-DO89</f>
        <v>5617.6483569553802</v>
      </c>
      <c r="DP103" s="958"/>
      <c r="DQ103" s="958"/>
      <c r="DR103" s="958"/>
    </row>
    <row r="104" spans="1:128" s="1336" customFormat="1" ht="12.75" customHeight="1">
      <c r="A104" s="597" t="s">
        <v>870</v>
      </c>
      <c r="B104" s="551"/>
      <c r="C104" s="608"/>
      <c r="D104" s="608"/>
      <c r="E104" s="608"/>
      <c r="F104" s="552"/>
      <c r="G104" s="608"/>
      <c r="H104" s="608"/>
      <c r="I104" s="608"/>
      <c r="J104" s="608"/>
      <c r="K104" s="608"/>
      <c r="L104" s="552"/>
      <c r="M104" s="609"/>
      <c r="N104" s="609"/>
      <c r="O104" s="609"/>
      <c r="P104" s="609"/>
      <c r="Q104" s="609"/>
      <c r="R104" s="552"/>
      <c r="S104" s="609"/>
      <c r="T104" s="609"/>
      <c r="U104" s="609"/>
      <c r="V104" s="609"/>
      <c r="W104" s="609"/>
      <c r="X104" s="552"/>
      <c r="Y104" s="609"/>
      <c r="Z104" s="609"/>
      <c r="AA104" s="609"/>
      <c r="AB104" s="609"/>
      <c r="AC104" s="609"/>
      <c r="AD104" s="552"/>
      <c r="AE104" s="609"/>
      <c r="AF104" s="609"/>
      <c r="AG104" s="609"/>
      <c r="AH104" s="609"/>
      <c r="AI104" s="610"/>
      <c r="AJ104" s="552"/>
      <c r="AK104" s="609"/>
      <c r="AL104" s="609"/>
      <c r="AM104" s="609"/>
      <c r="AN104" s="609"/>
      <c r="AO104" s="610"/>
      <c r="AP104" s="552"/>
      <c r="AQ104" s="609"/>
      <c r="AR104" s="609"/>
      <c r="AS104" s="609"/>
      <c r="AT104" s="609"/>
      <c r="AU104" s="610"/>
      <c r="AV104" s="552"/>
      <c r="AW104" s="609"/>
      <c r="AX104" s="609"/>
      <c r="AY104" s="609"/>
      <c r="AZ104" s="609"/>
      <c r="BA104" s="611">
        <f>BA102/AU102-1</f>
        <v>0.18014697874601993</v>
      </c>
      <c r="BB104" s="552"/>
      <c r="BC104" s="609"/>
      <c r="BD104" s="609"/>
      <c r="BE104" s="609"/>
      <c r="BF104" s="609"/>
      <c r="BG104" s="611">
        <f>BG102/BA102-1</f>
        <v>0.69458235361428589</v>
      </c>
      <c r="BH104" s="552"/>
      <c r="BI104" s="612">
        <f>BI102/BC102-1</f>
        <v>-2.5596614123185146E-2</v>
      </c>
      <c r="BJ104" s="612">
        <f>BJ102/BD102-1</f>
        <v>8.9847035323801672E-2</v>
      </c>
      <c r="BK104" s="612">
        <f>BK102/BE102-1</f>
        <v>0.73837115072933512</v>
      </c>
      <c r="BL104" s="612">
        <f>BL102/BF102-1</f>
        <v>0.44995234130862327</v>
      </c>
      <c r="BM104" s="611">
        <f>BM102/BG102-1</f>
        <v>0.28845889940990821</v>
      </c>
      <c r="BN104" s="552"/>
      <c r="BO104" s="612">
        <f>BO102/BI102-1</f>
        <v>0.52820424604710525</v>
      </c>
      <c r="BP104" s="612">
        <f>BP102/BJ102-1</f>
        <v>0.64225338526280207</v>
      </c>
      <c r="BQ104" s="612">
        <f>BQ102/BK102-1</f>
        <v>-0.17709717269188596</v>
      </c>
      <c r="BR104" s="612">
        <f>BR102/BL102-1</f>
        <v>0.17152700054504533</v>
      </c>
      <c r="BS104" s="611">
        <f>BS102/BM102-1</f>
        <v>0.24579590774073723</v>
      </c>
      <c r="BT104" s="552"/>
      <c r="BU104" s="612">
        <f>BU102/BO102-1</f>
        <v>0.32820385344164449</v>
      </c>
      <c r="BV104" s="612">
        <f>BV102/BP102-1</f>
        <v>0.34498557236943639</v>
      </c>
      <c r="BW104" s="612">
        <f>BW102/BQ102-1</f>
        <v>0.3016003398951983</v>
      </c>
      <c r="BX104" s="612">
        <f>BX102/BR102-1</f>
        <v>-3.67045135719688E-2</v>
      </c>
      <c r="BY104" s="611">
        <f>BY102/BS102-1</f>
        <v>0.18804799042471321</v>
      </c>
      <c r="BZ104" s="552"/>
      <c r="CA104" s="612">
        <f>CA102/BU102-1</f>
        <v>0.6705698314553179</v>
      </c>
      <c r="CB104" s="612">
        <f>CB102/BV102-1</f>
        <v>0.34233526036804651</v>
      </c>
      <c r="CC104" s="612">
        <f>CC102/BW102-1</f>
        <v>-0.11133114268926814</v>
      </c>
      <c r="CD104" s="612">
        <f>CD102/BX102-1</f>
        <v>0.22483943990148747</v>
      </c>
      <c r="CE104" s="611">
        <f>CE102/BY102-1</f>
        <v>0.34066883007850635</v>
      </c>
      <c r="CF104" s="552"/>
      <c r="CG104" s="612">
        <f>CG102/CA102-1</f>
        <v>0.54486806866390314</v>
      </c>
      <c r="CH104" s="612">
        <f>CH102/CB102-1</f>
        <v>0.23798156108551294</v>
      </c>
      <c r="CI104" s="612">
        <f>CI102/CC102-1</f>
        <v>-3.7580298911935373E-2</v>
      </c>
      <c r="CJ104" s="612">
        <f>CJ102/CD102-1</f>
        <v>0.38283622747371759</v>
      </c>
      <c r="CK104" s="611">
        <f>CK102/CE102-1</f>
        <v>0.3739164736895022</v>
      </c>
      <c r="CL104" s="552"/>
      <c r="CM104" s="612">
        <f>CM102/CG102-1</f>
        <v>0.43812264232264297</v>
      </c>
      <c r="CN104" s="612">
        <f>CN102/CH102-1</f>
        <v>-0.17651464631698544</v>
      </c>
      <c r="CO104" s="612">
        <f>CO102/CI102-1</f>
        <v>0.30876029413011907</v>
      </c>
      <c r="CP104" s="612">
        <f>CP102/CJ102-1</f>
        <v>0.53707146122200022</v>
      </c>
      <c r="CQ104" s="1812">
        <f>CQ102/CK102-1</f>
        <v>0.34082730522732096</v>
      </c>
      <c r="CR104" s="552"/>
      <c r="CS104" s="612">
        <f>CS102/CM102-1</f>
        <v>0.16984916208558576</v>
      </c>
      <c r="CT104" s="612">
        <f>CT102/CN102-1</f>
        <v>0.32149211338848893</v>
      </c>
      <c r="CU104" s="612">
        <f>CU102/CO102-1</f>
        <v>-0.18482036393799706</v>
      </c>
      <c r="CV104" s="612">
        <f>CV102/CP102-1</f>
        <v>0.48881392799789314</v>
      </c>
      <c r="CW104" s="1812">
        <f>CW102/CQ102-1</f>
        <v>0.2662878237793207</v>
      </c>
      <c r="CX104" s="552"/>
      <c r="CY104" s="612">
        <f>CY102/CS102-1</f>
        <v>0.30536075210715463</v>
      </c>
      <c r="CZ104" s="612">
        <f>CZ102/CT102-1</f>
        <v>0.24990348610639135</v>
      </c>
      <c r="DA104" s="612">
        <f>DA102/CU102-1</f>
        <v>0.9926758412928689</v>
      </c>
      <c r="DB104" s="612">
        <f>DB102/CV102-1</f>
        <v>0.15234326998812997</v>
      </c>
      <c r="DC104" s="611">
        <f>DC102/CW102-1</f>
        <v>0.271473221531223</v>
      </c>
      <c r="DD104" s="552"/>
      <c r="DE104" s="612">
        <f>DE102/CY102-1</f>
        <v>0.17064186284585614</v>
      </c>
      <c r="DF104" s="612">
        <f>DF102/CZ102-1</f>
        <v>0.10068824511808461</v>
      </c>
      <c r="DG104" s="612">
        <f>DG102/DA102-1</f>
        <v>0.22508396124591212</v>
      </c>
      <c r="DH104" s="612">
        <f>DH102/DB102-1</f>
        <v>0.4930132301640433</v>
      </c>
      <c r="DI104" s="611">
        <f>DI102/DC102-1</f>
        <v>0.27842758702147163</v>
      </c>
      <c r="DJ104" s="552"/>
      <c r="DK104" s="612">
        <f>DK102/DE102-1</f>
        <v>0.20097944136490242</v>
      </c>
      <c r="DL104" s="612">
        <f>DL102/DF102-1</f>
        <v>0.53988948612099374</v>
      </c>
      <c r="DM104" s="612">
        <f>DM102/DG102-1</f>
        <v>0.46747796748361892</v>
      </c>
      <c r="DN104" s="612">
        <f>DN102/DH102-1</f>
        <v>0.21002751415619514</v>
      </c>
      <c r="DO104" s="611">
        <f>DO102/DI102-1</f>
        <v>0.25775012440221623</v>
      </c>
      <c r="DP104" s="954"/>
      <c r="DQ104" s="954"/>
      <c r="DR104" s="954"/>
      <c r="DS104"/>
      <c r="DT104"/>
      <c r="DU104"/>
      <c r="DV104"/>
      <c r="DW104"/>
      <c r="DX104"/>
    </row>
    <row r="105" spans="1:128" ht="5.25" customHeight="1">
      <c r="A105" s="560"/>
      <c r="B105" s="584"/>
      <c r="C105" s="594"/>
      <c r="D105" s="594"/>
      <c r="E105" s="594"/>
      <c r="F105" s="594"/>
      <c r="G105" s="594"/>
      <c r="H105" s="594"/>
      <c r="I105" s="594"/>
      <c r="J105" s="594"/>
      <c r="K105" s="594"/>
      <c r="L105" s="594"/>
      <c r="M105" s="560"/>
      <c r="N105" s="560"/>
      <c r="O105" s="560"/>
      <c r="P105" s="560"/>
      <c r="Q105" s="560"/>
      <c r="R105" s="560"/>
      <c r="S105" s="562"/>
      <c r="T105" s="613"/>
      <c r="U105" s="560"/>
      <c r="V105" s="560"/>
      <c r="W105" s="560"/>
      <c r="X105" s="560"/>
      <c r="Y105" s="560"/>
      <c r="Z105" s="560"/>
      <c r="AA105" s="560"/>
      <c r="AB105" s="560"/>
      <c r="AC105" s="560"/>
      <c r="AD105" s="560"/>
      <c r="AE105" s="560"/>
      <c r="AF105" s="560"/>
      <c r="AG105" s="560"/>
      <c r="AH105" s="560"/>
      <c r="AI105" s="595"/>
      <c r="AJ105" s="560"/>
      <c r="AK105" s="560"/>
      <c r="AL105" s="560"/>
      <c r="AM105" s="560"/>
      <c r="AN105" s="560"/>
      <c r="AO105" s="595"/>
      <c r="AP105" s="560"/>
      <c r="AQ105" s="560"/>
      <c r="AR105" s="560"/>
      <c r="AS105" s="560"/>
      <c r="AT105" s="560"/>
      <c r="AU105" s="595"/>
      <c r="AV105" s="560"/>
      <c r="AW105" s="560"/>
      <c r="AX105" s="560"/>
      <c r="AY105" s="560"/>
      <c r="AZ105" s="560"/>
      <c r="BA105" s="595"/>
      <c r="BB105" s="560"/>
      <c r="BC105" s="560"/>
      <c r="BD105" s="560"/>
      <c r="BE105" s="560"/>
      <c r="BF105" s="560"/>
      <c r="BG105" s="595"/>
      <c r="BH105" s="560"/>
      <c r="BI105" s="560"/>
      <c r="BJ105" s="614"/>
      <c r="BK105" s="614"/>
      <c r="BL105" s="614"/>
      <c r="BM105" s="615"/>
      <c r="BN105" s="560"/>
      <c r="BO105" s="560"/>
      <c r="BP105" s="560"/>
      <c r="BQ105" s="560"/>
      <c r="BR105" s="560"/>
      <c r="BS105" s="595"/>
      <c r="BT105" s="560"/>
      <c r="BU105" s="560"/>
      <c r="BV105" s="560"/>
      <c r="BW105" s="560"/>
      <c r="BX105" s="560"/>
      <c r="BY105" s="595"/>
      <c r="BZ105" s="560"/>
      <c r="CA105" s="560"/>
      <c r="CB105" s="560"/>
      <c r="CC105" s="560"/>
      <c r="CD105" s="560"/>
      <c r="CE105" s="595"/>
      <c r="CF105" s="560"/>
      <c r="CG105" s="560"/>
      <c r="CH105" s="560"/>
      <c r="CI105" s="560"/>
      <c r="CJ105" s="560"/>
      <c r="CK105" s="595"/>
      <c r="CL105" s="560"/>
      <c r="CM105" s="560"/>
      <c r="CN105" s="560"/>
      <c r="CO105" s="560"/>
      <c r="CP105" s="560"/>
      <c r="CQ105" s="595"/>
      <c r="CR105" s="560"/>
      <c r="CS105" s="560"/>
      <c r="CT105" s="560"/>
      <c r="CU105" s="560"/>
      <c r="CV105" s="560"/>
      <c r="CW105" s="595"/>
      <c r="CX105" s="560"/>
      <c r="CY105" s="560"/>
      <c r="CZ105" s="560"/>
      <c r="DA105" s="560"/>
      <c r="DB105" s="560"/>
      <c r="DC105" s="595"/>
      <c r="DD105" s="560"/>
      <c r="DE105" s="560"/>
      <c r="DF105" s="560"/>
      <c r="DG105" s="560"/>
      <c r="DH105" s="560"/>
      <c r="DI105" s="595"/>
      <c r="DJ105" s="560"/>
      <c r="DK105" s="560"/>
      <c r="DL105" s="560"/>
      <c r="DM105" s="560"/>
      <c r="DN105" s="560"/>
      <c r="DO105" s="595"/>
      <c r="DP105" s="1701"/>
      <c r="DQ105" s="1219"/>
      <c r="DR105" s="1219"/>
    </row>
    <row r="106" spans="1:128" ht="10.5" customHeight="1">
      <c r="A106" s="550" t="s">
        <v>650</v>
      </c>
      <c r="B106" s="584"/>
      <c r="C106" s="605"/>
      <c r="D106" s="565"/>
      <c r="E106" s="605"/>
      <c r="F106" s="584"/>
      <c r="G106" s="584"/>
      <c r="H106" s="584"/>
      <c r="I106" s="584"/>
      <c r="J106" s="584"/>
      <c r="K106" s="605"/>
      <c r="L106" s="584"/>
      <c r="M106" s="616"/>
      <c r="N106" s="616"/>
      <c r="O106" s="616"/>
      <c r="P106" s="616"/>
      <c r="Q106" s="616"/>
      <c r="R106" s="584"/>
      <c r="S106" s="556"/>
      <c r="T106" s="616"/>
      <c r="U106" s="616"/>
      <c r="V106" s="616"/>
      <c r="W106" s="616"/>
      <c r="X106" s="584"/>
      <c r="Y106" s="616"/>
      <c r="Z106" s="616"/>
      <c r="AA106" s="616"/>
      <c r="AB106" s="616"/>
      <c r="AC106" s="617"/>
      <c r="AD106" s="618"/>
      <c r="AE106" s="618"/>
      <c r="AF106" s="618"/>
      <c r="AG106" s="618"/>
      <c r="AH106" s="618"/>
      <c r="AI106" s="619"/>
      <c r="AJ106" s="618"/>
      <c r="AK106" s="618"/>
      <c r="AL106" s="618"/>
      <c r="AM106" s="618"/>
      <c r="AN106" s="618"/>
      <c r="AO106" s="620"/>
      <c r="AP106" s="618"/>
      <c r="AQ106" s="618"/>
      <c r="AR106" s="618"/>
      <c r="AS106" s="618"/>
      <c r="AT106" s="617"/>
      <c r="AU106" s="619"/>
      <c r="AV106" s="618"/>
      <c r="AW106" s="618"/>
      <c r="AX106" s="618"/>
      <c r="AY106" s="618"/>
      <c r="AZ106" s="618"/>
      <c r="BA106" s="621"/>
      <c r="BB106" s="618"/>
      <c r="BC106" s="617"/>
      <c r="BD106" s="617"/>
      <c r="BE106" s="617"/>
      <c r="BF106" s="617"/>
      <c r="BG106" s="621"/>
      <c r="BH106" s="618"/>
      <c r="BI106" s="617"/>
      <c r="BJ106" s="617"/>
      <c r="BK106" s="617"/>
      <c r="BL106" s="617"/>
      <c r="BM106" s="615"/>
      <c r="BN106" s="618"/>
      <c r="BO106" s="617"/>
      <c r="BP106" s="617"/>
      <c r="BQ106" s="617"/>
      <c r="BR106" s="617"/>
      <c r="BS106" s="615"/>
      <c r="BT106" s="618"/>
      <c r="BU106" s="617"/>
      <c r="BV106" s="617"/>
      <c r="BW106" s="617"/>
      <c r="BX106" s="617"/>
      <c r="BY106" s="615"/>
      <c r="BZ106" s="618"/>
      <c r="CA106" s="617"/>
      <c r="CB106" s="617"/>
      <c r="CC106" s="617"/>
      <c r="CD106" s="617"/>
      <c r="CE106" s="615"/>
      <c r="CF106" s="618"/>
      <c r="CG106" s="617"/>
      <c r="CH106" s="617"/>
      <c r="CI106" s="617"/>
      <c r="CJ106" s="617"/>
      <c r="CK106" s="615"/>
      <c r="CL106" s="618"/>
      <c r="CM106" s="617"/>
      <c r="CN106" s="617"/>
      <c r="CO106" s="1861"/>
      <c r="CP106" s="1861"/>
      <c r="CQ106" s="615"/>
      <c r="CR106" s="618"/>
      <c r="CS106" s="1862"/>
      <c r="CT106" s="1862"/>
      <c r="CU106" s="1862"/>
      <c r="CV106" s="1862"/>
      <c r="CW106" s="1863"/>
      <c r="CX106" s="618"/>
      <c r="CY106" s="1862"/>
      <c r="CZ106" s="1862"/>
      <c r="DA106" s="1862"/>
      <c r="DB106" s="1862"/>
      <c r="DC106" s="1863"/>
      <c r="DD106" s="618"/>
      <c r="DE106" s="1862"/>
      <c r="DF106" s="1862"/>
      <c r="DG106" s="1862"/>
      <c r="DH106" s="1862"/>
      <c r="DI106" s="1863"/>
      <c r="DJ106" s="618"/>
      <c r="DK106" s="1862"/>
      <c r="DL106" s="1862"/>
      <c r="DM106" s="1862"/>
      <c r="DN106" s="1862"/>
      <c r="DO106" s="1863"/>
      <c r="DP106" s="1698"/>
      <c r="DQ106" s="956"/>
      <c r="DR106" s="956"/>
    </row>
    <row r="107" spans="1:128" ht="10.5" customHeight="1">
      <c r="A107" s="578" t="s">
        <v>776</v>
      </c>
      <c r="B107" s="580"/>
      <c r="C107" s="592">
        <v>-1.262</v>
      </c>
      <c r="D107" s="592">
        <v>-5.8689999999999998</v>
      </c>
      <c r="E107" s="592">
        <v>-0.71299999999999997</v>
      </c>
      <c r="F107" s="580"/>
      <c r="G107" s="598">
        <v>-0.25600000000000001</v>
      </c>
      <c r="H107" s="598">
        <v>-0.65900000000000003</v>
      </c>
      <c r="I107" s="598">
        <v>-0.48799999999999999</v>
      </c>
      <c r="J107" s="598">
        <v>-0.61899999999999999</v>
      </c>
      <c r="K107" s="592">
        <f t="shared" ref="K107:K114" si="290">SUM(G107:J107)</f>
        <v>-2.0220000000000002</v>
      </c>
      <c r="L107" s="598"/>
      <c r="M107" s="598">
        <v>-0.33100000000000002</v>
      </c>
      <c r="N107" s="598">
        <v>-0.48799999999999999</v>
      </c>
      <c r="O107" s="598">
        <v>-0.71199999999999997</v>
      </c>
      <c r="P107" s="598">
        <v>-1.385</v>
      </c>
      <c r="Q107" s="592">
        <f t="shared" ref="Q107:Q114" si="291">SUM(M107:P107)</f>
        <v>-2.9159999999999999</v>
      </c>
      <c r="R107" s="598"/>
      <c r="S107" s="592">
        <v>-0.27800000000000002</v>
      </c>
      <c r="T107" s="592">
        <f t="shared" ref="T107:V108" si="292">IF(S34="-","-",SUM(T34)-SUM(S34))</f>
        <v>-0.48399999999999999</v>
      </c>
      <c r="U107" s="592">
        <f t="shared" si="292"/>
        <v>-1.2810000000000001</v>
      </c>
      <c r="V107" s="592">
        <f t="shared" si="292"/>
        <v>-2.2649999999999997</v>
      </c>
      <c r="W107" s="592">
        <f t="shared" ref="W107:W114" si="293">SUM(S107:V107)</f>
        <v>-4.3079999999999998</v>
      </c>
      <c r="X107" s="580"/>
      <c r="Y107" s="592">
        <f t="shared" ref="Y107:Y114" si="294">Y34</f>
        <v>-9.157</v>
      </c>
      <c r="Z107" s="592">
        <f t="shared" ref="Z107:AB114" si="295">IF(Y34="-","-",SUM(Z34)-SUM(Y34))</f>
        <v>-3.3719999999999999</v>
      </c>
      <c r="AA107" s="592">
        <f t="shared" si="295"/>
        <v>-5.2910000000000004</v>
      </c>
      <c r="AB107" s="592">
        <f t="shared" si="295"/>
        <v>-5.6140000000000008</v>
      </c>
      <c r="AC107" s="592">
        <f t="shared" ref="AC107:AC114" si="296">SUM(Y107:AB107)</f>
        <v>-23.434000000000001</v>
      </c>
      <c r="AD107" s="580"/>
      <c r="AE107" s="592">
        <f t="shared" ref="AE107:AE114" si="297">AE34</f>
        <v>-2.5950000000000002</v>
      </c>
      <c r="AF107" s="592">
        <f t="shared" ref="AF107:AF114" si="298">IF(AE34="-","-",SUM(AF34)-SUM(AE34))</f>
        <v>-2.8180000000000001</v>
      </c>
      <c r="AG107" s="592">
        <v>-9.0850000000000009</v>
      </c>
      <c r="AH107" s="592">
        <f t="shared" ref="AH107:AH114" si="299">IF(AG34="-","-",SUM(AH34)-SUM(AG34))</f>
        <v>-7.6249999999999982</v>
      </c>
      <c r="AI107" s="593">
        <f t="shared" ref="AI107:AI114" si="300">SUM(AE107:AH107)</f>
        <v>-22.122999999999998</v>
      </c>
      <c r="AJ107" s="580"/>
      <c r="AK107" s="592">
        <f t="shared" ref="AK107:AK114" si="301">AK34</f>
        <v>-15.957000000000001</v>
      </c>
      <c r="AL107" s="592">
        <f t="shared" ref="AL107:AN114" si="302">IF(AK34="-","-",SUM(AL34)-SUM(AK34))</f>
        <v>-10.103999999999999</v>
      </c>
      <c r="AM107" s="592">
        <f t="shared" si="302"/>
        <v>-9.1219999999999999</v>
      </c>
      <c r="AN107" s="592">
        <f t="shared" si="302"/>
        <v>-8.3689999999999998</v>
      </c>
      <c r="AO107" s="593">
        <f t="shared" ref="AO107:AO114" si="303">SUM(AK107:AN107)</f>
        <v>-43.552</v>
      </c>
      <c r="AP107" s="580"/>
      <c r="AQ107" s="592">
        <f t="shared" ref="AQ107:AQ114" si="304">AQ34</f>
        <v>-24.177</v>
      </c>
      <c r="AR107" s="592">
        <f t="shared" ref="AR107:AT114" si="305">IF(AQ34="-","-",SUM(AR34)-SUM(AQ34))</f>
        <v>-13.036000000000001</v>
      </c>
      <c r="AS107" s="592">
        <f t="shared" si="305"/>
        <v>-11.613999999999997</v>
      </c>
      <c r="AT107" s="592">
        <f t="shared" si="305"/>
        <v>-12.231999999999999</v>
      </c>
      <c r="AU107" s="593">
        <f t="shared" ref="AU107:AU114" si="306">SUM(AQ107:AT107)</f>
        <v>-61.058999999999997</v>
      </c>
      <c r="AV107" s="580"/>
      <c r="AW107" s="592">
        <f t="shared" ref="AW107:AW114" si="307">AW34</f>
        <v>-13.428000000000001</v>
      </c>
      <c r="AX107" s="592">
        <f t="shared" ref="AX107:AZ114" si="308">IF(AW34="-","-",SUM(AX34)-SUM(AW34))</f>
        <v>-19.327999999999999</v>
      </c>
      <c r="AY107" s="592">
        <f t="shared" si="308"/>
        <v>-14.088999999999999</v>
      </c>
      <c r="AZ107" s="592">
        <f t="shared" si="308"/>
        <v>-7.0560000000000045</v>
      </c>
      <c r="BA107" s="593">
        <f t="shared" ref="BA107:BA114" si="309">SUM(AW107:AZ107)</f>
        <v>-53.901000000000003</v>
      </c>
      <c r="BB107" s="580"/>
      <c r="BC107" s="592">
        <f t="shared" ref="BC107:BC114" si="310">BC34</f>
        <v>-12.19</v>
      </c>
      <c r="BD107" s="592">
        <f t="shared" ref="BD107:BF112" si="311">IF(BC34="-","-",SUM(BD34)-SUM(BC34))</f>
        <v>-27.331000000000003</v>
      </c>
      <c r="BE107" s="592">
        <f t="shared" si="311"/>
        <v>-20.79</v>
      </c>
      <c r="BF107" s="592">
        <f>IF(BE34="-","-",SUM(BF34)-SUM(BE34))</f>
        <v>-30.576000000000001</v>
      </c>
      <c r="BG107" s="593">
        <f t="shared" ref="BG107:BG114" si="312">SUM(BC107:BF107)</f>
        <v>-90.887</v>
      </c>
      <c r="BH107" s="580"/>
      <c r="BI107" s="592">
        <f t="shared" ref="BI107:BI114" si="313">BI34</f>
        <v>-27.314</v>
      </c>
      <c r="BJ107" s="592">
        <f t="shared" ref="BJ107:BL114" si="314">IF(BI34="-","-",SUM(BJ34)-SUM(BI34))</f>
        <v>-45.050999999999995</v>
      </c>
      <c r="BK107" s="592">
        <f t="shared" si="314"/>
        <v>-34.678000000000011</v>
      </c>
      <c r="BL107" s="592">
        <f t="shared" si="314"/>
        <v>-44.602000000000004</v>
      </c>
      <c r="BM107" s="593">
        <f t="shared" ref="BM107:BM114" si="315">SUM(BI107:BL107)</f>
        <v>-151.64500000000001</v>
      </c>
      <c r="BN107" s="580"/>
      <c r="BO107" s="592">
        <f t="shared" ref="BO107:BO114" si="316">BO34</f>
        <v>-44.720999999999997</v>
      </c>
      <c r="BP107" s="592">
        <f>IF(BO34="-","-",SUM(BP34)-SUM(BO34))</f>
        <v>-29.304000000000009</v>
      </c>
      <c r="BQ107" s="592">
        <f t="shared" ref="BP107:BR114" si="317">IF(BP34="-","-",SUM(BQ34)-SUM(BP34))</f>
        <v>-51.053999999999988</v>
      </c>
      <c r="BR107" s="592">
        <f t="shared" si="317"/>
        <v>-50.522000000000006</v>
      </c>
      <c r="BS107" s="593">
        <f t="shared" ref="BS107:BS114" si="318">SUM(BO107:BR107)</f>
        <v>-175.601</v>
      </c>
      <c r="BT107" s="580"/>
      <c r="BU107" s="592">
        <f t="shared" ref="BU107:BU114" si="319">BU34</f>
        <v>-54.01</v>
      </c>
      <c r="BV107" s="592">
        <f>IF(BU34="-","-",SUM(BV34)-SUM(BU34))</f>
        <v>-102.54900000000001</v>
      </c>
      <c r="BW107" s="592">
        <f t="shared" ref="BW107:BW114" si="320">IF(BV34="-","-",SUM(BW34)-SUM(BV34))</f>
        <v>-72.701999999999998</v>
      </c>
      <c r="BX107" s="592">
        <f t="shared" ref="BX107:BX114" si="321">IF(BW34="-","-",SUM(BX34)-SUM(BW34))</f>
        <v>-69.849000000000018</v>
      </c>
      <c r="BY107" s="593">
        <f>SUM(BU107:BX107)</f>
        <v>-299.11</v>
      </c>
      <c r="BZ107" s="580"/>
      <c r="CA107" s="592">
        <f t="shared" ref="CA107:CA114" si="322">CA34</f>
        <v>-60.097999999999999</v>
      </c>
      <c r="CB107" s="592">
        <f t="shared" ref="CB107:CB114" si="323">IF(CA34="-","-",SUM(CB34)-SUM(CA34))</f>
        <v>-71.576000000000008</v>
      </c>
      <c r="CC107" s="592">
        <f>IF(CB34="-","-",SUM(CC34)-SUM(CB34))</f>
        <v>-73.425999999999988</v>
      </c>
      <c r="CD107" s="592">
        <f t="shared" ref="CD107:CD114" si="324">IF(CC34="-","-",SUM(CD34)-SUM(CC34))</f>
        <v>-85.354000000000013</v>
      </c>
      <c r="CE107" s="593">
        <f>SUM(CA107:CD107)</f>
        <v>-290.45400000000001</v>
      </c>
      <c r="CF107" s="580"/>
      <c r="CG107" s="592">
        <f>CG34</f>
        <v>-71.087000000000003</v>
      </c>
      <c r="CH107" s="592">
        <f t="shared" ref="CH107:CH114" si="325">IF(CG34="-","-",SUM(CH34)-SUM(CG34))</f>
        <v>-64.882999999999996</v>
      </c>
      <c r="CI107" s="592">
        <f t="shared" ref="CI107:CI114" si="326">IF(CH34="-","-",SUM(CI34)-SUM(CH34))</f>
        <v>-80.040999999999997</v>
      </c>
      <c r="CJ107" s="592">
        <f t="shared" ref="CJ107:CJ114" si="327">IF(CI34="-","-",SUM(CJ34)-SUM(CI34))</f>
        <v>-68.465000000000003</v>
      </c>
      <c r="CK107" s="593">
        <f>SUM(CG107:CJ107)</f>
        <v>-284.476</v>
      </c>
      <c r="CL107" s="580"/>
      <c r="CM107" s="592">
        <f t="shared" ref="CM107:CM114" si="328">CM34</f>
        <v>-83.301000000000002</v>
      </c>
      <c r="CN107" s="592">
        <f t="shared" ref="CN107:CN114" si="329">IF(CM34="-","-",SUM(CN34)-SUM(CM34))</f>
        <v>-96.029999999999987</v>
      </c>
      <c r="CO107" s="592">
        <f t="shared" ref="CO107:CO114" si="330">IF(CN34="-","-",SUM(CO34)-SUM(CN34))</f>
        <v>-140.65299999999999</v>
      </c>
      <c r="CP107" s="592">
        <f t="shared" ref="CP107:CP114" si="331">IF(CO34="-","-",SUM(CP34)-SUM(CO34))</f>
        <v>-143.97400000000005</v>
      </c>
      <c r="CQ107" s="593">
        <f>SUM(CM107:CP107)</f>
        <v>-463.95800000000003</v>
      </c>
      <c r="CR107" s="580"/>
      <c r="CS107" s="592">
        <f>CS34</f>
        <v>-156.602</v>
      </c>
      <c r="CT107" s="592">
        <f t="shared" ref="CT107:CT114" si="332">IF(CS34="-","-",SUM(CT34)-SUM(CS34))</f>
        <v>-128.38800000000001</v>
      </c>
      <c r="CU107" s="592">
        <f t="shared" ref="CU107:CU114" si="333">IF(CT34="-","-",SUM(CU34)-SUM(CT34))</f>
        <v>-111.27799999999996</v>
      </c>
      <c r="CV107" s="592">
        <f t="shared" ref="CV107:CV114" si="334">IF(CU34="-","-",SUM(CV34)-SUM(CU34))</f>
        <v>-137.75900000000007</v>
      </c>
      <c r="CW107" s="593">
        <f>SUM(CS107:CV107)</f>
        <v>-534.02700000000004</v>
      </c>
      <c r="CX107" s="580"/>
      <c r="CY107" s="592">
        <f>CY34</f>
        <v>-157.19284752951791</v>
      </c>
      <c r="CZ107" s="592">
        <f t="shared" ref="CZ107:CZ114" si="335">IF(CY34="-","-",SUM(CZ34)-SUM(CY34))</f>
        <v>-118.18918418938046</v>
      </c>
      <c r="DA107" s="592">
        <f t="shared" ref="DA107:DA114" si="336">IF(CZ34="-","-",SUM(DA34)-SUM(CZ34))</f>
        <v>-94.877242423721555</v>
      </c>
      <c r="DB107" s="592">
        <f t="shared" ref="DB107:DB114" si="337">IF(DA34="-","-",SUM(DB34)-SUM(DA34))</f>
        <v>-123.2822225386526</v>
      </c>
      <c r="DC107" s="593">
        <f>SUM(CY107:DB107)</f>
        <v>-493.54149668127252</v>
      </c>
      <c r="DD107" s="580"/>
      <c r="DE107" s="592">
        <f>DE34</f>
        <v>-170.90785813886464</v>
      </c>
      <c r="DF107" s="592">
        <f t="shared" ref="DF107:DF114" si="338">IF(DE34="-","-",SUM(DF34)-SUM(DE34))</f>
        <v>-142.18111827454322</v>
      </c>
      <c r="DG107" s="592">
        <f t="shared" ref="DG107:DG114" si="339">IF(DF34="-","-",SUM(DG34)-SUM(DF34))</f>
        <v>-114.14279547108703</v>
      </c>
      <c r="DH107" s="592">
        <f t="shared" ref="DH107:DH114" si="340">IF(DG34="-","-",SUM(DH34)-SUM(DG34))</f>
        <v>-147.43121838649705</v>
      </c>
      <c r="DI107" s="593">
        <f>SUM(DE107:DH107)</f>
        <v>-574.66299027099194</v>
      </c>
      <c r="DJ107" s="580"/>
      <c r="DK107" s="592">
        <f>DK34</f>
        <v>-161.77841804828086</v>
      </c>
      <c r="DL107" s="592">
        <f t="shared" ref="DL107:DL114" si="341">IF(DK34="-","-",SUM(DL34)-SUM(DK34))</f>
        <v>-169.79095512091078</v>
      </c>
      <c r="DM107" s="592">
        <f t="shared" ref="DM107:DM114" si="342">IF(DL34="-","-",SUM(DM34)-SUM(DL34))</f>
        <v>-136.16697619773345</v>
      </c>
      <c r="DN107" s="592">
        <f t="shared" ref="DN107:DN114" si="343">IF(DM34="-","-",SUM(DN34)-SUM(DM34))</f>
        <v>-200.08841341438358</v>
      </c>
      <c r="DO107" s="593">
        <f>SUM(DK107:DN107)</f>
        <v>-667.82476278130866</v>
      </c>
      <c r="DP107" s="958"/>
      <c r="DR107" s="958"/>
    </row>
    <row r="108" spans="1:128" ht="10.5" customHeight="1">
      <c r="A108" s="555" t="s">
        <v>166</v>
      </c>
      <c r="B108" s="584"/>
      <c r="C108" s="565"/>
      <c r="D108" s="565"/>
      <c r="E108" s="565"/>
      <c r="F108" s="584"/>
      <c r="G108" s="556"/>
      <c r="H108" s="556"/>
      <c r="I108" s="556"/>
      <c r="J108" s="556"/>
      <c r="K108" s="565"/>
      <c r="L108" s="556"/>
      <c r="M108" s="556"/>
      <c r="N108" s="556"/>
      <c r="O108" s="556"/>
      <c r="P108" s="556"/>
      <c r="Q108" s="565"/>
      <c r="R108" s="556"/>
      <c r="S108" s="565"/>
      <c r="T108" s="565">
        <f t="shared" si="292"/>
        <v>0</v>
      </c>
      <c r="U108" s="565">
        <f t="shared" si="292"/>
        <v>0</v>
      </c>
      <c r="V108" s="565">
        <f t="shared" si="292"/>
        <v>0</v>
      </c>
      <c r="W108" s="565">
        <f>SUM(S108:V108)</f>
        <v>0</v>
      </c>
      <c r="X108" s="584"/>
      <c r="Y108" s="565">
        <f t="shared" si="294"/>
        <v>0</v>
      </c>
      <c r="Z108" s="565">
        <f t="shared" si="295"/>
        <v>0</v>
      </c>
      <c r="AA108" s="565">
        <f t="shared" si="295"/>
        <v>0</v>
      </c>
      <c r="AB108" s="565">
        <f t="shared" si="295"/>
        <v>0</v>
      </c>
      <c r="AC108" s="565">
        <f>SUM(Y108:AB108)</f>
        <v>0</v>
      </c>
      <c r="AD108" s="584"/>
      <c r="AE108" s="565">
        <f t="shared" si="297"/>
        <v>0</v>
      </c>
      <c r="AF108" s="565">
        <f t="shared" si="298"/>
        <v>0</v>
      </c>
      <c r="AG108" s="565"/>
      <c r="AH108" s="565">
        <f t="shared" si="299"/>
        <v>0</v>
      </c>
      <c r="AI108" s="568">
        <f>SUM(AE108:AH108)</f>
        <v>0</v>
      </c>
      <c r="AJ108" s="584"/>
      <c r="AK108" s="565">
        <f t="shared" si="301"/>
        <v>0</v>
      </c>
      <c r="AL108" s="565">
        <f t="shared" si="302"/>
        <v>0</v>
      </c>
      <c r="AM108" s="565">
        <f t="shared" si="302"/>
        <v>0</v>
      </c>
      <c r="AN108" s="565">
        <f t="shared" si="302"/>
        <v>0</v>
      </c>
      <c r="AO108" s="568">
        <f>SUM(AK108:AN108)</f>
        <v>0</v>
      </c>
      <c r="AP108" s="584"/>
      <c r="AQ108" s="565">
        <f t="shared" si="304"/>
        <v>0</v>
      </c>
      <c r="AR108" s="565">
        <f t="shared" si="305"/>
        <v>0</v>
      </c>
      <c r="AS108" s="565">
        <f t="shared" si="305"/>
        <v>0</v>
      </c>
      <c r="AT108" s="565">
        <f t="shared" si="305"/>
        <v>0</v>
      </c>
      <c r="AU108" s="568">
        <f>SUM(AQ108:AT108)</f>
        <v>0</v>
      </c>
      <c r="AV108" s="584"/>
      <c r="AW108" s="565">
        <f t="shared" si="307"/>
        <v>0</v>
      </c>
      <c r="AX108" s="565">
        <f t="shared" si="308"/>
        <v>0</v>
      </c>
      <c r="AY108" s="565">
        <f t="shared" si="308"/>
        <v>0</v>
      </c>
      <c r="AZ108" s="565">
        <f t="shared" si="308"/>
        <v>0</v>
      </c>
      <c r="BA108" s="568">
        <f>SUM(AW108:AZ108)</f>
        <v>0</v>
      </c>
      <c r="BB108" s="584"/>
      <c r="BC108" s="565">
        <f t="shared" si="310"/>
        <v>0</v>
      </c>
      <c r="BD108" s="565">
        <f t="shared" si="311"/>
        <v>0</v>
      </c>
      <c r="BE108" s="565">
        <f t="shared" si="311"/>
        <v>-8</v>
      </c>
      <c r="BF108" s="565">
        <f>IF(BE35="-","-",SUM(BF35)-SUM(BE35))</f>
        <v>-269.94400000000002</v>
      </c>
      <c r="BG108" s="568">
        <f>SUM(BC108:BF108)</f>
        <v>-277.94400000000002</v>
      </c>
      <c r="BH108" s="584"/>
      <c r="BI108" s="565">
        <f t="shared" si="313"/>
        <v>-1.014</v>
      </c>
      <c r="BJ108" s="565">
        <f t="shared" si="314"/>
        <v>-5.4219999999999997</v>
      </c>
      <c r="BK108" s="565">
        <f t="shared" si="314"/>
        <v>-6.6539999999999999</v>
      </c>
      <c r="BL108" s="565">
        <f t="shared" si="314"/>
        <v>-6.5650000000000013</v>
      </c>
      <c r="BM108" s="568">
        <f>SUM(BI108:BL108)</f>
        <v>-19.655000000000001</v>
      </c>
      <c r="BN108" s="584"/>
      <c r="BO108" s="565">
        <f t="shared" si="316"/>
        <v>-4.1059999999999999</v>
      </c>
      <c r="BP108" s="565">
        <f>IF(BO35="-","-",SUM(BP35)-SUM(BO35))</f>
        <v>0</v>
      </c>
      <c r="BQ108" s="565">
        <f t="shared" si="317"/>
        <v>0</v>
      </c>
      <c r="BR108" s="565">
        <f t="shared" si="317"/>
        <v>0</v>
      </c>
      <c r="BS108" s="568">
        <f>SUM(BO108:BR108)</f>
        <v>-4.1059999999999999</v>
      </c>
      <c r="BT108" s="584"/>
      <c r="BU108" s="565">
        <f t="shared" si="319"/>
        <v>0</v>
      </c>
      <c r="BV108" s="565">
        <f>IF(BU35="-","-",SUM(BV35)-SUM(BU35))</f>
        <v>0</v>
      </c>
      <c r="BW108" s="565">
        <f t="shared" si="320"/>
        <v>0</v>
      </c>
      <c r="BX108" s="565">
        <f t="shared" si="321"/>
        <v>0</v>
      </c>
      <c r="BY108" s="568">
        <f>SUM(BU108:BX108)</f>
        <v>0</v>
      </c>
      <c r="BZ108" s="584"/>
      <c r="CA108" s="565">
        <f t="shared" si="322"/>
        <v>30</v>
      </c>
      <c r="CB108" s="565">
        <f>IF(CA35="-","-",SUM(CB35)-SUM(CA35))</f>
        <v>1</v>
      </c>
      <c r="CC108" s="565">
        <f t="shared" ref="CC108:CC114" si="344">IF(CB35="-","-",SUM(CC35)-SUM(CB35))</f>
        <v>77.305000000000007</v>
      </c>
      <c r="CD108" s="565">
        <f t="shared" si="324"/>
        <v>-11.5</v>
      </c>
      <c r="CE108" s="568">
        <f>SUM(CA108:CD108)</f>
        <v>96.805000000000007</v>
      </c>
      <c r="CF108" s="584"/>
      <c r="CG108" s="565">
        <f t="shared" ref="CG108:CG114" si="345">CG35</f>
        <v>-307.50899999999996</v>
      </c>
      <c r="CH108" s="565">
        <f t="shared" si="325"/>
        <v>3.4319999999999595</v>
      </c>
      <c r="CI108" s="565">
        <f t="shared" si="326"/>
        <v>120.78200000000004</v>
      </c>
      <c r="CJ108" s="565">
        <f t="shared" si="327"/>
        <v>0</v>
      </c>
      <c r="CK108" s="568">
        <f>SUM(CG108:CJ108)</f>
        <v>-183.29499999999996</v>
      </c>
      <c r="CL108" s="584"/>
      <c r="CM108" s="565">
        <f t="shared" si="328"/>
        <v>0</v>
      </c>
      <c r="CN108" s="565">
        <f t="shared" si="329"/>
        <v>0</v>
      </c>
      <c r="CO108" s="565">
        <f t="shared" si="330"/>
        <v>0</v>
      </c>
      <c r="CP108" s="565">
        <f t="shared" si="331"/>
        <v>0</v>
      </c>
      <c r="CQ108" s="568">
        <f>SUM(CM108:CP108)</f>
        <v>0</v>
      </c>
      <c r="CR108" s="584"/>
      <c r="CS108" s="565">
        <f t="shared" ref="CS108:CS114" si="346">CS35</f>
        <v>0</v>
      </c>
      <c r="CT108" s="565">
        <f t="shared" si="332"/>
        <v>0</v>
      </c>
      <c r="CU108" s="565">
        <f t="shared" si="333"/>
        <v>0</v>
      </c>
      <c r="CV108" s="565">
        <f t="shared" si="334"/>
        <v>0</v>
      </c>
      <c r="CW108" s="568">
        <f>SUM(CS108:CV108)</f>
        <v>0</v>
      </c>
      <c r="CX108" s="584"/>
      <c r="CY108" s="565">
        <f t="shared" ref="CY108:CY114" si="347">CY35</f>
        <v>0</v>
      </c>
      <c r="CZ108" s="565">
        <f t="shared" si="335"/>
        <v>0</v>
      </c>
      <c r="DA108" s="565">
        <f t="shared" si="336"/>
        <v>0</v>
      </c>
      <c r="DB108" s="565">
        <f t="shared" si="337"/>
        <v>0</v>
      </c>
      <c r="DC108" s="568">
        <f>SUM(CY108:DB108)</f>
        <v>0</v>
      </c>
      <c r="DD108" s="584"/>
      <c r="DE108" s="565">
        <f t="shared" ref="DE108:DE114" si="348">DE35</f>
        <v>0</v>
      </c>
      <c r="DF108" s="565">
        <f t="shared" si="338"/>
        <v>0</v>
      </c>
      <c r="DG108" s="565">
        <f t="shared" si="339"/>
        <v>0</v>
      </c>
      <c r="DH108" s="565">
        <f t="shared" si="340"/>
        <v>0</v>
      </c>
      <c r="DI108" s="568">
        <f>SUM(DE108:DH108)</f>
        <v>0</v>
      </c>
      <c r="DJ108" s="584"/>
      <c r="DK108" s="565">
        <f t="shared" ref="DK108:DK114" si="349">DK35</f>
        <v>0</v>
      </c>
      <c r="DL108" s="565">
        <f t="shared" si="341"/>
        <v>0</v>
      </c>
      <c r="DM108" s="565">
        <f t="shared" si="342"/>
        <v>0</v>
      </c>
      <c r="DN108" s="565">
        <f t="shared" si="343"/>
        <v>0</v>
      </c>
      <c r="DO108" s="568">
        <f>SUM(DK108:DN108)</f>
        <v>0</v>
      </c>
      <c r="DP108" s="1698"/>
      <c r="DR108" s="956"/>
    </row>
    <row r="109" spans="1:128" ht="10.5" customHeight="1">
      <c r="A109" s="555" t="s">
        <v>820</v>
      </c>
      <c r="B109" s="580"/>
      <c r="C109" s="592"/>
      <c r="D109" s="592"/>
      <c r="E109" s="592"/>
      <c r="F109" s="580"/>
      <c r="G109" s="598"/>
      <c r="H109" s="598"/>
      <c r="I109" s="598"/>
      <c r="J109" s="598"/>
      <c r="K109" s="592"/>
      <c r="L109" s="598"/>
      <c r="M109" s="598"/>
      <c r="N109" s="598"/>
      <c r="O109" s="598"/>
      <c r="P109" s="598"/>
      <c r="Q109" s="592"/>
      <c r="R109" s="598"/>
      <c r="S109" s="592"/>
      <c r="T109" s="592"/>
      <c r="U109" s="592"/>
      <c r="V109" s="592"/>
      <c r="W109" s="592"/>
      <c r="X109" s="580"/>
      <c r="Y109" s="565">
        <f t="shared" si="294"/>
        <v>0</v>
      </c>
      <c r="Z109" s="565">
        <f t="shared" si="295"/>
        <v>0</v>
      </c>
      <c r="AA109" s="565">
        <f t="shared" si="295"/>
        <v>0</v>
      </c>
      <c r="AB109" s="565">
        <f t="shared" si="295"/>
        <v>0</v>
      </c>
      <c r="AC109" s="565">
        <f>SUM(Y109:AB109)</f>
        <v>0</v>
      </c>
      <c r="AD109" s="584"/>
      <c r="AE109" s="565">
        <f t="shared" si="297"/>
        <v>-15.502000000000001</v>
      </c>
      <c r="AF109" s="565">
        <f t="shared" si="298"/>
        <v>0</v>
      </c>
      <c r="AG109" s="565">
        <f t="shared" ref="AG109:AG114" si="350">IF(AF36="-","-",SUM(AG36)-SUM(AF36))</f>
        <v>0</v>
      </c>
      <c r="AH109" s="565">
        <f t="shared" si="299"/>
        <v>0</v>
      </c>
      <c r="AI109" s="568">
        <f>SUM(AE109:AH109)</f>
        <v>-15.502000000000001</v>
      </c>
      <c r="AJ109" s="584"/>
      <c r="AK109" s="565">
        <f t="shared" si="301"/>
        <v>0</v>
      </c>
      <c r="AL109" s="565">
        <f t="shared" si="302"/>
        <v>0</v>
      </c>
      <c r="AM109" s="565">
        <f t="shared" si="302"/>
        <v>0</v>
      </c>
      <c r="AN109" s="565">
        <f t="shared" si="302"/>
        <v>0</v>
      </c>
      <c r="AO109" s="568">
        <f>SUM(AK109:AN109)</f>
        <v>0</v>
      </c>
      <c r="AP109" s="584"/>
      <c r="AQ109" s="565">
        <f t="shared" si="304"/>
        <v>0</v>
      </c>
      <c r="AR109" s="565">
        <f t="shared" si="305"/>
        <v>0</v>
      </c>
      <c r="AS109" s="565">
        <f t="shared" si="305"/>
        <v>-27.344000000000001</v>
      </c>
      <c r="AT109" s="565">
        <f t="shared" si="305"/>
        <v>-0.56299999999999883</v>
      </c>
      <c r="AU109" s="568">
        <f>SUM(AQ109:AT109)</f>
        <v>-27.907</v>
      </c>
      <c r="AV109" s="584"/>
      <c r="AW109" s="565">
        <f t="shared" si="307"/>
        <v>0</v>
      </c>
      <c r="AX109" s="565">
        <f t="shared" si="308"/>
        <v>0</v>
      </c>
      <c r="AY109" s="565">
        <f t="shared" si="308"/>
        <v>-4.5</v>
      </c>
      <c r="AZ109" s="565">
        <f t="shared" si="308"/>
        <v>4.5</v>
      </c>
      <c r="BA109" s="568">
        <f t="shared" si="309"/>
        <v>0</v>
      </c>
      <c r="BB109" s="584"/>
      <c r="BC109" s="565">
        <f t="shared" si="310"/>
        <v>0</v>
      </c>
      <c r="BD109" s="565">
        <f t="shared" si="311"/>
        <v>0</v>
      </c>
      <c r="BE109" s="565">
        <f t="shared" si="311"/>
        <v>0</v>
      </c>
      <c r="BF109" s="565">
        <f t="shared" si="311"/>
        <v>0</v>
      </c>
      <c r="BG109" s="568">
        <f t="shared" si="312"/>
        <v>0</v>
      </c>
      <c r="BH109" s="584"/>
      <c r="BI109" s="565">
        <f t="shared" si="313"/>
        <v>0</v>
      </c>
      <c r="BJ109" s="565">
        <f t="shared" si="314"/>
        <v>0</v>
      </c>
      <c r="BK109" s="565">
        <f t="shared" si="314"/>
        <v>0</v>
      </c>
      <c r="BL109" s="565">
        <f t="shared" si="314"/>
        <v>0</v>
      </c>
      <c r="BM109" s="568">
        <f t="shared" si="315"/>
        <v>0</v>
      </c>
      <c r="BN109" s="584"/>
      <c r="BO109" s="565">
        <f t="shared" si="316"/>
        <v>0</v>
      </c>
      <c r="BP109" s="565">
        <f t="shared" si="317"/>
        <v>0</v>
      </c>
      <c r="BQ109" s="565">
        <f t="shared" si="317"/>
        <v>0</v>
      </c>
      <c r="BR109" s="565">
        <f t="shared" si="317"/>
        <v>0</v>
      </c>
      <c r="BS109" s="568">
        <f t="shared" si="318"/>
        <v>0</v>
      </c>
      <c r="BT109" s="584"/>
      <c r="BU109" s="565">
        <f t="shared" si="319"/>
        <v>0</v>
      </c>
      <c r="BV109" s="565">
        <f t="shared" ref="BV109:BV114" si="351">IF(BU36="-","-",SUM(BV36)-SUM(BU36))</f>
        <v>0</v>
      </c>
      <c r="BW109" s="565">
        <f t="shared" si="320"/>
        <v>0</v>
      </c>
      <c r="BX109" s="565">
        <f t="shared" si="321"/>
        <v>0</v>
      </c>
      <c r="BY109" s="568">
        <f t="shared" ref="BY109:BY114" si="352">SUM(BU109:BX109)</f>
        <v>0</v>
      </c>
      <c r="BZ109" s="584"/>
      <c r="CA109" s="565">
        <f t="shared" si="322"/>
        <v>0</v>
      </c>
      <c r="CB109" s="565">
        <f t="shared" si="323"/>
        <v>0</v>
      </c>
      <c r="CC109" s="565">
        <f t="shared" si="344"/>
        <v>0</v>
      </c>
      <c r="CD109" s="565">
        <f t="shared" si="324"/>
        <v>0</v>
      </c>
      <c r="CE109" s="568">
        <f t="shared" ref="CE109:CE114" si="353">SUM(CA109:CD109)</f>
        <v>0</v>
      </c>
      <c r="CF109" s="584"/>
      <c r="CG109" s="565">
        <f t="shared" si="345"/>
        <v>0</v>
      </c>
      <c r="CH109" s="565">
        <f t="shared" si="325"/>
        <v>0</v>
      </c>
      <c r="CI109" s="565">
        <f t="shared" si="326"/>
        <v>0</v>
      </c>
      <c r="CJ109" s="565">
        <f t="shared" si="327"/>
        <v>0</v>
      </c>
      <c r="CK109" s="568">
        <f t="shared" ref="CK109:CK114" si="354">SUM(CG109:CJ109)</f>
        <v>0</v>
      </c>
      <c r="CL109" s="584"/>
      <c r="CM109" s="565">
        <f t="shared" si="328"/>
        <v>0</v>
      </c>
      <c r="CN109" s="565">
        <f t="shared" si="329"/>
        <v>0</v>
      </c>
      <c r="CO109" s="565">
        <f t="shared" si="330"/>
        <v>0</v>
      </c>
      <c r="CP109" s="565">
        <f t="shared" si="331"/>
        <v>0</v>
      </c>
      <c r="CQ109" s="568">
        <f t="shared" ref="CQ109:CQ114" si="355">SUM(CM109:CP109)</f>
        <v>0</v>
      </c>
      <c r="CR109" s="584"/>
      <c r="CS109" s="565">
        <f t="shared" si="346"/>
        <v>0</v>
      </c>
      <c r="CT109" s="565">
        <f t="shared" si="332"/>
        <v>0</v>
      </c>
      <c r="CU109" s="565">
        <f t="shared" si="333"/>
        <v>0</v>
      </c>
      <c r="CV109" s="565">
        <f t="shared" si="334"/>
        <v>0</v>
      </c>
      <c r="CW109" s="568">
        <f t="shared" ref="CW109:CW114" si="356">SUM(CS109:CV109)</f>
        <v>0</v>
      </c>
      <c r="CX109" s="584"/>
      <c r="CY109" s="565">
        <f t="shared" si="347"/>
        <v>0</v>
      </c>
      <c r="CZ109" s="565">
        <f t="shared" si="335"/>
        <v>0</v>
      </c>
      <c r="DA109" s="565">
        <f t="shared" si="336"/>
        <v>0</v>
      </c>
      <c r="DB109" s="565">
        <f t="shared" si="337"/>
        <v>0</v>
      </c>
      <c r="DC109" s="568">
        <f t="shared" ref="DC109:DC114" si="357">SUM(CY109:DB109)</f>
        <v>0</v>
      </c>
      <c r="DD109" s="584"/>
      <c r="DE109" s="565">
        <f t="shared" si="348"/>
        <v>0</v>
      </c>
      <c r="DF109" s="565">
        <f t="shared" si="338"/>
        <v>0</v>
      </c>
      <c r="DG109" s="565">
        <f t="shared" si="339"/>
        <v>0</v>
      </c>
      <c r="DH109" s="565">
        <f t="shared" si="340"/>
        <v>0</v>
      </c>
      <c r="DI109" s="568">
        <f t="shared" ref="DI109:DI114" si="358">SUM(DE109:DH109)</f>
        <v>0</v>
      </c>
      <c r="DJ109" s="584"/>
      <c r="DK109" s="565">
        <f t="shared" si="349"/>
        <v>0</v>
      </c>
      <c r="DL109" s="565">
        <f t="shared" si="341"/>
        <v>0</v>
      </c>
      <c r="DM109" s="565">
        <f t="shared" si="342"/>
        <v>0</v>
      </c>
      <c r="DN109" s="565">
        <f t="shared" si="343"/>
        <v>0</v>
      </c>
      <c r="DO109" s="568">
        <f t="shared" ref="DO109:DO114" si="359">SUM(DK109:DN109)</f>
        <v>0</v>
      </c>
      <c r="DP109" s="958"/>
      <c r="DQ109" s="958"/>
      <c r="DR109" s="958"/>
    </row>
    <row r="110" spans="1:128" ht="10.5" customHeight="1">
      <c r="A110" s="555" t="s">
        <v>777</v>
      </c>
      <c r="B110" s="580"/>
      <c r="C110" s="565">
        <v>0</v>
      </c>
      <c r="D110" s="565">
        <v>-3.5</v>
      </c>
      <c r="E110" s="565">
        <v>0</v>
      </c>
      <c r="F110" s="584"/>
      <c r="G110" s="556">
        <v>-4.3999999999999997E-2</v>
      </c>
      <c r="H110" s="556">
        <v>-1.2999999999999999E-2</v>
      </c>
      <c r="I110" s="556">
        <v>-1.2999999999999999E-2</v>
      </c>
      <c r="J110" s="556">
        <v>-0.16300000000000001</v>
      </c>
      <c r="K110" s="565">
        <f t="shared" si="290"/>
        <v>-0.23299999999999998</v>
      </c>
      <c r="L110" s="556"/>
      <c r="M110" s="556">
        <v>-1.9E-2</v>
      </c>
      <c r="N110" s="556">
        <v>-8.0000000000000002E-3</v>
      </c>
      <c r="O110" s="556">
        <v>-0.152</v>
      </c>
      <c r="P110" s="556">
        <v>0</v>
      </c>
      <c r="Q110" s="565">
        <f t="shared" si="291"/>
        <v>-0.17899999999999999</v>
      </c>
      <c r="R110" s="598"/>
      <c r="S110" s="565">
        <v>-6.0000000000000001E-3</v>
      </c>
      <c r="T110" s="565">
        <f t="shared" ref="T110:V114" si="360">IF(S37="-","-",SUM(T37)-SUM(S37))</f>
        <v>-55.716999999999999</v>
      </c>
      <c r="U110" s="565">
        <f t="shared" si="360"/>
        <v>-13.909000000000006</v>
      </c>
      <c r="V110" s="565">
        <f t="shared" si="360"/>
        <v>-16.766999999999996</v>
      </c>
      <c r="W110" s="565">
        <f t="shared" si="293"/>
        <v>-86.399000000000001</v>
      </c>
      <c r="X110" s="580"/>
      <c r="Y110" s="565">
        <f t="shared" si="294"/>
        <v>-4.7549999999999928</v>
      </c>
      <c r="Z110" s="565">
        <f t="shared" si="295"/>
        <v>-6.8629999999999987</v>
      </c>
      <c r="AA110" s="565">
        <f t="shared" si="295"/>
        <v>17.478999999999999</v>
      </c>
      <c r="AB110" s="565">
        <f t="shared" si="295"/>
        <v>159.74199999999999</v>
      </c>
      <c r="AC110" s="565">
        <f t="shared" si="296"/>
        <v>165.60300000000001</v>
      </c>
      <c r="AD110" s="580"/>
      <c r="AE110" s="565">
        <f t="shared" si="297"/>
        <v>27.207999999999998</v>
      </c>
      <c r="AF110" s="565">
        <f t="shared" si="298"/>
        <v>-14.150999999999998</v>
      </c>
      <c r="AG110" s="565">
        <f t="shared" si="350"/>
        <v>-116.209</v>
      </c>
      <c r="AH110" s="565">
        <f t="shared" si="299"/>
        <v>-25.042000000000016</v>
      </c>
      <c r="AI110" s="568">
        <f t="shared" si="300"/>
        <v>-128.19400000000002</v>
      </c>
      <c r="AJ110" s="580"/>
      <c r="AK110" s="565">
        <f t="shared" si="301"/>
        <v>-34.212000000000003</v>
      </c>
      <c r="AL110" s="565">
        <f t="shared" si="302"/>
        <v>-13.734999999999999</v>
      </c>
      <c r="AM110" s="565">
        <f t="shared" si="302"/>
        <v>-35.14</v>
      </c>
      <c r="AN110" s="565">
        <f t="shared" si="302"/>
        <v>22.271000000000001</v>
      </c>
      <c r="AO110" s="568">
        <f t="shared" si="303"/>
        <v>-60.816000000000003</v>
      </c>
      <c r="AP110" s="580"/>
      <c r="AQ110" s="565">
        <f t="shared" si="304"/>
        <v>16.54</v>
      </c>
      <c r="AR110" s="565">
        <f t="shared" si="305"/>
        <v>-25.117999999999999</v>
      </c>
      <c r="AS110" s="565">
        <f t="shared" si="305"/>
        <v>-30.263000000000002</v>
      </c>
      <c r="AT110" s="565">
        <f t="shared" si="305"/>
        <v>28.432000000000002</v>
      </c>
      <c r="AU110" s="568">
        <f t="shared" si="306"/>
        <v>-10.408999999999999</v>
      </c>
      <c r="AV110" s="580"/>
      <c r="AW110" s="565">
        <f t="shared" si="307"/>
        <v>-242.63800000000001</v>
      </c>
      <c r="AX110" s="565">
        <f t="shared" si="308"/>
        <v>-138.393</v>
      </c>
      <c r="AY110" s="565">
        <f t="shared" si="308"/>
        <v>-41.242999999999995</v>
      </c>
      <c r="AZ110" s="565">
        <f t="shared" si="308"/>
        <v>97.558999999999969</v>
      </c>
      <c r="BA110" s="568">
        <f t="shared" si="309"/>
        <v>-324.71500000000003</v>
      </c>
      <c r="BB110" s="580"/>
      <c r="BC110" s="565">
        <f t="shared" si="310"/>
        <v>-495.94299999999998</v>
      </c>
      <c r="BD110" s="565">
        <f>IF(BC37="-","-",SUM(BD37)-SUM(BC37))</f>
        <v>-234.02999999999997</v>
      </c>
      <c r="BE110" s="565">
        <f t="shared" si="311"/>
        <v>280.33999999999997</v>
      </c>
      <c r="BF110" s="565">
        <f t="shared" si="311"/>
        <v>179.346</v>
      </c>
      <c r="BG110" s="568">
        <f t="shared" si="312"/>
        <v>-270.28699999999998</v>
      </c>
      <c r="BH110" s="580"/>
      <c r="BI110" s="565">
        <f t="shared" si="313"/>
        <v>113.12299999999999</v>
      </c>
      <c r="BJ110" s="565">
        <f t="shared" si="314"/>
        <v>21.782000000000011</v>
      </c>
      <c r="BK110" s="565">
        <f t="shared" si="314"/>
        <v>17.65900000000002</v>
      </c>
      <c r="BL110" s="565">
        <f t="shared" si="314"/>
        <v>-48.255000000000024</v>
      </c>
      <c r="BM110" s="568">
        <f t="shared" si="315"/>
        <v>104.309</v>
      </c>
      <c r="BN110" s="580"/>
      <c r="BO110" s="565">
        <f t="shared" si="316"/>
        <v>-374.58199999999999</v>
      </c>
      <c r="BP110" s="565">
        <f t="shared" si="317"/>
        <v>412.79700000000003</v>
      </c>
      <c r="BQ110" s="565">
        <f t="shared" si="317"/>
        <v>-94.879000000000005</v>
      </c>
      <c r="BR110" s="565">
        <f t="shared" si="317"/>
        <v>-122.80199999999998</v>
      </c>
      <c r="BS110" s="568">
        <f t="shared" si="318"/>
        <v>-179.46599999999995</v>
      </c>
      <c r="BT110" s="580"/>
      <c r="BU110" s="565">
        <f t="shared" si="319"/>
        <v>-143.10500000000002</v>
      </c>
      <c r="BV110" s="565">
        <f t="shared" si="351"/>
        <v>839.80000000000007</v>
      </c>
      <c r="BW110" s="565">
        <f t="shared" si="320"/>
        <v>-90.820000000000164</v>
      </c>
      <c r="BX110" s="565">
        <f t="shared" si="321"/>
        <v>-121.01799999999974</v>
      </c>
      <c r="BY110" s="568">
        <f t="shared" si="352"/>
        <v>484.85700000000014</v>
      </c>
      <c r="BZ110" s="580"/>
      <c r="CA110" s="565">
        <f t="shared" si="322"/>
        <v>-180.27199999999999</v>
      </c>
      <c r="CB110" s="565">
        <f t="shared" si="323"/>
        <v>-215.90000000000009</v>
      </c>
      <c r="CC110" s="565">
        <f>IF(CB37="-","-",SUM(CC37)-SUM(CB37))</f>
        <v>-98.215999999999894</v>
      </c>
      <c r="CD110" s="565">
        <f t="shared" si="324"/>
        <v>-48.393999999999949</v>
      </c>
      <c r="CE110" s="568">
        <f t="shared" si="353"/>
        <v>-542.78199999999993</v>
      </c>
      <c r="CF110" s="580"/>
      <c r="CG110" s="565">
        <f t="shared" si="345"/>
        <v>-145.05700000000002</v>
      </c>
      <c r="CH110" s="565">
        <f t="shared" si="325"/>
        <v>-153.875</v>
      </c>
      <c r="CI110" s="565">
        <f t="shared" si="326"/>
        <v>-125.72800000000001</v>
      </c>
      <c r="CJ110" s="565">
        <f t="shared" si="327"/>
        <v>-536.76700000000005</v>
      </c>
      <c r="CK110" s="568">
        <f t="shared" si="354"/>
        <v>-961.42700000000013</v>
      </c>
      <c r="CL110" s="580"/>
      <c r="CM110" s="565">
        <f t="shared" si="328"/>
        <v>-365.17800000000005</v>
      </c>
      <c r="CN110" s="565">
        <f t="shared" si="329"/>
        <v>1351.7919999999999</v>
      </c>
      <c r="CO110" s="565">
        <f t="shared" si="330"/>
        <v>-21.01400000000001</v>
      </c>
      <c r="CP110" s="565">
        <f t="shared" si="331"/>
        <v>6.7559999999998581</v>
      </c>
      <c r="CQ110" s="568">
        <f t="shared" si="355"/>
        <v>972.35599999999965</v>
      </c>
      <c r="CR110" s="580"/>
      <c r="CS110" s="565">
        <f t="shared" si="346"/>
        <v>-591.33199999999999</v>
      </c>
      <c r="CT110" s="565">
        <f t="shared" si="332"/>
        <v>-395.24299999999994</v>
      </c>
      <c r="CU110" s="565">
        <f t="shared" si="333"/>
        <v>-23.996000000000208</v>
      </c>
      <c r="CV110" s="565">
        <f t="shared" si="334"/>
        <v>-440.51299999999969</v>
      </c>
      <c r="CW110" s="568">
        <f t="shared" si="356"/>
        <v>-1451.0839999999998</v>
      </c>
      <c r="CX110" s="580"/>
      <c r="CY110" s="565">
        <f t="shared" si="347"/>
        <v>0</v>
      </c>
      <c r="CZ110" s="565">
        <f t="shared" si="335"/>
        <v>0</v>
      </c>
      <c r="DA110" s="565">
        <f t="shared" si="336"/>
        <v>0</v>
      </c>
      <c r="DB110" s="565">
        <f t="shared" si="337"/>
        <v>0</v>
      </c>
      <c r="DC110" s="568">
        <f t="shared" si="357"/>
        <v>0</v>
      </c>
      <c r="DD110" s="580"/>
      <c r="DE110" s="565">
        <f t="shared" si="348"/>
        <v>0</v>
      </c>
      <c r="DF110" s="565">
        <f t="shared" si="338"/>
        <v>0</v>
      </c>
      <c r="DG110" s="565">
        <f t="shared" si="339"/>
        <v>0</v>
      </c>
      <c r="DH110" s="565">
        <f t="shared" si="340"/>
        <v>0</v>
      </c>
      <c r="DI110" s="568">
        <f t="shared" si="358"/>
        <v>0</v>
      </c>
      <c r="DJ110" s="580"/>
      <c r="DK110" s="565">
        <f t="shared" si="349"/>
        <v>0</v>
      </c>
      <c r="DL110" s="565">
        <f t="shared" si="341"/>
        <v>0</v>
      </c>
      <c r="DM110" s="565">
        <f t="shared" si="342"/>
        <v>0</v>
      </c>
      <c r="DN110" s="565">
        <f t="shared" si="343"/>
        <v>0</v>
      </c>
      <c r="DO110" s="568">
        <f t="shared" si="359"/>
        <v>0</v>
      </c>
      <c r="DP110" s="958"/>
      <c r="DQ110" s="958"/>
      <c r="DR110" s="958"/>
    </row>
    <row r="111" spans="1:128" ht="10.5" customHeight="1">
      <c r="A111" s="555" t="s">
        <v>120</v>
      </c>
      <c r="B111" s="584"/>
      <c r="C111" s="565">
        <v>0</v>
      </c>
      <c r="D111" s="565">
        <v>0</v>
      </c>
      <c r="E111" s="565">
        <v>0</v>
      </c>
      <c r="F111" s="584"/>
      <c r="G111" s="556">
        <v>-4.9539999999999997</v>
      </c>
      <c r="H111" s="556">
        <v>-5.5E-2</v>
      </c>
      <c r="I111" s="556">
        <f>-19.41-H111-G111</f>
        <v>-14.401</v>
      </c>
      <c r="J111" s="556">
        <f>-27.977-I111-H111-G111</f>
        <v>-8.5670000000000002</v>
      </c>
      <c r="K111" s="565">
        <f t="shared" si="290"/>
        <v>-27.977</v>
      </c>
      <c r="L111" s="556"/>
      <c r="M111" s="556">
        <v>-9.9939999999999998</v>
      </c>
      <c r="N111" s="556">
        <v>-2.2559999999999998</v>
      </c>
      <c r="O111" s="556">
        <f>-31.55-N111-M111</f>
        <v>-19.3</v>
      </c>
      <c r="P111" s="556">
        <v>-8.35</v>
      </c>
      <c r="Q111" s="565">
        <f t="shared" si="291"/>
        <v>-39.9</v>
      </c>
      <c r="R111" s="556"/>
      <c r="S111" s="565">
        <v>-40.725999999999999</v>
      </c>
      <c r="T111" s="565">
        <f t="shared" si="360"/>
        <v>10.263999999999996</v>
      </c>
      <c r="U111" s="565">
        <f t="shared" si="360"/>
        <v>-36.814999999999984</v>
      </c>
      <c r="V111" s="565">
        <f t="shared" si="360"/>
        <v>8.063999999999993</v>
      </c>
      <c r="W111" s="565">
        <f t="shared" si="293"/>
        <v>-59.212999999999994</v>
      </c>
      <c r="X111" s="584"/>
      <c r="Y111" s="565">
        <f t="shared" si="294"/>
        <v>-1.8539999999999992</v>
      </c>
      <c r="Z111" s="565">
        <f t="shared" si="295"/>
        <v>-24.67700000000001</v>
      </c>
      <c r="AA111" s="565">
        <f t="shared" si="295"/>
        <v>20.387</v>
      </c>
      <c r="AB111" s="565">
        <f t="shared" si="295"/>
        <v>-187.02099999999999</v>
      </c>
      <c r="AC111" s="565">
        <f t="shared" si="296"/>
        <v>-193.16499999999999</v>
      </c>
      <c r="AD111" s="584"/>
      <c r="AE111" s="565">
        <f t="shared" si="297"/>
        <v>0</v>
      </c>
      <c r="AF111" s="565">
        <f t="shared" si="298"/>
        <v>0</v>
      </c>
      <c r="AG111" s="565">
        <f t="shared" si="350"/>
        <v>0</v>
      </c>
      <c r="AH111" s="565">
        <f t="shared" si="299"/>
        <v>0</v>
      </c>
      <c r="AI111" s="568">
        <f t="shared" si="300"/>
        <v>0</v>
      </c>
      <c r="AJ111" s="584"/>
      <c r="AK111" s="565">
        <f t="shared" si="301"/>
        <v>0</v>
      </c>
      <c r="AL111" s="565">
        <f t="shared" si="302"/>
        <v>0</v>
      </c>
      <c r="AM111" s="565">
        <f t="shared" si="302"/>
        <v>0</v>
      </c>
      <c r="AN111" s="565">
        <f t="shared" si="302"/>
        <v>0</v>
      </c>
      <c r="AO111" s="568">
        <f t="shared" si="303"/>
        <v>0</v>
      </c>
      <c r="AP111" s="584"/>
      <c r="AQ111" s="565">
        <f t="shared" si="304"/>
        <v>0</v>
      </c>
      <c r="AR111" s="565">
        <f t="shared" si="305"/>
        <v>0</v>
      </c>
      <c r="AS111" s="565">
        <f t="shared" si="305"/>
        <v>0</v>
      </c>
      <c r="AT111" s="565">
        <f t="shared" si="305"/>
        <v>0</v>
      </c>
      <c r="AU111" s="568">
        <f t="shared" si="306"/>
        <v>0</v>
      </c>
      <c r="AV111" s="584"/>
      <c r="AW111" s="565">
        <f t="shared" si="307"/>
        <v>0</v>
      </c>
      <c r="AX111" s="565">
        <f t="shared" si="308"/>
        <v>0</v>
      </c>
      <c r="AY111" s="565">
        <f t="shared" si="308"/>
        <v>0</v>
      </c>
      <c r="AZ111" s="565">
        <f t="shared" si="308"/>
        <v>0</v>
      </c>
      <c r="BA111" s="568">
        <f t="shared" si="309"/>
        <v>0</v>
      </c>
      <c r="BB111" s="584"/>
      <c r="BC111" s="565">
        <f t="shared" si="310"/>
        <v>0</v>
      </c>
      <c r="BD111" s="565">
        <f t="shared" si="311"/>
        <v>0</v>
      </c>
      <c r="BE111" s="565">
        <f t="shared" si="311"/>
        <v>0</v>
      </c>
      <c r="BF111" s="565">
        <f t="shared" si="311"/>
        <v>0</v>
      </c>
      <c r="BG111" s="568">
        <f t="shared" si="312"/>
        <v>0</v>
      </c>
      <c r="BH111" s="584"/>
      <c r="BI111" s="565">
        <f t="shared" si="313"/>
        <v>0</v>
      </c>
      <c r="BJ111" s="565">
        <f t="shared" si="314"/>
        <v>0</v>
      </c>
      <c r="BK111" s="565">
        <f t="shared" si="314"/>
        <v>0</v>
      </c>
      <c r="BL111" s="565">
        <f t="shared" si="314"/>
        <v>0</v>
      </c>
      <c r="BM111" s="568">
        <f t="shared" si="315"/>
        <v>0</v>
      </c>
      <c r="BN111" s="584"/>
      <c r="BO111" s="565">
        <f t="shared" si="316"/>
        <v>0</v>
      </c>
      <c r="BP111" s="565">
        <f t="shared" si="317"/>
        <v>0</v>
      </c>
      <c r="BQ111" s="565">
        <f t="shared" si="317"/>
        <v>0</v>
      </c>
      <c r="BR111" s="565">
        <f t="shared" si="317"/>
        <v>0</v>
      </c>
      <c r="BS111" s="568">
        <f t="shared" si="318"/>
        <v>0</v>
      </c>
      <c r="BT111" s="584"/>
      <c r="BU111" s="565">
        <f t="shared" si="319"/>
        <v>0</v>
      </c>
      <c r="BV111" s="565">
        <f t="shared" si="351"/>
        <v>0</v>
      </c>
      <c r="BW111" s="565">
        <f t="shared" si="320"/>
        <v>0</v>
      </c>
      <c r="BX111" s="565">
        <f t="shared" si="321"/>
        <v>0</v>
      </c>
      <c r="BY111" s="568">
        <f t="shared" si="352"/>
        <v>0</v>
      </c>
      <c r="BZ111" s="584"/>
      <c r="CA111" s="565">
        <f t="shared" si="322"/>
        <v>0</v>
      </c>
      <c r="CB111" s="565">
        <f t="shared" si="323"/>
        <v>0</v>
      </c>
      <c r="CC111" s="565">
        <f t="shared" si="344"/>
        <v>0</v>
      </c>
      <c r="CD111" s="565">
        <f t="shared" si="324"/>
        <v>0</v>
      </c>
      <c r="CE111" s="568">
        <f t="shared" si="353"/>
        <v>0</v>
      </c>
      <c r="CF111" s="584"/>
      <c r="CG111" s="565">
        <f t="shared" si="345"/>
        <v>0</v>
      </c>
      <c r="CH111" s="565">
        <f t="shared" si="325"/>
        <v>0</v>
      </c>
      <c r="CI111" s="565">
        <f t="shared" si="326"/>
        <v>0</v>
      </c>
      <c r="CJ111" s="565">
        <f t="shared" si="327"/>
        <v>0</v>
      </c>
      <c r="CK111" s="568">
        <f t="shared" si="354"/>
        <v>0</v>
      </c>
      <c r="CL111" s="584"/>
      <c r="CM111" s="565">
        <f t="shared" si="328"/>
        <v>0</v>
      </c>
      <c r="CN111" s="565">
        <f t="shared" si="329"/>
        <v>0</v>
      </c>
      <c r="CO111" s="565">
        <f t="shared" si="330"/>
        <v>0</v>
      </c>
      <c r="CP111" s="565">
        <f t="shared" si="331"/>
        <v>0</v>
      </c>
      <c r="CQ111" s="568">
        <f t="shared" si="355"/>
        <v>0</v>
      </c>
      <c r="CR111" s="584"/>
      <c r="CS111" s="565">
        <f t="shared" si="346"/>
        <v>0</v>
      </c>
      <c r="CT111" s="565">
        <f t="shared" si="332"/>
        <v>0</v>
      </c>
      <c r="CU111" s="565">
        <f t="shared" si="333"/>
        <v>0</v>
      </c>
      <c r="CV111" s="565">
        <f t="shared" si="334"/>
        <v>0</v>
      </c>
      <c r="CW111" s="568">
        <f t="shared" si="356"/>
        <v>0</v>
      </c>
      <c r="CX111" s="584"/>
      <c r="CY111" s="565">
        <f t="shared" si="347"/>
        <v>0</v>
      </c>
      <c r="CZ111" s="565">
        <f t="shared" si="335"/>
        <v>0</v>
      </c>
      <c r="DA111" s="565">
        <f t="shared" si="336"/>
        <v>0</v>
      </c>
      <c r="DB111" s="565">
        <f t="shared" si="337"/>
        <v>0</v>
      </c>
      <c r="DC111" s="568">
        <f t="shared" si="357"/>
        <v>0</v>
      </c>
      <c r="DD111" s="584"/>
      <c r="DE111" s="565">
        <f t="shared" si="348"/>
        <v>0</v>
      </c>
      <c r="DF111" s="565">
        <f t="shared" si="338"/>
        <v>0</v>
      </c>
      <c r="DG111" s="565">
        <f t="shared" si="339"/>
        <v>0</v>
      </c>
      <c r="DH111" s="565">
        <f t="shared" si="340"/>
        <v>0</v>
      </c>
      <c r="DI111" s="568">
        <f t="shared" si="358"/>
        <v>0</v>
      </c>
      <c r="DJ111" s="584"/>
      <c r="DK111" s="565">
        <f t="shared" si="349"/>
        <v>0</v>
      </c>
      <c r="DL111" s="565">
        <f t="shared" si="341"/>
        <v>0</v>
      </c>
      <c r="DM111" s="565">
        <f t="shared" si="342"/>
        <v>0</v>
      </c>
      <c r="DN111" s="565">
        <f t="shared" si="343"/>
        <v>0</v>
      </c>
      <c r="DO111" s="568">
        <f t="shared" si="359"/>
        <v>0</v>
      </c>
      <c r="DP111" s="1698"/>
      <c r="DQ111" s="956"/>
      <c r="DR111" s="956"/>
    </row>
    <row r="112" spans="1:128" ht="10.5" customHeight="1">
      <c r="A112" s="555" t="s">
        <v>778</v>
      </c>
      <c r="B112" s="584"/>
      <c r="C112" s="565">
        <v>0</v>
      </c>
      <c r="D112" s="565">
        <v>0</v>
      </c>
      <c r="E112" s="565">
        <v>0</v>
      </c>
      <c r="F112" s="584"/>
      <c r="G112" s="565">
        <v>0</v>
      </c>
      <c r="H112" s="565">
        <v>0</v>
      </c>
      <c r="I112" s="556">
        <f>14.18-H112-G112</f>
        <v>14.18</v>
      </c>
      <c r="J112" s="556">
        <f>20.677-I112-H112-G112</f>
        <v>6.4969999999999999</v>
      </c>
      <c r="K112" s="565">
        <f t="shared" si="290"/>
        <v>20.677</v>
      </c>
      <c r="L112" s="556"/>
      <c r="M112" s="556">
        <v>1.9</v>
      </c>
      <c r="N112" s="565">
        <v>0</v>
      </c>
      <c r="O112" s="565">
        <f>14.9-M112-N112</f>
        <v>13</v>
      </c>
      <c r="P112" s="565">
        <v>6.9510000000000005</v>
      </c>
      <c r="Q112" s="565">
        <f t="shared" si="291"/>
        <v>21.850999999999999</v>
      </c>
      <c r="R112" s="556"/>
      <c r="S112" s="565">
        <v>27.902000000000001</v>
      </c>
      <c r="T112" s="565">
        <f t="shared" si="360"/>
        <v>-27.902000000000001</v>
      </c>
      <c r="U112" s="565">
        <f t="shared" si="360"/>
        <v>0</v>
      </c>
      <c r="V112" s="565">
        <f t="shared" si="360"/>
        <v>0</v>
      </c>
      <c r="W112" s="565">
        <f t="shared" si="293"/>
        <v>0</v>
      </c>
      <c r="X112" s="556"/>
      <c r="Y112" s="565">
        <f t="shared" si="294"/>
        <v>0</v>
      </c>
      <c r="Z112" s="565">
        <f t="shared" si="295"/>
        <v>0</v>
      </c>
      <c r="AA112" s="565">
        <f t="shared" si="295"/>
        <v>0</v>
      </c>
      <c r="AB112" s="565">
        <f t="shared" si="295"/>
        <v>0</v>
      </c>
      <c r="AC112" s="565">
        <f t="shared" si="296"/>
        <v>0</v>
      </c>
      <c r="AD112" s="556"/>
      <c r="AE112" s="565">
        <f t="shared" si="297"/>
        <v>0</v>
      </c>
      <c r="AF112" s="565">
        <f t="shared" si="298"/>
        <v>0</v>
      </c>
      <c r="AG112" s="565">
        <f t="shared" si="350"/>
        <v>0</v>
      </c>
      <c r="AH112" s="565">
        <f t="shared" si="299"/>
        <v>0</v>
      </c>
      <c r="AI112" s="568">
        <f t="shared" si="300"/>
        <v>0</v>
      </c>
      <c r="AJ112" s="556"/>
      <c r="AK112" s="565">
        <f t="shared" si="301"/>
        <v>0</v>
      </c>
      <c r="AL112" s="565">
        <f t="shared" si="302"/>
        <v>0</v>
      </c>
      <c r="AM112" s="565">
        <f t="shared" si="302"/>
        <v>1.659</v>
      </c>
      <c r="AN112" s="565">
        <f t="shared" si="302"/>
        <v>0</v>
      </c>
      <c r="AO112" s="568">
        <f t="shared" si="303"/>
        <v>1.659</v>
      </c>
      <c r="AP112" s="556"/>
      <c r="AQ112" s="565">
        <f t="shared" si="304"/>
        <v>0</v>
      </c>
      <c r="AR112" s="565">
        <f t="shared" si="305"/>
        <v>0</v>
      </c>
      <c r="AS112" s="565">
        <f t="shared" si="305"/>
        <v>0</v>
      </c>
      <c r="AT112" s="565">
        <f t="shared" si="305"/>
        <v>0</v>
      </c>
      <c r="AU112" s="568">
        <f t="shared" si="306"/>
        <v>0</v>
      </c>
      <c r="AV112" s="556"/>
      <c r="AW112" s="565">
        <f t="shared" si="307"/>
        <v>0</v>
      </c>
      <c r="AX112" s="565">
        <f t="shared" si="308"/>
        <v>0</v>
      </c>
      <c r="AY112" s="565">
        <f t="shared" si="308"/>
        <v>0</v>
      </c>
      <c r="AZ112" s="565">
        <f t="shared" si="308"/>
        <v>0</v>
      </c>
      <c r="BA112" s="568">
        <f t="shared" si="309"/>
        <v>0</v>
      </c>
      <c r="BB112" s="556"/>
      <c r="BC112" s="565">
        <f t="shared" si="310"/>
        <v>0</v>
      </c>
      <c r="BD112" s="565">
        <f t="shared" si="311"/>
        <v>0</v>
      </c>
      <c r="BE112" s="565">
        <f t="shared" si="311"/>
        <v>0</v>
      </c>
      <c r="BF112" s="565">
        <f t="shared" si="311"/>
        <v>0</v>
      </c>
      <c r="BG112" s="568">
        <f t="shared" si="312"/>
        <v>0</v>
      </c>
      <c r="BH112" s="556"/>
      <c r="BI112" s="565">
        <f t="shared" si="313"/>
        <v>0</v>
      </c>
      <c r="BJ112" s="565">
        <f t="shared" si="314"/>
        <v>0</v>
      </c>
      <c r="BK112" s="565">
        <f t="shared" si="314"/>
        <v>0</v>
      </c>
      <c r="BL112" s="565">
        <f t="shared" si="314"/>
        <v>0</v>
      </c>
      <c r="BM112" s="568">
        <f t="shared" si="315"/>
        <v>0</v>
      </c>
      <c r="BN112" s="556"/>
      <c r="BO112" s="565">
        <f t="shared" si="316"/>
        <v>0</v>
      </c>
      <c r="BP112" s="565">
        <f t="shared" si="317"/>
        <v>0</v>
      </c>
      <c r="BQ112" s="565">
        <f t="shared" si="317"/>
        <v>0</v>
      </c>
      <c r="BR112" s="565">
        <f t="shared" si="317"/>
        <v>0</v>
      </c>
      <c r="BS112" s="568">
        <f t="shared" si="318"/>
        <v>0</v>
      </c>
      <c r="BT112" s="556"/>
      <c r="BU112" s="565">
        <f t="shared" si="319"/>
        <v>0</v>
      </c>
      <c r="BV112" s="565">
        <f t="shared" si="351"/>
        <v>0</v>
      </c>
      <c r="BW112" s="565">
        <f t="shared" si="320"/>
        <v>0</v>
      </c>
      <c r="BX112" s="565">
        <f t="shared" si="321"/>
        <v>0</v>
      </c>
      <c r="BY112" s="568">
        <f t="shared" si="352"/>
        <v>0</v>
      </c>
      <c r="BZ112" s="556"/>
      <c r="CA112" s="565">
        <f t="shared" si="322"/>
        <v>0</v>
      </c>
      <c r="CB112" s="565">
        <f t="shared" si="323"/>
        <v>0</v>
      </c>
      <c r="CC112" s="565">
        <f t="shared" si="344"/>
        <v>0</v>
      </c>
      <c r="CD112" s="565">
        <f t="shared" si="324"/>
        <v>0</v>
      </c>
      <c r="CE112" s="568">
        <f t="shared" si="353"/>
        <v>0</v>
      </c>
      <c r="CF112" s="556"/>
      <c r="CG112" s="565">
        <f t="shared" si="345"/>
        <v>0</v>
      </c>
      <c r="CH112" s="565">
        <f t="shared" si="325"/>
        <v>0</v>
      </c>
      <c r="CI112" s="565">
        <f t="shared" si="326"/>
        <v>0</v>
      </c>
      <c r="CJ112" s="565">
        <f t="shared" si="327"/>
        <v>0</v>
      </c>
      <c r="CK112" s="568">
        <f t="shared" si="354"/>
        <v>0</v>
      </c>
      <c r="CL112" s="556"/>
      <c r="CM112" s="565">
        <f t="shared" si="328"/>
        <v>0</v>
      </c>
      <c r="CN112" s="565">
        <f t="shared" si="329"/>
        <v>0</v>
      </c>
      <c r="CO112" s="565">
        <f t="shared" si="330"/>
        <v>0</v>
      </c>
      <c r="CP112" s="565">
        <f t="shared" si="331"/>
        <v>0</v>
      </c>
      <c r="CQ112" s="568">
        <f t="shared" si="355"/>
        <v>0</v>
      </c>
      <c r="CR112" s="556"/>
      <c r="CS112" s="565">
        <f t="shared" si="346"/>
        <v>0</v>
      </c>
      <c r="CT112" s="565">
        <f t="shared" si="332"/>
        <v>0</v>
      </c>
      <c r="CU112" s="565">
        <f t="shared" si="333"/>
        <v>0</v>
      </c>
      <c r="CV112" s="565">
        <f t="shared" si="334"/>
        <v>0</v>
      </c>
      <c r="CW112" s="568">
        <f t="shared" si="356"/>
        <v>0</v>
      </c>
      <c r="CX112" s="556"/>
      <c r="CY112" s="565">
        <f t="shared" si="347"/>
        <v>0</v>
      </c>
      <c r="CZ112" s="565">
        <f t="shared" si="335"/>
        <v>0</v>
      </c>
      <c r="DA112" s="565">
        <f t="shared" si="336"/>
        <v>0</v>
      </c>
      <c r="DB112" s="565">
        <f t="shared" si="337"/>
        <v>0</v>
      </c>
      <c r="DC112" s="568">
        <f t="shared" si="357"/>
        <v>0</v>
      </c>
      <c r="DD112" s="556"/>
      <c r="DE112" s="565">
        <f t="shared" si="348"/>
        <v>0</v>
      </c>
      <c r="DF112" s="565">
        <f t="shared" si="338"/>
        <v>0</v>
      </c>
      <c r="DG112" s="565">
        <f t="shared" si="339"/>
        <v>0</v>
      </c>
      <c r="DH112" s="565">
        <f t="shared" si="340"/>
        <v>0</v>
      </c>
      <c r="DI112" s="568">
        <f t="shared" si="358"/>
        <v>0</v>
      </c>
      <c r="DJ112" s="556"/>
      <c r="DK112" s="565">
        <f t="shared" si="349"/>
        <v>0</v>
      </c>
      <c r="DL112" s="565">
        <f t="shared" si="341"/>
        <v>0</v>
      </c>
      <c r="DM112" s="565">
        <f t="shared" si="342"/>
        <v>0</v>
      </c>
      <c r="DN112" s="565">
        <f t="shared" si="343"/>
        <v>0</v>
      </c>
      <c r="DO112" s="568">
        <f t="shared" si="359"/>
        <v>0</v>
      </c>
      <c r="DP112" s="1698"/>
      <c r="DQ112" s="956"/>
      <c r="DR112" s="956"/>
    </row>
    <row r="113" spans="1:122" ht="10.5" customHeight="1">
      <c r="A113" s="555" t="s">
        <v>820</v>
      </c>
      <c r="B113" s="584"/>
      <c r="C113" s="565">
        <v>0</v>
      </c>
      <c r="D113" s="565">
        <v>0</v>
      </c>
      <c r="E113" s="565">
        <v>0</v>
      </c>
      <c r="F113" s="584"/>
      <c r="G113" s="565">
        <v>0</v>
      </c>
      <c r="H113" s="565">
        <v>0</v>
      </c>
      <c r="I113" s="565">
        <v>0</v>
      </c>
      <c r="J113" s="565">
        <v>0</v>
      </c>
      <c r="K113" s="565">
        <f t="shared" si="290"/>
        <v>0</v>
      </c>
      <c r="L113" s="556"/>
      <c r="M113" s="565">
        <v>0</v>
      </c>
      <c r="N113" s="565">
        <v>0</v>
      </c>
      <c r="O113" s="565">
        <v>0</v>
      </c>
      <c r="P113" s="565">
        <v>0</v>
      </c>
      <c r="Q113" s="565">
        <f t="shared" si="291"/>
        <v>0</v>
      </c>
      <c r="R113" s="556"/>
      <c r="S113" s="565">
        <v>0</v>
      </c>
      <c r="T113" s="565">
        <f t="shared" si="360"/>
        <v>0</v>
      </c>
      <c r="U113" s="565">
        <f t="shared" si="360"/>
        <v>0</v>
      </c>
      <c r="V113" s="565">
        <f t="shared" si="360"/>
        <v>0</v>
      </c>
      <c r="W113" s="565">
        <f t="shared" si="293"/>
        <v>0</v>
      </c>
      <c r="X113" s="556"/>
      <c r="Y113" s="565">
        <f t="shared" si="294"/>
        <v>0</v>
      </c>
      <c r="Z113" s="565">
        <f t="shared" si="295"/>
        <v>0</v>
      </c>
      <c r="AA113" s="565">
        <f t="shared" si="295"/>
        <v>0</v>
      </c>
      <c r="AB113" s="565">
        <f t="shared" si="295"/>
        <v>0</v>
      </c>
      <c r="AC113" s="565">
        <f t="shared" si="296"/>
        <v>0</v>
      </c>
      <c r="AD113" s="556"/>
      <c r="AE113" s="565">
        <f t="shared" si="297"/>
        <v>0</v>
      </c>
      <c r="AF113" s="565">
        <f t="shared" si="298"/>
        <v>0</v>
      </c>
      <c r="AG113" s="565">
        <f t="shared" si="350"/>
        <v>0</v>
      </c>
      <c r="AH113" s="565">
        <f t="shared" si="299"/>
        <v>0</v>
      </c>
      <c r="AI113" s="568">
        <f t="shared" si="300"/>
        <v>0</v>
      </c>
      <c r="AJ113" s="556"/>
      <c r="AK113" s="565">
        <f t="shared" si="301"/>
        <v>0</v>
      </c>
      <c r="AL113" s="565">
        <f t="shared" si="302"/>
        <v>0</v>
      </c>
      <c r="AM113" s="565">
        <f t="shared" si="302"/>
        <v>0</v>
      </c>
      <c r="AN113" s="565">
        <f t="shared" si="302"/>
        <v>0</v>
      </c>
      <c r="AO113" s="568">
        <f t="shared" si="303"/>
        <v>0</v>
      </c>
      <c r="AP113" s="556"/>
      <c r="AQ113" s="565">
        <f t="shared" si="304"/>
        <v>0</v>
      </c>
      <c r="AR113" s="565">
        <f t="shared" si="305"/>
        <v>0</v>
      </c>
      <c r="AS113" s="565">
        <f t="shared" si="305"/>
        <v>0</v>
      </c>
      <c r="AT113" s="565">
        <f t="shared" si="305"/>
        <v>0</v>
      </c>
      <c r="AU113" s="568">
        <f t="shared" si="306"/>
        <v>0</v>
      </c>
      <c r="AV113" s="556"/>
      <c r="AW113" s="565">
        <f t="shared" si="307"/>
        <v>0</v>
      </c>
      <c r="AX113" s="565">
        <f t="shared" si="308"/>
        <v>0</v>
      </c>
      <c r="AY113" s="565">
        <f t="shared" si="308"/>
        <v>0</v>
      </c>
      <c r="AZ113" s="565">
        <f t="shared" si="308"/>
        <v>0</v>
      </c>
      <c r="BA113" s="568">
        <f t="shared" si="309"/>
        <v>0</v>
      </c>
      <c r="BB113" s="556"/>
      <c r="BC113" s="565">
        <f t="shared" si="310"/>
        <v>0</v>
      </c>
      <c r="BD113" s="565">
        <f>IF(BC40="-","-",SUM(BD40)-SUM(BC40))</f>
        <v>-154.00299999999999</v>
      </c>
      <c r="BE113" s="565">
        <f>-3.834</f>
        <v>-3.8340000000000001</v>
      </c>
      <c r="BF113" s="565">
        <f>IF(BE40="-","-",SUM(BF40)-SUM(BE40))</f>
        <v>-247.99400000000003</v>
      </c>
      <c r="BG113" s="568">
        <f t="shared" si="312"/>
        <v>-405.83100000000002</v>
      </c>
      <c r="BH113" s="556"/>
      <c r="BI113" s="565">
        <f t="shared" si="313"/>
        <v>-5.4329999999999998</v>
      </c>
      <c r="BJ113" s="565">
        <f>IF(BI40="-","-",SUM(BJ40)-SUM(BI40))</f>
        <v>-293.23700000000002</v>
      </c>
      <c r="BK113" s="565">
        <f>IF(BJ40="-","-",SUM(BK40)-SUM(BJ40))</f>
        <v>-66.115000000000009</v>
      </c>
      <c r="BL113" s="565">
        <f>IF(BK40="-","-",SUM(BL40)-SUM(BK40))</f>
        <v>-57.913999999999987</v>
      </c>
      <c r="BM113" s="568">
        <f t="shared" si="315"/>
        <v>-422.69900000000001</v>
      </c>
      <c r="BN113" s="556"/>
      <c r="BO113" s="565">
        <f t="shared" si="316"/>
        <v>-48.912999999999997</v>
      </c>
      <c r="BP113" s="565">
        <f>IF(BO40="-","-",SUM(BP40)-SUM(BO40))</f>
        <v>-10.078000000000003</v>
      </c>
      <c r="BQ113" s="565">
        <f>IF(BP40="-","-",SUM(BQ40)-SUM(BP40))</f>
        <v>-515.76</v>
      </c>
      <c r="BR113" s="565">
        <f>IF(BQ40="-","-",SUM(BR40)-SUM(BQ40))</f>
        <v>-4.9940000000000282</v>
      </c>
      <c r="BS113" s="568">
        <f t="shared" si="318"/>
        <v>-579.745</v>
      </c>
      <c r="BT113" s="556"/>
      <c r="BU113" s="565">
        <f t="shared" si="319"/>
        <v>-22.161000000000001</v>
      </c>
      <c r="BV113" s="565">
        <f>IF(BU40="-","-",SUM(BV40)-SUM(BU40))</f>
        <v>-2592.5709999999999</v>
      </c>
      <c r="BW113" s="565">
        <f t="shared" si="320"/>
        <v>0</v>
      </c>
      <c r="BX113" s="565">
        <f t="shared" si="321"/>
        <v>-2.5700000000001637</v>
      </c>
      <c r="BY113" s="568">
        <f t="shared" si="352"/>
        <v>-2617.3020000000001</v>
      </c>
      <c r="BZ113" s="556"/>
      <c r="CA113" s="565">
        <f t="shared" si="322"/>
        <v>0</v>
      </c>
      <c r="CB113" s="565">
        <f t="shared" si="323"/>
        <v>0</v>
      </c>
      <c r="CC113" s="565">
        <f t="shared" si="344"/>
        <v>38.070999999999998</v>
      </c>
      <c r="CD113" s="565">
        <f t="shared" si="324"/>
        <v>0</v>
      </c>
      <c r="CE113" s="568">
        <f t="shared" si="353"/>
        <v>38.070999999999998</v>
      </c>
      <c r="CF113" s="556"/>
      <c r="CG113" s="565">
        <f t="shared" si="345"/>
        <v>-12.47</v>
      </c>
      <c r="CH113" s="565">
        <f t="shared" si="325"/>
        <v>-18.451000000000001</v>
      </c>
      <c r="CI113" s="565">
        <f t="shared" si="326"/>
        <v>-27.759</v>
      </c>
      <c r="CJ113" s="565">
        <f t="shared" si="327"/>
        <v>0</v>
      </c>
      <c r="CK113" s="568">
        <f t="shared" si="354"/>
        <v>-58.68</v>
      </c>
      <c r="CL113" s="556"/>
      <c r="CM113" s="565">
        <f>CM40</f>
        <v>-1.7989999999999999</v>
      </c>
      <c r="CN113" s="565">
        <f t="shared" si="329"/>
        <v>-2798.194</v>
      </c>
      <c r="CO113" s="565">
        <f t="shared" si="330"/>
        <v>-32.117000000000189</v>
      </c>
      <c r="CP113" s="565">
        <f t="shared" si="331"/>
        <v>-360.62899999999991</v>
      </c>
      <c r="CQ113" s="568">
        <f t="shared" si="355"/>
        <v>-3192.739</v>
      </c>
      <c r="CR113" s="556"/>
      <c r="CS113" s="565">
        <f t="shared" si="346"/>
        <v>-19.780999999999999</v>
      </c>
      <c r="CT113" s="565">
        <f t="shared" si="332"/>
        <v>0</v>
      </c>
      <c r="CU113" s="565">
        <f t="shared" si="333"/>
        <v>0</v>
      </c>
      <c r="CV113" s="565">
        <f t="shared" si="334"/>
        <v>-5.6099999999999994</v>
      </c>
      <c r="CW113" s="568">
        <f t="shared" si="356"/>
        <v>-25.390999999999998</v>
      </c>
      <c r="CX113" s="556"/>
      <c r="CY113" s="565">
        <f t="shared" si="347"/>
        <v>0</v>
      </c>
      <c r="CZ113" s="565">
        <f t="shared" si="335"/>
        <v>0</v>
      </c>
      <c r="DA113" s="565">
        <f t="shared" si="336"/>
        <v>0</v>
      </c>
      <c r="DB113" s="565">
        <f t="shared" si="337"/>
        <v>0</v>
      </c>
      <c r="DC113" s="568">
        <f t="shared" si="357"/>
        <v>0</v>
      </c>
      <c r="DD113" s="556"/>
      <c r="DE113" s="565">
        <f t="shared" si="348"/>
        <v>0</v>
      </c>
      <c r="DF113" s="565">
        <f t="shared" si="338"/>
        <v>0</v>
      </c>
      <c r="DG113" s="565">
        <f t="shared" si="339"/>
        <v>0</v>
      </c>
      <c r="DH113" s="565">
        <f t="shared" si="340"/>
        <v>0</v>
      </c>
      <c r="DI113" s="568">
        <f t="shared" si="358"/>
        <v>0</v>
      </c>
      <c r="DJ113" s="556"/>
      <c r="DK113" s="565">
        <f t="shared" si="349"/>
        <v>0</v>
      </c>
      <c r="DL113" s="565">
        <f t="shared" si="341"/>
        <v>0</v>
      </c>
      <c r="DM113" s="565">
        <f t="shared" si="342"/>
        <v>0</v>
      </c>
      <c r="DN113" s="565">
        <f t="shared" si="343"/>
        <v>0</v>
      </c>
      <c r="DO113" s="568">
        <f t="shared" si="359"/>
        <v>0</v>
      </c>
      <c r="DP113" s="1698"/>
      <c r="DQ113" s="956"/>
      <c r="DR113" s="956"/>
    </row>
    <row r="114" spans="1:122" ht="10.5" customHeight="1">
      <c r="A114" s="555" t="s">
        <v>324</v>
      </c>
      <c r="B114" s="584"/>
      <c r="C114" s="565">
        <v>0</v>
      </c>
      <c r="D114" s="565">
        <v>0</v>
      </c>
      <c r="E114" s="565">
        <v>0</v>
      </c>
      <c r="F114" s="584"/>
      <c r="G114" s="565">
        <v>0</v>
      </c>
      <c r="H114" s="565">
        <v>0</v>
      </c>
      <c r="I114" s="565">
        <v>0</v>
      </c>
      <c r="J114" s="565">
        <v>0</v>
      </c>
      <c r="K114" s="565">
        <f t="shared" si="290"/>
        <v>0</v>
      </c>
      <c r="L114" s="556"/>
      <c r="M114" s="565">
        <v>0</v>
      </c>
      <c r="N114" s="565">
        <v>0</v>
      </c>
      <c r="O114" s="565">
        <v>0</v>
      </c>
      <c r="P114" s="565">
        <v>0</v>
      </c>
      <c r="Q114" s="565">
        <f t="shared" si="291"/>
        <v>0</v>
      </c>
      <c r="R114" s="556"/>
      <c r="S114" s="565">
        <v>0</v>
      </c>
      <c r="T114" s="565">
        <f t="shared" si="360"/>
        <v>0.754</v>
      </c>
      <c r="U114" s="565">
        <f t="shared" si="360"/>
        <v>0.23099999999999998</v>
      </c>
      <c r="V114" s="565">
        <f t="shared" si="360"/>
        <v>-0.26400000000000001</v>
      </c>
      <c r="W114" s="565">
        <f t="shared" si="293"/>
        <v>0.72099999999999997</v>
      </c>
      <c r="X114" s="584"/>
      <c r="Y114" s="565">
        <f t="shared" si="294"/>
        <v>0</v>
      </c>
      <c r="Z114" s="565">
        <f t="shared" si="295"/>
        <v>0</v>
      </c>
      <c r="AA114" s="565">
        <f t="shared" si="295"/>
        <v>3.1909999999999998</v>
      </c>
      <c r="AB114" s="565">
        <f t="shared" si="295"/>
        <v>0</v>
      </c>
      <c r="AC114" s="565">
        <f t="shared" si="296"/>
        <v>3.1909999999999998</v>
      </c>
      <c r="AD114" s="584"/>
      <c r="AE114" s="565">
        <f t="shared" si="297"/>
        <v>0</v>
      </c>
      <c r="AF114" s="565">
        <f t="shared" si="298"/>
        <v>0</v>
      </c>
      <c r="AG114" s="565">
        <f t="shared" si="350"/>
        <v>0</v>
      </c>
      <c r="AH114" s="565">
        <f t="shared" si="299"/>
        <v>-2.7770000000000001</v>
      </c>
      <c r="AI114" s="568">
        <f t="shared" si="300"/>
        <v>-2.7770000000000001</v>
      </c>
      <c r="AJ114" s="584"/>
      <c r="AK114" s="565">
        <f t="shared" si="301"/>
        <v>0</v>
      </c>
      <c r="AL114" s="565">
        <f t="shared" si="302"/>
        <v>0</v>
      </c>
      <c r="AM114" s="565">
        <f t="shared" si="302"/>
        <v>0</v>
      </c>
      <c r="AN114" s="565">
        <f t="shared" si="302"/>
        <v>0</v>
      </c>
      <c r="AO114" s="568">
        <f t="shared" si="303"/>
        <v>0</v>
      </c>
      <c r="AP114" s="584"/>
      <c r="AQ114" s="565">
        <f t="shared" si="304"/>
        <v>0</v>
      </c>
      <c r="AR114" s="565">
        <f t="shared" si="305"/>
        <v>0</v>
      </c>
      <c r="AS114" s="565">
        <f t="shared" si="305"/>
        <v>-16.693000000000001</v>
      </c>
      <c r="AT114" s="565">
        <f t="shared" si="305"/>
        <v>-4.9289999999999985</v>
      </c>
      <c r="AU114" s="568">
        <f t="shared" si="306"/>
        <v>-21.622</v>
      </c>
      <c r="AV114" s="584"/>
      <c r="AW114" s="565">
        <f t="shared" si="307"/>
        <v>0</v>
      </c>
      <c r="AX114" s="565">
        <f t="shared" si="308"/>
        <v>0</v>
      </c>
      <c r="AY114" s="565">
        <f t="shared" si="308"/>
        <v>0</v>
      </c>
      <c r="AZ114" s="565">
        <f t="shared" si="308"/>
        <v>0</v>
      </c>
      <c r="BA114" s="568">
        <f t="shared" si="309"/>
        <v>0</v>
      </c>
      <c r="BB114" s="584"/>
      <c r="BC114" s="565">
        <f t="shared" si="310"/>
        <v>-1.2729999999999999</v>
      </c>
      <c r="BD114" s="565">
        <f>IF(BC41="-","-",SUM(BD41)-SUM(BC41))</f>
        <v>0</v>
      </c>
      <c r="BE114" s="565">
        <f>-4</f>
        <v>-4</v>
      </c>
      <c r="BF114" s="565">
        <f>IF(BE41="-","-",SUM(BF41)-SUM(BE41))</f>
        <v>-13.605</v>
      </c>
      <c r="BG114" s="568">
        <f t="shared" si="312"/>
        <v>-18.878</v>
      </c>
      <c r="BH114" s="584"/>
      <c r="BI114" s="565">
        <f t="shared" si="313"/>
        <v>0</v>
      </c>
      <c r="BJ114" s="565">
        <f>IF(BI41="-","-",SUM(BJ41)-SUM(BI41))</f>
        <v>0</v>
      </c>
      <c r="BK114" s="565">
        <f t="shared" si="314"/>
        <v>0</v>
      </c>
      <c r="BL114" s="565">
        <f t="shared" si="314"/>
        <v>0</v>
      </c>
      <c r="BM114" s="568">
        <f t="shared" si="315"/>
        <v>0</v>
      </c>
      <c r="BN114" s="584"/>
      <c r="BO114" s="565">
        <f t="shared" si="316"/>
        <v>-2.665</v>
      </c>
      <c r="BP114" s="565">
        <f t="shared" si="317"/>
        <v>-1.129</v>
      </c>
      <c r="BQ114" s="565">
        <f t="shared" si="317"/>
        <v>3.794</v>
      </c>
      <c r="BR114" s="565">
        <f t="shared" si="317"/>
        <v>0</v>
      </c>
      <c r="BS114" s="568">
        <f t="shared" si="318"/>
        <v>0</v>
      </c>
      <c r="BT114" s="584"/>
      <c r="BU114" s="565">
        <f t="shared" si="319"/>
        <v>0</v>
      </c>
      <c r="BV114" s="565">
        <f t="shared" si="351"/>
        <v>0</v>
      </c>
      <c r="BW114" s="565">
        <f t="shared" si="320"/>
        <v>0</v>
      </c>
      <c r="BX114" s="565">
        <f t="shared" si="321"/>
        <v>0</v>
      </c>
      <c r="BY114" s="568">
        <f t="shared" si="352"/>
        <v>0</v>
      </c>
      <c r="BZ114" s="584"/>
      <c r="CA114" s="565">
        <f t="shared" si="322"/>
        <v>0</v>
      </c>
      <c r="CB114" s="565">
        <f t="shared" si="323"/>
        <v>0</v>
      </c>
      <c r="CC114" s="565">
        <f t="shared" si="344"/>
        <v>0</v>
      </c>
      <c r="CD114" s="565">
        <f t="shared" si="324"/>
        <v>0</v>
      </c>
      <c r="CE114" s="568">
        <f t="shared" si="353"/>
        <v>0</v>
      </c>
      <c r="CF114" s="584"/>
      <c r="CG114" s="565">
        <f t="shared" si="345"/>
        <v>0</v>
      </c>
      <c r="CH114" s="565">
        <f t="shared" si="325"/>
        <v>0</v>
      </c>
      <c r="CI114" s="565">
        <f t="shared" si="326"/>
        <v>0</v>
      </c>
      <c r="CJ114" s="565">
        <f t="shared" si="327"/>
        <v>0</v>
      </c>
      <c r="CK114" s="568">
        <f t="shared" si="354"/>
        <v>0</v>
      </c>
      <c r="CL114" s="584"/>
      <c r="CM114" s="565">
        <f t="shared" si="328"/>
        <v>0</v>
      </c>
      <c r="CN114" s="565">
        <f t="shared" si="329"/>
        <v>0</v>
      </c>
      <c r="CO114" s="565">
        <f t="shared" si="330"/>
        <v>0</v>
      </c>
      <c r="CP114" s="565">
        <f t="shared" si="331"/>
        <v>0</v>
      </c>
      <c r="CQ114" s="568">
        <f t="shared" si="355"/>
        <v>0</v>
      </c>
      <c r="CR114" s="584"/>
      <c r="CS114" s="565">
        <f t="shared" si="346"/>
        <v>0</v>
      </c>
      <c r="CT114" s="565">
        <f t="shared" si="332"/>
        <v>0</v>
      </c>
      <c r="CU114" s="565">
        <f t="shared" si="333"/>
        <v>0</v>
      </c>
      <c r="CV114" s="565">
        <f t="shared" si="334"/>
        <v>0</v>
      </c>
      <c r="CW114" s="568">
        <f t="shared" si="356"/>
        <v>0</v>
      </c>
      <c r="CX114" s="584"/>
      <c r="CY114" s="565">
        <f t="shared" si="347"/>
        <v>-445.78171274379952</v>
      </c>
      <c r="CZ114" s="565">
        <f t="shared" si="335"/>
        <v>141.97947000746649</v>
      </c>
      <c r="DA114" s="565">
        <f t="shared" si="336"/>
        <v>154.28163484068205</v>
      </c>
      <c r="DB114" s="565">
        <f t="shared" si="337"/>
        <v>151.48496610181837</v>
      </c>
      <c r="DC114" s="568">
        <f t="shared" si="357"/>
        <v>1.9643582061673897</v>
      </c>
      <c r="DD114" s="584"/>
      <c r="DE114" s="565">
        <f t="shared" si="348"/>
        <v>-516.8809875064735</v>
      </c>
      <c r="DF114" s="565">
        <f t="shared" si="338"/>
        <v>188.50748255876874</v>
      </c>
      <c r="DG114" s="565">
        <f t="shared" si="339"/>
        <v>199.85428958383523</v>
      </c>
      <c r="DH114" s="565">
        <f t="shared" si="340"/>
        <v>196.00516257192294</v>
      </c>
      <c r="DI114" s="568">
        <f t="shared" si="358"/>
        <v>67.485947208053403</v>
      </c>
      <c r="DJ114" s="584"/>
      <c r="DK114" s="565">
        <f t="shared" si="349"/>
        <v>-604.53624912378064</v>
      </c>
      <c r="DL114" s="565">
        <f t="shared" si="341"/>
        <v>244.03764080897963</v>
      </c>
      <c r="DM114" s="565">
        <f t="shared" si="342"/>
        <v>257.51746951707264</v>
      </c>
      <c r="DN114" s="565">
        <f t="shared" si="343"/>
        <v>250.96624521313288</v>
      </c>
      <c r="DO114" s="568">
        <f t="shared" si="359"/>
        <v>147.98510641540452</v>
      </c>
      <c r="DP114" s="1698"/>
      <c r="DQ114" s="956"/>
      <c r="DR114" s="956"/>
    </row>
    <row r="115" spans="1:122" ht="10.5" customHeight="1">
      <c r="A115" s="416" t="s">
        <v>320</v>
      </c>
      <c r="B115" s="417"/>
      <c r="C115" s="418">
        <f>SUM(C107:C114)</f>
        <v>-1.262</v>
      </c>
      <c r="D115" s="418">
        <f>SUM(D107:D114)</f>
        <v>-9.3689999999999998</v>
      </c>
      <c r="E115" s="418">
        <f>SUM(E107:E114)</f>
        <v>-0.71299999999999997</v>
      </c>
      <c r="F115" s="405"/>
      <c r="G115" s="418">
        <f>SUM(G107:G114)</f>
        <v>-5.2539999999999996</v>
      </c>
      <c r="H115" s="418">
        <f>SUM(H107:H114)</f>
        <v>-0.72700000000000009</v>
      </c>
      <c r="I115" s="418">
        <f>SUM(I107:I114)</f>
        <v>-0.72199999999999953</v>
      </c>
      <c r="J115" s="418">
        <f>SUM(J107:J114)</f>
        <v>-2.8520000000000003</v>
      </c>
      <c r="K115" s="418">
        <f>SUM(K107:K114)</f>
        <v>-9.5549999999999997</v>
      </c>
      <c r="L115" s="417"/>
      <c r="M115" s="418">
        <f>SUM(M107:M114)</f>
        <v>-8.4439999999999991</v>
      </c>
      <c r="N115" s="418">
        <f>SUM(N107:N114)</f>
        <v>-2.7519999999999998</v>
      </c>
      <c r="O115" s="418">
        <f>SUM(O107:O114)</f>
        <v>-7.1640000000000015</v>
      </c>
      <c r="P115" s="418">
        <f>SUM(P107:P114)</f>
        <v>-2.7839999999999989</v>
      </c>
      <c r="Q115" s="405">
        <f>SUM(Q107:Q114)</f>
        <v>-21.143999999999998</v>
      </c>
      <c r="R115" s="405"/>
      <c r="S115" s="405">
        <f>SUM(S107:S114)</f>
        <v>-13.107999999999997</v>
      </c>
      <c r="T115" s="405">
        <f>SUM(T107:T114)</f>
        <v>-73.084999999999994</v>
      </c>
      <c r="U115" s="405">
        <f>SUM(U107:U114)</f>
        <v>-51.773999999999987</v>
      </c>
      <c r="V115" s="405">
        <f>SUM(V107:V114)</f>
        <v>-11.232000000000003</v>
      </c>
      <c r="W115" s="405">
        <f>SUM(W107:W114)</f>
        <v>-149.19899999999998</v>
      </c>
      <c r="X115" s="405"/>
      <c r="Y115" s="405">
        <f>SUM(Y107:Y114)</f>
        <v>-15.765999999999991</v>
      </c>
      <c r="Z115" s="405">
        <f>SUM(Z107:Z114)</f>
        <v>-34.912000000000006</v>
      </c>
      <c r="AA115" s="405">
        <f>SUM(AA107:AA114)</f>
        <v>35.766000000000005</v>
      </c>
      <c r="AB115" s="405">
        <f>SUM(AB107:AB114)</f>
        <v>-32.893000000000001</v>
      </c>
      <c r="AC115" s="405">
        <f>SUM(AC107:AC114)</f>
        <v>-47.804999999999978</v>
      </c>
      <c r="AD115" s="405"/>
      <c r="AE115" s="405">
        <f>SUM(AE107:AE114)</f>
        <v>9.1109999999999971</v>
      </c>
      <c r="AF115" s="405">
        <f>SUM(AF107:AF114)</f>
        <v>-16.968999999999998</v>
      </c>
      <c r="AG115" s="405">
        <f>SUM(AG107:AG114)</f>
        <v>-125.29400000000001</v>
      </c>
      <c r="AH115" s="405">
        <f>SUM(AH107:AH114)</f>
        <v>-35.444000000000017</v>
      </c>
      <c r="AI115" s="406">
        <f>SUM(AI107:AI114)</f>
        <v>-168.596</v>
      </c>
      <c r="AJ115" s="405"/>
      <c r="AK115" s="405">
        <f>SUM(AK107:AK114)</f>
        <v>-50.169000000000004</v>
      </c>
      <c r="AL115" s="405">
        <f>SUM(AL107:AL114)</f>
        <v>-23.838999999999999</v>
      </c>
      <c r="AM115" s="405">
        <f>SUM(AM107:AM114)</f>
        <v>-42.603000000000002</v>
      </c>
      <c r="AN115" s="405">
        <f>SUM(AN107:AN114)</f>
        <v>13.902000000000001</v>
      </c>
      <c r="AO115" s="406">
        <f>SUM(AO107:AO114)</f>
        <v>-102.70899999999999</v>
      </c>
      <c r="AP115" s="405"/>
      <c r="AQ115" s="405">
        <f>SUM(AQ107:AQ114)</f>
        <v>-7.6370000000000005</v>
      </c>
      <c r="AR115" s="405">
        <f>SUM(AR107:AR114)</f>
        <v>-38.153999999999996</v>
      </c>
      <c r="AS115" s="405">
        <f>SUM(AS107:AS114)</f>
        <v>-85.914000000000001</v>
      </c>
      <c r="AT115" s="405">
        <f>SUM(AT107:AT114)</f>
        <v>10.708000000000006</v>
      </c>
      <c r="AU115" s="406">
        <f>SUM(AU107:AU114)</f>
        <v>-120.997</v>
      </c>
      <c r="AV115" s="405"/>
      <c r="AW115" s="405">
        <f>SUM(AW107:AW114)</f>
        <v>-256.06600000000003</v>
      </c>
      <c r="AX115" s="405">
        <f>SUM(AX107:AX114)</f>
        <v>-157.721</v>
      </c>
      <c r="AY115" s="405">
        <f>SUM(AY107:AY114)</f>
        <v>-59.831999999999994</v>
      </c>
      <c r="AZ115" s="405">
        <f>SUM(AZ107:AZ114)</f>
        <v>95.002999999999957</v>
      </c>
      <c r="BA115" s="406">
        <f>SUM(BA107:BA114)</f>
        <v>-378.61600000000004</v>
      </c>
      <c r="BB115" s="405"/>
      <c r="BC115" s="405">
        <f>SUM(BC107:BC114)</f>
        <v>-509.40600000000001</v>
      </c>
      <c r="BD115" s="405">
        <f>SUM(BD107:BD114)</f>
        <v>-415.36399999999998</v>
      </c>
      <c r="BE115" s="405">
        <f>SUM(BE107:BE114)</f>
        <v>243.71599999999998</v>
      </c>
      <c r="BF115" s="405">
        <f>SUM(BF107:BF114)</f>
        <v>-382.77300000000008</v>
      </c>
      <c r="BG115" s="406">
        <f>SUM(BG107:BG114)</f>
        <v>-1063.827</v>
      </c>
      <c r="BH115" s="405"/>
      <c r="BI115" s="405">
        <f>SUM(BI107:BI114)</f>
        <v>79.361999999999995</v>
      </c>
      <c r="BJ115" s="405">
        <f>SUM(BJ107:BJ114)</f>
        <v>-321.928</v>
      </c>
      <c r="BK115" s="405">
        <f>SUM(BK107:BK114)</f>
        <v>-89.787999999999997</v>
      </c>
      <c r="BL115" s="405">
        <f>SUM(BL107:BL114)</f>
        <v>-157.33600000000001</v>
      </c>
      <c r="BM115" s="406">
        <f>SUM(BM107:BM114)</f>
        <v>-489.69000000000005</v>
      </c>
      <c r="BN115" s="405"/>
      <c r="BO115" s="405">
        <f>SUM(BO107:BO114)</f>
        <v>-474.98700000000002</v>
      </c>
      <c r="BP115" s="405">
        <f>SUM(BP107:BP114)</f>
        <v>372.28599999999994</v>
      </c>
      <c r="BQ115" s="405">
        <f>SUM(BQ107:BQ114)</f>
        <v>-657.899</v>
      </c>
      <c r="BR115" s="405">
        <f>SUM(BR107:BR114)</f>
        <v>-178.31800000000001</v>
      </c>
      <c r="BS115" s="406">
        <f>SUM(BS107:BS114)</f>
        <v>-938.91799999999989</v>
      </c>
      <c r="BT115" s="405"/>
      <c r="BU115" s="405">
        <f>SUM(BU107:BU114)</f>
        <v>-219.27600000000001</v>
      </c>
      <c r="BV115" s="405">
        <f>SUM(BV107:BV114)</f>
        <v>-1855.3199999999997</v>
      </c>
      <c r="BW115" s="405">
        <f>SUM(BW107:BW114)</f>
        <v>-163.52200000000016</v>
      </c>
      <c r="BX115" s="405">
        <f>SUM(BX107:BX114)</f>
        <v>-193.43699999999993</v>
      </c>
      <c r="BY115" s="406">
        <f>SUM(BY107:BY114)</f>
        <v>-2431.5549999999998</v>
      </c>
      <c r="BZ115" s="405"/>
      <c r="CA115" s="405">
        <f>SUM(CA107:CA114)</f>
        <v>-210.37</v>
      </c>
      <c r="CB115" s="405">
        <f>SUM(CB107:CB114)</f>
        <v>-286.47600000000011</v>
      </c>
      <c r="CC115" s="405">
        <f>SUM(CC107:CC114)</f>
        <v>-56.265999999999877</v>
      </c>
      <c r="CD115" s="405">
        <f>SUM(CD107:CD114)</f>
        <v>-145.24799999999996</v>
      </c>
      <c r="CE115" s="406">
        <f>SUM(CE107:CE114)</f>
        <v>-698.3599999999999</v>
      </c>
      <c r="CF115" s="405"/>
      <c r="CG115" s="405">
        <f>SUM(CG107:CG114)</f>
        <v>-536.12300000000005</v>
      </c>
      <c r="CH115" s="405">
        <f>SUM(CH107:CH114)</f>
        <v>-233.77700000000002</v>
      </c>
      <c r="CI115" s="405">
        <f>SUM(CI107:CI114)</f>
        <v>-112.74599999999997</v>
      </c>
      <c r="CJ115" s="405">
        <f>SUM(CJ107:CJ114)</f>
        <v>-605.23200000000008</v>
      </c>
      <c r="CK115" s="406">
        <f>SUM(CK107:CK114)</f>
        <v>-1487.8780000000002</v>
      </c>
      <c r="CL115" s="405"/>
      <c r="CM115" s="405">
        <f>SUM(CM107:CM114)</f>
        <v>-450.27800000000002</v>
      </c>
      <c r="CN115" s="405">
        <f>SUM(CN107:CN114)</f>
        <v>-1542.432</v>
      </c>
      <c r="CO115" s="405">
        <f>SUM(CO107:CO114)</f>
        <v>-193.78400000000019</v>
      </c>
      <c r="CP115" s="405">
        <f>SUM(CP107:CP114)</f>
        <v>-497.84700000000009</v>
      </c>
      <c r="CQ115" s="406">
        <f>SUM(CQ107:CQ114)</f>
        <v>-2684.3410000000003</v>
      </c>
      <c r="CR115" s="405"/>
      <c r="CS115" s="405">
        <f>SUM(CS107:CS114)</f>
        <v>-767.71499999999992</v>
      </c>
      <c r="CT115" s="405">
        <f>SUM(CT107:CT114)</f>
        <v>-523.63099999999997</v>
      </c>
      <c r="CU115" s="405">
        <f>SUM(CU107:CU114)</f>
        <v>-135.27400000000017</v>
      </c>
      <c r="CV115" s="405">
        <f>SUM(CV107:CV114)</f>
        <v>-583.88199999999972</v>
      </c>
      <c r="CW115" s="406">
        <f>SUM(CW107:CW114)</f>
        <v>-2010.502</v>
      </c>
      <c r="CX115" s="405"/>
      <c r="CY115" s="405">
        <f>SUM(CY107:CY114)</f>
        <v>-602.97456027331737</v>
      </c>
      <c r="CZ115" s="405">
        <f>SUM(CZ107:CZ114)</f>
        <v>23.790285818086033</v>
      </c>
      <c r="DA115" s="405">
        <f>SUM(DA107:DA114)</f>
        <v>59.404392416960491</v>
      </c>
      <c r="DB115" s="405">
        <f>SUM(DB107:DB114)</f>
        <v>28.202743563165768</v>
      </c>
      <c r="DC115" s="406">
        <f>SUM(DC107:DC114)</f>
        <v>-491.57713847510513</v>
      </c>
      <c r="DD115" s="405"/>
      <c r="DE115" s="405">
        <f>SUM(DE107:DE114)</f>
        <v>-687.78884564533814</v>
      </c>
      <c r="DF115" s="405">
        <f>SUM(DF107:DF114)</f>
        <v>46.326364284225519</v>
      </c>
      <c r="DG115" s="405">
        <f>SUM(DG107:DG114)</f>
        <v>85.711494112748198</v>
      </c>
      <c r="DH115" s="405">
        <f>SUM(DH107:DH114)</f>
        <v>48.573944185425887</v>
      </c>
      <c r="DI115" s="406">
        <f>SUM(DI107:DI114)</f>
        <v>-507.17704306293854</v>
      </c>
      <c r="DJ115" s="405"/>
      <c r="DK115" s="405">
        <f>SUM(DK107:DK114)</f>
        <v>-766.31466717206149</v>
      </c>
      <c r="DL115" s="405">
        <f>SUM(DL107:DL114)</f>
        <v>74.246685688068851</v>
      </c>
      <c r="DM115" s="405">
        <f>SUM(DM107:DM114)</f>
        <v>121.35049331933919</v>
      </c>
      <c r="DN115" s="405">
        <f>SUM(DN107:DN114)</f>
        <v>50.877831798749298</v>
      </c>
      <c r="DO115" s="406">
        <f>SUM(DO107:DO114)</f>
        <v>-519.83965636590415</v>
      </c>
      <c r="DP115" s="960"/>
      <c r="DQ115" s="960"/>
      <c r="DR115" s="960"/>
    </row>
    <row r="116" spans="1:122" ht="5.25" customHeight="1">
      <c r="A116" s="560"/>
      <c r="B116" s="584"/>
      <c r="C116" s="594"/>
      <c r="D116" s="594"/>
      <c r="E116" s="594"/>
      <c r="F116" s="594"/>
      <c r="G116" s="594"/>
      <c r="H116" s="594"/>
      <c r="I116" s="594"/>
      <c r="J116" s="594"/>
      <c r="K116" s="594"/>
      <c r="L116" s="594"/>
      <c r="M116" s="560"/>
      <c r="N116" s="560"/>
      <c r="O116" s="560"/>
      <c r="P116" s="560"/>
      <c r="Q116" s="560"/>
      <c r="R116" s="560"/>
      <c r="S116" s="562"/>
      <c r="T116" s="613"/>
      <c r="U116" s="560"/>
      <c r="V116" s="560"/>
      <c r="W116" s="560"/>
      <c r="X116" s="560"/>
      <c r="Y116" s="560"/>
      <c r="Z116" s="560"/>
      <c r="AA116" s="560"/>
      <c r="AB116" s="560"/>
      <c r="AC116" s="560"/>
      <c r="AD116" s="560"/>
      <c r="AE116" s="560"/>
      <c r="AF116" s="560"/>
      <c r="AG116" s="560"/>
      <c r="AH116" s="560"/>
      <c r="AI116" s="595"/>
      <c r="AJ116" s="560"/>
      <c r="AK116" s="560"/>
      <c r="AL116" s="560"/>
      <c r="AM116" s="560"/>
      <c r="AN116" s="560"/>
      <c r="AO116" s="595"/>
      <c r="AP116" s="560"/>
      <c r="AQ116" s="560"/>
      <c r="AR116" s="560"/>
      <c r="AS116" s="560"/>
      <c r="AT116" s="560"/>
      <c r="AU116" s="595"/>
      <c r="AV116" s="560"/>
      <c r="AW116" s="560"/>
      <c r="AX116" s="560"/>
      <c r="AY116" s="560"/>
      <c r="AZ116" s="560"/>
      <c r="BA116" s="595"/>
      <c r="BB116" s="560"/>
      <c r="BC116" s="560"/>
      <c r="BD116" s="560"/>
      <c r="BE116" s="560"/>
      <c r="BF116" s="560"/>
      <c r="BG116" s="595"/>
      <c r="BH116" s="560"/>
      <c r="BI116" s="560"/>
      <c r="BJ116" s="560"/>
      <c r="BK116" s="560"/>
      <c r="BL116" s="560"/>
      <c r="BM116" s="595"/>
      <c r="BN116" s="560"/>
      <c r="BO116" s="560"/>
      <c r="BP116" s="560"/>
      <c r="BQ116" s="560"/>
      <c r="BR116" s="560"/>
      <c r="BS116" s="595"/>
      <c r="BT116" s="560"/>
      <c r="BU116" s="560"/>
      <c r="BV116" s="560"/>
      <c r="BW116" s="560"/>
      <c r="BX116" s="560"/>
      <c r="BY116" s="595"/>
      <c r="BZ116" s="560"/>
      <c r="CA116" s="560"/>
      <c r="CB116" s="560"/>
      <c r="CC116" s="560"/>
      <c r="CD116" s="560"/>
      <c r="CE116" s="595"/>
      <c r="CF116" s="560"/>
      <c r="CG116" s="560"/>
      <c r="CH116" s="560"/>
      <c r="CI116" s="560"/>
      <c r="CJ116" s="560"/>
      <c r="CK116" s="595"/>
      <c r="CL116" s="560"/>
      <c r="CM116" s="560"/>
      <c r="CN116" s="560"/>
      <c r="CO116" s="560"/>
      <c r="CP116" s="560"/>
      <c r="CQ116" s="595"/>
      <c r="CR116" s="560"/>
      <c r="CS116" s="560"/>
      <c r="CT116" s="560"/>
      <c r="CU116" s="560"/>
      <c r="CV116" s="560"/>
      <c r="CW116" s="595"/>
      <c r="CX116" s="560"/>
      <c r="CY116" s="560"/>
      <c r="CZ116" s="560"/>
      <c r="DA116" s="560"/>
      <c r="DB116" s="560"/>
      <c r="DC116" s="595"/>
      <c r="DD116" s="560"/>
      <c r="DE116" s="560"/>
      <c r="DF116" s="560"/>
      <c r="DG116" s="560"/>
      <c r="DH116" s="560"/>
      <c r="DI116" s="595"/>
      <c r="DJ116" s="560"/>
      <c r="DK116" s="560"/>
      <c r="DL116" s="560"/>
      <c r="DM116" s="560"/>
      <c r="DN116" s="560"/>
      <c r="DO116" s="595"/>
      <c r="DP116" s="1701"/>
      <c r="DQ116" s="1219"/>
      <c r="DR116" s="1219"/>
    </row>
    <row r="117" spans="1:122" ht="10.5" customHeight="1">
      <c r="A117" s="550" t="s">
        <v>253</v>
      </c>
      <c r="B117" s="584"/>
      <c r="C117" s="605"/>
      <c r="D117" s="605"/>
      <c r="E117" s="605"/>
      <c r="F117" s="584"/>
      <c r="G117" s="584"/>
      <c r="H117" s="584"/>
      <c r="I117" s="584"/>
      <c r="J117" s="584"/>
      <c r="K117" s="605"/>
      <c r="L117" s="584"/>
      <c r="M117" s="584"/>
      <c r="N117" s="584"/>
      <c r="O117" s="584"/>
      <c r="P117" s="584"/>
      <c r="Q117" s="600"/>
      <c r="R117" s="584"/>
      <c r="S117" s="556"/>
      <c r="T117" s="1573"/>
      <c r="U117" s="584"/>
      <c r="V117" s="584"/>
      <c r="W117" s="600"/>
      <c r="X117" s="584"/>
      <c r="Y117" s="584"/>
      <c r="Z117" s="584"/>
      <c r="AA117" s="584"/>
      <c r="AB117" s="584"/>
      <c r="AC117" s="600"/>
      <c r="AD117" s="584"/>
      <c r="AE117" s="584"/>
      <c r="AF117" s="584"/>
      <c r="AG117" s="584"/>
      <c r="AH117" s="584"/>
      <c r="AI117" s="601"/>
      <c r="AJ117" s="584"/>
      <c r="AK117" s="584"/>
      <c r="AL117" s="584"/>
      <c r="AM117" s="584"/>
      <c r="AN117" s="584"/>
      <c r="AO117" s="602"/>
      <c r="AP117" s="584"/>
      <c r="AQ117" s="584"/>
      <c r="AR117" s="584"/>
      <c r="AS117" s="584"/>
      <c r="AT117" s="584"/>
      <c r="AU117" s="601"/>
      <c r="AV117" s="584"/>
      <c r="AW117" s="584"/>
      <c r="AX117" s="584"/>
      <c r="AY117" s="584"/>
      <c r="AZ117" s="584"/>
      <c r="BA117" s="601"/>
      <c r="BB117" s="584"/>
      <c r="BC117" s="584"/>
      <c r="BD117" s="584"/>
      <c r="BE117" s="584"/>
      <c r="BF117" s="584"/>
      <c r="BG117" s="601"/>
      <c r="BH117" s="584"/>
      <c r="BI117" s="584"/>
      <c r="BJ117" s="584"/>
      <c r="BK117" s="584"/>
      <c r="BL117" s="584"/>
      <c r="BM117" s="601"/>
      <c r="BN117" s="584"/>
      <c r="BO117" s="584"/>
      <c r="BP117" s="584"/>
      <c r="BQ117" s="584"/>
      <c r="BR117" s="584"/>
      <c r="BS117" s="601"/>
      <c r="BT117" s="584"/>
      <c r="BU117" s="584"/>
      <c r="BV117" s="584"/>
      <c r="BW117" s="584"/>
      <c r="BX117" s="584"/>
      <c r="BY117" s="601"/>
      <c r="BZ117" s="584"/>
      <c r="CA117" s="584"/>
      <c r="CB117" s="584"/>
      <c r="CC117" s="584"/>
      <c r="CD117" s="584"/>
      <c r="CE117" s="601"/>
      <c r="CF117" s="584"/>
      <c r="CG117" s="584"/>
      <c r="CH117" s="584"/>
      <c r="CI117" s="584"/>
      <c r="CJ117" s="584"/>
      <c r="CK117" s="601"/>
      <c r="CL117" s="584"/>
      <c r="CM117" s="584"/>
      <c r="CN117" s="584"/>
      <c r="CO117" s="584"/>
      <c r="CP117" s="584"/>
      <c r="CQ117" s="601"/>
      <c r="CR117" s="584"/>
      <c r="CS117" s="584"/>
      <c r="CT117" s="584"/>
      <c r="CU117" s="584"/>
      <c r="CV117" s="584"/>
      <c r="CW117" s="601"/>
      <c r="CX117" s="584"/>
      <c r="CY117" s="584"/>
      <c r="CZ117" s="584"/>
      <c r="DA117" s="584"/>
      <c r="DB117" s="584"/>
      <c r="DC117" s="601"/>
      <c r="DD117" s="584"/>
      <c r="DE117" s="584"/>
      <c r="DF117" s="584"/>
      <c r="DG117" s="584"/>
      <c r="DH117" s="584"/>
      <c r="DI117" s="601"/>
      <c r="DJ117" s="584"/>
      <c r="DK117" s="584"/>
      <c r="DL117" s="584"/>
      <c r="DM117" s="584"/>
      <c r="DN117" s="584"/>
      <c r="DO117" s="601"/>
      <c r="DP117" s="1698"/>
      <c r="DQ117" s="956"/>
      <c r="DR117" s="956"/>
    </row>
    <row r="118" spans="1:122" ht="10.5" customHeight="1">
      <c r="A118" s="555" t="s">
        <v>704</v>
      </c>
      <c r="B118" s="584"/>
      <c r="C118" s="565">
        <v>16.925000000000001</v>
      </c>
      <c r="D118" s="565">
        <v>44.222999999999999</v>
      </c>
      <c r="E118" s="565">
        <v>1.2849999999999999</v>
      </c>
      <c r="F118" s="584"/>
      <c r="G118" s="565">
        <v>0</v>
      </c>
      <c r="H118" s="565">
        <v>0</v>
      </c>
      <c r="I118" s="565">
        <v>0</v>
      </c>
      <c r="J118" s="565">
        <v>0</v>
      </c>
      <c r="K118" s="565">
        <f>SUM(G118:J118)</f>
        <v>0</v>
      </c>
      <c r="L118" s="556"/>
      <c r="M118" s="556">
        <v>0</v>
      </c>
      <c r="N118" s="556">
        <v>0</v>
      </c>
      <c r="O118" s="577">
        <v>0</v>
      </c>
      <c r="P118" s="556">
        <v>0</v>
      </c>
      <c r="Q118" s="565">
        <f>SUM(M118:P118)</f>
        <v>0</v>
      </c>
      <c r="R118" s="584"/>
      <c r="S118" s="565">
        <v>0</v>
      </c>
      <c r="T118" s="565">
        <f t="shared" ref="T118:V121" si="361">IF(S45="-","-",SUM(T45)-SUM(S45))</f>
        <v>0</v>
      </c>
      <c r="U118" s="565">
        <f t="shared" si="361"/>
        <v>0</v>
      </c>
      <c r="V118" s="565">
        <f t="shared" si="361"/>
        <v>0</v>
      </c>
      <c r="W118" s="565">
        <f>SUM(S118:V118)</f>
        <v>0</v>
      </c>
      <c r="X118" s="556"/>
      <c r="Y118" s="565">
        <f>Y45</f>
        <v>0</v>
      </c>
      <c r="Z118" s="565">
        <f t="shared" ref="Z118:AB121" si="362">IF(Y45="-","-",SUM(Z45)-SUM(Y45))</f>
        <v>0</v>
      </c>
      <c r="AA118" s="565">
        <f t="shared" si="362"/>
        <v>0</v>
      </c>
      <c r="AB118" s="565">
        <f t="shared" si="362"/>
        <v>0</v>
      </c>
      <c r="AC118" s="565">
        <f>SUM(Y118:AB118)</f>
        <v>0</v>
      </c>
      <c r="AD118" s="556"/>
      <c r="AE118" s="565">
        <f>AE45</f>
        <v>0</v>
      </c>
      <c r="AF118" s="565">
        <f t="shared" ref="AF118:AH121" si="363">IF(AE45="-","-",SUM(AF45)-SUM(AE45))</f>
        <v>0</v>
      </c>
      <c r="AG118" s="565">
        <f t="shared" si="363"/>
        <v>0</v>
      </c>
      <c r="AH118" s="565">
        <f t="shared" si="363"/>
        <v>0</v>
      </c>
      <c r="AI118" s="568">
        <f>SUM(AE118:AH118)</f>
        <v>0</v>
      </c>
      <c r="AJ118" s="556"/>
      <c r="AK118" s="565">
        <f>AK45</f>
        <v>0</v>
      </c>
      <c r="AL118" s="565">
        <f t="shared" ref="AL118:AN121" si="364">IF(AK45="-","-",SUM(AL45)-SUM(AK45))</f>
        <v>0</v>
      </c>
      <c r="AM118" s="565">
        <f t="shared" si="364"/>
        <v>0</v>
      </c>
      <c r="AN118" s="565">
        <f t="shared" si="364"/>
        <v>0</v>
      </c>
      <c r="AO118" s="568">
        <f>SUM(AK118:AN118)</f>
        <v>0</v>
      </c>
      <c r="AP118" s="556"/>
      <c r="AQ118" s="565">
        <f>AQ45</f>
        <v>0</v>
      </c>
      <c r="AR118" s="565">
        <f t="shared" ref="AR118:AT121" si="365">IF(AQ45="-","-",SUM(AR45)-SUM(AQ45))</f>
        <v>0</v>
      </c>
      <c r="AS118" s="565">
        <f t="shared" si="365"/>
        <v>0</v>
      </c>
      <c r="AT118" s="565">
        <f t="shared" si="365"/>
        <v>0</v>
      </c>
      <c r="AU118" s="568">
        <f>SUM(AQ118:AT118)</f>
        <v>0</v>
      </c>
      <c r="AV118" s="556"/>
      <c r="AW118" s="565">
        <f>AW45</f>
        <v>0</v>
      </c>
      <c r="AX118" s="565">
        <f t="shared" ref="AX118:AX128" si="366">IF(AW45="-","-",SUM(AX45)-SUM(AW45))</f>
        <v>0</v>
      </c>
      <c r="AY118" s="565">
        <f t="shared" ref="AY118:AY128" si="367">IF(AX45="-","-",SUM(AY45)-SUM(AX45))</f>
        <v>0</v>
      </c>
      <c r="AZ118" s="565">
        <f t="shared" ref="AZ118:AZ128" si="368">IF(AY45="-","-",SUM(AZ45)-SUM(AY45))</f>
        <v>0</v>
      </c>
      <c r="BA118" s="568">
        <f t="shared" ref="BA118:BA128" si="369">SUM(AW118:AZ118)</f>
        <v>0</v>
      </c>
      <c r="BB118" s="556"/>
      <c r="BC118" s="565">
        <f>BC45</f>
        <v>0</v>
      </c>
      <c r="BD118" s="565">
        <f t="shared" ref="BD118:BD128" si="370">IF(BC45="-","-",SUM(BD45)-SUM(BC45))</f>
        <v>0</v>
      </c>
      <c r="BE118" s="565">
        <f t="shared" ref="BE118:BE128" si="371">IF(BD45="-","-",SUM(BE45)-SUM(BD45))</f>
        <v>0</v>
      </c>
      <c r="BF118" s="565">
        <f t="shared" ref="BF118:BF128" si="372">IF(BE45="-","-",SUM(BF45)-SUM(BE45))</f>
        <v>0</v>
      </c>
      <c r="BG118" s="568">
        <f t="shared" ref="BG118:BG128" si="373">SUM(BC118:BF118)</f>
        <v>0</v>
      </c>
      <c r="BH118" s="556"/>
      <c r="BI118" s="565">
        <f>BI45</f>
        <v>0</v>
      </c>
      <c r="BJ118" s="565">
        <f t="shared" ref="BJ118:BJ128" si="374">IF(BI45="-","-",SUM(BJ45)-SUM(BI45))</f>
        <v>0</v>
      </c>
      <c r="BK118" s="565">
        <f t="shared" ref="BK118:BK128" si="375">IF(BJ45="-","-",SUM(BK45)-SUM(BJ45))</f>
        <v>0</v>
      </c>
      <c r="BL118" s="565">
        <f t="shared" ref="BL118:BL128" si="376">IF(BK45="-","-",SUM(BL45)-SUM(BK45))</f>
        <v>0</v>
      </c>
      <c r="BM118" s="568">
        <f t="shared" ref="BM118:BM128" si="377">SUM(BI118:BL118)</f>
        <v>0</v>
      </c>
      <c r="BN118" s="556"/>
      <c r="BO118" s="565">
        <f>BO45</f>
        <v>0</v>
      </c>
      <c r="BP118" s="565">
        <f t="shared" ref="BP118:BP128" si="378">IF(BO45="-","-",SUM(BP45)-SUM(BO45))</f>
        <v>0</v>
      </c>
      <c r="BQ118" s="565">
        <f t="shared" ref="BP118:BQ128" si="379">IF(BP45="-","-",SUM(BQ45)-SUM(BP45))</f>
        <v>0</v>
      </c>
      <c r="BR118" s="565">
        <f t="shared" ref="BR118:BR128" si="380">IF(BQ45="-","-",SUM(BR45)-SUM(BQ45))</f>
        <v>0</v>
      </c>
      <c r="BS118" s="568">
        <f t="shared" ref="BS118:BS128" si="381">SUM(BO118:BR118)</f>
        <v>0</v>
      </c>
      <c r="BT118" s="556"/>
      <c r="BU118" s="565">
        <f>BU45</f>
        <v>0</v>
      </c>
      <c r="BV118" s="565">
        <f t="shared" ref="BV118:BV128" si="382">IF(BU45="-","-",SUM(BV45)-SUM(BU45))</f>
        <v>0</v>
      </c>
      <c r="BW118" s="565">
        <f t="shared" ref="BW118:BW128" si="383">IF(BV45="-","-",SUM(BW45)-SUM(BV45))</f>
        <v>0</v>
      </c>
      <c r="BX118" s="565">
        <f t="shared" ref="BX118:BX128" si="384">IF(BW45="-","-",SUM(BX45)-SUM(BW45))</f>
        <v>0</v>
      </c>
      <c r="BY118" s="568">
        <f t="shared" ref="BY118:BY128" si="385">SUM(BU118:BX118)</f>
        <v>0</v>
      </c>
      <c r="BZ118" s="556"/>
      <c r="CA118" s="565">
        <f>CA45</f>
        <v>0</v>
      </c>
      <c r="CB118" s="565">
        <f t="shared" ref="CB118:CB128" si="386">IF(CA45="-","-",SUM(CB45)-SUM(CA45))</f>
        <v>0</v>
      </c>
      <c r="CC118" s="565">
        <f t="shared" ref="CC118:CC128" si="387">IF(CB45="-","-",SUM(CC45)-SUM(CB45))</f>
        <v>0</v>
      </c>
      <c r="CD118" s="565">
        <f t="shared" ref="CD118:CD128" si="388">IF(CC45="-","-",SUM(CD45)-SUM(CC45))</f>
        <v>0</v>
      </c>
      <c r="CE118" s="568">
        <f t="shared" ref="CE118:CE128" si="389">SUM(CA118:CD118)</f>
        <v>0</v>
      </c>
      <c r="CF118" s="556"/>
      <c r="CG118" s="565">
        <f>CG45</f>
        <v>0</v>
      </c>
      <c r="CH118" s="565">
        <f t="shared" ref="CH118:CH128" si="390">IF(CG45="-","-",SUM(CH45)-SUM(CG45))</f>
        <v>0</v>
      </c>
      <c r="CI118" s="565">
        <f t="shared" ref="CI118:CI128" si="391">IF(CH45="-","-",SUM(CI45)-SUM(CH45))</f>
        <v>0</v>
      </c>
      <c r="CJ118" s="565">
        <f t="shared" ref="CJ118:CJ128" si="392">IF(CI45="-","-",SUM(CJ45)-SUM(CI45))</f>
        <v>0</v>
      </c>
      <c r="CK118" s="568">
        <f t="shared" ref="CK118:CK128" si="393">SUM(CG118:CJ118)</f>
        <v>0</v>
      </c>
      <c r="CL118" s="556"/>
      <c r="CM118" s="565">
        <f>CM45</f>
        <v>0</v>
      </c>
      <c r="CN118" s="565">
        <f t="shared" ref="CN118:CN124" si="394">IF(CM45="-","-",SUM(CN45)-SUM(CM45))</f>
        <v>0</v>
      </c>
      <c r="CO118" s="565">
        <f t="shared" ref="CO118:CO124" si="395">IF(CN45="-","-",SUM(CO45)-SUM(CN45))</f>
        <v>0</v>
      </c>
      <c r="CP118" s="565">
        <f t="shared" ref="CP118:CP124" si="396">IF(CO45="-","-",SUM(CP45)-SUM(CO45))</f>
        <v>0</v>
      </c>
      <c r="CQ118" s="568">
        <f t="shared" ref="CQ118:CQ124" si="397">SUM(CM118:CP118)</f>
        <v>0</v>
      </c>
      <c r="CR118" s="556"/>
      <c r="CS118" s="565">
        <f>CS45</f>
        <v>0</v>
      </c>
      <c r="CT118" s="565">
        <f t="shared" ref="CT118:CT124" si="398">IF(CS45="-","-",SUM(CT45)-SUM(CS45))</f>
        <v>0</v>
      </c>
      <c r="CU118" s="565">
        <f t="shared" ref="CU118:CU124" si="399">IF(CT45="-","-",SUM(CU45)-SUM(CT45))</f>
        <v>0</v>
      </c>
      <c r="CV118" s="565">
        <f t="shared" ref="CV118:CV124" si="400">IF(CU45="-","-",SUM(CV45)-SUM(CU45))</f>
        <v>0</v>
      </c>
      <c r="CW118" s="568">
        <f t="shared" ref="CW118:CW124" si="401">SUM(CS118:CV118)</f>
        <v>0</v>
      </c>
      <c r="CX118" s="556"/>
      <c r="CY118" s="565">
        <f>CY45</f>
        <v>0</v>
      </c>
      <c r="CZ118" s="565">
        <f t="shared" ref="CZ118:CZ124" si="402">IF(CY45="-","-",SUM(CZ45)-SUM(CY45))</f>
        <v>0</v>
      </c>
      <c r="DA118" s="565">
        <f t="shared" ref="DA118:DA124" si="403">IF(CZ45="-","-",SUM(DA45)-SUM(CZ45))</f>
        <v>0</v>
      </c>
      <c r="DB118" s="565">
        <f t="shared" ref="DB118:DB124" si="404">IF(DA45="-","-",SUM(DB45)-SUM(DA45))</f>
        <v>0</v>
      </c>
      <c r="DC118" s="568">
        <f t="shared" ref="DC118:DC124" si="405">SUM(CY118:DB118)</f>
        <v>0</v>
      </c>
      <c r="DD118" s="556"/>
      <c r="DE118" s="565">
        <f>DE45</f>
        <v>0</v>
      </c>
      <c r="DF118" s="565">
        <f t="shared" ref="DF118:DF128" si="406">IF(DE45="-","-",SUM(DF45)-SUM(DE45))</f>
        <v>0</v>
      </c>
      <c r="DG118" s="565">
        <f t="shared" ref="DG118:DG128" si="407">IF(DF45="-","-",SUM(DG45)-SUM(DF45))</f>
        <v>0</v>
      </c>
      <c r="DH118" s="565">
        <f t="shared" ref="DH118:DH128" si="408">IF(DG45="-","-",SUM(DH45)-SUM(DG45))</f>
        <v>0</v>
      </c>
      <c r="DI118" s="568">
        <f t="shared" ref="DI118:DI124" si="409">SUM(DE118:DH118)</f>
        <v>0</v>
      </c>
      <c r="DJ118" s="556"/>
      <c r="DK118" s="565">
        <f>DK45</f>
        <v>0</v>
      </c>
      <c r="DL118" s="565">
        <f t="shared" ref="DL118:DL128" si="410">IF(DK45="-","-",SUM(DL45)-SUM(DK45))</f>
        <v>0</v>
      </c>
      <c r="DM118" s="565">
        <f t="shared" ref="DM118:DM128" si="411">IF(DL45="-","-",SUM(DM45)-SUM(DL45))</f>
        <v>0</v>
      </c>
      <c r="DN118" s="565">
        <f t="shared" ref="DN118:DN128" si="412">IF(DM45="-","-",SUM(DN45)-SUM(DM45))</f>
        <v>0</v>
      </c>
      <c r="DO118" s="568">
        <f t="shared" ref="DO118:DO124" si="413">SUM(DK118:DN118)</f>
        <v>0</v>
      </c>
      <c r="DP118" s="1698"/>
      <c r="DQ118" s="956"/>
      <c r="DR118" s="956"/>
    </row>
    <row r="119" spans="1:122" ht="10.5" customHeight="1">
      <c r="A119" s="555" t="s">
        <v>705</v>
      </c>
      <c r="B119" s="584"/>
      <c r="C119" s="565">
        <v>0.02</v>
      </c>
      <c r="D119" s="565">
        <v>0</v>
      </c>
      <c r="E119" s="565">
        <v>1.6319999999999999</v>
      </c>
      <c r="F119" s="584"/>
      <c r="G119" s="565">
        <v>0</v>
      </c>
      <c r="H119" s="565">
        <v>0</v>
      </c>
      <c r="I119" s="565">
        <v>0</v>
      </c>
      <c r="J119" s="565">
        <v>0</v>
      </c>
      <c r="K119" s="565">
        <f>SUM(G119:J119)</f>
        <v>0</v>
      </c>
      <c r="L119" s="556"/>
      <c r="M119" s="556">
        <v>0</v>
      </c>
      <c r="N119" s="556">
        <v>0</v>
      </c>
      <c r="O119" s="577">
        <v>0</v>
      </c>
      <c r="P119" s="556">
        <v>0</v>
      </c>
      <c r="Q119" s="565">
        <f>SUM(M119:P119)</f>
        <v>0</v>
      </c>
      <c r="R119" s="584"/>
      <c r="S119" s="565">
        <v>0</v>
      </c>
      <c r="T119" s="565">
        <f t="shared" si="361"/>
        <v>113.765</v>
      </c>
      <c r="U119" s="565">
        <f t="shared" si="361"/>
        <v>-0.21099999999999852</v>
      </c>
      <c r="V119" s="565">
        <f t="shared" si="361"/>
        <v>0.21399999999999864</v>
      </c>
      <c r="W119" s="565">
        <f>SUM(S119:V119)</f>
        <v>113.768</v>
      </c>
      <c r="X119" s="556"/>
      <c r="Y119" s="565">
        <f>Y46</f>
        <v>0</v>
      </c>
      <c r="Z119" s="565">
        <f t="shared" si="362"/>
        <v>0</v>
      </c>
      <c r="AA119" s="565">
        <f t="shared" si="362"/>
        <v>-2.8000000000000001E-2</v>
      </c>
      <c r="AB119" s="565">
        <f t="shared" si="362"/>
        <v>2.8000000000000001E-2</v>
      </c>
      <c r="AC119" s="565">
        <f>SUM(Y119:AB119)</f>
        <v>0</v>
      </c>
      <c r="AD119" s="556"/>
      <c r="AE119" s="565">
        <f>AE46</f>
        <v>0</v>
      </c>
      <c r="AF119" s="565">
        <f t="shared" si="363"/>
        <v>0</v>
      </c>
      <c r="AG119" s="565">
        <f t="shared" si="363"/>
        <v>0</v>
      </c>
      <c r="AH119" s="565">
        <f t="shared" si="363"/>
        <v>0</v>
      </c>
      <c r="AI119" s="568">
        <f>SUM(AE119:AH119)</f>
        <v>0</v>
      </c>
      <c r="AJ119" s="556"/>
      <c r="AK119" s="565">
        <f>AK46</f>
        <v>0</v>
      </c>
      <c r="AL119" s="565">
        <f t="shared" si="364"/>
        <v>0</v>
      </c>
      <c r="AM119" s="565">
        <f t="shared" si="364"/>
        <v>0</v>
      </c>
      <c r="AN119" s="565">
        <f t="shared" si="364"/>
        <v>0</v>
      </c>
      <c r="AO119" s="568">
        <f>SUM(AK119:AN119)</f>
        <v>0</v>
      </c>
      <c r="AP119" s="556"/>
      <c r="AQ119" s="565">
        <f>AQ46</f>
        <v>0</v>
      </c>
      <c r="AR119" s="565">
        <f t="shared" si="365"/>
        <v>0</v>
      </c>
      <c r="AS119" s="565">
        <f t="shared" si="365"/>
        <v>0</v>
      </c>
      <c r="AT119" s="565">
        <f t="shared" si="365"/>
        <v>0</v>
      </c>
      <c r="AU119" s="568">
        <f>SUM(AQ119:AT119)</f>
        <v>0</v>
      </c>
      <c r="AV119" s="556"/>
      <c r="AW119" s="565">
        <f>AW46</f>
        <v>0</v>
      </c>
      <c r="AX119" s="565">
        <f t="shared" si="366"/>
        <v>0</v>
      </c>
      <c r="AY119" s="565">
        <f t="shared" si="367"/>
        <v>0</v>
      </c>
      <c r="AZ119" s="565">
        <f t="shared" si="368"/>
        <v>0</v>
      </c>
      <c r="BA119" s="568">
        <f t="shared" si="369"/>
        <v>0</v>
      </c>
      <c r="BB119" s="556"/>
      <c r="BC119" s="565">
        <f>BC46</f>
        <v>0</v>
      </c>
      <c r="BD119" s="565">
        <f t="shared" si="370"/>
        <v>0</v>
      </c>
      <c r="BE119" s="565">
        <f t="shared" si="371"/>
        <v>0</v>
      </c>
      <c r="BF119" s="565">
        <f t="shared" si="372"/>
        <v>0</v>
      </c>
      <c r="BG119" s="568">
        <f t="shared" si="373"/>
        <v>0</v>
      </c>
      <c r="BH119" s="556"/>
      <c r="BI119" s="565">
        <f>BI46</f>
        <v>0</v>
      </c>
      <c r="BJ119" s="565">
        <f t="shared" si="374"/>
        <v>0</v>
      </c>
      <c r="BK119" s="565">
        <f t="shared" si="375"/>
        <v>0</v>
      </c>
      <c r="BL119" s="565">
        <f t="shared" si="376"/>
        <v>0</v>
      </c>
      <c r="BM119" s="568">
        <f t="shared" si="377"/>
        <v>0</v>
      </c>
      <c r="BN119" s="556"/>
      <c r="BO119" s="565">
        <f>BO46</f>
        <v>0</v>
      </c>
      <c r="BP119" s="565">
        <f t="shared" si="378"/>
        <v>0</v>
      </c>
      <c r="BQ119" s="565">
        <v>0</v>
      </c>
      <c r="BR119" s="565">
        <f t="shared" si="380"/>
        <v>0</v>
      </c>
      <c r="BS119" s="568">
        <f t="shared" si="381"/>
        <v>0</v>
      </c>
      <c r="BT119" s="556"/>
      <c r="BU119" s="565">
        <f>BU46</f>
        <v>0</v>
      </c>
      <c r="BV119" s="565">
        <f t="shared" si="382"/>
        <v>0</v>
      </c>
      <c r="BW119" s="565">
        <f t="shared" si="383"/>
        <v>0</v>
      </c>
      <c r="BX119" s="565">
        <f t="shared" si="384"/>
        <v>0</v>
      </c>
      <c r="BY119" s="568">
        <f t="shared" si="385"/>
        <v>0</v>
      </c>
      <c r="BZ119" s="556"/>
      <c r="CA119" s="565">
        <f>CA46</f>
        <v>0</v>
      </c>
      <c r="CB119" s="565">
        <f t="shared" si="386"/>
        <v>0</v>
      </c>
      <c r="CC119" s="565">
        <f t="shared" si="387"/>
        <v>0</v>
      </c>
      <c r="CD119" s="565">
        <f t="shared" si="388"/>
        <v>0</v>
      </c>
      <c r="CE119" s="568">
        <f t="shared" si="389"/>
        <v>0</v>
      </c>
      <c r="CF119" s="556"/>
      <c r="CG119" s="565">
        <f>CG46</f>
        <v>0</v>
      </c>
      <c r="CH119" s="565">
        <f t="shared" si="390"/>
        <v>0</v>
      </c>
      <c r="CI119" s="565">
        <f t="shared" si="391"/>
        <v>0</v>
      </c>
      <c r="CJ119" s="565">
        <f t="shared" si="392"/>
        <v>0</v>
      </c>
      <c r="CK119" s="568">
        <f t="shared" si="393"/>
        <v>0</v>
      </c>
      <c r="CL119" s="556"/>
      <c r="CM119" s="565">
        <f>CM46</f>
        <v>0</v>
      </c>
      <c r="CN119" s="565">
        <f t="shared" si="394"/>
        <v>0</v>
      </c>
      <c r="CO119" s="565">
        <f t="shared" si="395"/>
        <v>0</v>
      </c>
      <c r="CP119" s="565">
        <f t="shared" si="396"/>
        <v>0</v>
      </c>
      <c r="CQ119" s="568">
        <f t="shared" si="397"/>
        <v>0</v>
      </c>
      <c r="CR119" s="556"/>
      <c r="CS119" s="565">
        <f>CS46</f>
        <v>0</v>
      </c>
      <c r="CT119" s="565">
        <f t="shared" si="398"/>
        <v>0</v>
      </c>
      <c r="CU119" s="565">
        <f t="shared" si="399"/>
        <v>0</v>
      </c>
      <c r="CV119" s="565">
        <f t="shared" si="400"/>
        <v>0</v>
      </c>
      <c r="CW119" s="568">
        <f t="shared" si="401"/>
        <v>0</v>
      </c>
      <c r="CX119" s="556"/>
      <c r="CY119" s="565">
        <f>CY46</f>
        <v>0</v>
      </c>
      <c r="CZ119" s="565">
        <f t="shared" si="402"/>
        <v>0</v>
      </c>
      <c r="DA119" s="565">
        <f t="shared" si="403"/>
        <v>0</v>
      </c>
      <c r="DB119" s="565">
        <f t="shared" si="404"/>
        <v>0</v>
      </c>
      <c r="DC119" s="568">
        <f t="shared" si="405"/>
        <v>0</v>
      </c>
      <c r="DD119" s="556"/>
      <c r="DE119" s="565">
        <f>DE46</f>
        <v>0</v>
      </c>
      <c r="DF119" s="565">
        <f t="shared" si="406"/>
        <v>0</v>
      </c>
      <c r="DG119" s="565">
        <f t="shared" si="407"/>
        <v>0</v>
      </c>
      <c r="DH119" s="565">
        <f t="shared" si="408"/>
        <v>0</v>
      </c>
      <c r="DI119" s="568">
        <f t="shared" si="409"/>
        <v>0</v>
      </c>
      <c r="DJ119" s="556"/>
      <c r="DK119" s="565">
        <f>DK46</f>
        <v>0</v>
      </c>
      <c r="DL119" s="565">
        <f t="shared" si="410"/>
        <v>0</v>
      </c>
      <c r="DM119" s="565">
        <f t="shared" si="411"/>
        <v>0</v>
      </c>
      <c r="DN119" s="565">
        <f t="shared" si="412"/>
        <v>0</v>
      </c>
      <c r="DO119" s="568">
        <f t="shared" si="413"/>
        <v>0</v>
      </c>
      <c r="DP119" s="1698"/>
      <c r="DQ119" s="956"/>
      <c r="DR119" s="956"/>
    </row>
    <row r="120" spans="1:122" ht="10.5" customHeight="1">
      <c r="A120" s="555" t="s">
        <v>379</v>
      </c>
      <c r="B120" s="584"/>
      <c r="C120" s="565">
        <v>0.68799999999999994</v>
      </c>
      <c r="D120" s="565">
        <v>1.288</v>
      </c>
      <c r="E120" s="565">
        <v>0.254</v>
      </c>
      <c r="F120" s="584"/>
      <c r="G120" s="565">
        <v>2.7E-2</v>
      </c>
      <c r="H120" s="565">
        <v>2.3E-2</v>
      </c>
      <c r="I120" s="565">
        <v>9.7000000000000003E-2</v>
      </c>
      <c r="J120" s="565">
        <v>1.4330000000000001</v>
      </c>
      <c r="K120" s="565">
        <f t="shared" ref="K120:K126" si="414">SUM(G120:J120)</f>
        <v>1.58</v>
      </c>
      <c r="L120" s="556"/>
      <c r="M120" s="556">
        <v>6.0999999999999999E-2</v>
      </c>
      <c r="N120" s="556">
        <v>0.114</v>
      </c>
      <c r="O120" s="577">
        <v>0.64</v>
      </c>
      <c r="P120" s="556">
        <v>0.66500000000000004</v>
      </c>
      <c r="Q120" s="565">
        <f t="shared" ref="Q120:Q126" si="415">SUM(M120:P120)</f>
        <v>1.48</v>
      </c>
      <c r="R120" s="584"/>
      <c r="S120" s="565">
        <v>1.6419999999999999</v>
      </c>
      <c r="T120" s="565">
        <f t="shared" si="361"/>
        <v>9.2000000000000082E-2</v>
      </c>
      <c r="U120" s="565">
        <f t="shared" si="361"/>
        <v>0.45900000000000007</v>
      </c>
      <c r="V120" s="565">
        <f t="shared" si="361"/>
        <v>2.5530000000000004</v>
      </c>
      <c r="W120" s="565">
        <f t="shared" ref="W120:W126" si="416">SUM(S120:V120)</f>
        <v>4.7460000000000004</v>
      </c>
      <c r="X120" s="556"/>
      <c r="Y120" s="565">
        <f>Y47</f>
        <v>2.1520000000000001</v>
      </c>
      <c r="Z120" s="565">
        <f t="shared" si="362"/>
        <v>5.29</v>
      </c>
      <c r="AA120" s="565">
        <f t="shared" si="362"/>
        <v>2.2089999999999996</v>
      </c>
      <c r="AB120" s="565">
        <f t="shared" si="362"/>
        <v>6.0839999999999996</v>
      </c>
      <c r="AC120" s="565">
        <f t="shared" ref="AC120:AC126" si="417">SUM(Y120:AB120)</f>
        <v>15.734999999999999</v>
      </c>
      <c r="AD120" s="556"/>
      <c r="AE120" s="565">
        <f>AE47</f>
        <v>5.5030000000000001</v>
      </c>
      <c r="AF120" s="565">
        <f t="shared" si="363"/>
        <v>5.3879999999999999</v>
      </c>
      <c r="AG120" s="565">
        <f t="shared" si="363"/>
        <v>10.148999999999999</v>
      </c>
      <c r="AH120" s="565">
        <f t="shared" si="363"/>
        <v>8.0420000000000016</v>
      </c>
      <c r="AI120" s="568">
        <f t="shared" ref="AI120:AI126" si="418">SUM(AE120:AH120)</f>
        <v>29.082000000000001</v>
      </c>
      <c r="AJ120" s="556"/>
      <c r="AK120" s="565">
        <f>AK47</f>
        <v>8.3000000000000007</v>
      </c>
      <c r="AL120" s="565">
        <f t="shared" si="364"/>
        <v>15.404</v>
      </c>
      <c r="AM120" s="565">
        <f t="shared" si="364"/>
        <v>20.585999999999999</v>
      </c>
      <c r="AN120" s="565">
        <f t="shared" si="364"/>
        <v>16.619999999999997</v>
      </c>
      <c r="AO120" s="568">
        <f t="shared" ref="AO120:AO126" si="419">SUM(AK120:AN120)</f>
        <v>60.91</v>
      </c>
      <c r="AP120" s="556"/>
      <c r="AQ120" s="565">
        <f>AQ47</f>
        <v>11.484999999999999</v>
      </c>
      <c r="AR120" s="565">
        <f t="shared" si="365"/>
        <v>22.524999999999999</v>
      </c>
      <c r="AS120" s="565">
        <f t="shared" si="365"/>
        <v>6.5949999999999989</v>
      </c>
      <c r="AT120" s="565">
        <f t="shared" si="365"/>
        <v>2.7060000000000031</v>
      </c>
      <c r="AU120" s="568">
        <f t="shared" ref="AU120:AU126" si="420">SUM(AQ120:AT120)</f>
        <v>43.311</v>
      </c>
      <c r="AV120" s="556"/>
      <c r="AW120" s="565">
        <f>AW47</f>
        <v>9.1679999999999993</v>
      </c>
      <c r="AX120" s="565">
        <f t="shared" si="366"/>
        <v>5.1390000000000011</v>
      </c>
      <c r="AY120" s="565">
        <f t="shared" si="367"/>
        <v>18.558999999999997</v>
      </c>
      <c r="AZ120" s="565">
        <f t="shared" si="368"/>
        <v>60.989999999999995</v>
      </c>
      <c r="BA120" s="568">
        <f t="shared" si="369"/>
        <v>93.855999999999995</v>
      </c>
      <c r="BB120" s="556"/>
      <c r="BC120" s="565">
        <f>BC47</f>
        <v>37.515999999999998</v>
      </c>
      <c r="BD120" s="565">
        <f t="shared" si="370"/>
        <v>34.127000000000002</v>
      </c>
      <c r="BE120" s="565">
        <f t="shared" si="371"/>
        <v>44.352999999999994</v>
      </c>
      <c r="BF120" s="565">
        <f t="shared" si="372"/>
        <v>44.405999999999992</v>
      </c>
      <c r="BG120" s="568">
        <f t="shared" si="373"/>
        <v>160.40199999999999</v>
      </c>
      <c r="BH120" s="556"/>
      <c r="BI120" s="565">
        <f>BI47</f>
        <v>32.286000000000001</v>
      </c>
      <c r="BJ120" s="565">
        <f t="shared" si="374"/>
        <v>42.281999999999996</v>
      </c>
      <c r="BK120" s="565">
        <f t="shared" si="375"/>
        <v>15.793999999999997</v>
      </c>
      <c r="BL120" s="565">
        <f t="shared" si="376"/>
        <v>26.203000000000003</v>
      </c>
      <c r="BM120" s="568">
        <f t="shared" si="377"/>
        <v>116.565</v>
      </c>
      <c r="BN120" s="556"/>
      <c r="BO120" s="565">
        <f>BO47</f>
        <v>93.566999999999993</v>
      </c>
      <c r="BP120" s="565">
        <f t="shared" si="378"/>
        <v>33.824000000000012</v>
      </c>
      <c r="BQ120" s="565">
        <f t="shared" si="379"/>
        <v>76.48299999999999</v>
      </c>
      <c r="BR120" s="565">
        <f t="shared" si="380"/>
        <v>147.49199999999999</v>
      </c>
      <c r="BS120" s="568">
        <f t="shared" si="381"/>
        <v>351.36599999999999</v>
      </c>
      <c r="BT120" s="556"/>
      <c r="BU120" s="565">
        <f>BU47</f>
        <v>66.524000000000001</v>
      </c>
      <c r="BV120" s="565">
        <f t="shared" si="382"/>
        <v>40.194999999999993</v>
      </c>
      <c r="BW120" s="565">
        <f>IF(BV47="-","-",SUM(BW47)-SUM(BV47))</f>
        <v>110.71000000000001</v>
      </c>
      <c r="BX120" s="565">
        <f t="shared" si="384"/>
        <v>72.501999999999981</v>
      </c>
      <c r="BY120" s="568">
        <f t="shared" si="385"/>
        <v>289.93099999999998</v>
      </c>
      <c r="BZ120" s="556"/>
      <c r="CA120" s="565">
        <f>CA47</f>
        <v>73.795000000000002</v>
      </c>
      <c r="CB120" s="565">
        <f t="shared" si="386"/>
        <v>61.428999999999988</v>
      </c>
      <c r="CC120" s="565">
        <f t="shared" si="387"/>
        <v>91.337000000000018</v>
      </c>
      <c r="CD120" s="565">
        <f t="shared" si="388"/>
        <v>82.427999999999969</v>
      </c>
      <c r="CE120" s="568">
        <f t="shared" si="389"/>
        <v>308.98899999999998</v>
      </c>
      <c r="CF120" s="556"/>
      <c r="CG120" s="565">
        <f>CG47</f>
        <v>155.01499999999999</v>
      </c>
      <c r="CH120" s="565">
        <f t="shared" si="390"/>
        <v>114.79900000000004</v>
      </c>
      <c r="CI120" s="565">
        <f t="shared" si="391"/>
        <v>98.015999999999963</v>
      </c>
      <c r="CJ120" s="565">
        <f t="shared" si="392"/>
        <v>87.652000000000044</v>
      </c>
      <c r="CK120" s="568">
        <f t="shared" si="393"/>
        <v>455.48200000000003</v>
      </c>
      <c r="CL120" s="556"/>
      <c r="CM120" s="565">
        <f>CM47</f>
        <v>89.141000000000005</v>
      </c>
      <c r="CN120" s="565">
        <f t="shared" si="394"/>
        <v>133.87799999999999</v>
      </c>
      <c r="CO120" s="565">
        <f t="shared" si="395"/>
        <v>92.846000000000004</v>
      </c>
      <c r="CP120" s="565">
        <f t="shared" si="396"/>
        <v>85.615999999999985</v>
      </c>
      <c r="CQ120" s="568">
        <f t="shared" si="397"/>
        <v>401.48099999999999</v>
      </c>
      <c r="CR120" s="556"/>
      <c r="CS120" s="565">
        <f>CS47</f>
        <v>159.80699999999999</v>
      </c>
      <c r="CT120" s="565">
        <f t="shared" si="398"/>
        <v>183.00899999999999</v>
      </c>
      <c r="CU120" s="565">
        <f t="shared" si="399"/>
        <v>141.97000000000003</v>
      </c>
      <c r="CV120" s="565">
        <f t="shared" si="400"/>
        <v>165.51399999999995</v>
      </c>
      <c r="CW120" s="568">
        <f t="shared" si="401"/>
        <v>650.29999999999995</v>
      </c>
      <c r="CX120" s="556"/>
      <c r="CY120" s="565">
        <f>CY47</f>
        <v>65</v>
      </c>
      <c r="CZ120" s="565">
        <f t="shared" si="402"/>
        <v>7.5</v>
      </c>
      <c r="DA120" s="565">
        <f t="shared" si="403"/>
        <v>7.5</v>
      </c>
      <c r="DB120" s="565">
        <f t="shared" si="404"/>
        <v>7.5</v>
      </c>
      <c r="DC120" s="568">
        <f t="shared" si="405"/>
        <v>87.5</v>
      </c>
      <c r="DD120" s="556"/>
      <c r="DE120" s="565">
        <f>DE47</f>
        <v>37.5</v>
      </c>
      <c r="DF120" s="565">
        <f t="shared" si="406"/>
        <v>37.5</v>
      </c>
      <c r="DG120" s="565">
        <f t="shared" si="407"/>
        <v>37.5</v>
      </c>
      <c r="DH120" s="565">
        <f t="shared" si="408"/>
        <v>37.5</v>
      </c>
      <c r="DI120" s="568">
        <f t="shared" si="409"/>
        <v>150</v>
      </c>
      <c r="DJ120" s="556"/>
      <c r="DK120" s="565">
        <f>DK47</f>
        <v>37.5</v>
      </c>
      <c r="DL120" s="565">
        <f t="shared" si="410"/>
        <v>37.5</v>
      </c>
      <c r="DM120" s="565">
        <f t="shared" si="411"/>
        <v>37.5</v>
      </c>
      <c r="DN120" s="565">
        <f t="shared" si="412"/>
        <v>37.5</v>
      </c>
      <c r="DO120" s="568">
        <f t="shared" si="413"/>
        <v>150</v>
      </c>
      <c r="DP120" s="1698"/>
      <c r="DQ120" s="956"/>
      <c r="DR120" s="956"/>
    </row>
    <row r="121" spans="1:122" ht="10.5" customHeight="1">
      <c r="A121" s="555" t="s">
        <v>350</v>
      </c>
      <c r="B121" s="584"/>
      <c r="C121" s="565"/>
      <c r="D121" s="565"/>
      <c r="E121" s="565"/>
      <c r="F121" s="584"/>
      <c r="G121" s="565"/>
      <c r="H121" s="565"/>
      <c r="I121" s="565"/>
      <c r="J121" s="565"/>
      <c r="K121" s="565"/>
      <c r="L121" s="556"/>
      <c r="M121" s="556"/>
      <c r="N121" s="556"/>
      <c r="O121" s="577"/>
      <c r="P121" s="556"/>
      <c r="Q121" s="565"/>
      <c r="R121" s="584"/>
      <c r="S121" s="565">
        <f>S48</f>
        <v>0</v>
      </c>
      <c r="T121" s="565">
        <f t="shared" si="361"/>
        <v>0</v>
      </c>
      <c r="U121" s="565">
        <f t="shared" si="361"/>
        <v>0</v>
      </c>
      <c r="V121" s="565">
        <f t="shared" si="361"/>
        <v>0</v>
      </c>
      <c r="W121" s="565">
        <f t="shared" si="416"/>
        <v>0</v>
      </c>
      <c r="X121" s="556"/>
      <c r="Y121" s="565">
        <f>Y48</f>
        <v>0</v>
      </c>
      <c r="Z121" s="565">
        <f t="shared" si="362"/>
        <v>0</v>
      </c>
      <c r="AA121" s="565">
        <f t="shared" si="362"/>
        <v>0</v>
      </c>
      <c r="AB121" s="565">
        <f t="shared" si="362"/>
        <v>0</v>
      </c>
      <c r="AC121" s="565">
        <f>SUM(Y121:AB121)</f>
        <v>0</v>
      </c>
      <c r="AD121" s="556"/>
      <c r="AE121" s="565">
        <f>AE48</f>
        <v>2.6</v>
      </c>
      <c r="AF121" s="565">
        <f>IF(AE48="-","-",SUM(AF48)-SUM(AE48))</f>
        <v>3.3279999999999998</v>
      </c>
      <c r="AG121" s="565">
        <f t="shared" si="363"/>
        <v>4.8779999999999992</v>
      </c>
      <c r="AH121" s="565">
        <f t="shared" si="363"/>
        <v>5.7679999999999989</v>
      </c>
      <c r="AI121" s="568">
        <f>SUM(AE121:AH121)</f>
        <v>16.573999999999998</v>
      </c>
      <c r="AJ121" s="556"/>
      <c r="AK121" s="565">
        <f>AK48</f>
        <v>6.2859999999999996</v>
      </c>
      <c r="AL121" s="565">
        <f t="shared" si="364"/>
        <v>8.92</v>
      </c>
      <c r="AM121" s="565">
        <f t="shared" si="364"/>
        <v>9.2980000000000018</v>
      </c>
      <c r="AN121" s="565">
        <f t="shared" si="364"/>
        <v>7.4740000000000002</v>
      </c>
      <c r="AO121" s="568">
        <f>SUM(AK121:AN121)</f>
        <v>31.978000000000002</v>
      </c>
      <c r="AP121" s="556"/>
      <c r="AQ121" s="565">
        <f>AQ48</f>
        <v>12.698</v>
      </c>
      <c r="AR121" s="565">
        <f t="shared" si="365"/>
        <v>11.843</v>
      </c>
      <c r="AS121" s="565">
        <f t="shared" si="365"/>
        <v>17.706</v>
      </c>
      <c r="AT121" s="565">
        <f t="shared" si="365"/>
        <v>12.350000000000001</v>
      </c>
      <c r="AU121" s="568">
        <f>SUM(AQ121:AT121)</f>
        <v>54.597000000000001</v>
      </c>
      <c r="AV121" s="556"/>
      <c r="AW121" s="565">
        <f>AW48</f>
        <v>9.4480000000000004</v>
      </c>
      <c r="AX121" s="565">
        <f t="shared" si="366"/>
        <v>15.687000000000001</v>
      </c>
      <c r="AY121" s="565">
        <f t="shared" si="367"/>
        <v>7.4009999999999998</v>
      </c>
      <c r="AZ121" s="565">
        <f t="shared" si="368"/>
        <v>19.003</v>
      </c>
      <c r="BA121" s="568">
        <f t="shared" si="369"/>
        <v>51.539000000000001</v>
      </c>
      <c r="BB121" s="556"/>
      <c r="BC121" s="565">
        <f>BC48</f>
        <v>9.2880000000000003</v>
      </c>
      <c r="BD121" s="565">
        <f t="shared" si="370"/>
        <v>22.901999999999997</v>
      </c>
      <c r="BE121" s="565">
        <f t="shared" si="371"/>
        <v>14.578000000000003</v>
      </c>
      <c r="BF121" s="565">
        <f t="shared" si="372"/>
        <v>-10.777000000000001</v>
      </c>
      <c r="BG121" s="568">
        <f t="shared" si="373"/>
        <v>35.991</v>
      </c>
      <c r="BH121" s="556"/>
      <c r="BI121" s="565">
        <f>BI48</f>
        <v>2.0339999999999998</v>
      </c>
      <c r="BJ121" s="565">
        <f>IF(BI48="-","-",SUM(BJ48)-SUM(BI48))</f>
        <v>2.0860000000000003</v>
      </c>
      <c r="BK121" s="565">
        <f t="shared" si="375"/>
        <v>6.8920000000000003</v>
      </c>
      <c r="BL121" s="565">
        <f t="shared" si="376"/>
        <v>-4.9940000000000007</v>
      </c>
      <c r="BM121" s="568">
        <f t="shared" si="377"/>
        <v>6.0179999999999998</v>
      </c>
      <c r="BN121" s="556"/>
      <c r="BO121" s="565">
        <f>BO48</f>
        <v>11.042999999999999</v>
      </c>
      <c r="BP121" s="565">
        <f t="shared" si="378"/>
        <v>14.702000000000002</v>
      </c>
      <c r="BQ121" s="565">
        <f t="shared" si="379"/>
        <v>3.16</v>
      </c>
      <c r="BR121" s="565">
        <f t="shared" si="380"/>
        <v>-13.972000000000001</v>
      </c>
      <c r="BS121" s="568">
        <f t="shared" si="381"/>
        <v>14.933</v>
      </c>
      <c r="BT121" s="556"/>
      <c r="BU121" s="565">
        <f>BU48</f>
        <v>1.8660000000000001</v>
      </c>
      <c r="BV121" s="565">
        <f t="shared" si="382"/>
        <v>-1.278</v>
      </c>
      <c r="BW121" s="565">
        <f t="shared" si="383"/>
        <v>1.5779999999999998</v>
      </c>
      <c r="BX121" s="565">
        <f t="shared" si="384"/>
        <v>5.9779999999999998</v>
      </c>
      <c r="BY121" s="568">
        <f t="shared" si="385"/>
        <v>8.1440000000000001</v>
      </c>
      <c r="BZ121" s="556"/>
      <c r="CA121" s="565">
        <f>CA48</f>
        <v>9.0410000000000004</v>
      </c>
      <c r="CB121" s="565">
        <f t="shared" si="386"/>
        <v>-6.8150000000000004</v>
      </c>
      <c r="CC121" s="565">
        <f t="shared" si="387"/>
        <v>1.2210000000000001</v>
      </c>
      <c r="CD121" s="565">
        <f t="shared" si="388"/>
        <v>4.2830000000000004</v>
      </c>
      <c r="CE121" s="568">
        <f t="shared" si="389"/>
        <v>7.73</v>
      </c>
      <c r="CF121" s="556"/>
      <c r="CG121" s="565">
        <f>CG48</f>
        <v>4.2240000000000002</v>
      </c>
      <c r="CH121" s="565">
        <f t="shared" si="390"/>
        <v>-0.13300000000000001</v>
      </c>
      <c r="CI121" s="565">
        <f t="shared" si="391"/>
        <v>44.606999999999999</v>
      </c>
      <c r="CJ121" s="565">
        <f t="shared" si="392"/>
        <v>10.798000000000002</v>
      </c>
      <c r="CK121" s="568">
        <f t="shared" si="393"/>
        <v>59.496000000000002</v>
      </c>
      <c r="CL121" s="556"/>
      <c r="CM121" s="565">
        <f>CM48</f>
        <v>0</v>
      </c>
      <c r="CN121" s="565">
        <f t="shared" si="394"/>
        <v>0</v>
      </c>
      <c r="CO121" s="565">
        <f t="shared" si="395"/>
        <v>0</v>
      </c>
      <c r="CP121" s="565">
        <f t="shared" si="396"/>
        <v>0</v>
      </c>
      <c r="CQ121" s="568">
        <f t="shared" si="397"/>
        <v>0</v>
      </c>
      <c r="CR121" s="556"/>
      <c r="CS121" s="565">
        <f>CS48</f>
        <v>0</v>
      </c>
      <c r="CT121" s="565">
        <f t="shared" si="398"/>
        <v>0</v>
      </c>
      <c r="CU121" s="565">
        <f t="shared" si="399"/>
        <v>0</v>
      </c>
      <c r="CV121" s="565">
        <f t="shared" si="400"/>
        <v>0</v>
      </c>
      <c r="CW121" s="568">
        <f t="shared" si="401"/>
        <v>0</v>
      </c>
      <c r="CX121" s="556"/>
      <c r="CY121" s="565">
        <f>CY48</f>
        <v>5</v>
      </c>
      <c r="CZ121" s="565">
        <f t="shared" si="402"/>
        <v>5</v>
      </c>
      <c r="DA121" s="565">
        <f t="shared" si="403"/>
        <v>5</v>
      </c>
      <c r="DB121" s="565">
        <f t="shared" si="404"/>
        <v>5</v>
      </c>
      <c r="DC121" s="568">
        <f t="shared" si="405"/>
        <v>20</v>
      </c>
      <c r="DD121" s="556"/>
      <c r="DE121" s="565">
        <f>DE48</f>
        <v>5</v>
      </c>
      <c r="DF121" s="565">
        <f t="shared" si="406"/>
        <v>5</v>
      </c>
      <c r="DG121" s="565">
        <f t="shared" si="407"/>
        <v>5</v>
      </c>
      <c r="DH121" s="565">
        <f t="shared" si="408"/>
        <v>5</v>
      </c>
      <c r="DI121" s="568">
        <f t="shared" si="409"/>
        <v>20</v>
      </c>
      <c r="DJ121" s="556"/>
      <c r="DK121" s="565">
        <f>DK48</f>
        <v>5</v>
      </c>
      <c r="DL121" s="565">
        <f t="shared" si="410"/>
        <v>5</v>
      </c>
      <c r="DM121" s="565">
        <f t="shared" si="411"/>
        <v>5</v>
      </c>
      <c r="DN121" s="565">
        <f t="shared" si="412"/>
        <v>5</v>
      </c>
      <c r="DO121" s="568">
        <f t="shared" si="413"/>
        <v>20</v>
      </c>
      <c r="DP121" s="1698"/>
      <c r="DQ121" s="956"/>
      <c r="DR121" s="956"/>
    </row>
    <row r="122" spans="1:122" ht="10.5" customHeight="1">
      <c r="A122" s="555" t="s">
        <v>578</v>
      </c>
      <c r="B122" s="584"/>
      <c r="C122" s="556">
        <v>0</v>
      </c>
      <c r="D122" s="556">
        <v>0</v>
      </c>
      <c r="E122" s="556">
        <v>0</v>
      </c>
      <c r="F122" s="584"/>
      <c r="G122" s="556">
        <v>0</v>
      </c>
      <c r="H122" s="556">
        <v>0</v>
      </c>
      <c r="I122" s="556">
        <v>0</v>
      </c>
      <c r="J122" s="556">
        <v>0</v>
      </c>
      <c r="K122" s="565">
        <f t="shared" si="414"/>
        <v>0</v>
      </c>
      <c r="L122" s="556"/>
      <c r="M122" s="556">
        <v>0</v>
      </c>
      <c r="N122" s="556">
        <v>0</v>
      </c>
      <c r="O122" s="556">
        <v>0</v>
      </c>
      <c r="P122" s="556">
        <v>0</v>
      </c>
      <c r="Q122" s="565">
        <f t="shared" si="415"/>
        <v>0</v>
      </c>
      <c r="R122" s="584"/>
      <c r="S122" s="565">
        <v>0</v>
      </c>
      <c r="T122" s="565">
        <f t="shared" ref="T122:V128" si="421">IF(S49="-","-",SUM(T49)-SUM(S49))</f>
        <v>0</v>
      </c>
      <c r="U122" s="565">
        <f t="shared" si="421"/>
        <v>0</v>
      </c>
      <c r="V122" s="565">
        <f t="shared" si="421"/>
        <v>0</v>
      </c>
      <c r="W122" s="565">
        <f t="shared" si="416"/>
        <v>0</v>
      </c>
      <c r="X122" s="556"/>
      <c r="Y122" s="565">
        <f t="shared" ref="Y122:Y128" si="422">Y49</f>
        <v>0</v>
      </c>
      <c r="Z122" s="565">
        <f t="shared" ref="Z122:AB128" si="423">IF(Y49="-","-",SUM(Z49)-SUM(Y49))</f>
        <v>0</v>
      </c>
      <c r="AA122" s="565">
        <f t="shared" si="423"/>
        <v>0</v>
      </c>
      <c r="AB122" s="565">
        <f t="shared" si="423"/>
        <v>0</v>
      </c>
      <c r="AC122" s="565">
        <f t="shared" si="417"/>
        <v>0</v>
      </c>
      <c r="AD122" s="556"/>
      <c r="AE122" s="565">
        <f t="shared" ref="AE122:AE128" si="424">AE49</f>
        <v>0</v>
      </c>
      <c r="AF122" s="565">
        <f t="shared" ref="AF122:AH128" si="425">IF(AE49="-","-",SUM(AF49)-SUM(AE49))</f>
        <v>0</v>
      </c>
      <c r="AG122" s="565">
        <f t="shared" si="425"/>
        <v>0</v>
      </c>
      <c r="AH122" s="565">
        <f t="shared" si="425"/>
        <v>0</v>
      </c>
      <c r="AI122" s="568">
        <f t="shared" si="418"/>
        <v>0</v>
      </c>
      <c r="AJ122" s="556"/>
      <c r="AK122" s="565">
        <f t="shared" ref="AK122:AK128" si="426">AK49</f>
        <v>0</v>
      </c>
      <c r="AL122" s="565">
        <f t="shared" ref="AL122:AL128" si="427">IF(AK49="-","-",SUM(AL49)-SUM(AK49))</f>
        <v>0</v>
      </c>
      <c r="AM122" s="565">
        <f t="shared" ref="AM122:AM128" si="428">IF(AL49="-","-",SUM(AM49)-SUM(AL49))</f>
        <v>0</v>
      </c>
      <c r="AN122" s="565">
        <f t="shared" ref="AN122:AN128" si="429">IF(AM49="-","-",SUM(AN49)-SUM(AM49))</f>
        <v>0</v>
      </c>
      <c r="AO122" s="568">
        <f t="shared" si="419"/>
        <v>0</v>
      </c>
      <c r="AP122" s="556"/>
      <c r="AQ122" s="565">
        <f t="shared" ref="AQ122:AQ128" si="430">AQ49</f>
        <v>0</v>
      </c>
      <c r="AR122" s="565">
        <f t="shared" ref="AR122:AR128" si="431">IF(AQ49="-","-",SUM(AR49)-SUM(AQ49))</f>
        <v>0</v>
      </c>
      <c r="AS122" s="565">
        <f t="shared" ref="AS122:AS128" si="432">IF(AR49="-","-",SUM(AS49)-SUM(AR49))</f>
        <v>0</v>
      </c>
      <c r="AT122" s="565">
        <f t="shared" ref="AT122:AT128" si="433">IF(AS49="-","-",SUM(AT49)-SUM(AS49))</f>
        <v>0</v>
      </c>
      <c r="AU122" s="568">
        <f t="shared" si="420"/>
        <v>0</v>
      </c>
      <c r="AV122" s="556"/>
      <c r="AW122" s="565">
        <f t="shared" ref="AW122:AW128" si="434">AW49</f>
        <v>0</v>
      </c>
      <c r="AX122" s="565">
        <f t="shared" si="366"/>
        <v>0</v>
      </c>
      <c r="AY122" s="565">
        <f t="shared" si="367"/>
        <v>0</v>
      </c>
      <c r="AZ122" s="565">
        <f t="shared" si="368"/>
        <v>0</v>
      </c>
      <c r="BA122" s="568">
        <f t="shared" si="369"/>
        <v>0</v>
      </c>
      <c r="BB122" s="556"/>
      <c r="BC122" s="565">
        <f t="shared" ref="BC122:BC128" si="435">BC49</f>
        <v>0</v>
      </c>
      <c r="BD122" s="565">
        <f t="shared" si="370"/>
        <v>0</v>
      </c>
      <c r="BE122" s="565">
        <f t="shared" si="371"/>
        <v>0</v>
      </c>
      <c r="BF122" s="565">
        <f t="shared" si="372"/>
        <v>0</v>
      </c>
      <c r="BG122" s="568">
        <f t="shared" si="373"/>
        <v>0</v>
      </c>
      <c r="BH122" s="556"/>
      <c r="BI122" s="565">
        <f t="shared" ref="BI122:BI128" si="436">BI49</f>
        <v>0</v>
      </c>
      <c r="BJ122" s="565">
        <f t="shared" si="374"/>
        <v>0</v>
      </c>
      <c r="BK122" s="565">
        <f t="shared" si="375"/>
        <v>0</v>
      </c>
      <c r="BL122" s="565">
        <f t="shared" si="376"/>
        <v>0</v>
      </c>
      <c r="BM122" s="568">
        <f t="shared" si="377"/>
        <v>0</v>
      </c>
      <c r="BN122" s="556"/>
      <c r="BO122" s="565">
        <f t="shared" ref="BO122:BO128" si="437">BO49</f>
        <v>0</v>
      </c>
      <c r="BP122" s="565">
        <f t="shared" si="378"/>
        <v>0</v>
      </c>
      <c r="BQ122" s="565">
        <f t="shared" si="379"/>
        <v>0</v>
      </c>
      <c r="BR122" s="565">
        <f t="shared" si="380"/>
        <v>0</v>
      </c>
      <c r="BS122" s="568">
        <f t="shared" si="381"/>
        <v>0</v>
      </c>
      <c r="BT122" s="556"/>
      <c r="BU122" s="565">
        <f t="shared" ref="BU122:BU128" si="438">BU49</f>
        <v>0</v>
      </c>
      <c r="BV122" s="565">
        <f>IF(BU49="-","-",SUM(BV49)-SUM(BU49))</f>
        <v>0</v>
      </c>
      <c r="BW122" s="565">
        <f t="shared" si="383"/>
        <v>0</v>
      </c>
      <c r="BX122" s="565">
        <f t="shared" si="384"/>
        <v>0</v>
      </c>
      <c r="BY122" s="568">
        <f t="shared" si="385"/>
        <v>0</v>
      </c>
      <c r="BZ122" s="556"/>
      <c r="CA122" s="565">
        <f t="shared" ref="CA122:CA128" si="439">CA49</f>
        <v>0</v>
      </c>
      <c r="CB122" s="565">
        <f t="shared" si="386"/>
        <v>0</v>
      </c>
      <c r="CC122" s="565">
        <f t="shared" si="387"/>
        <v>0</v>
      </c>
      <c r="CD122" s="565">
        <f t="shared" si="388"/>
        <v>0</v>
      </c>
      <c r="CE122" s="568">
        <f t="shared" si="389"/>
        <v>0</v>
      </c>
      <c r="CF122" s="556"/>
      <c r="CG122" s="565">
        <f t="shared" ref="CG122:CG128" si="440">CG49</f>
        <v>0</v>
      </c>
      <c r="CH122" s="565">
        <f t="shared" si="390"/>
        <v>0</v>
      </c>
      <c r="CI122" s="565">
        <f t="shared" si="391"/>
        <v>0</v>
      </c>
      <c r="CJ122" s="565">
        <f t="shared" si="392"/>
        <v>0</v>
      </c>
      <c r="CK122" s="568">
        <f t="shared" si="393"/>
        <v>0</v>
      </c>
      <c r="CL122" s="556"/>
      <c r="CM122" s="565">
        <f t="shared" ref="CM122:CM128" si="441">CM49</f>
        <v>0</v>
      </c>
      <c r="CN122" s="565">
        <f t="shared" si="394"/>
        <v>0</v>
      </c>
      <c r="CO122" s="565">
        <f t="shared" si="395"/>
        <v>0</v>
      </c>
      <c r="CP122" s="565">
        <f t="shared" si="396"/>
        <v>198.82399999999996</v>
      </c>
      <c r="CQ122" s="568">
        <f t="shared" si="397"/>
        <v>198.82399999999996</v>
      </c>
      <c r="CR122" s="556"/>
      <c r="CS122" s="565">
        <f t="shared" ref="CS122:CS128" si="442">CS49</f>
        <v>0</v>
      </c>
      <c r="CT122" s="565">
        <f t="shared" si="398"/>
        <v>0</v>
      </c>
      <c r="CU122" s="565">
        <f t="shared" si="399"/>
        <v>0</v>
      </c>
      <c r="CV122" s="565">
        <f t="shared" si="400"/>
        <v>0</v>
      </c>
      <c r="CW122" s="568">
        <f t="shared" si="401"/>
        <v>0</v>
      </c>
      <c r="CX122" s="556"/>
      <c r="CY122" s="565">
        <f t="shared" ref="CY122:CY128" si="443">CY49</f>
        <v>0</v>
      </c>
      <c r="CZ122" s="565">
        <f t="shared" si="402"/>
        <v>0</v>
      </c>
      <c r="DA122" s="565">
        <f t="shared" si="403"/>
        <v>0</v>
      </c>
      <c r="DB122" s="565">
        <f t="shared" si="404"/>
        <v>0</v>
      </c>
      <c r="DC122" s="568">
        <f t="shared" si="405"/>
        <v>0</v>
      </c>
      <c r="DD122" s="556"/>
      <c r="DE122" s="565">
        <f t="shared" ref="DE122:DE128" si="444">DE49</f>
        <v>0</v>
      </c>
      <c r="DF122" s="565">
        <f t="shared" si="406"/>
        <v>0</v>
      </c>
      <c r="DG122" s="565">
        <f t="shared" si="407"/>
        <v>0</v>
      </c>
      <c r="DH122" s="565">
        <f t="shared" si="408"/>
        <v>0</v>
      </c>
      <c r="DI122" s="568">
        <f t="shared" si="409"/>
        <v>0</v>
      </c>
      <c r="DJ122" s="556"/>
      <c r="DK122" s="565">
        <f t="shared" ref="DK122:DK128" si="445">DK49</f>
        <v>0</v>
      </c>
      <c r="DL122" s="565">
        <f t="shared" si="410"/>
        <v>0</v>
      </c>
      <c r="DM122" s="565">
        <f t="shared" si="411"/>
        <v>0</v>
      </c>
      <c r="DN122" s="565">
        <f t="shared" si="412"/>
        <v>0</v>
      </c>
      <c r="DO122" s="568">
        <f t="shared" si="413"/>
        <v>0</v>
      </c>
      <c r="DP122" s="1698"/>
      <c r="DQ122" s="956"/>
      <c r="DR122" s="956"/>
    </row>
    <row r="123" spans="1:122" ht="10.5" customHeight="1">
      <c r="A123" s="555" t="s">
        <v>122</v>
      </c>
      <c r="B123" s="584"/>
      <c r="C123" s="565">
        <v>0</v>
      </c>
      <c r="D123" s="565">
        <v>-0.105</v>
      </c>
      <c r="E123" s="565">
        <v>-0.65600000000000003</v>
      </c>
      <c r="F123" s="584"/>
      <c r="G123" s="556">
        <v>-0.23200000000000001</v>
      </c>
      <c r="H123" s="556">
        <v>-0.34899999999999998</v>
      </c>
      <c r="I123" s="556">
        <v>-0.13800000000000001</v>
      </c>
      <c r="J123" s="556">
        <v>-3.7999999999999999E-2</v>
      </c>
      <c r="K123" s="565">
        <f t="shared" si="414"/>
        <v>-0.75700000000000001</v>
      </c>
      <c r="L123" s="556"/>
      <c r="M123" s="556">
        <v>-0.151</v>
      </c>
      <c r="N123" s="556">
        <v>-0.159</v>
      </c>
      <c r="O123" s="556">
        <v>-0.13600000000000001</v>
      </c>
      <c r="P123" s="556">
        <v>-8.5000000000000006E-2</v>
      </c>
      <c r="Q123" s="565">
        <f t="shared" si="415"/>
        <v>-0.53100000000000003</v>
      </c>
      <c r="R123" s="584"/>
      <c r="S123" s="565">
        <v>-5.8000000000000003E-2</v>
      </c>
      <c r="T123" s="565">
        <f t="shared" si="421"/>
        <v>-0.157</v>
      </c>
      <c r="U123" s="565">
        <f t="shared" si="421"/>
        <v>-0.13899999999999998</v>
      </c>
      <c r="V123" s="565">
        <f t="shared" si="421"/>
        <v>-0.13900000000000001</v>
      </c>
      <c r="W123" s="565">
        <f t="shared" si="416"/>
        <v>-0.49299999999999999</v>
      </c>
      <c r="X123" s="556"/>
      <c r="Y123" s="565">
        <f t="shared" si="422"/>
        <v>-0.14000000000000001</v>
      </c>
      <c r="Z123" s="565">
        <f t="shared" si="423"/>
        <v>-0.17099999999999999</v>
      </c>
      <c r="AA123" s="565">
        <f t="shared" si="423"/>
        <v>-0.15200000000000002</v>
      </c>
      <c r="AB123" s="565">
        <f t="shared" si="423"/>
        <v>-0.15099999999999997</v>
      </c>
      <c r="AC123" s="565">
        <f t="shared" si="417"/>
        <v>-0.61399999999999999</v>
      </c>
      <c r="AD123" s="556"/>
      <c r="AE123" s="565">
        <f t="shared" si="424"/>
        <v>-0.151</v>
      </c>
      <c r="AF123" s="565">
        <f t="shared" si="425"/>
        <v>-0.153</v>
      </c>
      <c r="AG123" s="565">
        <f t="shared" si="425"/>
        <v>-0.15500000000000003</v>
      </c>
      <c r="AH123" s="565">
        <f t="shared" si="425"/>
        <v>-0.15799999999999997</v>
      </c>
      <c r="AI123" s="568">
        <f t="shared" si="418"/>
        <v>-0.61699999999999999</v>
      </c>
      <c r="AJ123" s="556"/>
      <c r="AK123" s="565">
        <f t="shared" si="426"/>
        <v>-0.157</v>
      </c>
      <c r="AL123" s="565">
        <f t="shared" si="427"/>
        <v>-6.0000000000000053E-3</v>
      </c>
      <c r="AM123" s="565">
        <f t="shared" si="428"/>
        <v>-6.0000000000000053E-3</v>
      </c>
      <c r="AN123" s="565">
        <f t="shared" si="429"/>
        <v>-5.9999999999999776E-3</v>
      </c>
      <c r="AO123" s="568">
        <f t="shared" si="419"/>
        <v>-0.17499999999999999</v>
      </c>
      <c r="AP123" s="556"/>
      <c r="AQ123" s="565">
        <f t="shared" si="430"/>
        <v>-5.0000000000000001E-3</v>
      </c>
      <c r="AR123" s="565">
        <f t="shared" si="431"/>
        <v>0</v>
      </c>
      <c r="AS123" s="565">
        <f t="shared" si="432"/>
        <v>-0.28599999999999998</v>
      </c>
      <c r="AT123" s="565">
        <f t="shared" si="433"/>
        <v>-0.70599999999999996</v>
      </c>
      <c r="AU123" s="568">
        <f t="shared" si="420"/>
        <v>-0.99699999999999989</v>
      </c>
      <c r="AV123" s="556"/>
      <c r="AW123" s="565">
        <f t="shared" si="434"/>
        <v>-1.248</v>
      </c>
      <c r="AX123" s="565">
        <f t="shared" si="366"/>
        <v>-2.258</v>
      </c>
      <c r="AY123" s="565">
        <f t="shared" si="367"/>
        <v>-2.3980000000000001</v>
      </c>
      <c r="AZ123" s="565">
        <f t="shared" si="368"/>
        <v>5.9039999999999999</v>
      </c>
      <c r="BA123" s="568">
        <f t="shared" si="369"/>
        <v>0</v>
      </c>
      <c r="BB123" s="556"/>
      <c r="BC123" s="565">
        <f t="shared" si="435"/>
        <v>-1.9179999999999999</v>
      </c>
      <c r="BD123" s="565">
        <f t="shared" si="370"/>
        <v>-2.1230000000000002</v>
      </c>
      <c r="BE123" s="565">
        <f t="shared" si="371"/>
        <v>-3.1159999999999997</v>
      </c>
      <c r="BF123" s="565">
        <f t="shared" si="372"/>
        <v>-3.1980000000000004</v>
      </c>
      <c r="BG123" s="568">
        <f t="shared" si="373"/>
        <v>-10.355</v>
      </c>
      <c r="BH123" s="556"/>
      <c r="BI123" s="565">
        <f t="shared" si="436"/>
        <v>-3.5619999999999998</v>
      </c>
      <c r="BJ123" s="565">
        <f t="shared" si="374"/>
        <v>-10.549000000000001</v>
      </c>
      <c r="BK123" s="565">
        <f t="shared" si="375"/>
        <v>-7.6849999999999987</v>
      </c>
      <c r="BL123" s="565">
        <f t="shared" si="376"/>
        <v>-8.7370000000000019</v>
      </c>
      <c r="BM123" s="568">
        <f t="shared" si="377"/>
        <v>-30.533000000000001</v>
      </c>
      <c r="BN123" s="556"/>
      <c r="BO123" s="565">
        <f t="shared" si="437"/>
        <v>-7.5739999999999998</v>
      </c>
      <c r="BP123" s="565">
        <f t="shared" si="379"/>
        <v>-7.479000000000001</v>
      </c>
      <c r="BQ123" s="565">
        <f t="shared" si="379"/>
        <v>-7.6639999999999979</v>
      </c>
      <c r="BR123" s="565">
        <f t="shared" si="380"/>
        <v>-9.0370000000000026</v>
      </c>
      <c r="BS123" s="568">
        <f t="shared" si="381"/>
        <v>-31.754000000000001</v>
      </c>
      <c r="BT123" s="556"/>
      <c r="BU123" s="565">
        <f t="shared" si="438"/>
        <v>-8.4990000000000006</v>
      </c>
      <c r="BV123" s="565">
        <f t="shared" si="382"/>
        <v>-12.107999999999999</v>
      </c>
      <c r="BW123" s="565">
        <f t="shared" si="383"/>
        <v>-12.439999999999998</v>
      </c>
      <c r="BX123" s="565">
        <f t="shared" si="384"/>
        <v>-8.0519999999999996</v>
      </c>
      <c r="BY123" s="568">
        <f t="shared" si="385"/>
        <v>-41.098999999999997</v>
      </c>
      <c r="BZ123" s="556"/>
      <c r="CA123" s="565">
        <f t="shared" si="439"/>
        <v>-10.593999999999999</v>
      </c>
      <c r="CB123" s="565">
        <f t="shared" si="386"/>
        <v>-40.341000000000001</v>
      </c>
      <c r="CC123" s="565">
        <f t="shared" si="387"/>
        <v>-10.344999999999999</v>
      </c>
      <c r="CD123" s="565">
        <f t="shared" si="388"/>
        <v>-9.3829999999999956</v>
      </c>
      <c r="CE123" s="568">
        <f t="shared" si="389"/>
        <v>-70.662999999999997</v>
      </c>
      <c r="CF123" s="556"/>
      <c r="CG123" s="565">
        <f t="shared" si="440"/>
        <v>-16.824999999999999</v>
      </c>
      <c r="CH123" s="565">
        <f t="shared" si="390"/>
        <v>-41.073999999999998</v>
      </c>
      <c r="CI123" s="565">
        <f t="shared" si="391"/>
        <v>-10.944999999999993</v>
      </c>
      <c r="CJ123" s="565">
        <f t="shared" si="392"/>
        <v>-13.486000000000004</v>
      </c>
      <c r="CK123" s="568">
        <f t="shared" si="393"/>
        <v>-82.33</v>
      </c>
      <c r="CL123" s="556"/>
      <c r="CM123" s="565">
        <f t="shared" si="441"/>
        <v>-49.968000000000004</v>
      </c>
      <c r="CN123" s="565">
        <f t="shared" si="394"/>
        <v>-12.794999999999995</v>
      </c>
      <c r="CO123" s="565">
        <f t="shared" si="395"/>
        <v>-10.997000000000007</v>
      </c>
      <c r="CP123" s="565">
        <f t="shared" si="396"/>
        <v>-24.396999999999991</v>
      </c>
      <c r="CQ123" s="568">
        <f t="shared" si="397"/>
        <v>-98.156999999999996</v>
      </c>
      <c r="CR123" s="556"/>
      <c r="CS123" s="565">
        <f t="shared" si="442"/>
        <v>-209.44300000000001</v>
      </c>
      <c r="CT123" s="565">
        <f t="shared" si="398"/>
        <v>-65.730999999999966</v>
      </c>
      <c r="CU123" s="565">
        <f t="shared" si="399"/>
        <v>-7.7160000000000082</v>
      </c>
      <c r="CV123" s="565">
        <f t="shared" si="400"/>
        <v>-23.006000000000029</v>
      </c>
      <c r="CW123" s="568">
        <f t="shared" si="401"/>
        <v>-305.89600000000002</v>
      </c>
      <c r="CX123" s="556"/>
      <c r="CY123" s="565">
        <f t="shared" si="443"/>
        <v>0</v>
      </c>
      <c r="CZ123" s="565">
        <f t="shared" si="402"/>
        <v>0</v>
      </c>
      <c r="DA123" s="565">
        <f t="shared" si="403"/>
        <v>0</v>
      </c>
      <c r="DB123" s="565">
        <f t="shared" si="404"/>
        <v>0</v>
      </c>
      <c r="DC123" s="568">
        <f t="shared" si="405"/>
        <v>0</v>
      </c>
      <c r="DD123" s="556"/>
      <c r="DE123" s="565">
        <f t="shared" si="444"/>
        <v>0</v>
      </c>
      <c r="DF123" s="565">
        <f t="shared" si="406"/>
        <v>0</v>
      </c>
      <c r="DG123" s="565">
        <f t="shared" si="407"/>
        <v>0</v>
      </c>
      <c r="DH123" s="565">
        <f t="shared" si="408"/>
        <v>0</v>
      </c>
      <c r="DI123" s="568">
        <f t="shared" si="409"/>
        <v>0</v>
      </c>
      <c r="DJ123" s="556"/>
      <c r="DK123" s="565">
        <f t="shared" si="445"/>
        <v>0</v>
      </c>
      <c r="DL123" s="565">
        <f t="shared" si="410"/>
        <v>0</v>
      </c>
      <c r="DM123" s="565">
        <f t="shared" si="411"/>
        <v>0</v>
      </c>
      <c r="DN123" s="565">
        <f t="shared" si="412"/>
        <v>0</v>
      </c>
      <c r="DO123" s="568">
        <f t="shared" si="413"/>
        <v>0</v>
      </c>
      <c r="DP123" s="1698"/>
      <c r="DQ123" s="956"/>
      <c r="DR123" s="956"/>
    </row>
    <row r="124" spans="1:122" ht="10.5" customHeight="1">
      <c r="A124" s="555" t="s">
        <v>316</v>
      </c>
      <c r="B124" s="584"/>
      <c r="C124" s="556">
        <v>0</v>
      </c>
      <c r="D124" s="556">
        <v>0</v>
      </c>
      <c r="E124" s="556">
        <v>0</v>
      </c>
      <c r="F124" s="584"/>
      <c r="G124" s="556">
        <v>0</v>
      </c>
      <c r="H124" s="556">
        <v>0</v>
      </c>
      <c r="I124" s="556">
        <v>0</v>
      </c>
      <c r="J124" s="556">
        <v>0</v>
      </c>
      <c r="K124" s="565">
        <f t="shared" si="414"/>
        <v>0</v>
      </c>
      <c r="L124" s="556"/>
      <c r="M124" s="556">
        <v>0</v>
      </c>
      <c r="N124" s="556">
        <v>0</v>
      </c>
      <c r="O124" s="556">
        <v>0</v>
      </c>
      <c r="P124" s="556">
        <v>0</v>
      </c>
      <c r="Q124" s="565">
        <f t="shared" si="415"/>
        <v>0</v>
      </c>
      <c r="R124" s="584"/>
      <c r="S124" s="565">
        <v>0</v>
      </c>
      <c r="T124" s="565">
        <f t="shared" si="421"/>
        <v>0</v>
      </c>
      <c r="U124" s="565">
        <f t="shared" si="421"/>
        <v>0</v>
      </c>
      <c r="V124" s="565">
        <f t="shared" si="421"/>
        <v>0</v>
      </c>
      <c r="W124" s="565">
        <f t="shared" si="416"/>
        <v>0</v>
      </c>
      <c r="X124" s="556"/>
      <c r="Y124" s="565">
        <f t="shared" si="422"/>
        <v>0</v>
      </c>
      <c r="Z124" s="565">
        <f t="shared" si="423"/>
        <v>0</v>
      </c>
      <c r="AA124" s="565">
        <f t="shared" si="423"/>
        <v>0</v>
      </c>
      <c r="AB124" s="565">
        <f t="shared" si="423"/>
        <v>0</v>
      </c>
      <c r="AC124" s="565">
        <f t="shared" si="417"/>
        <v>0</v>
      </c>
      <c r="AD124" s="556"/>
      <c r="AE124" s="565">
        <f t="shared" si="424"/>
        <v>0</v>
      </c>
      <c r="AF124" s="565">
        <f t="shared" si="425"/>
        <v>0</v>
      </c>
      <c r="AG124" s="565">
        <f t="shared" si="425"/>
        <v>0</v>
      </c>
      <c r="AH124" s="565">
        <f t="shared" si="425"/>
        <v>0</v>
      </c>
      <c r="AI124" s="568">
        <f t="shared" si="418"/>
        <v>0</v>
      </c>
      <c r="AJ124" s="556"/>
      <c r="AK124" s="565">
        <f t="shared" si="426"/>
        <v>0</v>
      </c>
      <c r="AL124" s="565">
        <f t="shared" si="427"/>
        <v>0</v>
      </c>
      <c r="AM124" s="565">
        <f t="shared" si="428"/>
        <v>0</v>
      </c>
      <c r="AN124" s="565">
        <f t="shared" si="429"/>
        <v>0</v>
      </c>
      <c r="AO124" s="568">
        <f t="shared" si="419"/>
        <v>0</v>
      </c>
      <c r="AP124" s="556"/>
      <c r="AQ124" s="565">
        <f t="shared" si="430"/>
        <v>0</v>
      </c>
      <c r="AR124" s="565">
        <f t="shared" si="431"/>
        <v>0</v>
      </c>
      <c r="AS124" s="565">
        <f t="shared" si="432"/>
        <v>0</v>
      </c>
      <c r="AT124" s="565">
        <f t="shared" si="433"/>
        <v>0</v>
      </c>
      <c r="AU124" s="568">
        <f t="shared" si="420"/>
        <v>0</v>
      </c>
      <c r="AV124" s="556"/>
      <c r="AW124" s="565">
        <f t="shared" si="434"/>
        <v>0</v>
      </c>
      <c r="AX124" s="565">
        <f t="shared" si="366"/>
        <v>0</v>
      </c>
      <c r="AY124" s="565">
        <f t="shared" si="367"/>
        <v>0</v>
      </c>
      <c r="AZ124" s="565">
        <f t="shared" si="368"/>
        <v>0</v>
      </c>
      <c r="BA124" s="568">
        <f t="shared" si="369"/>
        <v>0</v>
      </c>
      <c r="BB124" s="556"/>
      <c r="BC124" s="565">
        <f t="shared" si="435"/>
        <v>0</v>
      </c>
      <c r="BD124" s="565">
        <f t="shared" si="370"/>
        <v>0</v>
      </c>
      <c r="BE124" s="565">
        <v>-150.97</v>
      </c>
      <c r="BF124" s="565">
        <f t="shared" si="372"/>
        <v>-19.721000000000004</v>
      </c>
      <c r="BG124" s="568">
        <f t="shared" si="373"/>
        <v>-170.691</v>
      </c>
      <c r="BH124" s="556"/>
      <c r="BI124" s="565">
        <f t="shared" si="436"/>
        <v>0</v>
      </c>
      <c r="BJ124" s="565">
        <f t="shared" si="374"/>
        <v>0</v>
      </c>
      <c r="BK124" s="565">
        <f t="shared" si="375"/>
        <v>0</v>
      </c>
      <c r="BL124" s="565">
        <f t="shared" si="376"/>
        <v>0</v>
      </c>
      <c r="BM124" s="568">
        <f t="shared" si="377"/>
        <v>0</v>
      </c>
      <c r="BN124" s="556"/>
      <c r="BO124" s="565">
        <f t="shared" si="437"/>
        <v>0</v>
      </c>
      <c r="BP124" s="565">
        <f t="shared" si="378"/>
        <v>0</v>
      </c>
      <c r="BQ124" s="565">
        <f t="shared" si="379"/>
        <v>0</v>
      </c>
      <c r="BR124" s="565">
        <f t="shared" si="380"/>
        <v>0</v>
      </c>
      <c r="BS124" s="568">
        <f t="shared" si="381"/>
        <v>0</v>
      </c>
      <c r="BT124" s="556"/>
      <c r="BU124" s="565">
        <f t="shared" si="438"/>
        <v>0</v>
      </c>
      <c r="BV124" s="565">
        <f t="shared" si="382"/>
        <v>0</v>
      </c>
      <c r="BW124" s="565">
        <f t="shared" si="383"/>
        <v>0</v>
      </c>
      <c r="BX124" s="565">
        <f t="shared" si="384"/>
        <v>0</v>
      </c>
      <c r="BY124" s="568">
        <f t="shared" si="385"/>
        <v>0</v>
      </c>
      <c r="BZ124" s="556"/>
      <c r="CA124" s="565">
        <f t="shared" si="439"/>
        <v>0</v>
      </c>
      <c r="CB124" s="565">
        <f t="shared" si="386"/>
        <v>0</v>
      </c>
      <c r="CC124" s="565">
        <f t="shared" si="387"/>
        <v>0</v>
      </c>
      <c r="CD124" s="565">
        <f t="shared" si="388"/>
        <v>0</v>
      </c>
      <c r="CE124" s="568">
        <f t="shared" si="389"/>
        <v>0</v>
      </c>
      <c r="CF124" s="556"/>
      <c r="CG124" s="565">
        <f t="shared" si="440"/>
        <v>0</v>
      </c>
      <c r="CH124" s="565">
        <f t="shared" si="390"/>
        <v>0</v>
      </c>
      <c r="CI124" s="565">
        <f t="shared" si="391"/>
        <v>0</v>
      </c>
      <c r="CJ124" s="565">
        <f t="shared" si="392"/>
        <v>0</v>
      </c>
      <c r="CK124" s="568">
        <f t="shared" si="393"/>
        <v>0</v>
      </c>
      <c r="CL124" s="556"/>
      <c r="CM124" s="565">
        <f t="shared" si="441"/>
        <v>0</v>
      </c>
      <c r="CN124" s="565">
        <f t="shared" si="394"/>
        <v>0</v>
      </c>
      <c r="CO124" s="565">
        <f t="shared" si="395"/>
        <v>0</v>
      </c>
      <c r="CP124" s="565">
        <f t="shared" si="396"/>
        <v>0</v>
      </c>
      <c r="CQ124" s="568">
        <f t="shared" si="397"/>
        <v>0</v>
      </c>
      <c r="CR124" s="556"/>
      <c r="CS124" s="565">
        <f t="shared" si="442"/>
        <v>0</v>
      </c>
      <c r="CT124" s="565">
        <f t="shared" si="398"/>
        <v>0</v>
      </c>
      <c r="CU124" s="565">
        <f t="shared" si="399"/>
        <v>0</v>
      </c>
      <c r="CV124" s="565">
        <f t="shared" si="400"/>
        <v>0</v>
      </c>
      <c r="CW124" s="568">
        <f t="shared" si="401"/>
        <v>0</v>
      </c>
      <c r="CX124" s="556"/>
      <c r="CY124" s="565">
        <f t="shared" si="443"/>
        <v>0</v>
      </c>
      <c r="CZ124" s="565">
        <f t="shared" si="402"/>
        <v>0</v>
      </c>
      <c r="DA124" s="565">
        <f t="shared" si="403"/>
        <v>0</v>
      </c>
      <c r="DB124" s="565">
        <f t="shared" si="404"/>
        <v>0</v>
      </c>
      <c r="DC124" s="568">
        <f t="shared" si="405"/>
        <v>0</v>
      </c>
      <c r="DD124" s="556"/>
      <c r="DE124" s="565">
        <f t="shared" si="444"/>
        <v>0</v>
      </c>
      <c r="DF124" s="565">
        <f t="shared" si="406"/>
        <v>0</v>
      </c>
      <c r="DG124" s="565">
        <f t="shared" si="407"/>
        <v>0</v>
      </c>
      <c r="DH124" s="565">
        <f t="shared" si="408"/>
        <v>0</v>
      </c>
      <c r="DI124" s="568">
        <f t="shared" si="409"/>
        <v>0</v>
      </c>
      <c r="DJ124" s="556"/>
      <c r="DK124" s="565">
        <f t="shared" si="445"/>
        <v>0</v>
      </c>
      <c r="DL124" s="565">
        <f t="shared" si="410"/>
        <v>0</v>
      </c>
      <c r="DM124" s="565">
        <f t="shared" si="411"/>
        <v>0</v>
      </c>
      <c r="DN124" s="565">
        <f t="shared" si="412"/>
        <v>0</v>
      </c>
      <c r="DO124" s="568">
        <f t="shared" si="413"/>
        <v>0</v>
      </c>
      <c r="DP124" s="1698"/>
      <c r="DQ124" s="956"/>
      <c r="DR124" s="956"/>
    </row>
    <row r="125" spans="1:122" ht="10.5" customHeight="1">
      <c r="A125" s="555" t="s">
        <v>660</v>
      </c>
      <c r="B125" s="584"/>
      <c r="C125" s="556">
        <v>0</v>
      </c>
      <c r="D125" s="556">
        <v>0</v>
      </c>
      <c r="E125" s="556">
        <v>0</v>
      </c>
      <c r="F125" s="584"/>
      <c r="G125" s="556">
        <v>0</v>
      </c>
      <c r="H125" s="556">
        <v>0</v>
      </c>
      <c r="I125" s="556">
        <v>0</v>
      </c>
      <c r="J125" s="556">
        <v>0</v>
      </c>
      <c r="K125" s="565">
        <f t="shared" si="414"/>
        <v>0</v>
      </c>
      <c r="L125" s="556"/>
      <c r="M125" s="556">
        <v>0</v>
      </c>
      <c r="N125" s="556">
        <v>0</v>
      </c>
      <c r="O125" s="556">
        <v>0</v>
      </c>
      <c r="P125" s="556">
        <v>0</v>
      </c>
      <c r="Q125" s="565">
        <f t="shared" si="415"/>
        <v>0</v>
      </c>
      <c r="R125" s="584"/>
      <c r="S125" s="565">
        <v>0</v>
      </c>
      <c r="T125" s="565">
        <f t="shared" si="421"/>
        <v>0</v>
      </c>
      <c r="U125" s="565">
        <f t="shared" si="421"/>
        <v>0</v>
      </c>
      <c r="V125" s="565">
        <f t="shared" si="421"/>
        <v>0</v>
      </c>
      <c r="W125" s="565">
        <f t="shared" si="416"/>
        <v>0</v>
      </c>
      <c r="X125" s="556"/>
      <c r="Y125" s="565">
        <f t="shared" si="422"/>
        <v>0</v>
      </c>
      <c r="Z125" s="565">
        <f t="shared" si="423"/>
        <v>0</v>
      </c>
      <c r="AA125" s="565">
        <f t="shared" si="423"/>
        <v>0</v>
      </c>
      <c r="AB125" s="565">
        <f t="shared" si="423"/>
        <v>0</v>
      </c>
      <c r="AC125" s="565">
        <f t="shared" si="417"/>
        <v>0</v>
      </c>
      <c r="AD125" s="556"/>
      <c r="AE125" s="565">
        <f t="shared" si="424"/>
        <v>0</v>
      </c>
      <c r="AF125" s="565">
        <f t="shared" si="425"/>
        <v>0</v>
      </c>
      <c r="AG125" s="565">
        <f t="shared" si="425"/>
        <v>0</v>
      </c>
      <c r="AH125" s="565">
        <f t="shared" si="425"/>
        <v>0</v>
      </c>
      <c r="AI125" s="568">
        <f t="shared" si="418"/>
        <v>0</v>
      </c>
      <c r="AJ125" s="556"/>
      <c r="AK125" s="565">
        <f t="shared" si="426"/>
        <v>0</v>
      </c>
      <c r="AL125" s="565">
        <f t="shared" si="427"/>
        <v>0</v>
      </c>
      <c r="AM125" s="565">
        <f t="shared" si="428"/>
        <v>0</v>
      </c>
      <c r="AN125" s="565">
        <f t="shared" si="429"/>
        <v>0</v>
      </c>
      <c r="AO125" s="568">
        <f t="shared" si="419"/>
        <v>0</v>
      </c>
      <c r="AP125" s="556"/>
      <c r="AQ125" s="565">
        <f t="shared" si="430"/>
        <v>0</v>
      </c>
      <c r="AR125" s="565">
        <f t="shared" si="431"/>
        <v>0</v>
      </c>
      <c r="AS125" s="565">
        <f t="shared" si="432"/>
        <v>0</v>
      </c>
      <c r="AT125" s="565">
        <f t="shared" si="433"/>
        <v>0</v>
      </c>
      <c r="AU125" s="568">
        <f t="shared" si="420"/>
        <v>0</v>
      </c>
      <c r="AV125" s="556"/>
      <c r="AW125" s="565">
        <f t="shared" si="434"/>
        <v>0</v>
      </c>
      <c r="AX125" s="565">
        <f t="shared" si="366"/>
        <v>0</v>
      </c>
      <c r="AY125" s="565">
        <f t="shared" si="367"/>
        <v>0</v>
      </c>
      <c r="AZ125" s="565">
        <f t="shared" si="368"/>
        <v>567.09400000000005</v>
      </c>
      <c r="BA125" s="568">
        <f t="shared" si="369"/>
        <v>567.09400000000005</v>
      </c>
      <c r="BB125" s="556"/>
      <c r="BC125" s="565">
        <f t="shared" si="435"/>
        <v>0</v>
      </c>
      <c r="BD125" s="565">
        <f t="shared" si="370"/>
        <v>0</v>
      </c>
      <c r="BE125" s="565">
        <f t="shared" si="371"/>
        <v>0</v>
      </c>
      <c r="BF125" s="565">
        <f t="shared" si="372"/>
        <v>0</v>
      </c>
      <c r="BG125" s="568">
        <f t="shared" si="373"/>
        <v>0</v>
      </c>
      <c r="BH125" s="556"/>
      <c r="BI125" s="565">
        <f t="shared" si="436"/>
        <v>0</v>
      </c>
      <c r="BJ125" s="565">
        <f t="shared" si="374"/>
        <v>0</v>
      </c>
      <c r="BK125" s="565">
        <f t="shared" si="375"/>
        <v>0</v>
      </c>
      <c r="BL125" s="565">
        <f t="shared" si="376"/>
        <v>0</v>
      </c>
      <c r="BM125" s="568">
        <f t="shared" si="377"/>
        <v>0</v>
      </c>
      <c r="BN125" s="556"/>
      <c r="BO125" s="565">
        <f t="shared" si="437"/>
        <v>0</v>
      </c>
      <c r="BP125" s="565">
        <f t="shared" si="378"/>
        <v>0</v>
      </c>
      <c r="BQ125" s="565">
        <f t="shared" si="379"/>
        <v>0</v>
      </c>
      <c r="BR125" s="565">
        <f t="shared" si="380"/>
        <v>0</v>
      </c>
      <c r="BS125" s="568">
        <f t="shared" si="381"/>
        <v>0</v>
      </c>
      <c r="BT125" s="556"/>
      <c r="BU125" s="565">
        <f t="shared" si="438"/>
        <v>0</v>
      </c>
      <c r="BV125" s="565">
        <f t="shared" si="382"/>
        <v>298.5</v>
      </c>
      <c r="BW125" s="565">
        <f>IF(BV52="-","-",SUM(BW52)-SUM(BV52))</f>
        <v>-7.5</v>
      </c>
      <c r="BX125" s="565">
        <f>IF(BW52="-","-",SUM(BX52)-SUM(BW52))</f>
        <v>-7.5</v>
      </c>
      <c r="BY125" s="568">
        <f>SUM(BU125:BX125)</f>
        <v>283.5</v>
      </c>
      <c r="BZ125" s="556"/>
      <c r="CA125" s="565">
        <f t="shared" si="439"/>
        <v>-7.5</v>
      </c>
      <c r="CB125" s="565">
        <f>IF(CA52="-","-",SUM(CB52)-SUM(CA52))</f>
        <v>-7.5</v>
      </c>
      <c r="CC125" s="565">
        <f>IF(CB52="-","-",SUM(CC52)-SUM(CB52))</f>
        <v>27.324999999999989</v>
      </c>
      <c r="CD125" s="565">
        <f>IF(CC52="-","-",SUM(CD52)-SUM(CC52))</f>
        <v>0</v>
      </c>
      <c r="CE125" s="568">
        <f>SUM(CA125:CD125)</f>
        <v>12.324999999999989</v>
      </c>
      <c r="CF125" s="556"/>
      <c r="CG125" s="565">
        <f t="shared" si="440"/>
        <v>-300</v>
      </c>
      <c r="CH125" s="565">
        <f>IF(CG52="-","-",SUM(CH52)-SUM(CG52))</f>
        <v>0</v>
      </c>
      <c r="CI125" s="565">
        <f>IF(CH52="-","-",SUM(CI52)-SUM(CH52))</f>
        <v>0</v>
      </c>
      <c r="CJ125" s="565">
        <f>IF(CI52="-","-",SUM(CJ52)-SUM(CI52))</f>
        <v>0</v>
      </c>
      <c r="CK125" s="568">
        <f>SUM(CG125:CJ125)</f>
        <v>-300</v>
      </c>
      <c r="CL125" s="556"/>
      <c r="CM125" s="565">
        <f t="shared" si="441"/>
        <v>0</v>
      </c>
      <c r="CN125" s="565">
        <f t="shared" ref="CN125:CP128" si="446">IF(CM52="-","-",SUM(CN52)-SUM(CM52))</f>
        <v>495.55</v>
      </c>
      <c r="CO125" s="565">
        <f t="shared" si="446"/>
        <v>0</v>
      </c>
      <c r="CP125" s="565">
        <f t="shared" si="446"/>
        <v>0</v>
      </c>
      <c r="CQ125" s="568">
        <f>SUM(CM125:CP125)</f>
        <v>495.55</v>
      </c>
      <c r="CR125" s="556"/>
      <c r="CS125" s="565">
        <f t="shared" si="442"/>
        <v>0</v>
      </c>
      <c r="CT125" s="565">
        <f t="shared" ref="CT125:CV128" si="447">IF(CS52="-","-",SUM(CT52)-SUM(CS52))</f>
        <v>0</v>
      </c>
      <c r="CU125" s="565">
        <f t="shared" si="447"/>
        <v>0</v>
      </c>
      <c r="CV125" s="565">
        <f t="shared" si="447"/>
        <v>0</v>
      </c>
      <c r="CW125" s="568">
        <f>SUM(CS125:CV125)</f>
        <v>0</v>
      </c>
      <c r="CX125" s="556"/>
      <c r="CY125" s="565">
        <f t="shared" si="443"/>
        <v>-198.13499999999993</v>
      </c>
      <c r="CZ125" s="565">
        <f t="shared" ref="CZ125:DB128" si="448">IF(CY52="-","-",SUM(CZ52)-SUM(CY52))</f>
        <v>0</v>
      </c>
      <c r="DA125" s="565">
        <f t="shared" si="448"/>
        <v>0</v>
      </c>
      <c r="DB125" s="565">
        <f t="shared" si="448"/>
        <v>0</v>
      </c>
      <c r="DC125" s="568">
        <f>SUM(CY125:DB125)</f>
        <v>-198.13499999999993</v>
      </c>
      <c r="DD125" s="556"/>
      <c r="DE125" s="565">
        <f t="shared" si="444"/>
        <v>0</v>
      </c>
      <c r="DF125" s="565">
        <f t="shared" si="406"/>
        <v>0</v>
      </c>
      <c r="DG125" s="565">
        <f t="shared" si="407"/>
        <v>0</v>
      </c>
      <c r="DH125" s="565">
        <f t="shared" si="408"/>
        <v>0</v>
      </c>
      <c r="DI125" s="568">
        <f>SUM(DE125:DH125)</f>
        <v>0</v>
      </c>
      <c r="DJ125" s="556"/>
      <c r="DK125" s="565">
        <f t="shared" si="445"/>
        <v>0</v>
      </c>
      <c r="DL125" s="565">
        <f t="shared" si="410"/>
        <v>0</v>
      </c>
      <c r="DM125" s="565">
        <f t="shared" si="411"/>
        <v>0</v>
      </c>
      <c r="DN125" s="565">
        <f t="shared" si="412"/>
        <v>0</v>
      </c>
      <c r="DO125" s="568">
        <f>SUM(DK125:DN125)</f>
        <v>0</v>
      </c>
      <c r="DP125" s="1698"/>
      <c r="DQ125" s="956"/>
      <c r="DR125" s="956"/>
    </row>
    <row r="126" spans="1:122" ht="10.5" customHeight="1">
      <c r="A126" s="555" t="s">
        <v>155</v>
      </c>
      <c r="B126" s="584"/>
      <c r="C126" s="556">
        <v>0</v>
      </c>
      <c r="D126" s="556">
        <v>0</v>
      </c>
      <c r="E126" s="556">
        <v>0</v>
      </c>
      <c r="F126" s="584"/>
      <c r="G126" s="556">
        <v>0</v>
      </c>
      <c r="H126" s="556">
        <v>0</v>
      </c>
      <c r="I126" s="556">
        <v>0</v>
      </c>
      <c r="J126" s="556">
        <v>0</v>
      </c>
      <c r="K126" s="565">
        <f t="shared" si="414"/>
        <v>0</v>
      </c>
      <c r="L126" s="556"/>
      <c r="M126" s="556">
        <v>0</v>
      </c>
      <c r="N126" s="556">
        <v>0</v>
      </c>
      <c r="O126" s="556">
        <v>0</v>
      </c>
      <c r="P126" s="556">
        <v>0</v>
      </c>
      <c r="Q126" s="565">
        <f t="shared" si="415"/>
        <v>0</v>
      </c>
      <c r="R126" s="584"/>
      <c r="S126" s="565">
        <v>0</v>
      </c>
      <c r="T126" s="565">
        <f t="shared" si="421"/>
        <v>0</v>
      </c>
      <c r="U126" s="565">
        <f t="shared" si="421"/>
        <v>0</v>
      </c>
      <c r="V126" s="565">
        <f t="shared" si="421"/>
        <v>0</v>
      </c>
      <c r="W126" s="565">
        <f t="shared" si="416"/>
        <v>0</v>
      </c>
      <c r="X126" s="556"/>
      <c r="Y126" s="565">
        <f t="shared" si="422"/>
        <v>0</v>
      </c>
      <c r="Z126" s="565">
        <f t="shared" si="423"/>
        <v>0</v>
      </c>
      <c r="AA126" s="565">
        <f t="shared" si="423"/>
        <v>0</v>
      </c>
      <c r="AB126" s="565">
        <f t="shared" si="423"/>
        <v>0</v>
      </c>
      <c r="AC126" s="565">
        <f t="shared" si="417"/>
        <v>0</v>
      </c>
      <c r="AD126" s="556"/>
      <c r="AE126" s="565">
        <f t="shared" si="424"/>
        <v>0</v>
      </c>
      <c r="AF126" s="565">
        <f t="shared" si="425"/>
        <v>0</v>
      </c>
      <c r="AG126" s="565">
        <f t="shared" si="425"/>
        <v>0</v>
      </c>
      <c r="AH126" s="565">
        <f t="shared" si="425"/>
        <v>0</v>
      </c>
      <c r="AI126" s="568">
        <f t="shared" si="418"/>
        <v>0</v>
      </c>
      <c r="AJ126" s="556"/>
      <c r="AK126" s="565">
        <f t="shared" si="426"/>
        <v>0</v>
      </c>
      <c r="AL126" s="565">
        <f t="shared" si="427"/>
        <v>0</v>
      </c>
      <c r="AM126" s="565">
        <f t="shared" si="428"/>
        <v>0</v>
      </c>
      <c r="AN126" s="565">
        <f t="shared" si="429"/>
        <v>0</v>
      </c>
      <c r="AO126" s="568">
        <f t="shared" si="419"/>
        <v>0</v>
      </c>
      <c r="AP126" s="556"/>
      <c r="AQ126" s="565">
        <f t="shared" si="430"/>
        <v>0</v>
      </c>
      <c r="AR126" s="565">
        <f t="shared" si="431"/>
        <v>0</v>
      </c>
      <c r="AS126" s="565">
        <f t="shared" si="432"/>
        <v>0</v>
      </c>
      <c r="AT126" s="565">
        <f t="shared" si="433"/>
        <v>0</v>
      </c>
      <c r="AU126" s="568">
        <f t="shared" si="420"/>
        <v>0</v>
      </c>
      <c r="AV126" s="556"/>
      <c r="AW126" s="565">
        <f t="shared" si="434"/>
        <v>0</v>
      </c>
      <c r="AX126" s="565">
        <f t="shared" si="366"/>
        <v>0</v>
      </c>
      <c r="AY126" s="565">
        <f t="shared" si="367"/>
        <v>0</v>
      </c>
      <c r="AZ126" s="565">
        <f t="shared" si="368"/>
        <v>-67.216999999999999</v>
      </c>
      <c r="BA126" s="568">
        <f t="shared" si="369"/>
        <v>-67.216999999999999</v>
      </c>
      <c r="BB126" s="556"/>
      <c r="BC126" s="565">
        <f t="shared" si="435"/>
        <v>0</v>
      </c>
      <c r="BD126" s="565">
        <f t="shared" si="370"/>
        <v>0</v>
      </c>
      <c r="BE126" s="565">
        <f t="shared" si="371"/>
        <v>0</v>
      </c>
      <c r="BF126" s="565">
        <f t="shared" si="372"/>
        <v>0</v>
      </c>
      <c r="BG126" s="568">
        <f t="shared" si="373"/>
        <v>0</v>
      </c>
      <c r="BH126" s="556"/>
      <c r="BI126" s="565">
        <f t="shared" si="436"/>
        <v>0</v>
      </c>
      <c r="BJ126" s="565">
        <f t="shared" si="374"/>
        <v>0</v>
      </c>
      <c r="BK126" s="565">
        <f t="shared" si="375"/>
        <v>0</v>
      </c>
      <c r="BL126" s="565">
        <f t="shared" si="376"/>
        <v>0</v>
      </c>
      <c r="BM126" s="568">
        <f t="shared" si="377"/>
        <v>0</v>
      </c>
      <c r="BN126" s="556"/>
      <c r="BO126" s="565">
        <f t="shared" si="437"/>
        <v>0</v>
      </c>
      <c r="BP126" s="565">
        <f t="shared" si="378"/>
        <v>0</v>
      </c>
      <c r="BQ126" s="565">
        <f t="shared" si="379"/>
        <v>0</v>
      </c>
      <c r="BR126" s="565">
        <f t="shared" si="380"/>
        <v>0</v>
      </c>
      <c r="BS126" s="568">
        <f t="shared" si="381"/>
        <v>0</v>
      </c>
      <c r="BT126" s="556"/>
      <c r="BU126" s="565">
        <f t="shared" si="438"/>
        <v>1063.75</v>
      </c>
      <c r="BV126" s="565">
        <f t="shared" si="382"/>
        <v>0</v>
      </c>
      <c r="BW126" s="565">
        <f t="shared" si="383"/>
        <v>0</v>
      </c>
      <c r="BX126" s="565">
        <f t="shared" si="384"/>
        <v>-5.9919999999999618</v>
      </c>
      <c r="BY126" s="568">
        <f t="shared" si="385"/>
        <v>1057.758</v>
      </c>
      <c r="BZ126" s="556"/>
      <c r="CA126" s="565">
        <f t="shared" si="439"/>
        <v>-283.892</v>
      </c>
      <c r="CB126" s="565">
        <f t="shared" si="386"/>
        <v>-13.692000000000007</v>
      </c>
      <c r="CC126" s="565">
        <f t="shared" si="387"/>
        <v>-89.644999999999982</v>
      </c>
      <c r="CD126" s="565">
        <f>IF(CC53="-","-",SUM(CD53)-SUM(CC53))</f>
        <v>-181.63299999999998</v>
      </c>
      <c r="CE126" s="568">
        <f t="shared" si="389"/>
        <v>-568.86199999999997</v>
      </c>
      <c r="CF126" s="556"/>
      <c r="CG126" s="565">
        <f t="shared" si="440"/>
        <v>0</v>
      </c>
      <c r="CH126" s="565">
        <f t="shared" si="390"/>
        <v>0</v>
      </c>
      <c r="CI126" s="565">
        <f t="shared" si="391"/>
        <v>0</v>
      </c>
      <c r="CJ126" s="565">
        <f t="shared" si="392"/>
        <v>0</v>
      </c>
      <c r="CK126" s="568">
        <f t="shared" si="393"/>
        <v>0</v>
      </c>
      <c r="CL126" s="556"/>
      <c r="CM126" s="565">
        <f t="shared" si="441"/>
        <v>0</v>
      </c>
      <c r="CN126" s="565">
        <f t="shared" si="446"/>
        <v>0</v>
      </c>
      <c r="CO126" s="565">
        <f t="shared" si="446"/>
        <v>0</v>
      </c>
      <c r="CP126" s="565">
        <f t="shared" si="446"/>
        <v>0</v>
      </c>
      <c r="CQ126" s="568">
        <f>SUM(CM126:CP126)</f>
        <v>0</v>
      </c>
      <c r="CR126" s="556"/>
      <c r="CS126" s="565">
        <f t="shared" si="442"/>
        <v>0</v>
      </c>
      <c r="CT126" s="565">
        <f t="shared" si="447"/>
        <v>0</v>
      </c>
      <c r="CU126" s="565">
        <f t="shared" si="447"/>
        <v>0</v>
      </c>
      <c r="CV126" s="565">
        <f t="shared" si="447"/>
        <v>-123.179</v>
      </c>
      <c r="CW126" s="568">
        <f>SUM(CS126:CV126)</f>
        <v>-123.179</v>
      </c>
      <c r="CX126" s="556"/>
      <c r="CY126" s="565">
        <f t="shared" si="443"/>
        <v>0</v>
      </c>
      <c r="CZ126" s="565">
        <f t="shared" si="448"/>
        <v>0</v>
      </c>
      <c r="DA126" s="565">
        <f t="shared" si="448"/>
        <v>0</v>
      </c>
      <c r="DB126" s="565">
        <f t="shared" si="448"/>
        <v>0</v>
      </c>
      <c r="DC126" s="568">
        <f>SUM(CY126:DB126)</f>
        <v>0</v>
      </c>
      <c r="DD126" s="556"/>
      <c r="DE126" s="565">
        <f t="shared" si="444"/>
        <v>0</v>
      </c>
      <c r="DF126" s="565">
        <f t="shared" si="406"/>
        <v>0</v>
      </c>
      <c r="DG126" s="565">
        <f t="shared" si="407"/>
        <v>0</v>
      </c>
      <c r="DH126" s="565">
        <f t="shared" si="408"/>
        <v>0</v>
      </c>
      <c r="DI126" s="568">
        <f>SUM(DE126:DH126)</f>
        <v>0</v>
      </c>
      <c r="DJ126" s="556"/>
      <c r="DK126" s="565">
        <f t="shared" si="445"/>
        <v>0</v>
      </c>
      <c r="DL126" s="565">
        <f t="shared" si="410"/>
        <v>0</v>
      </c>
      <c r="DM126" s="565">
        <f t="shared" si="411"/>
        <v>0</v>
      </c>
      <c r="DN126" s="565">
        <f t="shared" si="412"/>
        <v>0</v>
      </c>
      <c r="DO126" s="568">
        <f>SUM(DK126:DN126)</f>
        <v>0</v>
      </c>
      <c r="DP126" s="1698"/>
      <c r="DQ126" s="956"/>
      <c r="DR126" s="956"/>
    </row>
    <row r="127" spans="1:122" ht="10.5" customHeight="1">
      <c r="A127" s="555" t="s">
        <v>671</v>
      </c>
      <c r="B127" s="584"/>
      <c r="C127" s="565">
        <v>-1E-3</v>
      </c>
      <c r="D127" s="565">
        <f>-0.15+0.439</f>
        <v>0.28900000000000003</v>
      </c>
      <c r="E127" s="565">
        <f>-0.227+1.259</f>
        <v>1.0319999999999998</v>
      </c>
      <c r="F127" s="584"/>
      <c r="G127" s="565">
        <v>-7.0000000000000001E-3</v>
      </c>
      <c r="H127" s="565">
        <v>-0.20799999999999999</v>
      </c>
      <c r="I127" s="565">
        <f>-0.005+0.551</f>
        <v>0.54600000000000004</v>
      </c>
      <c r="J127" s="565">
        <v>-0.122</v>
      </c>
      <c r="K127" s="565">
        <f>SUM(G127:J127)</f>
        <v>0.20900000000000007</v>
      </c>
      <c r="L127" s="556"/>
      <c r="M127" s="556">
        <v>-5.0000000000000001E-3</v>
      </c>
      <c r="N127" s="556">
        <v>-1.0999999999999999E-2</v>
      </c>
      <c r="O127" s="556">
        <v>0.16700000000000001</v>
      </c>
      <c r="P127" s="556">
        <v>-1E-3</v>
      </c>
      <c r="Q127" s="565">
        <f>SUM(M127:P127)</f>
        <v>0.15000000000000002</v>
      </c>
      <c r="R127" s="584"/>
      <c r="S127" s="565">
        <v>-3.5999999999999997E-2</v>
      </c>
      <c r="T127" s="565">
        <f t="shared" si="421"/>
        <v>3.5999999999999997E-2</v>
      </c>
      <c r="U127" s="565">
        <f t="shared" si="421"/>
        <v>0</v>
      </c>
      <c r="V127" s="565">
        <f t="shared" si="421"/>
        <v>0.82899999999999996</v>
      </c>
      <c r="W127" s="565">
        <f>SUM(S127:V127)</f>
        <v>0.82899999999999996</v>
      </c>
      <c r="X127" s="556"/>
      <c r="Y127" s="565">
        <f t="shared" si="422"/>
        <v>0.72299999999999998</v>
      </c>
      <c r="Z127" s="565">
        <f t="shared" si="423"/>
        <v>-2.4000000000000021E-2</v>
      </c>
      <c r="AA127" s="565">
        <f t="shared" si="423"/>
        <v>2.8000000000000025E-2</v>
      </c>
      <c r="AB127" s="565">
        <f t="shared" si="423"/>
        <v>-2.8000000000000025E-2</v>
      </c>
      <c r="AC127" s="565">
        <f>SUM(Y127:AB127)</f>
        <v>0.69899999999999995</v>
      </c>
      <c r="AD127" s="556"/>
      <c r="AE127" s="565">
        <f t="shared" si="424"/>
        <v>0</v>
      </c>
      <c r="AF127" s="565">
        <f t="shared" si="425"/>
        <v>-0.01</v>
      </c>
      <c r="AG127" s="565">
        <f t="shared" si="425"/>
        <v>0</v>
      </c>
      <c r="AH127" s="565">
        <f t="shared" si="425"/>
        <v>-2E-3</v>
      </c>
      <c r="AI127" s="568">
        <f>SUM(AE127:AH127)</f>
        <v>-1.2E-2</v>
      </c>
      <c r="AJ127" s="556"/>
      <c r="AK127" s="565">
        <f t="shared" si="426"/>
        <v>0</v>
      </c>
      <c r="AL127" s="565">
        <f t="shared" si="427"/>
        <v>0</v>
      </c>
      <c r="AM127" s="565">
        <f t="shared" si="428"/>
        <v>0</v>
      </c>
      <c r="AN127" s="565">
        <f t="shared" si="429"/>
        <v>0</v>
      </c>
      <c r="AO127" s="568">
        <f>SUM(AK127:AN127)</f>
        <v>0</v>
      </c>
      <c r="AP127" s="556"/>
      <c r="AQ127" s="565">
        <f t="shared" si="430"/>
        <v>0</v>
      </c>
      <c r="AR127" s="565">
        <f t="shared" si="431"/>
        <v>0</v>
      </c>
      <c r="AS127" s="565">
        <f t="shared" si="432"/>
        <v>0</v>
      </c>
      <c r="AT127" s="565">
        <f t="shared" si="433"/>
        <v>0</v>
      </c>
      <c r="AU127" s="568">
        <f>SUM(AQ127:AT127)</f>
        <v>0</v>
      </c>
      <c r="AV127" s="556"/>
      <c r="AW127" s="565">
        <f t="shared" si="434"/>
        <v>0</v>
      </c>
      <c r="AX127" s="565">
        <f t="shared" si="366"/>
        <v>0</v>
      </c>
      <c r="AY127" s="565">
        <f t="shared" si="367"/>
        <v>0</v>
      </c>
      <c r="AZ127" s="565">
        <f t="shared" si="368"/>
        <v>-8.1189999999999998</v>
      </c>
      <c r="BA127" s="568">
        <f t="shared" si="369"/>
        <v>-8.1189999999999998</v>
      </c>
      <c r="BB127" s="556"/>
      <c r="BC127" s="565">
        <f t="shared" si="435"/>
        <v>0</v>
      </c>
      <c r="BD127" s="565">
        <f t="shared" si="370"/>
        <v>0</v>
      </c>
      <c r="BE127" s="565">
        <f t="shared" si="371"/>
        <v>0</v>
      </c>
      <c r="BF127" s="565">
        <f t="shared" si="372"/>
        <v>0</v>
      </c>
      <c r="BG127" s="568">
        <f t="shared" si="373"/>
        <v>0</v>
      </c>
      <c r="BH127" s="556"/>
      <c r="BI127" s="565">
        <f t="shared" si="436"/>
        <v>-2.8</v>
      </c>
      <c r="BJ127" s="565">
        <f t="shared" si="374"/>
        <v>-13.399999999999999</v>
      </c>
      <c r="BK127" s="565">
        <f t="shared" si="375"/>
        <v>0</v>
      </c>
      <c r="BL127" s="565">
        <f t="shared" si="376"/>
        <v>0</v>
      </c>
      <c r="BM127" s="568">
        <f t="shared" si="377"/>
        <v>-16.2</v>
      </c>
      <c r="BN127" s="556"/>
      <c r="BO127" s="565">
        <f t="shared" si="437"/>
        <v>0</v>
      </c>
      <c r="BP127" s="565">
        <f t="shared" si="378"/>
        <v>0</v>
      </c>
      <c r="BQ127" s="565">
        <f t="shared" si="379"/>
        <v>0</v>
      </c>
      <c r="BR127" s="565">
        <f t="shared" si="380"/>
        <v>0</v>
      </c>
      <c r="BS127" s="568">
        <f t="shared" si="381"/>
        <v>0</v>
      </c>
      <c r="BT127" s="556"/>
      <c r="BU127" s="565">
        <f t="shared" si="438"/>
        <v>0</v>
      </c>
      <c r="BV127" s="565">
        <f t="shared" si="382"/>
        <v>0</v>
      </c>
      <c r="BW127" s="565">
        <f t="shared" si="383"/>
        <v>0</v>
      </c>
      <c r="BX127" s="565">
        <f t="shared" si="384"/>
        <v>0</v>
      </c>
      <c r="BY127" s="568">
        <f t="shared" si="385"/>
        <v>0</v>
      </c>
      <c r="BZ127" s="556"/>
      <c r="CA127" s="565">
        <f t="shared" si="439"/>
        <v>0</v>
      </c>
      <c r="CB127" s="565">
        <f t="shared" si="386"/>
        <v>0</v>
      </c>
      <c r="CC127" s="565">
        <f t="shared" si="387"/>
        <v>0</v>
      </c>
      <c r="CD127" s="565">
        <f t="shared" si="388"/>
        <v>0</v>
      </c>
      <c r="CE127" s="568">
        <f t="shared" si="389"/>
        <v>0</v>
      </c>
      <c r="CF127" s="556"/>
      <c r="CG127" s="565">
        <f t="shared" si="440"/>
        <v>0</v>
      </c>
      <c r="CH127" s="565">
        <f t="shared" si="390"/>
        <v>0</v>
      </c>
      <c r="CI127" s="565">
        <f t="shared" si="391"/>
        <v>0</v>
      </c>
      <c r="CJ127" s="565">
        <f t="shared" si="392"/>
        <v>0</v>
      </c>
      <c r="CK127" s="568">
        <f t="shared" si="393"/>
        <v>0</v>
      </c>
      <c r="CL127" s="556"/>
      <c r="CM127" s="565">
        <f t="shared" si="441"/>
        <v>0</v>
      </c>
      <c r="CN127" s="565">
        <f t="shared" si="446"/>
        <v>0</v>
      </c>
      <c r="CO127" s="565">
        <f t="shared" si="446"/>
        <v>0</v>
      </c>
      <c r="CP127" s="565">
        <f t="shared" si="446"/>
        <v>0</v>
      </c>
      <c r="CQ127" s="568">
        <f>SUM(CM127:CP127)</f>
        <v>0</v>
      </c>
      <c r="CR127" s="556"/>
      <c r="CS127" s="565">
        <f t="shared" si="442"/>
        <v>0</v>
      </c>
      <c r="CT127" s="565">
        <f t="shared" si="447"/>
        <v>0</v>
      </c>
      <c r="CU127" s="565">
        <f t="shared" si="447"/>
        <v>0</v>
      </c>
      <c r="CV127" s="565">
        <f t="shared" si="447"/>
        <v>0</v>
      </c>
      <c r="CW127" s="568">
        <f>SUM(CS127:CV127)</f>
        <v>0</v>
      </c>
      <c r="CX127" s="556"/>
      <c r="CY127" s="565">
        <f t="shared" si="443"/>
        <v>0</v>
      </c>
      <c r="CZ127" s="565">
        <f t="shared" si="448"/>
        <v>0</v>
      </c>
      <c r="DA127" s="565">
        <f t="shared" si="448"/>
        <v>0</v>
      </c>
      <c r="DB127" s="565">
        <f t="shared" si="448"/>
        <v>0</v>
      </c>
      <c r="DC127" s="568">
        <f>SUM(CY127:DB127)</f>
        <v>0</v>
      </c>
      <c r="DD127" s="556"/>
      <c r="DE127" s="565">
        <f t="shared" si="444"/>
        <v>0</v>
      </c>
      <c r="DF127" s="565">
        <f t="shared" si="406"/>
        <v>0</v>
      </c>
      <c r="DG127" s="565">
        <f t="shared" si="407"/>
        <v>0</v>
      </c>
      <c r="DH127" s="565">
        <f t="shared" si="408"/>
        <v>0</v>
      </c>
      <c r="DI127" s="568">
        <f>SUM(DE127:DH127)</f>
        <v>0</v>
      </c>
      <c r="DJ127" s="556"/>
      <c r="DK127" s="565">
        <f t="shared" si="445"/>
        <v>0</v>
      </c>
      <c r="DL127" s="565">
        <f t="shared" si="410"/>
        <v>0</v>
      </c>
      <c r="DM127" s="565">
        <f t="shared" si="411"/>
        <v>0</v>
      </c>
      <c r="DN127" s="565">
        <f t="shared" si="412"/>
        <v>0</v>
      </c>
      <c r="DO127" s="568">
        <f>SUM(DK127:DN127)</f>
        <v>0</v>
      </c>
      <c r="DP127" s="1698"/>
      <c r="DQ127" s="956"/>
      <c r="DR127" s="956"/>
    </row>
    <row r="128" spans="1:122" ht="10.5" customHeight="1">
      <c r="A128" s="8" t="s">
        <v>691</v>
      </c>
      <c r="B128" s="15"/>
      <c r="C128" s="19">
        <v>0</v>
      </c>
      <c r="D128" s="19">
        <v>0</v>
      </c>
      <c r="E128" s="19">
        <v>0</v>
      </c>
      <c r="F128" s="12"/>
      <c r="G128" s="19">
        <v>0</v>
      </c>
      <c r="H128" s="19">
        <v>0</v>
      </c>
      <c r="I128" s="19">
        <v>0</v>
      </c>
      <c r="J128" s="19">
        <v>0</v>
      </c>
      <c r="K128" s="19">
        <f>SUM(G128:J128)</f>
        <v>0</v>
      </c>
      <c r="L128" s="12"/>
      <c r="M128" s="12">
        <v>0</v>
      </c>
      <c r="N128" s="12">
        <v>0</v>
      </c>
      <c r="O128" s="12">
        <v>0</v>
      </c>
      <c r="P128" s="12">
        <v>0</v>
      </c>
      <c r="Q128" s="19">
        <f>SUM(M128:P128)</f>
        <v>0</v>
      </c>
      <c r="R128" s="12"/>
      <c r="S128" s="19">
        <v>0</v>
      </c>
      <c r="T128" s="19">
        <f t="shared" si="421"/>
        <v>0</v>
      </c>
      <c r="U128" s="19">
        <f t="shared" si="421"/>
        <v>0</v>
      </c>
      <c r="V128" s="19">
        <f t="shared" si="421"/>
        <v>0</v>
      </c>
      <c r="W128" s="19">
        <f>SUM(S128:V128)</f>
        <v>0</v>
      </c>
      <c r="X128" s="12"/>
      <c r="Y128" s="19">
        <f t="shared" si="422"/>
        <v>0</v>
      </c>
      <c r="Z128" s="19">
        <f t="shared" si="423"/>
        <v>0</v>
      </c>
      <c r="AA128" s="19">
        <f t="shared" si="423"/>
        <v>0</v>
      </c>
      <c r="AB128" s="19">
        <f t="shared" si="423"/>
        <v>0</v>
      </c>
      <c r="AC128" s="19">
        <f>SUM(Y128:AB128)</f>
        <v>0</v>
      </c>
      <c r="AD128" s="12"/>
      <c r="AE128" s="19">
        <f t="shared" si="424"/>
        <v>0</v>
      </c>
      <c r="AF128" s="19">
        <f t="shared" si="425"/>
        <v>0</v>
      </c>
      <c r="AG128" s="19">
        <f t="shared" si="425"/>
        <v>0</v>
      </c>
      <c r="AH128" s="19">
        <f t="shared" si="425"/>
        <v>0</v>
      </c>
      <c r="AI128" s="69">
        <f>SUM(AE128:AH128)</f>
        <v>0</v>
      </c>
      <c r="AJ128" s="12"/>
      <c r="AK128" s="19">
        <f t="shared" si="426"/>
        <v>0</v>
      </c>
      <c r="AL128" s="19">
        <f t="shared" si="427"/>
        <v>0</v>
      </c>
      <c r="AM128" s="19">
        <f t="shared" si="428"/>
        <v>0</v>
      </c>
      <c r="AN128" s="19">
        <f t="shared" si="429"/>
        <v>0</v>
      </c>
      <c r="AO128" s="69">
        <f>SUM(AK128:AN128)</f>
        <v>0</v>
      </c>
      <c r="AP128" s="12"/>
      <c r="AQ128" s="19">
        <f t="shared" si="430"/>
        <v>0</v>
      </c>
      <c r="AR128" s="19">
        <f t="shared" si="431"/>
        <v>0</v>
      </c>
      <c r="AS128" s="19">
        <f t="shared" si="432"/>
        <v>0</v>
      </c>
      <c r="AT128" s="19">
        <f t="shared" si="433"/>
        <v>0</v>
      </c>
      <c r="AU128" s="69">
        <f>SUM(AQ128:AT128)</f>
        <v>0</v>
      </c>
      <c r="AV128" s="12"/>
      <c r="AW128" s="19">
        <f t="shared" si="434"/>
        <v>0</v>
      </c>
      <c r="AX128" s="19">
        <f t="shared" si="366"/>
        <v>0</v>
      </c>
      <c r="AY128" s="19">
        <f t="shared" si="367"/>
        <v>0</v>
      </c>
      <c r="AZ128" s="19">
        <f t="shared" si="368"/>
        <v>0</v>
      </c>
      <c r="BA128" s="69">
        <f t="shared" si="369"/>
        <v>0</v>
      </c>
      <c r="BB128" s="12"/>
      <c r="BC128" s="19">
        <f t="shared" si="435"/>
        <v>0</v>
      </c>
      <c r="BD128" s="19">
        <f t="shared" si="370"/>
        <v>0</v>
      </c>
      <c r="BE128" s="19">
        <f t="shared" si="371"/>
        <v>0</v>
      </c>
      <c r="BF128" s="19">
        <f t="shared" si="372"/>
        <v>0</v>
      </c>
      <c r="BG128" s="69">
        <f t="shared" si="373"/>
        <v>0</v>
      </c>
      <c r="BH128" s="12"/>
      <c r="BI128" s="19">
        <f t="shared" si="436"/>
        <v>0</v>
      </c>
      <c r="BJ128" s="19">
        <f t="shared" si="374"/>
        <v>0</v>
      </c>
      <c r="BK128" s="19">
        <f t="shared" si="375"/>
        <v>0</v>
      </c>
      <c r="BL128" s="19">
        <f t="shared" si="376"/>
        <v>0</v>
      </c>
      <c r="BM128" s="69">
        <f t="shared" si="377"/>
        <v>0</v>
      </c>
      <c r="BN128" s="12"/>
      <c r="BO128" s="19">
        <f t="shared" si="437"/>
        <v>0</v>
      </c>
      <c r="BP128" s="19">
        <f t="shared" si="378"/>
        <v>0</v>
      </c>
      <c r="BQ128" s="19">
        <f t="shared" si="379"/>
        <v>0</v>
      </c>
      <c r="BR128" s="19">
        <f t="shared" si="380"/>
        <v>0</v>
      </c>
      <c r="BS128" s="69">
        <f t="shared" si="381"/>
        <v>0</v>
      </c>
      <c r="BT128" s="12"/>
      <c r="BU128" s="19">
        <f t="shared" si="438"/>
        <v>0</v>
      </c>
      <c r="BV128" s="19">
        <f t="shared" si="382"/>
        <v>0</v>
      </c>
      <c r="BW128" s="19">
        <f t="shared" si="383"/>
        <v>0</v>
      </c>
      <c r="BX128" s="19">
        <f t="shared" si="384"/>
        <v>0</v>
      </c>
      <c r="BY128" s="69">
        <f t="shared" si="385"/>
        <v>0</v>
      </c>
      <c r="BZ128" s="12"/>
      <c r="CA128" s="19">
        <f t="shared" si="439"/>
        <v>0</v>
      </c>
      <c r="CB128" s="19">
        <f t="shared" si="386"/>
        <v>0</v>
      </c>
      <c r="CC128" s="19">
        <f t="shared" si="387"/>
        <v>0</v>
      </c>
      <c r="CD128" s="19">
        <f t="shared" si="388"/>
        <v>0</v>
      </c>
      <c r="CE128" s="69">
        <f t="shared" si="389"/>
        <v>0</v>
      </c>
      <c r="CF128" s="12"/>
      <c r="CG128" s="19">
        <f t="shared" si="440"/>
        <v>0</v>
      </c>
      <c r="CH128" s="19">
        <f t="shared" si="390"/>
        <v>0</v>
      </c>
      <c r="CI128" s="19">
        <f t="shared" si="391"/>
        <v>0</v>
      </c>
      <c r="CJ128" s="19">
        <f t="shared" si="392"/>
        <v>0</v>
      </c>
      <c r="CK128" s="69">
        <f t="shared" si="393"/>
        <v>0</v>
      </c>
      <c r="CL128" s="12"/>
      <c r="CM128" s="19">
        <f t="shared" si="441"/>
        <v>0</v>
      </c>
      <c r="CN128" s="19">
        <f t="shared" si="446"/>
        <v>0</v>
      </c>
      <c r="CO128" s="19">
        <f t="shared" si="446"/>
        <v>0</v>
      </c>
      <c r="CP128" s="19">
        <f t="shared" si="446"/>
        <v>0</v>
      </c>
      <c r="CQ128" s="69">
        <f>SUM(CM128:CP128)</f>
        <v>0</v>
      </c>
      <c r="CR128" s="12"/>
      <c r="CS128" s="19">
        <f t="shared" si="442"/>
        <v>0</v>
      </c>
      <c r="CT128" s="19">
        <f t="shared" si="447"/>
        <v>0</v>
      </c>
      <c r="CU128" s="19">
        <f t="shared" si="447"/>
        <v>0</v>
      </c>
      <c r="CV128" s="19">
        <f t="shared" si="447"/>
        <v>0</v>
      </c>
      <c r="CW128" s="69">
        <f>SUM(CS128:CV128)</f>
        <v>0</v>
      </c>
      <c r="CX128" s="12"/>
      <c r="CY128" s="19">
        <f t="shared" si="443"/>
        <v>0</v>
      </c>
      <c r="CZ128" s="19">
        <f t="shared" si="448"/>
        <v>0</v>
      </c>
      <c r="DA128" s="19">
        <f t="shared" si="448"/>
        <v>0</v>
      </c>
      <c r="DB128" s="19">
        <f t="shared" si="448"/>
        <v>0</v>
      </c>
      <c r="DC128" s="69">
        <f>SUM(CY128:DB128)</f>
        <v>0</v>
      </c>
      <c r="DD128" s="12"/>
      <c r="DE128" s="19">
        <f t="shared" si="444"/>
        <v>0</v>
      </c>
      <c r="DF128" s="19">
        <f t="shared" si="406"/>
        <v>0</v>
      </c>
      <c r="DG128" s="19">
        <f t="shared" si="407"/>
        <v>0</v>
      </c>
      <c r="DH128" s="19">
        <f t="shared" si="408"/>
        <v>0</v>
      </c>
      <c r="DI128" s="69">
        <f>SUM(DE128:DH128)</f>
        <v>0</v>
      </c>
      <c r="DJ128" s="12"/>
      <c r="DK128" s="19">
        <f t="shared" si="445"/>
        <v>0</v>
      </c>
      <c r="DL128" s="19">
        <f t="shared" si="410"/>
        <v>0</v>
      </c>
      <c r="DM128" s="19">
        <f t="shared" si="411"/>
        <v>0</v>
      </c>
      <c r="DN128" s="19">
        <f t="shared" si="412"/>
        <v>0</v>
      </c>
      <c r="DO128" s="69">
        <f>SUM(DK128:DN128)</f>
        <v>0</v>
      </c>
      <c r="DP128" s="1698"/>
      <c r="DQ128" s="956"/>
      <c r="DR128" s="956"/>
    </row>
    <row r="129" spans="1:122" ht="10.5" customHeight="1">
      <c r="A129" s="416" t="s">
        <v>321</v>
      </c>
      <c r="B129" s="417"/>
      <c r="C129" s="418">
        <f>SUM(C118:C128)</f>
        <v>17.631999999999998</v>
      </c>
      <c r="D129" s="418">
        <f>SUM(D118:D128)</f>
        <v>45.695</v>
      </c>
      <c r="E129" s="418">
        <f>SUM(E118:E128)</f>
        <v>3.5469999999999997</v>
      </c>
      <c r="F129" s="405"/>
      <c r="G129" s="418">
        <f>SUM(G118:G128)</f>
        <v>-0.21200000000000002</v>
      </c>
      <c r="H129" s="418">
        <f>SUM(H118:H128)</f>
        <v>-0.53399999999999992</v>
      </c>
      <c r="I129" s="418">
        <f>SUM(I118:I128)</f>
        <v>0.505</v>
      </c>
      <c r="J129" s="418">
        <f>SUM(J118:J128)</f>
        <v>1.2730000000000001</v>
      </c>
      <c r="K129" s="418">
        <f>SUM(K118:K128)</f>
        <v>1.032</v>
      </c>
      <c r="L129" s="417"/>
      <c r="M129" s="418">
        <f>SUM(M118:M128)</f>
        <v>-9.5000000000000001E-2</v>
      </c>
      <c r="N129" s="418">
        <f>SUM(N118:N128)</f>
        <v>-5.5999999999999994E-2</v>
      </c>
      <c r="O129" s="418">
        <f>SUM(O118:O128)</f>
        <v>0.67100000000000004</v>
      </c>
      <c r="P129" s="418">
        <f>SUM(P118:P128)</f>
        <v>0.57900000000000007</v>
      </c>
      <c r="Q129" s="405">
        <f>SUM(Q118:Q128)</f>
        <v>1.099</v>
      </c>
      <c r="R129" s="405"/>
      <c r="S129" s="405">
        <f>SUM(S118:S128)</f>
        <v>1.5479999999999998</v>
      </c>
      <c r="T129" s="405">
        <f>SUM(T118:T128)</f>
        <v>113.736</v>
      </c>
      <c r="U129" s="405">
        <f>SUM(U118:U128)</f>
        <v>0.10900000000000157</v>
      </c>
      <c r="V129" s="405">
        <f>SUM(V118:V128)</f>
        <v>3.456999999999999</v>
      </c>
      <c r="W129" s="405">
        <f>SUM(W118:W128)</f>
        <v>118.85</v>
      </c>
      <c r="X129" s="405"/>
      <c r="Y129" s="405">
        <f>SUM(Y118:Y128)</f>
        <v>2.7349999999999999</v>
      </c>
      <c r="Z129" s="405">
        <f>SUM(Z118:Z128)</f>
        <v>5.0949999999999998</v>
      </c>
      <c r="AA129" s="405">
        <f>SUM(AA118:AA128)</f>
        <v>2.0569999999999995</v>
      </c>
      <c r="AB129" s="405">
        <f>SUM(AB118:AB128)</f>
        <v>5.9329999999999998</v>
      </c>
      <c r="AC129" s="405">
        <f>SUM(AC118:AC128)</f>
        <v>15.819999999999999</v>
      </c>
      <c r="AD129" s="405"/>
      <c r="AE129" s="405">
        <f>SUM(AE118:AE128)</f>
        <v>7.952</v>
      </c>
      <c r="AF129" s="405">
        <f>SUM(AF118:AF128)</f>
        <v>8.552999999999999</v>
      </c>
      <c r="AG129" s="405">
        <f>SUM(AG118:AG128)</f>
        <v>14.871999999999998</v>
      </c>
      <c r="AH129" s="405">
        <f>SUM(AH118:AH128)</f>
        <v>13.65</v>
      </c>
      <c r="AI129" s="406">
        <f>SUM(AI118:AI128)</f>
        <v>45.027000000000001</v>
      </c>
      <c r="AJ129" s="405"/>
      <c r="AK129" s="405">
        <f>SUM(AK118:AK128)</f>
        <v>14.429</v>
      </c>
      <c r="AL129" s="405">
        <f>SUM(AL118:AL128)</f>
        <v>24.317999999999998</v>
      </c>
      <c r="AM129" s="405">
        <f>SUM(AM118:AM128)</f>
        <v>29.878</v>
      </c>
      <c r="AN129" s="405">
        <f>SUM(AN118:AN128)</f>
        <v>24.087999999999997</v>
      </c>
      <c r="AO129" s="406">
        <f>SUM(AO118:AO128)</f>
        <v>92.713000000000008</v>
      </c>
      <c r="AP129" s="405"/>
      <c r="AQ129" s="405">
        <f>SUM(AQ118:AQ128)</f>
        <v>24.178000000000001</v>
      </c>
      <c r="AR129" s="405">
        <f>SUM(AR118:AR128)</f>
        <v>34.367999999999995</v>
      </c>
      <c r="AS129" s="405">
        <f>SUM(AS118:AS128)</f>
        <v>24.014999999999997</v>
      </c>
      <c r="AT129" s="405">
        <f>SUM(AT118:AT128)</f>
        <v>14.350000000000005</v>
      </c>
      <c r="AU129" s="406">
        <f>SUM(AU118:AU128)</f>
        <v>96.911000000000001</v>
      </c>
      <c r="AV129" s="405"/>
      <c r="AW129" s="405">
        <f>SUM(AW118:AW128)</f>
        <v>17.367999999999999</v>
      </c>
      <c r="AX129" s="405">
        <f>SUM(AX118:AX128)</f>
        <v>18.568000000000001</v>
      </c>
      <c r="AY129" s="405">
        <f>SUM(AY118:AY128)</f>
        <v>23.561999999999998</v>
      </c>
      <c r="AZ129" s="405">
        <f>SUM(AZ118:AZ128)</f>
        <v>577.65499999999997</v>
      </c>
      <c r="BA129" s="406">
        <f>SUM(BA118:BA128)</f>
        <v>637.15300000000002</v>
      </c>
      <c r="BB129" s="405"/>
      <c r="BC129" s="405">
        <f>SUM(BC118:BC128)</f>
        <v>44.886000000000003</v>
      </c>
      <c r="BD129" s="405">
        <f>SUM(BD118:BD128)</f>
        <v>54.905999999999999</v>
      </c>
      <c r="BE129" s="405">
        <f>SUM(BE118:BE128)</f>
        <v>-95.155000000000001</v>
      </c>
      <c r="BF129" s="405">
        <f>SUM(BF118:BF128)</f>
        <v>10.709999999999987</v>
      </c>
      <c r="BG129" s="406">
        <f>SUM(BG118:BG128)</f>
        <v>15.34699999999998</v>
      </c>
      <c r="BH129" s="405"/>
      <c r="BI129" s="405">
        <f>SUM(BI118:BI128)</f>
        <v>27.957999999999998</v>
      </c>
      <c r="BJ129" s="405">
        <f>SUM(BJ118:BJ128)</f>
        <v>20.418999999999997</v>
      </c>
      <c r="BK129" s="405">
        <f>SUM(BK118:BK128)</f>
        <v>15.000999999999998</v>
      </c>
      <c r="BL129" s="405">
        <f>SUM(BL118:BL128)</f>
        <v>12.472000000000001</v>
      </c>
      <c r="BM129" s="406">
        <f>SUM(BM118:BM128)</f>
        <v>75.849999999999994</v>
      </c>
      <c r="BN129" s="405"/>
      <c r="BO129" s="405">
        <f>SUM(BO118:BO128)</f>
        <v>97.035999999999987</v>
      </c>
      <c r="BP129" s="405">
        <f>SUM(BP118:BP128)</f>
        <v>41.047000000000011</v>
      </c>
      <c r="BQ129" s="405">
        <f>SUM(BQ118:BQ128)</f>
        <v>71.978999999999985</v>
      </c>
      <c r="BR129" s="405">
        <f>SUM(BR118:BR128)</f>
        <v>124.48299999999998</v>
      </c>
      <c r="BS129" s="406">
        <f>SUM(BS118:BS128)</f>
        <v>334.54499999999996</v>
      </c>
      <c r="BT129" s="405"/>
      <c r="BU129" s="405">
        <f>SUM(BU118:BU128)</f>
        <v>1123.6410000000001</v>
      </c>
      <c r="BV129" s="405">
        <f>SUM(BV118:BV128)</f>
        <v>325.30899999999997</v>
      </c>
      <c r="BW129" s="405">
        <f>SUM(BW118:BW128)</f>
        <v>92.348000000000013</v>
      </c>
      <c r="BX129" s="405">
        <f>SUM(BX118:BX128)</f>
        <v>56.936000000000007</v>
      </c>
      <c r="BY129" s="406">
        <f>SUM(BY118:BY128)</f>
        <v>1598.2339999999999</v>
      </c>
      <c r="BZ129" s="405"/>
      <c r="CA129" s="405">
        <f>SUM(CA118:CA128)</f>
        <v>-219.14999999999998</v>
      </c>
      <c r="CB129" s="405">
        <f>SUM(CB118:CB128)</f>
        <v>-6.9190000000000182</v>
      </c>
      <c r="CC129" s="405">
        <f>SUM(CC118:CC128)</f>
        <v>19.893000000000029</v>
      </c>
      <c r="CD129" s="405">
        <f>SUM(CD118:CD128)</f>
        <v>-104.30500000000001</v>
      </c>
      <c r="CE129" s="406">
        <f>SUM(CE118:CE128)</f>
        <v>-310.48099999999999</v>
      </c>
      <c r="CF129" s="405"/>
      <c r="CG129" s="405">
        <f>SUM(CG118:CG128)</f>
        <v>-157.58600000000001</v>
      </c>
      <c r="CH129" s="405">
        <f>SUM(CH118:CH128)</f>
        <v>73.592000000000041</v>
      </c>
      <c r="CI129" s="405">
        <f>SUM(CI118:CI128)</f>
        <v>131.67799999999997</v>
      </c>
      <c r="CJ129" s="405">
        <f>SUM(CJ118:CJ128)</f>
        <v>84.964000000000041</v>
      </c>
      <c r="CK129" s="406">
        <f>SUM(CK118:CK128)</f>
        <v>132.64800000000008</v>
      </c>
      <c r="CL129" s="405"/>
      <c r="CM129" s="405">
        <f>SUM(CM118:CM128)</f>
        <v>39.173000000000002</v>
      </c>
      <c r="CN129" s="405">
        <f>SUM(CN118:CN128)</f>
        <v>616.63300000000004</v>
      </c>
      <c r="CO129" s="405">
        <f>SUM(CO118:CO128)</f>
        <v>81.84899999999999</v>
      </c>
      <c r="CP129" s="405">
        <f>SUM(CP118:CP128)</f>
        <v>260.04299999999995</v>
      </c>
      <c r="CQ129" s="406">
        <f>SUM(CQ118:CQ128)</f>
        <v>997.69799999999998</v>
      </c>
      <c r="CR129" s="405"/>
      <c r="CS129" s="405">
        <f>SUM(CS118:CS128)</f>
        <v>-49.636000000000024</v>
      </c>
      <c r="CT129" s="405">
        <f>SUM(CT118:CT128)</f>
        <v>117.27800000000002</v>
      </c>
      <c r="CU129" s="405">
        <f>SUM(CU118:CU128)</f>
        <v>134.25400000000002</v>
      </c>
      <c r="CV129" s="405">
        <f>SUM(CV118:CV128)</f>
        <v>19.328999999999922</v>
      </c>
      <c r="CW129" s="406">
        <f>SUM(CW118:CW128)</f>
        <v>221.22499999999994</v>
      </c>
      <c r="CX129" s="405"/>
      <c r="CY129" s="405">
        <f>SUM(CY118:CY128)</f>
        <v>-128.13499999999993</v>
      </c>
      <c r="CZ129" s="405">
        <f>SUM(CZ118:CZ128)</f>
        <v>12.5</v>
      </c>
      <c r="DA129" s="405">
        <f>SUM(DA118:DA128)</f>
        <v>12.5</v>
      </c>
      <c r="DB129" s="405">
        <f>SUM(DB118:DB128)</f>
        <v>12.5</v>
      </c>
      <c r="DC129" s="406">
        <f>SUM(DC118:DC128)</f>
        <v>-90.634999999999934</v>
      </c>
      <c r="DD129" s="405"/>
      <c r="DE129" s="405">
        <f>SUM(DE118:DE128)</f>
        <v>42.5</v>
      </c>
      <c r="DF129" s="405">
        <f>SUM(DF118:DF128)</f>
        <v>42.5</v>
      </c>
      <c r="DG129" s="405">
        <f>SUM(DG118:DG128)</f>
        <v>42.5</v>
      </c>
      <c r="DH129" s="405">
        <f>SUM(DH118:DH128)</f>
        <v>42.5</v>
      </c>
      <c r="DI129" s="406">
        <f>SUM(DI118:DI128)</f>
        <v>170</v>
      </c>
      <c r="DJ129" s="405"/>
      <c r="DK129" s="405">
        <f>SUM(DK118:DK128)</f>
        <v>42.5</v>
      </c>
      <c r="DL129" s="405">
        <f>SUM(DL118:DL128)</f>
        <v>42.5</v>
      </c>
      <c r="DM129" s="405">
        <f>SUM(DM118:DM128)</f>
        <v>42.5</v>
      </c>
      <c r="DN129" s="405">
        <f>SUM(DN118:DN128)</f>
        <v>42.5</v>
      </c>
      <c r="DO129" s="406">
        <f>SUM(DO118:DO128)</f>
        <v>170</v>
      </c>
      <c r="DP129" s="960"/>
      <c r="DQ129" s="960"/>
      <c r="DR129" s="960"/>
    </row>
    <row r="130" spans="1:122" ht="5.25" customHeight="1">
      <c r="A130" s="560"/>
      <c r="B130" s="584"/>
      <c r="C130" s="594"/>
      <c r="D130" s="594"/>
      <c r="E130" s="594"/>
      <c r="F130" s="594"/>
      <c r="G130" s="594"/>
      <c r="H130" s="594"/>
      <c r="I130" s="594"/>
      <c r="J130" s="594"/>
      <c r="K130" s="594"/>
      <c r="L130" s="594"/>
      <c r="M130" s="560"/>
      <c r="N130" s="560"/>
      <c r="O130" s="560"/>
      <c r="P130" s="560"/>
      <c r="Q130" s="562"/>
      <c r="R130" s="560"/>
      <c r="S130" s="562"/>
      <c r="T130" s="613"/>
      <c r="U130" s="562"/>
      <c r="V130" s="562"/>
      <c r="W130" s="562"/>
      <c r="X130" s="562"/>
      <c r="Y130" s="562"/>
      <c r="Z130" s="562"/>
      <c r="AA130" s="562"/>
      <c r="AB130" s="562"/>
      <c r="AC130" s="562"/>
      <c r="AD130" s="562"/>
      <c r="AE130" s="562"/>
      <c r="AF130" s="562"/>
      <c r="AG130" s="562"/>
      <c r="AH130" s="562"/>
      <c r="AI130" s="622"/>
      <c r="AJ130" s="562"/>
      <c r="AK130" s="562"/>
      <c r="AL130" s="562"/>
      <c r="AM130" s="562"/>
      <c r="AN130" s="562"/>
      <c r="AO130" s="622"/>
      <c r="AP130" s="562"/>
      <c r="AQ130" s="562"/>
      <c r="AR130" s="562"/>
      <c r="AS130" s="562"/>
      <c r="AT130" s="562"/>
      <c r="AU130" s="622"/>
      <c r="AV130" s="562"/>
      <c r="AW130" s="562"/>
      <c r="AX130" s="562"/>
      <c r="AY130" s="562"/>
      <c r="AZ130" s="562"/>
      <c r="BA130" s="622"/>
      <c r="BB130" s="562"/>
      <c r="BC130" s="562"/>
      <c r="BD130" s="562"/>
      <c r="BE130" s="562"/>
      <c r="BF130" s="562"/>
      <c r="BG130" s="622"/>
      <c r="BH130" s="562"/>
      <c r="BI130" s="562"/>
      <c r="BJ130" s="562"/>
      <c r="BK130" s="562"/>
      <c r="BL130" s="562"/>
      <c r="BM130" s="622"/>
      <c r="BN130" s="562"/>
      <c r="BO130" s="562"/>
      <c r="BP130" s="562"/>
      <c r="BQ130" s="562"/>
      <c r="BR130" s="562"/>
      <c r="BS130" s="622"/>
      <c r="BT130" s="562"/>
      <c r="BU130" s="562"/>
      <c r="BV130" s="562"/>
      <c r="BW130" s="562"/>
      <c r="BX130" s="562"/>
      <c r="BY130" s="622"/>
      <c r="BZ130" s="562"/>
      <c r="CA130" s="562"/>
      <c r="CB130" s="562"/>
      <c r="CC130" s="562"/>
      <c r="CD130" s="562"/>
      <c r="CE130" s="622"/>
      <c r="CF130" s="562"/>
      <c r="CG130" s="562"/>
      <c r="CH130" s="562"/>
      <c r="CI130" s="562"/>
      <c r="CJ130" s="562"/>
      <c r="CK130" s="622"/>
      <c r="CL130" s="562"/>
      <c r="CM130" s="562"/>
      <c r="CN130" s="562"/>
      <c r="CO130" s="562"/>
      <c r="CP130" s="562"/>
      <c r="CQ130" s="622"/>
      <c r="CR130" s="562"/>
      <c r="CS130" s="562"/>
      <c r="CT130" s="562"/>
      <c r="CU130" s="562"/>
      <c r="CV130" s="562"/>
      <c r="CW130" s="622"/>
      <c r="CX130" s="562"/>
      <c r="CY130" s="562"/>
      <c r="CZ130" s="562"/>
      <c r="DA130" s="562"/>
      <c r="DB130" s="562"/>
      <c r="DC130" s="622"/>
      <c r="DD130" s="562"/>
      <c r="DE130" s="562"/>
      <c r="DF130" s="562"/>
      <c r="DG130" s="562"/>
      <c r="DH130" s="562"/>
      <c r="DI130" s="622"/>
      <c r="DJ130" s="562"/>
      <c r="DK130" s="562"/>
      <c r="DL130" s="562"/>
      <c r="DM130" s="562"/>
      <c r="DN130" s="562"/>
      <c r="DO130" s="622"/>
      <c r="DP130" s="1701"/>
      <c r="DQ130" s="1219"/>
      <c r="DR130" s="1219"/>
    </row>
    <row r="131" spans="1:122" ht="10.5" customHeight="1">
      <c r="A131" s="555" t="s">
        <v>156</v>
      </c>
      <c r="B131" s="584"/>
      <c r="C131" s="565">
        <v>0</v>
      </c>
      <c r="D131" s="565">
        <v>-4.9000000000000002E-2</v>
      </c>
      <c r="E131" s="565">
        <v>-0.159</v>
      </c>
      <c r="F131" s="584"/>
      <c r="G131" s="584">
        <v>6.9000000000000006E-2</v>
      </c>
      <c r="H131" s="584">
        <v>6.9000000000000006E-2</v>
      </c>
      <c r="I131" s="584">
        <v>7.0000000000000007E-2</v>
      </c>
      <c r="J131" s="584">
        <v>0.10199999999999999</v>
      </c>
      <c r="K131" s="565">
        <f>SUM(G131:J131)</f>
        <v>0.31</v>
      </c>
      <c r="L131" s="584"/>
      <c r="M131" s="556">
        <v>0.01</v>
      </c>
      <c r="N131" s="556">
        <v>1.0999999999999999E-2</v>
      </c>
      <c r="O131" s="556">
        <v>1.0999999999999999E-2</v>
      </c>
      <c r="P131" s="556">
        <v>-1.4E-2</v>
      </c>
      <c r="Q131" s="565">
        <f>SUM(M131:P131)</f>
        <v>1.8000000000000002E-2</v>
      </c>
      <c r="R131" s="584"/>
      <c r="S131" s="565">
        <v>-2E-3</v>
      </c>
      <c r="T131" s="565">
        <f>IF(S58="-","-",SUM(T58)-SUM(S58))</f>
        <v>-5.2999999999999999E-2</v>
      </c>
      <c r="U131" s="565">
        <f>IF(T58="-","-",SUM(U58)-SUM(T58))</f>
        <v>0.17799999999999999</v>
      </c>
      <c r="V131" s="565">
        <f>IF(U58="-","-",SUM(V58)-SUM(U58))</f>
        <v>-0.378</v>
      </c>
      <c r="W131" s="565">
        <f>SUM(S131:V131)</f>
        <v>-0.255</v>
      </c>
      <c r="X131" s="556"/>
      <c r="Y131" s="565">
        <f>Y58</f>
        <v>-6.0000000000000001E-3</v>
      </c>
      <c r="Z131" s="565">
        <f>IF(Y58="-","-",SUM(Z58)-SUM(Y58))</f>
        <v>0.28100000000000003</v>
      </c>
      <c r="AA131" s="565">
        <f>IF(Z58="-","-",SUM(AA58)-SUM(Z58))</f>
        <v>-0.17900000000000002</v>
      </c>
      <c r="AB131" s="565">
        <f>IF(AA58="-","-",SUM(AB58)-SUM(AA58))</f>
        <v>0.10700000000000001</v>
      </c>
      <c r="AC131" s="565">
        <f>SUM(Y131:AB131)</f>
        <v>0.20300000000000001</v>
      </c>
      <c r="AD131" s="556"/>
      <c r="AE131" s="565">
        <f>AE58</f>
        <v>-0.748</v>
      </c>
      <c r="AF131" s="565">
        <f>IF(AE58="-","-",SUM(AF58)-SUM(AE58))</f>
        <v>-0.18700000000000006</v>
      </c>
      <c r="AG131" s="565">
        <f>IF(AF58="-","-",SUM(AG58)-SUM(AF58))</f>
        <v>0.127</v>
      </c>
      <c r="AH131" s="565">
        <f>IF(AG58="-","-",SUM(AH58)-SUM(AG58))</f>
        <v>-8.0999999999999961E-2</v>
      </c>
      <c r="AI131" s="568">
        <f>SUM(AE131:AH131)</f>
        <v>-0.88900000000000001</v>
      </c>
      <c r="AJ131" s="556"/>
      <c r="AK131" s="565">
        <f>AK58</f>
        <v>0</v>
      </c>
      <c r="AL131" s="565">
        <f>IF(AK58="-","-",SUM(AL58)-SUM(AK58))</f>
        <v>0.11799999999999999</v>
      </c>
      <c r="AM131" s="565">
        <f>IF(AL58="-","-",SUM(AM58)-SUM(AL58))</f>
        <v>-1.4609999999999999</v>
      </c>
      <c r="AN131" s="565">
        <f>IF(AM58="-","-",SUM(AN58)-SUM(AM58))</f>
        <v>-0.44900000000000007</v>
      </c>
      <c r="AO131" s="568">
        <f>SUM(AK131:AN131)</f>
        <v>-1.792</v>
      </c>
      <c r="AP131" s="556"/>
      <c r="AQ131" s="565">
        <f>AQ58</f>
        <v>-0.92</v>
      </c>
      <c r="AR131" s="565">
        <f>IF(AQ58="-","-",SUM(AR58)-SUM(AQ58))</f>
        <v>-0.79399999999999993</v>
      </c>
      <c r="AS131" s="565">
        <f>IF(AR58="-","-",SUM(AS58)-SUM(AR58))</f>
        <v>4.8999999999999932E-2</v>
      </c>
      <c r="AT131" s="565">
        <f>IF(AS58="-","-",SUM(AT58)-SUM(AS58))</f>
        <v>0.93300000000000005</v>
      </c>
      <c r="AU131" s="568">
        <f>SUM(AQ131:AT131)</f>
        <v>-0.73199999999999998</v>
      </c>
      <c r="AV131" s="556"/>
      <c r="AW131" s="565">
        <f>AW58</f>
        <v>-1.407</v>
      </c>
      <c r="AX131" s="565">
        <f>IF(AW58="-","-",SUM(AX58)-SUM(AW58))</f>
        <v>-2.238</v>
      </c>
      <c r="AY131" s="565">
        <f>IF(AX58="-","-",SUM(AY58)-SUM(AX58))</f>
        <v>-2.5310000000000001</v>
      </c>
      <c r="AZ131" s="565">
        <f>IF(AY58="-","-",SUM(AZ58)-SUM(AY58))</f>
        <v>4.2</v>
      </c>
      <c r="BA131" s="568">
        <f>SUM(AW131:AZ131)</f>
        <v>-1.976</v>
      </c>
      <c r="BB131" s="556"/>
      <c r="BC131" s="565">
        <f>BC58</f>
        <v>0.82499999999999996</v>
      </c>
      <c r="BD131" s="565">
        <f>IF(BC58="-","-",SUM(BD58)-SUM(BC58))</f>
        <v>3.4929999999999994</v>
      </c>
      <c r="BE131" s="565">
        <f>IF(BD58="-","-",SUM(BE58)-SUM(BD58))</f>
        <v>-2.2229999999999994</v>
      </c>
      <c r="BF131" s="565">
        <f>IF(BE58="-","-",SUM(BF58)-SUM(BE58))</f>
        <v>0.28999999999999959</v>
      </c>
      <c r="BG131" s="568">
        <f>SUM(BC131:BF131)</f>
        <v>2.3849999999999998</v>
      </c>
      <c r="BH131" s="556"/>
      <c r="BI131" s="565">
        <f>BI58</f>
        <v>-6.5179999999999998</v>
      </c>
      <c r="BJ131" s="565">
        <f>IF(BI58="-","-",SUM(BJ58)-SUM(BI58))</f>
        <v>3.758</v>
      </c>
      <c r="BK131" s="565">
        <f>IF(BJ58="-","-",SUM(BK58)-SUM(BJ58))</f>
        <v>-0.72900000000000009</v>
      </c>
      <c r="BL131" s="565">
        <f>IF(BK58="-","-",SUM(BL58)-SUM(BK58))</f>
        <v>8.8140000000000001</v>
      </c>
      <c r="BM131" s="568">
        <f>SUM(BI131:BL131)</f>
        <v>5.3250000000000002</v>
      </c>
      <c r="BN131" s="556"/>
      <c r="BO131" s="565">
        <f>BO58</f>
        <v>-1.76</v>
      </c>
      <c r="BP131" s="565">
        <f>IF(BO58="-","-",SUM(BP58)-SUM(BO58))</f>
        <v>10.414999999999999</v>
      </c>
      <c r="BQ131" s="565">
        <f>IF(BP58="-","-",SUM(BQ58)-SUM(BP58))</f>
        <v>0.99500000000000099</v>
      </c>
      <c r="BR131" s="565">
        <f>IF(BQ58="-","-",SUM(BR58)-SUM(BQ58))</f>
        <v>-2.2130000000000001</v>
      </c>
      <c r="BS131" s="568">
        <f>SUM(BO131:BR131)</f>
        <v>7.4370000000000003</v>
      </c>
      <c r="BT131" s="556"/>
      <c r="BU131" s="565">
        <f>BU58</f>
        <v>-6.8090000000000002</v>
      </c>
      <c r="BV131" s="565">
        <f>IF(BU58="-","-",SUM(BV58)-SUM(BU58))</f>
        <v>-1.2809999999999997</v>
      </c>
      <c r="BW131" s="565">
        <f>IF(BV58="-","-",SUM(BW58)-SUM(BV58))</f>
        <v>5.1839999999999993</v>
      </c>
      <c r="BX131" s="565">
        <f>IF(BW58="-","-",SUM(BX58)-SUM(BW58))</f>
        <v>-4.8520000000000003</v>
      </c>
      <c r="BY131" s="568">
        <f>SUM(BU131:BX131)</f>
        <v>-7.7580000000000009</v>
      </c>
      <c r="BZ131" s="556"/>
      <c r="CA131" s="565">
        <f>CA58</f>
        <v>2.6890000000000001</v>
      </c>
      <c r="CB131" s="565">
        <f>IF(CA58="-","-",SUM(CB58)-SUM(CA58))</f>
        <v>-5.6639999999999997</v>
      </c>
      <c r="CC131" s="565">
        <f>IF(CB58="-","-",SUM(CC58)-SUM(CB58))</f>
        <v>-14.538000000000002</v>
      </c>
      <c r="CD131" s="565">
        <f>IF(CC58="-","-",SUM(CD58)-SUM(CC58))</f>
        <v>-20.877999999999997</v>
      </c>
      <c r="CE131" s="568">
        <f>SUM(CA131:CD131)</f>
        <v>-38.390999999999998</v>
      </c>
      <c r="CF131" s="556"/>
      <c r="CG131" s="565">
        <f>CG58</f>
        <v>-3.3090000000000002</v>
      </c>
      <c r="CH131" s="565">
        <f>IF(CG58="-","-",SUM(CH58)-SUM(CG58))</f>
        <v>3.169</v>
      </c>
      <c r="CI131" s="565">
        <f>IF(CH58="-","-",SUM(CI58)-SUM(CH58))</f>
        <v>-2.8719999999999999</v>
      </c>
      <c r="CJ131" s="565">
        <f>IF(CI58="-","-",SUM(CJ58)-SUM(CI58))</f>
        <v>-4.0969999999999995</v>
      </c>
      <c r="CK131" s="568">
        <f>SUM(CG131:CJ131)</f>
        <v>-7.109</v>
      </c>
      <c r="CL131" s="556"/>
      <c r="CM131" s="565">
        <f>CM58</f>
        <v>0.76300000000000001</v>
      </c>
      <c r="CN131" s="565">
        <f>IF(CM58="-","-",SUM(CN58)-SUM(CM58))</f>
        <v>-8.7360000000000007</v>
      </c>
      <c r="CO131" s="565">
        <f>IF(CN58="-","-",SUM(CO58)-SUM(CN58))</f>
        <v>-11.867000000000001</v>
      </c>
      <c r="CP131" s="565">
        <f>IF(CO58="-","-",SUM(CP58)-SUM(CO58))</f>
        <v>-7.5289999999999999</v>
      </c>
      <c r="CQ131" s="568">
        <f>SUM(CM131:CP131)</f>
        <v>-27.369000000000003</v>
      </c>
      <c r="CR131" s="556"/>
      <c r="CS131" s="565">
        <f>CS58</f>
        <v>6.1219999999999999</v>
      </c>
      <c r="CT131" s="565">
        <f>IF(CS58="-","-",SUM(CT58)-SUM(CS58))</f>
        <v>-0.71</v>
      </c>
      <c r="CU131" s="565">
        <f>IF(CT58="-","-",SUM(CU58)-SUM(CT58))</f>
        <v>-2.0449999999999999</v>
      </c>
      <c r="CV131" s="565">
        <f>IF(CU58="-","-",SUM(CV58)-SUM(CU58))</f>
        <v>-15.120000000000001</v>
      </c>
      <c r="CW131" s="568">
        <f>SUM(CS131:CV131)</f>
        <v>-11.753</v>
      </c>
      <c r="CX131" s="556"/>
      <c r="CY131" s="565">
        <f>CY58</f>
        <v>0</v>
      </c>
      <c r="CZ131" s="565">
        <f>IF(CY58="-","-",SUM(CZ58)-SUM(CY58))</f>
        <v>0</v>
      </c>
      <c r="DA131" s="565">
        <f>IF(CZ58="-","-",SUM(DA58)-SUM(CZ58))</f>
        <v>0</v>
      </c>
      <c r="DB131" s="565">
        <f>IF(DA58="-","-",SUM(DB58)-SUM(DA58))</f>
        <v>0</v>
      </c>
      <c r="DC131" s="568">
        <f>SUM(CY131:DB131)</f>
        <v>0</v>
      </c>
      <c r="DD131" s="556"/>
      <c r="DE131" s="565">
        <f>DE58</f>
        <v>0</v>
      </c>
      <c r="DF131" s="565">
        <f>IF(DE58="-","-",SUM(DF58)-SUM(DE58))</f>
        <v>0</v>
      </c>
      <c r="DG131" s="565">
        <f>IF(DF58="-","-",SUM(DG58)-SUM(DF58))</f>
        <v>0</v>
      </c>
      <c r="DH131" s="565">
        <f>IF(DG58="-","-",SUM(DH58)-SUM(DG58))</f>
        <v>0</v>
      </c>
      <c r="DI131" s="568">
        <f>SUM(DE131:DH131)</f>
        <v>0</v>
      </c>
      <c r="DJ131" s="556"/>
      <c r="DK131" s="565">
        <f>DK58</f>
        <v>0</v>
      </c>
      <c r="DL131" s="565">
        <f>IF(DK58="-","-",SUM(DL58)-SUM(DK58))</f>
        <v>0</v>
      </c>
      <c r="DM131" s="565">
        <f>IF(DL58="-","-",SUM(DM58)-SUM(DL58))</f>
        <v>0</v>
      </c>
      <c r="DN131" s="565">
        <f>IF(DM58="-","-",SUM(DN58)-SUM(DM58))</f>
        <v>0</v>
      </c>
      <c r="DO131" s="568">
        <f>SUM(DK131:DN131)</f>
        <v>0</v>
      </c>
      <c r="DP131" s="1698"/>
      <c r="DQ131" s="956"/>
      <c r="DR131" s="956"/>
    </row>
    <row r="132" spans="1:122" ht="5.25" customHeight="1">
      <c r="A132" s="560"/>
      <c r="B132" s="584"/>
      <c r="C132" s="594"/>
      <c r="D132" s="594"/>
      <c r="E132" s="594"/>
      <c r="F132" s="594"/>
      <c r="G132" s="594"/>
      <c r="H132" s="594"/>
      <c r="I132" s="594"/>
      <c r="J132" s="594"/>
      <c r="K132" s="594"/>
      <c r="L132" s="594"/>
      <c r="M132" s="560"/>
      <c r="N132" s="560"/>
      <c r="O132" s="560"/>
      <c r="P132" s="560"/>
      <c r="Q132" s="562"/>
      <c r="R132" s="560"/>
      <c r="S132" s="562"/>
      <c r="T132" s="613"/>
      <c r="U132" s="562"/>
      <c r="V132" s="562"/>
      <c r="W132" s="562"/>
      <c r="X132" s="562"/>
      <c r="Y132" s="562"/>
      <c r="Z132" s="562"/>
      <c r="AA132" s="562"/>
      <c r="AB132" s="562"/>
      <c r="AC132" s="562"/>
      <c r="AD132" s="562"/>
      <c r="AE132" s="562"/>
      <c r="AF132" s="562"/>
      <c r="AG132" s="562"/>
      <c r="AH132" s="562"/>
      <c r="AI132" s="622"/>
      <c r="AJ132" s="562"/>
      <c r="AK132" s="562"/>
      <c r="AL132" s="562"/>
      <c r="AM132" s="562"/>
      <c r="AN132" s="562"/>
      <c r="AO132" s="622"/>
      <c r="AP132" s="562"/>
      <c r="AQ132" s="562"/>
      <c r="AR132" s="562"/>
      <c r="AS132" s="562"/>
      <c r="AT132" s="562"/>
      <c r="AU132" s="622"/>
      <c r="AV132" s="562"/>
      <c r="AW132" s="562"/>
      <c r="AX132" s="562"/>
      <c r="AY132" s="562"/>
      <c r="AZ132" s="562"/>
      <c r="BA132" s="622"/>
      <c r="BB132" s="562"/>
      <c r="BC132" s="562"/>
      <c r="BD132" s="562"/>
      <c r="BE132" s="562"/>
      <c r="BF132" s="562"/>
      <c r="BG132" s="622"/>
      <c r="BH132" s="562"/>
      <c r="BI132" s="562"/>
      <c r="BJ132" s="562"/>
      <c r="BK132" s="562"/>
      <c r="BL132" s="562"/>
      <c r="BM132" s="622"/>
      <c r="BN132" s="562"/>
      <c r="BO132" s="562"/>
      <c r="BP132" s="562"/>
      <c r="BQ132" s="562"/>
      <c r="BR132" s="562"/>
      <c r="BS132" s="622"/>
      <c r="BT132" s="562"/>
      <c r="BU132" s="562"/>
      <c r="BV132" s="562"/>
      <c r="BW132" s="562"/>
      <c r="BX132" s="562"/>
      <c r="BY132" s="622"/>
      <c r="BZ132" s="562"/>
      <c r="CA132" s="562"/>
      <c r="CB132" s="562"/>
      <c r="CC132" s="562"/>
      <c r="CD132" s="562"/>
      <c r="CE132" s="622"/>
      <c r="CF132" s="562"/>
      <c r="CG132" s="562"/>
      <c r="CH132" s="562"/>
      <c r="CI132" s="562"/>
      <c r="CJ132" s="562"/>
      <c r="CK132" s="622"/>
      <c r="CL132" s="562"/>
      <c r="CM132" s="562"/>
      <c r="CN132" s="562"/>
      <c r="CO132" s="562"/>
      <c r="CP132" s="562"/>
      <c r="CQ132" s="622"/>
      <c r="CR132" s="562"/>
      <c r="CS132" s="562"/>
      <c r="CT132" s="562"/>
      <c r="CU132" s="562"/>
      <c r="CV132" s="562"/>
      <c r="CW132" s="622"/>
      <c r="CX132" s="562"/>
      <c r="CY132" s="562"/>
      <c r="CZ132" s="562"/>
      <c r="DA132" s="562"/>
      <c r="DB132" s="562"/>
      <c r="DC132" s="622"/>
      <c r="DD132" s="562"/>
      <c r="DE132" s="562"/>
      <c r="DF132" s="562"/>
      <c r="DG132" s="562"/>
      <c r="DH132" s="562"/>
      <c r="DI132" s="622"/>
      <c r="DJ132" s="562"/>
      <c r="DK132" s="562"/>
      <c r="DL132" s="562"/>
      <c r="DM132" s="562"/>
      <c r="DN132" s="562"/>
      <c r="DO132" s="622"/>
      <c r="DP132" s="1701"/>
      <c r="DQ132" s="1219"/>
      <c r="DR132" s="1219"/>
    </row>
    <row r="133" spans="1:122" ht="10.5" customHeight="1">
      <c r="A133" s="623" t="s">
        <v>322</v>
      </c>
      <c r="B133" s="579"/>
      <c r="C133" s="592">
        <f>C102+C115+C129+C131</f>
        <v>12.608999999999998</v>
      </c>
      <c r="D133" s="592">
        <f>D102+D115+D129+D131</f>
        <v>9.5910000000000011</v>
      </c>
      <c r="E133" s="592">
        <f>E102+E115+E129+E131</f>
        <v>-10.491000000000005</v>
      </c>
      <c r="F133" s="598"/>
      <c r="G133" s="592">
        <f>G102+G115+G129+G131</f>
        <v>-2.8409999999999997</v>
      </c>
      <c r="H133" s="592">
        <f>H102+H115+H129+H131</f>
        <v>1.278</v>
      </c>
      <c r="I133" s="592">
        <f>I102+I115+I129+I131</f>
        <v>-0.27399999999999997</v>
      </c>
      <c r="J133" s="592">
        <f>J102+J115+J129+J131</f>
        <v>-1.163</v>
      </c>
      <c r="K133" s="592">
        <f>K102+K115+K129+K131</f>
        <v>-2.9999999999999996</v>
      </c>
      <c r="L133" s="598"/>
      <c r="M133" s="592">
        <f>M102+M115+M129+M131</f>
        <v>-3.7679999999999993</v>
      </c>
      <c r="N133" s="592">
        <f>N102+N115+N129+N131</f>
        <v>1.1889999999999994</v>
      </c>
      <c r="O133" s="592">
        <f>O102+O115+O129+O131</f>
        <v>0.40600000000000025</v>
      </c>
      <c r="P133" s="592">
        <f>P102+P115+P129+P131</f>
        <v>3.9270000000000014</v>
      </c>
      <c r="Q133" s="592">
        <f>Q102+Q115+Q129+Q131</f>
        <v>1.7540000000000147</v>
      </c>
      <c r="R133" s="598"/>
      <c r="S133" s="598">
        <f>S102+S115+S129+S131</f>
        <v>-4.9029999999999951</v>
      </c>
      <c r="T133" s="598">
        <f>T102+T115+T129+T131</f>
        <v>55.533000000000008</v>
      </c>
      <c r="U133" s="598">
        <f>U102+U115+U129+U131</f>
        <v>-38.336999999999982</v>
      </c>
      <c r="V133" s="598">
        <f>V102+V115+V129+V131</f>
        <v>12.975</v>
      </c>
      <c r="W133" s="592">
        <f>SUM(S133:V133)</f>
        <v>25.268000000000029</v>
      </c>
      <c r="X133" s="598"/>
      <c r="Y133" s="598">
        <f>Y102+Y115+Y129+Y131</f>
        <v>4.8730000000000082</v>
      </c>
      <c r="Z133" s="598">
        <f>Z102+Z115+Z129+Z131</f>
        <v>-15.464000000000008</v>
      </c>
      <c r="AA133" s="598">
        <f>AA102+AA115+AA129+AA131</f>
        <v>62.215000000000003</v>
      </c>
      <c r="AB133" s="598">
        <f>AB102+AB115+AB129+AB131</f>
        <v>12.487000000000002</v>
      </c>
      <c r="AC133" s="592">
        <f>SUM(Y133:AB133)</f>
        <v>64.111000000000004</v>
      </c>
      <c r="AD133" s="598"/>
      <c r="AE133" s="598">
        <f>AE102+AE115+AE129+AE131</f>
        <v>28.730999999999991</v>
      </c>
      <c r="AF133" s="598">
        <f>AF102+AF115+AF129+AF131</f>
        <v>21.419</v>
      </c>
      <c r="AG133" s="598">
        <f>AG102+AG115+AG129+AG131</f>
        <v>-79.668000000000021</v>
      </c>
      <c r="AH133" s="598">
        <f>AH102+AH115+AH129+AH131</f>
        <v>16.283617851413222</v>
      </c>
      <c r="AI133" s="593">
        <f>SUM(AE133:AH133)</f>
        <v>-13.234382148586807</v>
      </c>
      <c r="AJ133" s="598"/>
      <c r="AK133" s="598">
        <f>AK102+AK115+AK129+AK131</f>
        <v>1.0900000000000016</v>
      </c>
      <c r="AL133" s="598">
        <f>AL102+AL115+AL129+AL131</f>
        <v>35.250999999999998</v>
      </c>
      <c r="AM133" s="598">
        <f>AM102+AM115+AM129+AM131</f>
        <v>37.812000000000005</v>
      </c>
      <c r="AN133" s="598">
        <f>AN102+AN115+AN129+AN131</f>
        <v>118.33399999999997</v>
      </c>
      <c r="AO133" s="624">
        <f>SUM(AK133:AN133)</f>
        <v>192.48699999999997</v>
      </c>
      <c r="AP133" s="598"/>
      <c r="AQ133" s="598">
        <f>AQ102+AQ115+AQ129+AQ131</f>
        <v>99.453000000000003</v>
      </c>
      <c r="AR133" s="598">
        <f>AR102+AR115+AR129+AR131</f>
        <v>48.49499999999999</v>
      </c>
      <c r="AS133" s="598">
        <f>AS102+AS115+AS129+AS131</f>
        <v>-44.729000000000006</v>
      </c>
      <c r="AT133" s="598">
        <f>AT102+AT115+AT129+AT131</f>
        <v>101.52000000000001</v>
      </c>
      <c r="AU133" s="593">
        <f>SUM(AQ133:AT133)</f>
        <v>204.73899999999998</v>
      </c>
      <c r="AV133" s="598"/>
      <c r="AW133" s="598">
        <f>AW102+AW115+AW129+AW131</f>
        <v>-141.57200000000003</v>
      </c>
      <c r="AX133" s="598">
        <f>AX102+AX115+AX129+AX131</f>
        <v>-96.093000000000018</v>
      </c>
      <c r="AY133" s="598">
        <f>AY102+AY115+AY129+AY131</f>
        <v>-3.2810000000000001</v>
      </c>
      <c r="AZ133" s="598">
        <f>AZ102+AZ115+AZ129+AZ131</f>
        <v>768.41799999999989</v>
      </c>
      <c r="BA133" s="593">
        <f>SUM(AW133:AZ133)</f>
        <v>527.47199999999987</v>
      </c>
      <c r="BB133" s="598"/>
      <c r="BC133" s="598">
        <f>BC102+BC115+BC129+BC131</f>
        <v>-320.51199999999994</v>
      </c>
      <c r="BD133" s="598">
        <f>BD102+BD115+BD129+BD131</f>
        <v>-280.86899999999997</v>
      </c>
      <c r="BE133" s="598">
        <f>BE102+BE115+BE129+BE131</f>
        <v>220.37799999999996</v>
      </c>
      <c r="BF133" s="598">
        <f>BF102+BF115+BF129+BF131</f>
        <v>-206.01100000000008</v>
      </c>
      <c r="BG133" s="593">
        <f>SUM(BC133:BF133)</f>
        <v>-587.01400000000001</v>
      </c>
      <c r="BH133" s="598"/>
      <c r="BI133" s="598">
        <f>BI102+BI115+BI129+BI131</f>
        <v>240.32</v>
      </c>
      <c r="BJ133" s="598">
        <f>BJ102+BJ115+BJ129+BJ131</f>
        <v>-214.81800000000001</v>
      </c>
      <c r="BK133" s="598">
        <f>BK102+BK115+BK129+BK131</f>
        <v>53.193000000000005</v>
      </c>
      <c r="BL133" s="598">
        <f>BL102+BL115+BL129+BL131</f>
        <v>104.29700000000003</v>
      </c>
      <c r="BM133" s="593">
        <f>SUM(BI133:BL133)</f>
        <v>182.99200000000002</v>
      </c>
      <c r="BN133" s="598"/>
      <c r="BO133" s="598">
        <f>BO102+BO115+BO129+BO131</f>
        <v>-166.49899999999997</v>
      </c>
      <c r="BP133" s="598">
        <f>BP102+BP115+BP129+BP131</f>
        <v>559.94499999999982</v>
      </c>
      <c r="BQ133" s="598">
        <f>BQ102+BQ115+BQ129+BQ131</f>
        <v>-479.00999999999993</v>
      </c>
      <c r="BR133" s="598">
        <f>BR102+BR115+BR129+BR131</f>
        <v>225.52500000000001</v>
      </c>
      <c r="BS133" s="593">
        <f>SUM(BO133:BR133)</f>
        <v>139.96099999999993</v>
      </c>
      <c r="BT133" s="598"/>
      <c r="BU133" s="598">
        <f>BU102+BU115+BU129+BU131</f>
        <v>1180.7450000000001</v>
      </c>
      <c r="BV133" s="598">
        <f>BV102+BV115+BV129+BV131</f>
        <v>-1348.1089999999997</v>
      </c>
      <c r="BW133" s="598">
        <f>BW102+BW115+BW129+BW131</f>
        <v>71.868999999999829</v>
      </c>
      <c r="BX133" s="598">
        <f>BX102+BX115+BX129+BX131</f>
        <v>129.88500000000013</v>
      </c>
      <c r="BY133" s="593">
        <f>SUM(BU133:BX133)</f>
        <v>34.390000000000384</v>
      </c>
      <c r="BZ133" s="598"/>
      <c r="CA133" s="598">
        <f>CA102+CA115+CA129+CA131</f>
        <v>46.256000000000007</v>
      </c>
      <c r="CB133" s="598">
        <f>CB102+CB115+CB129+CB131</f>
        <v>-53.166000000000189</v>
      </c>
      <c r="CC133" s="598">
        <f>CC102+CC115+CC129+CC131</f>
        <v>71.600000000000321</v>
      </c>
      <c r="CD133" s="598">
        <f>CD102+CD115+CD129+CD131</f>
        <v>61.79199999999976</v>
      </c>
      <c r="CE133" s="593">
        <f>SUM(CA133:CD133)</f>
        <v>126.4819999999999</v>
      </c>
      <c r="CF133" s="598"/>
      <c r="CG133" s="598">
        <f>CG102+CG115+CG129+CG131</f>
        <v>33.838999999999913</v>
      </c>
      <c r="CH133" s="598">
        <f>CH102+CH115+CH129+CH131</f>
        <v>147.39499999999998</v>
      </c>
      <c r="CI133" s="598">
        <f>CI102+CI115+CI129+CI131</f>
        <v>133.96700000000004</v>
      </c>
      <c r="CJ133" s="598">
        <f>CJ102+CJ115+CJ129+CJ131</f>
        <v>-64.954999999999501</v>
      </c>
      <c r="CK133" s="593">
        <f>SUM(CG133:CJ133)</f>
        <v>250.24600000000041</v>
      </c>
      <c r="CL133" s="598"/>
      <c r="CM133" s="598">
        <f>CM102+CM115+CM129+CM131</f>
        <v>640.71999999999991</v>
      </c>
      <c r="CN133" s="598">
        <f>CN102+CN115+CN129+CN131</f>
        <v>-683.85699999999986</v>
      </c>
      <c r="CO133" s="598">
        <f>CO102+CO115+CO129+CO131</f>
        <v>30.50999999999981</v>
      </c>
      <c r="CP133" s="598">
        <f>CP102+CP115+CP129+CP131</f>
        <v>460.81299999999982</v>
      </c>
      <c r="CQ133" s="593">
        <f>SUM(CM133:CP133)</f>
        <v>448.18599999999969</v>
      </c>
      <c r="CR133" s="598"/>
      <c r="CS133" s="598">
        <f>CS102+CS115+CS129+CS131</f>
        <v>418.3549999999999</v>
      </c>
      <c r="CT133" s="598">
        <f>CT102+CT115+CT129+CT131</f>
        <v>-75.794000000000167</v>
      </c>
      <c r="CU133" s="598">
        <f>CU102+CU115+CU129+CU131</f>
        <v>122.72699999999965</v>
      </c>
      <c r="CV133" s="598">
        <f>CV102+CV115+CV129+CV131</f>
        <v>471.64700000000039</v>
      </c>
      <c r="CW133" s="593">
        <f>SUM(CS133:CV133)</f>
        <v>936.93499999999972</v>
      </c>
      <c r="CX133" s="598"/>
      <c r="CY133" s="598">
        <f>CY102+CY115+CY129+CY131</f>
        <v>873.94113474560595</v>
      </c>
      <c r="CZ133" s="598">
        <f>CZ102+CZ115+CZ129+CZ131</f>
        <v>450.3445637570639</v>
      </c>
      <c r="DA133" s="598">
        <f>DA102+DA115+DA129+DA131</f>
        <v>322.56707184487266</v>
      </c>
      <c r="DB133" s="598">
        <f>DB102+DB115+DB129+DB131</f>
        <v>1252.1842701670867</v>
      </c>
      <c r="DC133" s="593">
        <f>SUM(CY133:DB133)</f>
        <v>2899.0370405146291</v>
      </c>
      <c r="DD133" s="598"/>
      <c r="DE133" s="598">
        <f>DE102+DE115+DE129+DE131</f>
        <v>1233.6506899336503</v>
      </c>
      <c r="DF133" s="598">
        <f>DF102+DF115+DF129+DF131</f>
        <v>544.57104085251467</v>
      </c>
      <c r="DG133" s="598">
        <f>DG102+DG115+DG129+DG131</f>
        <v>435.29432236280905</v>
      </c>
      <c r="DH133" s="598">
        <f>DH102+DH115+DH129+DH131</f>
        <v>1899.8318915044122</v>
      </c>
      <c r="DI133" s="593">
        <f>SUM(DE133:DH133)</f>
        <v>4113.3479446533865</v>
      </c>
      <c r="DJ133" s="598"/>
      <c r="DK133" s="598">
        <f>DK102+DK115+DK129+DK131</f>
        <v>1532.7530866260213</v>
      </c>
      <c r="DL133" s="598">
        <f>DL102+DL115+DL129+DL131</f>
        <v>818.54312149119016</v>
      </c>
      <c r="DM133" s="598">
        <f>DM102+DM115+DM129+DM131</f>
        <v>614.48777796885975</v>
      </c>
      <c r="DN133" s="598">
        <f>DN102+DN115+DN129+DN131</f>
        <v>2282.0247145034045</v>
      </c>
      <c r="DO133" s="593">
        <f>SUM(DK133:DN133)</f>
        <v>5247.8087005894758</v>
      </c>
      <c r="DP133" s="960"/>
      <c r="DQ133" s="960"/>
      <c r="DR133" s="960"/>
    </row>
    <row r="134" spans="1:122" ht="5.25" customHeight="1">
      <c r="A134" s="560"/>
      <c r="B134" s="584"/>
      <c r="C134" s="594"/>
      <c r="D134" s="594"/>
      <c r="E134" s="594"/>
      <c r="F134" s="594"/>
      <c r="G134" s="561"/>
      <c r="H134" s="561"/>
      <c r="I134" s="561"/>
      <c r="J134" s="561"/>
      <c r="K134" s="561"/>
      <c r="L134" s="594"/>
      <c r="M134" s="562"/>
      <c r="N134" s="562"/>
      <c r="O134" s="562"/>
      <c r="P134" s="562"/>
      <c r="Q134" s="562"/>
      <c r="R134" s="560"/>
      <c r="S134" s="562"/>
      <c r="T134" s="613"/>
      <c r="U134" s="562"/>
      <c r="V134" s="562"/>
      <c r="W134" s="562"/>
      <c r="X134" s="562"/>
      <c r="Y134" s="562"/>
      <c r="Z134" s="562"/>
      <c r="AA134" s="562"/>
      <c r="AB134" s="562"/>
      <c r="AC134" s="562"/>
      <c r="AD134" s="562"/>
      <c r="AE134" s="562"/>
      <c r="AF134" s="562"/>
      <c r="AG134" s="562"/>
      <c r="AH134" s="562"/>
      <c r="AI134" s="622"/>
      <c r="AJ134" s="562"/>
      <c r="AK134" s="562"/>
      <c r="AL134" s="562"/>
      <c r="AM134" s="562"/>
      <c r="AN134" s="562"/>
      <c r="AO134" s="622"/>
      <c r="AP134" s="562"/>
      <c r="AQ134" s="562"/>
      <c r="AR134" s="562"/>
      <c r="AS134" s="562"/>
      <c r="AT134" s="562"/>
      <c r="AU134" s="622"/>
      <c r="AV134" s="562"/>
      <c r="AW134" s="562"/>
      <c r="AX134" s="562"/>
      <c r="AY134" s="562"/>
      <c r="AZ134" s="562"/>
      <c r="BA134" s="622"/>
      <c r="BB134" s="562"/>
      <c r="BC134" s="562"/>
      <c r="BD134" s="562"/>
      <c r="BE134" s="562"/>
      <c r="BF134" s="562"/>
      <c r="BG134" s="622"/>
      <c r="BH134" s="562"/>
      <c r="BI134" s="562"/>
      <c r="BJ134" s="562"/>
      <c r="BK134" s="562"/>
      <c r="BL134" s="562"/>
      <c r="BM134" s="622"/>
      <c r="BN134" s="562"/>
      <c r="BO134" s="562"/>
      <c r="BP134" s="562"/>
      <c r="BQ134" s="562"/>
      <c r="BR134" s="562"/>
      <c r="BS134" s="622"/>
      <c r="BT134" s="562"/>
      <c r="BU134" s="562"/>
      <c r="BV134" s="562"/>
      <c r="BW134" s="562"/>
      <c r="BX134" s="562"/>
      <c r="BY134" s="622"/>
      <c r="BZ134" s="562"/>
      <c r="CA134" s="562"/>
      <c r="CB134" s="562"/>
      <c r="CC134" s="562"/>
      <c r="CD134" s="562"/>
      <c r="CE134" s="622"/>
      <c r="CF134" s="562"/>
      <c r="CG134" s="562"/>
      <c r="CH134" s="562"/>
      <c r="CI134" s="562"/>
      <c r="CJ134" s="562"/>
      <c r="CK134" s="622"/>
      <c r="CL134" s="562"/>
      <c r="CM134" s="562"/>
      <c r="CN134" s="562"/>
      <c r="CO134" s="562"/>
      <c r="CP134" s="562"/>
      <c r="CQ134" s="622"/>
      <c r="CR134" s="562"/>
      <c r="CS134" s="562"/>
      <c r="CT134" s="562"/>
      <c r="CU134" s="562"/>
      <c r="CV134" s="562"/>
      <c r="CW134" s="622"/>
      <c r="CX134" s="562"/>
      <c r="CY134" s="562"/>
      <c r="CZ134" s="562"/>
      <c r="DA134" s="562"/>
      <c r="DB134" s="562"/>
      <c r="DC134" s="622"/>
      <c r="DD134" s="562"/>
      <c r="DE134" s="562"/>
      <c r="DF134" s="562"/>
      <c r="DG134" s="562"/>
      <c r="DH134" s="562"/>
      <c r="DI134" s="622"/>
      <c r="DJ134" s="562"/>
      <c r="DK134" s="562"/>
      <c r="DL134" s="562"/>
      <c r="DM134" s="562"/>
      <c r="DN134" s="562"/>
      <c r="DO134" s="622"/>
      <c r="DP134" s="1701"/>
      <c r="DQ134" s="1219"/>
      <c r="DR134" s="1219"/>
    </row>
    <row r="135" spans="1:122" ht="10.5" customHeight="1">
      <c r="A135" s="578" t="s">
        <v>796</v>
      </c>
      <c r="B135" s="580"/>
      <c r="C135" s="592">
        <v>0</v>
      </c>
      <c r="D135" s="592">
        <v>12.609</v>
      </c>
      <c r="E135" s="592">
        <v>22.2</v>
      </c>
      <c r="F135" s="580"/>
      <c r="G135" s="598">
        <v>11.709</v>
      </c>
      <c r="H135" s="598">
        <v>8.8680000000000003</v>
      </c>
      <c r="I135" s="598">
        <v>10.146000000000001</v>
      </c>
      <c r="J135" s="598">
        <v>9.9359999999999999</v>
      </c>
      <c r="K135" s="625">
        <v>11.709</v>
      </c>
      <c r="L135" s="580"/>
      <c r="M135" s="598">
        <v>8.7089999999999996</v>
      </c>
      <c r="N135" s="598">
        <v>4.9409999999999998</v>
      </c>
      <c r="O135" s="598">
        <v>6.13</v>
      </c>
      <c r="P135" s="598">
        <v>6.5359999999999996</v>
      </c>
      <c r="Q135" s="598">
        <v>8.7089999999999996</v>
      </c>
      <c r="R135" s="580"/>
      <c r="S135" s="598">
        <f>Q137</f>
        <v>10.463000000000015</v>
      </c>
      <c r="T135" s="598">
        <f>S137</f>
        <v>5.56000000000002</v>
      </c>
      <c r="U135" s="598">
        <f>T137</f>
        <v>61.093000000000032</v>
      </c>
      <c r="V135" s="598">
        <f>U137</f>
        <v>22.75600000000005</v>
      </c>
      <c r="W135" s="598">
        <f>S135</f>
        <v>10.463000000000015</v>
      </c>
      <c r="X135" s="598"/>
      <c r="Y135" s="598">
        <f>W137</f>
        <v>35.731000000000044</v>
      </c>
      <c r="Z135" s="598">
        <f>Y137</f>
        <v>40.604000000000056</v>
      </c>
      <c r="AA135" s="598">
        <f>Z137</f>
        <v>25.14000000000005</v>
      </c>
      <c r="AB135" s="598">
        <f>AA137</f>
        <v>87.355000000000047</v>
      </c>
      <c r="AC135" s="598">
        <f>Y135</f>
        <v>35.731000000000044</v>
      </c>
      <c r="AD135" s="598"/>
      <c r="AE135" s="598">
        <f>AC137</f>
        <v>99.842000000000041</v>
      </c>
      <c r="AF135" s="598">
        <f>AE137</f>
        <v>128.57300000000004</v>
      </c>
      <c r="AG135" s="598">
        <f>AF137</f>
        <v>149.99200000000005</v>
      </c>
      <c r="AH135" s="598">
        <f>AG137</f>
        <v>70.324000000000026</v>
      </c>
      <c r="AI135" s="624">
        <f>AE135</f>
        <v>99.842000000000041</v>
      </c>
      <c r="AJ135" s="598"/>
      <c r="AK135" s="598">
        <f>AI137</f>
        <v>86.607617851413238</v>
      </c>
      <c r="AL135" s="598">
        <f>AK137</f>
        <v>87.697617851413241</v>
      </c>
      <c r="AM135" s="598">
        <f>AL137</f>
        <v>122.94861785141325</v>
      </c>
      <c r="AN135" s="598">
        <f>AM137</f>
        <v>160.76061785141326</v>
      </c>
      <c r="AO135" s="624">
        <f>AK135</f>
        <v>86.607617851413238</v>
      </c>
      <c r="AP135" s="598"/>
      <c r="AQ135" s="598">
        <f>AO137</f>
        <v>279.0946178514132</v>
      </c>
      <c r="AR135" s="598">
        <f>AQ137</f>
        <v>378.54761785141318</v>
      </c>
      <c r="AS135" s="598">
        <f>AR137</f>
        <v>427.04261785141318</v>
      </c>
      <c r="AT135" s="598">
        <f>AS137</f>
        <v>382.3136178514132</v>
      </c>
      <c r="AU135" s="624">
        <f>AQ135</f>
        <v>279.0946178514132</v>
      </c>
      <c r="AV135" s="598"/>
      <c r="AW135" s="598">
        <f>AU137</f>
        <v>483.83361785141318</v>
      </c>
      <c r="AX135" s="598">
        <f>AW137</f>
        <v>342.26161785141312</v>
      </c>
      <c r="AY135" s="598">
        <f>AX137</f>
        <v>246.1686178514131</v>
      </c>
      <c r="AZ135" s="598">
        <f>AY137</f>
        <v>242.8876178514131</v>
      </c>
      <c r="BA135" s="624">
        <f>AW135</f>
        <v>483.83361785141318</v>
      </c>
      <c r="BB135" s="598"/>
      <c r="BC135" s="598">
        <f>BA137</f>
        <v>1011.305617851413</v>
      </c>
      <c r="BD135" s="598">
        <f>BC137</f>
        <v>690.79361785141305</v>
      </c>
      <c r="BE135" s="598">
        <f>BD137</f>
        <v>409.92461785141307</v>
      </c>
      <c r="BF135" s="598">
        <f>BE137</f>
        <v>630.30261785141306</v>
      </c>
      <c r="BG135" s="624">
        <f>BC135</f>
        <v>1011.305617851413</v>
      </c>
      <c r="BH135" s="598"/>
      <c r="BI135" s="598">
        <f>BG137</f>
        <v>424.29161785141298</v>
      </c>
      <c r="BJ135" s="598">
        <f>BI137</f>
        <v>664.61161785141303</v>
      </c>
      <c r="BK135" s="598">
        <f>BJ137</f>
        <v>449.79361785141305</v>
      </c>
      <c r="BL135" s="598">
        <f>BK137</f>
        <v>502.98661785141303</v>
      </c>
      <c r="BM135" s="624">
        <f>BI135</f>
        <v>424.29161785141298</v>
      </c>
      <c r="BN135" s="598"/>
      <c r="BO135" s="598">
        <f>BM137</f>
        <v>607.28361785141306</v>
      </c>
      <c r="BP135" s="598">
        <f>BO137</f>
        <v>440.78461785141309</v>
      </c>
      <c r="BQ135" s="598">
        <f>BP137</f>
        <v>1000.729617851413</v>
      </c>
      <c r="BR135" s="598">
        <f>BQ137</f>
        <v>521.71961785141298</v>
      </c>
      <c r="BS135" s="624">
        <f>BO135</f>
        <v>607.28361785141306</v>
      </c>
      <c r="BT135" s="598"/>
      <c r="BU135" s="598">
        <f>BS137</f>
        <v>747.24461785141295</v>
      </c>
      <c r="BV135" s="598">
        <f>BU137</f>
        <v>1927.9896178514132</v>
      </c>
      <c r="BW135" s="598">
        <f>BV137</f>
        <v>579.88061785141349</v>
      </c>
      <c r="BX135" s="598">
        <f>BW137</f>
        <v>651.74961785141329</v>
      </c>
      <c r="BY135" s="624">
        <f>BU135</f>
        <v>747.24461785141295</v>
      </c>
      <c r="BZ135" s="598"/>
      <c r="CA135" s="598">
        <f>BY137</f>
        <v>781.6346178514134</v>
      </c>
      <c r="CB135" s="598">
        <f>CA137</f>
        <v>827.89061785141337</v>
      </c>
      <c r="CC135" s="598">
        <f>CB137</f>
        <v>774.7246178514132</v>
      </c>
      <c r="CD135" s="598">
        <f>CC137</f>
        <v>846.32461785141356</v>
      </c>
      <c r="CE135" s="624">
        <f>CA135</f>
        <v>781.6346178514134</v>
      </c>
      <c r="CF135" s="598"/>
      <c r="CG135" s="598">
        <f>CE137</f>
        <v>908.11661785141325</v>
      </c>
      <c r="CH135" s="598">
        <f>CG137</f>
        <v>941.95561785141319</v>
      </c>
      <c r="CI135" s="598">
        <f>CH137</f>
        <v>1089.3506178514131</v>
      </c>
      <c r="CJ135" s="598">
        <f>CI137</f>
        <v>1223.3176178514132</v>
      </c>
      <c r="CK135" s="624">
        <f>CG135</f>
        <v>908.11661785141325</v>
      </c>
      <c r="CL135" s="598"/>
      <c r="CM135" s="598">
        <f>CK137</f>
        <v>1158.3626178514137</v>
      </c>
      <c r="CN135" s="598">
        <f>CM137</f>
        <v>1799.0826178514135</v>
      </c>
      <c r="CO135" s="598">
        <f>CN137</f>
        <v>1115.2256178514135</v>
      </c>
      <c r="CP135" s="598">
        <f>CO137</f>
        <v>1145.7356178514133</v>
      </c>
      <c r="CQ135" s="624">
        <f>CM135</f>
        <v>1158.3626178514137</v>
      </c>
      <c r="CR135" s="598"/>
      <c r="CS135" s="598">
        <f>CQ137</f>
        <v>1606.5486178514134</v>
      </c>
      <c r="CT135" s="598">
        <f>CS137</f>
        <v>2024.9036178514134</v>
      </c>
      <c r="CU135" s="598">
        <f>CT137</f>
        <v>1949.1096178514133</v>
      </c>
      <c r="CV135" s="598">
        <f>CU137</f>
        <v>2071.8366178514129</v>
      </c>
      <c r="CW135" s="624">
        <f>CS135</f>
        <v>1606.5486178514134</v>
      </c>
      <c r="CX135" s="598"/>
      <c r="CY135" s="598">
        <f>CW137</f>
        <v>2543.4836178514133</v>
      </c>
      <c r="CZ135" s="598">
        <f>CY137</f>
        <v>3417.4247525970195</v>
      </c>
      <c r="DA135" s="598">
        <f>CZ137</f>
        <v>3867.7693163540835</v>
      </c>
      <c r="DB135" s="598">
        <f>DA137</f>
        <v>4190.3363881989562</v>
      </c>
      <c r="DC135" s="624">
        <f>CY135</f>
        <v>2543.4836178514133</v>
      </c>
      <c r="DD135" s="598"/>
      <c r="DE135" s="598">
        <f>DC137</f>
        <v>5442.520658366042</v>
      </c>
      <c r="DF135" s="598">
        <f>DE137</f>
        <v>6676.171348299692</v>
      </c>
      <c r="DG135" s="598">
        <f>DF137</f>
        <v>7220.7423891522067</v>
      </c>
      <c r="DH135" s="598">
        <f>DG137</f>
        <v>7656.0367115150157</v>
      </c>
      <c r="DI135" s="624">
        <f>DE135</f>
        <v>5442.520658366042</v>
      </c>
      <c r="DJ135" s="598"/>
      <c r="DK135" s="598">
        <f>DI137</f>
        <v>9555.8686030194294</v>
      </c>
      <c r="DL135" s="598">
        <f>DK137</f>
        <v>11088.62168964545</v>
      </c>
      <c r="DM135" s="598">
        <f>DL137</f>
        <v>11907.164811136639</v>
      </c>
      <c r="DN135" s="598">
        <f>DM137</f>
        <v>12521.652589105499</v>
      </c>
      <c r="DO135" s="624">
        <f>DK135</f>
        <v>9555.8686030194294</v>
      </c>
      <c r="DP135" s="958"/>
      <c r="DQ135" s="958"/>
      <c r="DR135" s="958"/>
    </row>
    <row r="136" spans="1:122" ht="5.25" customHeight="1">
      <c r="A136" s="560"/>
      <c r="B136" s="584"/>
      <c r="C136" s="594"/>
      <c r="D136" s="594"/>
      <c r="E136" s="594"/>
      <c r="F136" s="594"/>
      <c r="G136" s="561"/>
      <c r="H136" s="561"/>
      <c r="I136" s="561"/>
      <c r="J136" s="561"/>
      <c r="K136" s="561"/>
      <c r="L136" s="594"/>
      <c r="M136" s="562"/>
      <c r="N136" s="562"/>
      <c r="O136" s="562"/>
      <c r="P136" s="562"/>
      <c r="Q136" s="562"/>
      <c r="R136" s="560"/>
      <c r="S136" s="562"/>
      <c r="T136" s="562"/>
      <c r="U136" s="562"/>
      <c r="V136" s="562"/>
      <c r="W136" s="562"/>
      <c r="X136" s="562"/>
      <c r="Y136" s="562"/>
      <c r="Z136" s="562"/>
      <c r="AA136" s="562"/>
      <c r="AB136" s="562"/>
      <c r="AC136" s="562"/>
      <c r="AD136" s="562"/>
      <c r="AE136" s="562"/>
      <c r="AF136" s="562"/>
      <c r="AG136" s="562"/>
      <c r="AH136" s="562"/>
      <c r="AI136" s="622"/>
      <c r="AJ136" s="562"/>
      <c r="AK136" s="562"/>
      <c r="AL136" s="562"/>
      <c r="AM136" s="562"/>
      <c r="AN136" s="562"/>
      <c r="AO136" s="622"/>
      <c r="AP136" s="562"/>
      <c r="AQ136" s="562"/>
      <c r="AR136" s="562"/>
      <c r="AS136" s="562"/>
      <c r="AT136" s="562"/>
      <c r="AU136" s="622"/>
      <c r="AV136" s="562"/>
      <c r="AW136" s="562"/>
      <c r="AX136" s="562"/>
      <c r="AY136" s="562"/>
      <c r="AZ136" s="562"/>
      <c r="BA136" s="622"/>
      <c r="BB136" s="562"/>
      <c r="BC136" s="562"/>
      <c r="BD136" s="562"/>
      <c r="BE136" s="562"/>
      <c r="BF136" s="562"/>
      <c r="BG136" s="622"/>
      <c r="BH136" s="562"/>
      <c r="BI136" s="562"/>
      <c r="BJ136" s="562"/>
      <c r="BK136" s="562"/>
      <c r="BL136" s="562"/>
      <c r="BM136" s="622"/>
      <c r="BN136" s="562"/>
      <c r="BO136" s="562"/>
      <c r="BP136" s="562"/>
      <c r="BQ136" s="562"/>
      <c r="BR136" s="562"/>
      <c r="BS136" s="622"/>
      <c r="BT136" s="562"/>
      <c r="BU136" s="562"/>
      <c r="BV136" s="562"/>
      <c r="BW136" s="562"/>
      <c r="BX136" s="562"/>
      <c r="BY136" s="622"/>
      <c r="BZ136" s="562"/>
      <c r="CA136" s="562"/>
      <c r="CB136" s="562"/>
      <c r="CC136" s="562"/>
      <c r="CD136" s="562"/>
      <c r="CE136" s="622"/>
      <c r="CF136" s="562"/>
      <c r="CG136" s="562"/>
      <c r="CH136" s="562"/>
      <c r="CI136" s="562"/>
      <c r="CJ136" s="562"/>
      <c r="CK136" s="622"/>
      <c r="CL136" s="562"/>
      <c r="CM136" s="562"/>
      <c r="CN136" s="562"/>
      <c r="CO136" s="562"/>
      <c r="CP136" s="562"/>
      <c r="CQ136" s="622"/>
      <c r="CR136" s="562"/>
      <c r="CS136" s="562"/>
      <c r="CT136" s="562"/>
      <c r="CU136" s="562"/>
      <c r="CV136" s="562"/>
      <c r="CW136" s="622"/>
      <c r="CX136" s="562"/>
      <c r="CY136" s="562"/>
      <c r="CZ136" s="562"/>
      <c r="DA136" s="562"/>
      <c r="DB136" s="562"/>
      <c r="DC136" s="622"/>
      <c r="DD136" s="562"/>
      <c r="DE136" s="562"/>
      <c r="DF136" s="562"/>
      <c r="DG136" s="562"/>
      <c r="DH136" s="562"/>
      <c r="DI136" s="622"/>
      <c r="DJ136" s="562"/>
      <c r="DK136" s="562"/>
      <c r="DL136" s="562"/>
      <c r="DM136" s="562"/>
      <c r="DN136" s="562"/>
      <c r="DO136" s="622"/>
      <c r="DP136" s="1701"/>
      <c r="DQ136" s="1219"/>
      <c r="DR136" s="1219"/>
    </row>
    <row r="137" spans="1:122" ht="10.5" customHeight="1">
      <c r="A137" s="416" t="s">
        <v>659</v>
      </c>
      <c r="B137" s="417"/>
      <c r="C137" s="418">
        <f>C133+C135</f>
        <v>12.608999999999998</v>
      </c>
      <c r="D137" s="418">
        <f>D133+D135</f>
        <v>22.200000000000003</v>
      </c>
      <c r="E137" s="418">
        <f>E133+E135</f>
        <v>11.708999999999994</v>
      </c>
      <c r="F137" s="405"/>
      <c r="G137" s="418">
        <f>G133+G135</f>
        <v>8.8680000000000003</v>
      </c>
      <c r="H137" s="418">
        <f>H133+H135</f>
        <v>10.146000000000001</v>
      </c>
      <c r="I137" s="418">
        <f>I133+I135</f>
        <v>9.8720000000000017</v>
      </c>
      <c r="J137" s="418">
        <f>J133+J135</f>
        <v>8.7729999999999997</v>
      </c>
      <c r="K137" s="418">
        <f>K133+K135</f>
        <v>8.7089999999999996</v>
      </c>
      <c r="L137" s="417"/>
      <c r="M137" s="418">
        <f>M133+M135</f>
        <v>4.9410000000000007</v>
      </c>
      <c r="N137" s="418">
        <f>N133+N135</f>
        <v>6.129999999999999</v>
      </c>
      <c r="O137" s="418">
        <f>O133+O135</f>
        <v>6.5360000000000005</v>
      </c>
      <c r="P137" s="418">
        <f>P133+P135</f>
        <v>10.463000000000001</v>
      </c>
      <c r="Q137" s="405">
        <f>Q133+Q135</f>
        <v>10.463000000000015</v>
      </c>
      <c r="R137" s="405"/>
      <c r="S137" s="405">
        <f>S133+S135</f>
        <v>5.56000000000002</v>
      </c>
      <c r="T137" s="405">
        <f>T133+T135</f>
        <v>61.093000000000032</v>
      </c>
      <c r="U137" s="405">
        <f>U133+U135</f>
        <v>22.75600000000005</v>
      </c>
      <c r="V137" s="405">
        <f>V133+V135</f>
        <v>35.731000000000051</v>
      </c>
      <c r="W137" s="405">
        <f>W133+W135</f>
        <v>35.731000000000044</v>
      </c>
      <c r="X137" s="405"/>
      <c r="Y137" s="405">
        <f>Y133+Y135</f>
        <v>40.604000000000056</v>
      </c>
      <c r="Z137" s="405">
        <f>Z133+Z135</f>
        <v>25.14000000000005</v>
      </c>
      <c r="AA137" s="405">
        <f>AA133+AA135</f>
        <v>87.355000000000047</v>
      </c>
      <c r="AB137" s="405">
        <f>AB133+AB135</f>
        <v>99.842000000000041</v>
      </c>
      <c r="AC137" s="405">
        <f>AC133+AC135</f>
        <v>99.842000000000041</v>
      </c>
      <c r="AD137" s="405"/>
      <c r="AE137" s="405">
        <f>AE133+AE135</f>
        <v>128.57300000000004</v>
      </c>
      <c r="AF137" s="405">
        <f>AF133+AF135</f>
        <v>149.99200000000005</v>
      </c>
      <c r="AG137" s="405">
        <f>AG133+AG135</f>
        <v>70.324000000000026</v>
      </c>
      <c r="AH137" s="405">
        <f>AH133+AH135</f>
        <v>86.607617851413252</v>
      </c>
      <c r="AI137" s="406">
        <f>AI133+AI135</f>
        <v>86.607617851413238</v>
      </c>
      <c r="AJ137" s="405"/>
      <c r="AK137" s="405">
        <f>AK133+AK135</f>
        <v>87.697617851413241</v>
      </c>
      <c r="AL137" s="405">
        <f>AL133+AL135</f>
        <v>122.94861785141325</v>
      </c>
      <c r="AM137" s="405">
        <f>AM133+AM135</f>
        <v>160.76061785141326</v>
      </c>
      <c r="AN137" s="405">
        <f>AN133+AN135</f>
        <v>279.0946178514132</v>
      </c>
      <c r="AO137" s="406">
        <f>AO133+AO135</f>
        <v>279.0946178514132</v>
      </c>
      <c r="AP137" s="405"/>
      <c r="AQ137" s="405">
        <f>AQ133+AQ135</f>
        <v>378.54761785141318</v>
      </c>
      <c r="AR137" s="405">
        <f>AR133+AR135</f>
        <v>427.04261785141318</v>
      </c>
      <c r="AS137" s="405">
        <f>AS133+AS135</f>
        <v>382.3136178514132</v>
      </c>
      <c r="AT137" s="405">
        <f>AT133+AT135</f>
        <v>483.83361785141324</v>
      </c>
      <c r="AU137" s="406">
        <f>AU133+AU135</f>
        <v>483.83361785141318</v>
      </c>
      <c r="AV137" s="405"/>
      <c r="AW137" s="405">
        <f>AW133+AW135</f>
        <v>342.26161785141312</v>
      </c>
      <c r="AX137" s="405">
        <f>AX133+AX135</f>
        <v>246.1686178514131</v>
      </c>
      <c r="AY137" s="405">
        <f>AY133+AY135</f>
        <v>242.8876178514131</v>
      </c>
      <c r="AZ137" s="405">
        <f>AZ133+AZ135</f>
        <v>1011.305617851413</v>
      </c>
      <c r="BA137" s="406">
        <f>BA133+BA135</f>
        <v>1011.305617851413</v>
      </c>
      <c r="BB137" s="405"/>
      <c r="BC137" s="405">
        <f>BC133+BC135</f>
        <v>690.79361785141305</v>
      </c>
      <c r="BD137" s="405">
        <f>BD133+BD135</f>
        <v>409.92461785141307</v>
      </c>
      <c r="BE137" s="405">
        <f>BE133+BE135</f>
        <v>630.30261785141306</v>
      </c>
      <c r="BF137" s="405">
        <f>BF133+BF135</f>
        <v>424.29161785141298</v>
      </c>
      <c r="BG137" s="406">
        <f>BG133+BG135</f>
        <v>424.29161785141298</v>
      </c>
      <c r="BH137" s="405"/>
      <c r="BI137" s="405">
        <f>BI133+BI135</f>
        <v>664.61161785141303</v>
      </c>
      <c r="BJ137" s="405">
        <f>BJ133+BJ135</f>
        <v>449.79361785141305</v>
      </c>
      <c r="BK137" s="405">
        <f>BK133+BK135</f>
        <v>502.98661785141303</v>
      </c>
      <c r="BL137" s="405">
        <f>BL133+BL135</f>
        <v>607.28361785141306</v>
      </c>
      <c r="BM137" s="406">
        <f>BM133+BM135</f>
        <v>607.28361785141306</v>
      </c>
      <c r="BN137" s="405"/>
      <c r="BO137" s="405">
        <f>BO133+BO135</f>
        <v>440.78461785141309</v>
      </c>
      <c r="BP137" s="405">
        <f>BP133+BP135</f>
        <v>1000.729617851413</v>
      </c>
      <c r="BQ137" s="405">
        <f>BQ133+BQ135</f>
        <v>521.71961785141298</v>
      </c>
      <c r="BR137" s="405">
        <f>BR133+BR135</f>
        <v>747.24461785141295</v>
      </c>
      <c r="BS137" s="406">
        <f>BS133+BS135</f>
        <v>747.24461785141295</v>
      </c>
      <c r="BT137" s="405"/>
      <c r="BU137" s="405">
        <f>BU133+BU135</f>
        <v>1927.9896178514132</v>
      </c>
      <c r="BV137" s="405">
        <f>BV133+BV135</f>
        <v>579.88061785141349</v>
      </c>
      <c r="BW137" s="405">
        <f>BW133+BW135</f>
        <v>651.74961785141329</v>
      </c>
      <c r="BX137" s="405">
        <f>BX133+BX135</f>
        <v>781.6346178514134</v>
      </c>
      <c r="BY137" s="406">
        <f>BY133+BY135</f>
        <v>781.6346178514134</v>
      </c>
      <c r="BZ137" s="405"/>
      <c r="CA137" s="405">
        <f>CA133+CA135</f>
        <v>827.89061785141337</v>
      </c>
      <c r="CB137" s="405">
        <f>CB133+CB135</f>
        <v>774.7246178514132</v>
      </c>
      <c r="CC137" s="405">
        <f>CC133+CC135</f>
        <v>846.32461785141356</v>
      </c>
      <c r="CD137" s="405">
        <f>CD133+CD135</f>
        <v>908.11661785141337</v>
      </c>
      <c r="CE137" s="406">
        <f>CE133+CE135</f>
        <v>908.11661785141325</v>
      </c>
      <c r="CF137" s="405"/>
      <c r="CG137" s="405">
        <f>CG133+CG135</f>
        <v>941.95561785141319</v>
      </c>
      <c r="CH137" s="405">
        <f>CH133+CH135</f>
        <v>1089.3506178514131</v>
      </c>
      <c r="CI137" s="405">
        <f>CI133+CI135</f>
        <v>1223.3176178514132</v>
      </c>
      <c r="CJ137" s="405">
        <f>CJ133+CJ135</f>
        <v>1158.3626178514137</v>
      </c>
      <c r="CK137" s="406">
        <f>CK133+CK135</f>
        <v>1158.3626178514137</v>
      </c>
      <c r="CL137" s="405"/>
      <c r="CM137" s="405">
        <f>CM133+CM135</f>
        <v>1799.0826178514135</v>
      </c>
      <c r="CN137" s="405">
        <f>CN133+CN135</f>
        <v>1115.2256178514135</v>
      </c>
      <c r="CO137" s="405">
        <f>CO133+CO135</f>
        <v>1145.7356178514133</v>
      </c>
      <c r="CP137" s="405">
        <f>CP133+CP135</f>
        <v>1606.5486178514132</v>
      </c>
      <c r="CQ137" s="406">
        <f>CQ133+CQ135</f>
        <v>1606.5486178514134</v>
      </c>
      <c r="CR137" s="405"/>
      <c r="CS137" s="405">
        <f>CS133+CS135</f>
        <v>2024.9036178514134</v>
      </c>
      <c r="CT137" s="405">
        <f>CT133+CT135</f>
        <v>1949.1096178514133</v>
      </c>
      <c r="CU137" s="405">
        <f>CU133+CU135</f>
        <v>2071.8366178514129</v>
      </c>
      <c r="CV137" s="405">
        <f>CV133+CV135</f>
        <v>2543.4836178514133</v>
      </c>
      <c r="CW137" s="406">
        <f>CW133+CW135</f>
        <v>2543.4836178514133</v>
      </c>
      <c r="CX137" s="405"/>
      <c r="CY137" s="405">
        <f>CY133+CY135</f>
        <v>3417.4247525970195</v>
      </c>
      <c r="CZ137" s="405">
        <f>CZ133+CZ135</f>
        <v>3867.7693163540835</v>
      </c>
      <c r="DA137" s="405">
        <f>DA133+DA135</f>
        <v>4190.3363881989562</v>
      </c>
      <c r="DB137" s="405">
        <f>DB133+DB135</f>
        <v>5442.5206583660429</v>
      </c>
      <c r="DC137" s="406">
        <f>DC133+DC135</f>
        <v>5442.520658366042</v>
      </c>
      <c r="DD137" s="405"/>
      <c r="DE137" s="405">
        <f>DE133+DE135</f>
        <v>6676.171348299692</v>
      </c>
      <c r="DF137" s="405">
        <f>DF133+DF135</f>
        <v>7220.7423891522067</v>
      </c>
      <c r="DG137" s="405">
        <f>DG133+DG135</f>
        <v>7656.0367115150157</v>
      </c>
      <c r="DH137" s="405">
        <f>DH133+DH135</f>
        <v>9555.8686030194276</v>
      </c>
      <c r="DI137" s="406">
        <f>DI133+DI135</f>
        <v>9555.8686030194294</v>
      </c>
      <c r="DJ137" s="405"/>
      <c r="DK137" s="405">
        <f>DK133+DK135</f>
        <v>11088.62168964545</v>
      </c>
      <c r="DL137" s="405">
        <f>DL133+DL135</f>
        <v>11907.164811136639</v>
      </c>
      <c r="DM137" s="405">
        <f>DM133+DM135</f>
        <v>12521.652589105499</v>
      </c>
      <c r="DN137" s="405">
        <f>DN133+DN135</f>
        <v>14803.677303608903</v>
      </c>
      <c r="DO137" s="406">
        <f>DO133+DO135</f>
        <v>14803.677303608905</v>
      </c>
      <c r="DP137" s="960"/>
      <c r="DQ137" s="960"/>
      <c r="DR137" s="960"/>
    </row>
    <row r="138" spans="1:122" ht="5.25" customHeight="1">
      <c r="A138" s="586"/>
      <c r="B138" s="639"/>
      <c r="C138" s="548"/>
      <c r="D138" s="548"/>
      <c r="E138" s="548"/>
      <c r="F138" s="548"/>
      <c r="G138" s="548"/>
      <c r="H138" s="548"/>
      <c r="I138" s="548"/>
      <c r="J138" s="548"/>
      <c r="K138" s="548"/>
      <c r="L138" s="548"/>
      <c r="M138" s="548"/>
      <c r="N138" s="548"/>
      <c r="O138" s="548"/>
      <c r="P138" s="548"/>
      <c r="Q138" s="561"/>
      <c r="R138" s="548"/>
      <c r="S138" s="561"/>
      <c r="T138" s="561"/>
      <c r="U138" s="561"/>
      <c r="V138" s="561"/>
      <c r="W138" s="561"/>
      <c r="X138" s="561"/>
      <c r="Y138" s="561"/>
      <c r="Z138" s="561"/>
      <c r="AA138" s="561"/>
      <c r="AB138" s="561"/>
      <c r="AC138" s="561"/>
      <c r="AD138" s="561"/>
      <c r="AE138" s="561"/>
      <c r="AF138" s="561"/>
      <c r="AG138" s="561"/>
      <c r="AH138" s="561"/>
      <c r="AI138" s="563"/>
      <c r="AJ138" s="561"/>
      <c r="AK138" s="561"/>
      <c r="AL138" s="561"/>
      <c r="AM138" s="561"/>
      <c r="AN138" s="561"/>
      <c r="AO138" s="563"/>
      <c r="AP138" s="561"/>
      <c r="AQ138" s="562"/>
      <c r="AR138" s="561"/>
      <c r="AS138" s="561"/>
      <c r="AT138" s="561"/>
      <c r="AU138" s="563"/>
      <c r="AV138" s="561"/>
      <c r="AW138" s="561"/>
      <c r="AX138" s="561"/>
      <c r="AY138" s="561"/>
      <c r="AZ138" s="561"/>
      <c r="BA138" s="563"/>
      <c r="BB138" s="561"/>
      <c r="BC138" s="561"/>
      <c r="BD138" s="561"/>
      <c r="BE138" s="561"/>
      <c r="BF138" s="561"/>
      <c r="BG138" s="563"/>
      <c r="BH138" s="561"/>
      <c r="BI138" s="561"/>
      <c r="BJ138" s="561"/>
      <c r="BK138" s="561"/>
      <c r="BL138" s="561"/>
      <c r="BM138" s="563"/>
      <c r="BN138" s="561"/>
      <c r="BO138" s="561"/>
      <c r="BP138" s="561"/>
      <c r="BQ138" s="561"/>
      <c r="BR138" s="561"/>
      <c r="BS138" s="563"/>
      <c r="BT138" s="561"/>
      <c r="BU138" s="561"/>
      <c r="BV138" s="561"/>
      <c r="BW138" s="561"/>
      <c r="BX138" s="561"/>
      <c r="BY138" s="563"/>
      <c r="BZ138" s="561"/>
      <c r="CA138" s="561"/>
      <c r="CB138" s="561"/>
      <c r="CC138" s="561"/>
      <c r="CD138" s="561"/>
      <c r="CE138" s="563"/>
      <c r="CF138" s="561"/>
      <c r="CG138" s="561"/>
      <c r="CH138" s="561"/>
      <c r="CI138" s="561"/>
      <c r="CJ138" s="561"/>
      <c r="CK138" s="563"/>
      <c r="CL138" s="561"/>
      <c r="CM138" s="561"/>
      <c r="CN138" s="561"/>
      <c r="CO138" s="561"/>
      <c r="CP138" s="561"/>
      <c r="CQ138" s="563"/>
      <c r="CR138" s="561"/>
      <c r="CS138" s="561"/>
      <c r="CT138" s="561"/>
      <c r="CU138" s="561"/>
      <c r="CV138" s="561"/>
      <c r="CW138" s="563"/>
      <c r="CX138" s="561"/>
      <c r="CY138" s="561"/>
      <c r="CZ138" s="561"/>
      <c r="DA138" s="561"/>
      <c r="DB138" s="561"/>
      <c r="DC138" s="563"/>
      <c r="DD138" s="561"/>
      <c r="DE138" s="561"/>
      <c r="DF138" s="561"/>
      <c r="DG138" s="561"/>
      <c r="DH138" s="561"/>
      <c r="DI138" s="563"/>
      <c r="DJ138" s="561"/>
      <c r="DK138" s="561"/>
      <c r="DL138" s="561"/>
      <c r="DM138" s="561"/>
      <c r="DN138" s="561"/>
      <c r="DO138" s="563"/>
      <c r="DP138" s="948"/>
      <c r="DQ138" s="948"/>
      <c r="DR138" s="948"/>
    </row>
    <row r="139" spans="1:122" ht="11.25" customHeight="1">
      <c r="A139" s="626" t="s">
        <v>506</v>
      </c>
      <c r="B139" s="627"/>
      <c r="C139" s="628"/>
      <c r="D139" s="628"/>
      <c r="E139" s="628"/>
      <c r="F139" s="628"/>
      <c r="G139" s="628"/>
      <c r="H139" s="628"/>
      <c r="I139" s="628"/>
      <c r="J139" s="628"/>
      <c r="K139" s="628"/>
      <c r="L139" s="628"/>
      <c r="M139" s="628"/>
      <c r="N139" s="628"/>
      <c r="O139" s="628"/>
      <c r="P139" s="628"/>
      <c r="Q139" s="629"/>
      <c r="R139" s="628"/>
      <c r="S139" s="629"/>
      <c r="T139" s="629"/>
      <c r="U139" s="629"/>
      <c r="V139" s="629"/>
      <c r="W139" s="629"/>
      <c r="X139" s="629"/>
      <c r="Y139" s="630">
        <f>Y102+Y107</f>
        <v>8.7530000000000001</v>
      </c>
      <c r="Z139" s="630">
        <f>Z102+Z107</f>
        <v>10.7</v>
      </c>
      <c r="AA139" s="630">
        <f>AA102+AA107</f>
        <v>19.28</v>
      </c>
      <c r="AB139" s="630">
        <f>AB102+AB107</f>
        <v>33.725999999999999</v>
      </c>
      <c r="AC139" s="630">
        <f>AC102+AC107</f>
        <v>72.459000000000003</v>
      </c>
      <c r="AD139" s="629"/>
      <c r="AE139" s="630">
        <f>AE102+AE107</f>
        <v>9.820999999999998</v>
      </c>
      <c r="AF139" s="630">
        <f>AF102+AF107</f>
        <v>27.203999999999997</v>
      </c>
      <c r="AG139" s="630">
        <f>AG102+AG107</f>
        <v>21.541999999999998</v>
      </c>
      <c r="AH139" s="630">
        <f>AH102+AH107</f>
        <v>30.53361785141324</v>
      </c>
      <c r="AI139" s="631">
        <f>AI102+AI107</f>
        <v>89.100617851413233</v>
      </c>
      <c r="AJ139" s="629"/>
      <c r="AK139" s="630">
        <f>AK102+AK107</f>
        <v>20.873000000000005</v>
      </c>
      <c r="AL139" s="630">
        <f>AL102+AL107</f>
        <v>24.549999999999997</v>
      </c>
      <c r="AM139" s="630">
        <f>AM102+AM107</f>
        <v>42.876000000000005</v>
      </c>
      <c r="AN139" s="630">
        <f>AN102+AN107</f>
        <v>72.423999999999978</v>
      </c>
      <c r="AO139" s="631">
        <f>AO102+AO107</f>
        <v>160.72299999999998</v>
      </c>
      <c r="AP139" s="629"/>
      <c r="AQ139" s="630">
        <f>AQ102+AQ107</f>
        <v>59.655000000000008</v>
      </c>
      <c r="AR139" s="630">
        <f>AR102+AR107</f>
        <v>40.038999999999987</v>
      </c>
      <c r="AS139" s="630">
        <f>AS102+AS107</f>
        <v>5.507000000000005</v>
      </c>
      <c r="AT139" s="630">
        <f>AT102+AT107</f>
        <v>63.296999999999997</v>
      </c>
      <c r="AU139" s="631">
        <f>AU102+AU107</f>
        <v>168.49799999999996</v>
      </c>
      <c r="AV139" s="629"/>
      <c r="AW139" s="630">
        <f>AW102+AW107</f>
        <v>85.105000000000018</v>
      </c>
      <c r="AX139" s="630">
        <f>AX102+AX107</f>
        <v>25.969999999999988</v>
      </c>
      <c r="AY139" s="630">
        <f>AY102+AY107</f>
        <v>21.430999999999997</v>
      </c>
      <c r="AZ139" s="630">
        <f>AZ102+AZ107</f>
        <v>84.503999999999962</v>
      </c>
      <c r="BA139" s="631">
        <f>BA102+BA107</f>
        <v>217.01000000000005</v>
      </c>
      <c r="BB139" s="629"/>
      <c r="BC139" s="630">
        <f>BC102+BC107</f>
        <v>130.99300000000002</v>
      </c>
      <c r="BD139" s="630">
        <f>BD102+BD107</f>
        <v>48.764999999999986</v>
      </c>
      <c r="BE139" s="630">
        <f>BE102+BE107+BE108</f>
        <v>45.250000000000021</v>
      </c>
      <c r="BF139" s="630">
        <f>BF102+BF107+BF108</f>
        <v>-134.75799999999998</v>
      </c>
      <c r="BG139" s="631">
        <f>BG102+BG107+BG108</f>
        <v>90.249999999999886</v>
      </c>
      <c r="BH139" s="629"/>
      <c r="BI139" s="630">
        <f>BI102+BI107+BI108</f>
        <v>111.19000000000001</v>
      </c>
      <c r="BJ139" s="630">
        <f>BJ102+BJ107+BJ108</f>
        <v>32.46</v>
      </c>
      <c r="BK139" s="630">
        <f>BK102+BK107+BK108</f>
        <v>87.376999999999995</v>
      </c>
      <c r="BL139" s="630">
        <f>BL102+BL107+BL108</f>
        <v>189.18000000000004</v>
      </c>
      <c r="BM139" s="631">
        <f>BM102+BM107+BM108</f>
        <v>420.20699999999999</v>
      </c>
      <c r="BN139" s="629"/>
      <c r="BO139" s="630">
        <f>BO102+BO107+BO108</f>
        <v>164.38500000000005</v>
      </c>
      <c r="BP139" s="630">
        <f>BP102+BP107+BP108</f>
        <v>106.89299999999994</v>
      </c>
      <c r="BQ139" s="630">
        <f>BQ102+BQ107+BQ108</f>
        <v>54.861000000000061</v>
      </c>
      <c r="BR139" s="630">
        <f>BR102+BR107+BR108</f>
        <v>231.05100000000004</v>
      </c>
      <c r="BS139" s="631">
        <f>BS102+BS107+BS108</f>
        <v>557.19000000000017</v>
      </c>
      <c r="BT139" s="629"/>
      <c r="BU139" s="630">
        <f>BU102+BU107+BU108</f>
        <v>229.17899999999997</v>
      </c>
      <c r="BV139" s="630">
        <f>BV102+BV107+BV108</f>
        <v>80.634000000000043</v>
      </c>
      <c r="BW139" s="630">
        <f>BW102+BW107+BW108</f>
        <v>65.156999999999982</v>
      </c>
      <c r="BX139" s="630">
        <f>BX102+BX107+BX108</f>
        <v>201.38900000000004</v>
      </c>
      <c r="BY139" s="631">
        <f>BY102+BY107+BY108</f>
        <v>576.35900000000004</v>
      </c>
      <c r="BZ139" s="629"/>
      <c r="CA139" s="630">
        <f>CA102+CA107</f>
        <v>412.98899999999998</v>
      </c>
      <c r="CB139" s="630">
        <f>CB102+CB107</f>
        <v>174.31699999999995</v>
      </c>
      <c r="CC139" s="630">
        <f>CC102+CC107</f>
        <v>49.085000000000178</v>
      </c>
      <c r="CD139" s="630">
        <f>CD102+CD107</f>
        <v>246.86899999999972</v>
      </c>
      <c r="CE139" s="631">
        <f t="shared" ref="CE139:CW139" si="449">CE102+CE107</f>
        <v>883.26</v>
      </c>
      <c r="CF139" s="629"/>
      <c r="CG139" s="630">
        <f t="shared" si="449"/>
        <v>659.77</v>
      </c>
      <c r="CH139" s="630">
        <f t="shared" si="449"/>
        <v>239.52799999999996</v>
      </c>
      <c r="CI139" s="630">
        <f t="shared" si="449"/>
        <v>37.866000000000042</v>
      </c>
      <c r="CJ139" s="630">
        <f t="shared" si="449"/>
        <v>390.9450000000005</v>
      </c>
      <c r="CK139" s="631">
        <f t="shared" si="449"/>
        <v>1328.1090000000004</v>
      </c>
      <c r="CL139" s="629"/>
      <c r="CM139" s="630">
        <f t="shared" si="449"/>
        <v>967.76099999999985</v>
      </c>
      <c r="CN139" s="630">
        <f t="shared" si="449"/>
        <v>154.64800000000014</v>
      </c>
      <c r="CO139" s="630">
        <f t="shared" si="449"/>
        <v>13.65900000000002</v>
      </c>
      <c r="CP139" s="630">
        <f t="shared" si="449"/>
        <v>562.17199999999991</v>
      </c>
      <c r="CQ139" s="631">
        <f t="shared" si="449"/>
        <v>1698.2399999999998</v>
      </c>
      <c r="CR139" s="629"/>
      <c r="CS139" s="630">
        <f t="shared" si="449"/>
        <v>1072.9819999999997</v>
      </c>
      <c r="CT139" s="630">
        <f t="shared" si="449"/>
        <v>202.88099999999977</v>
      </c>
      <c r="CU139" s="630">
        <f t="shared" si="449"/>
        <v>14.513999999999839</v>
      </c>
      <c r="CV139" s="630">
        <f t="shared" si="449"/>
        <v>913.56100000000015</v>
      </c>
      <c r="CW139" s="631">
        <f t="shared" si="449"/>
        <v>2203.9379999999996</v>
      </c>
      <c r="CX139" s="629"/>
      <c r="CY139" s="630">
        <f>CY102+CY107</f>
        <v>1447.8578474894055</v>
      </c>
      <c r="CZ139" s="630">
        <f>CZ102+CZ107</f>
        <v>295.86509374959741</v>
      </c>
      <c r="DA139" s="630">
        <f>DA102+DA107</f>
        <v>155.78543700419061</v>
      </c>
      <c r="DB139" s="630">
        <f>DB102+DB107</f>
        <v>1088.1993040652683</v>
      </c>
      <c r="DC139" s="631">
        <f>DC102+DC107</f>
        <v>2987.7076823084617</v>
      </c>
      <c r="DD139" s="629"/>
      <c r="DE139" s="630">
        <f>DE102+DE107</f>
        <v>1708.0316774401238</v>
      </c>
      <c r="DF139" s="630">
        <f>DF102+DF107</f>
        <v>313.56355829374593</v>
      </c>
      <c r="DG139" s="630">
        <f>DG102+DG107</f>
        <v>192.94003277897383</v>
      </c>
      <c r="DH139" s="630">
        <f>DH102+DH107</f>
        <v>1661.3267289324892</v>
      </c>
      <c r="DI139" s="631">
        <f>DI102+DI107</f>
        <v>3875.8619974453331</v>
      </c>
      <c r="DJ139" s="629"/>
      <c r="DK139" s="630">
        <f>DK102+DK107</f>
        <v>2094.7893357498019</v>
      </c>
      <c r="DL139" s="630">
        <f>DL102+DL107</f>
        <v>532.00548068221053</v>
      </c>
      <c r="DM139" s="630">
        <f>DM102+DM107</f>
        <v>314.4703084517871</v>
      </c>
      <c r="DN139" s="630">
        <f>DN102+DN107</f>
        <v>1988.5584692902717</v>
      </c>
      <c r="DO139" s="631">
        <f>DO102+DO107</f>
        <v>4929.8235941740713</v>
      </c>
      <c r="DP139" s="948"/>
      <c r="DQ139" s="948"/>
      <c r="DR139" s="948"/>
    </row>
    <row r="140" spans="1:122" ht="11.25" customHeight="1">
      <c r="A140" s="632" t="s">
        <v>449</v>
      </c>
      <c r="B140" s="633"/>
      <c r="C140" s="634"/>
      <c r="D140" s="634"/>
      <c r="E140" s="634"/>
      <c r="F140" s="634"/>
      <c r="G140" s="634"/>
      <c r="H140" s="634"/>
      <c r="I140" s="634"/>
      <c r="J140" s="634"/>
      <c r="K140" s="634"/>
      <c r="L140" s="634"/>
      <c r="M140" s="634"/>
      <c r="N140" s="634"/>
      <c r="O140" s="634"/>
      <c r="P140" s="634"/>
      <c r="Q140" s="635"/>
      <c r="R140" s="634"/>
      <c r="S140" s="635"/>
      <c r="T140" s="635"/>
      <c r="U140" s="635"/>
      <c r="V140" s="635"/>
      <c r="W140" s="635"/>
      <c r="X140" s="635"/>
      <c r="Y140" s="636" t="e">
        <f>Y139/S139-1</f>
        <v>#DIV/0!</v>
      </c>
      <c r="Z140" s="636" t="e">
        <f>Z139/T139-1</f>
        <v>#DIV/0!</v>
      </c>
      <c r="AA140" s="636" t="e">
        <f>AA139/U139-1</f>
        <v>#DIV/0!</v>
      </c>
      <c r="AB140" s="636" t="e">
        <f>AB139/V139-1</f>
        <v>#DIV/0!</v>
      </c>
      <c r="AC140" s="636" t="e">
        <f>AC139/W139-1</f>
        <v>#DIV/0!</v>
      </c>
      <c r="AD140" s="635"/>
      <c r="AE140" s="636">
        <f>AE139/Y139-1</f>
        <v>0.12201530903690139</v>
      </c>
      <c r="AF140" s="636">
        <f>AF139/Z139-1</f>
        <v>1.5424299065420559</v>
      </c>
      <c r="AG140" s="636">
        <f>AG139/AA139-1</f>
        <v>0.11732365145228196</v>
      </c>
      <c r="AH140" s="636">
        <f>AH139/AB139-1</f>
        <v>-9.4656411925124861E-2</v>
      </c>
      <c r="AI140" s="637">
        <f>AI139/AC139-1</f>
        <v>0.22966943859856226</v>
      </c>
      <c r="AJ140" s="635"/>
      <c r="AK140" s="636">
        <f>AK139/AE139-1</f>
        <v>1.1253436513593331</v>
      </c>
      <c r="AL140" s="636">
        <f>AL139/AF139-1</f>
        <v>-9.7559182473165751E-2</v>
      </c>
      <c r="AM140" s="636">
        <f>AM139/AG139-1</f>
        <v>0.99034444341286831</v>
      </c>
      <c r="AN140" s="636">
        <f>AN139/AH139-1</f>
        <v>1.3719429630789022</v>
      </c>
      <c r="AO140" s="637">
        <f>AO139/AI139-1</f>
        <v>0.80383709872838716</v>
      </c>
      <c r="AP140" s="635"/>
      <c r="AQ140" s="636">
        <f>AQ139/AK139-1</f>
        <v>1.8579983711014227</v>
      </c>
      <c r="AR140" s="636">
        <f>AR139/AL139-1</f>
        <v>0.63091649694500984</v>
      </c>
      <c r="AS140" s="636">
        <f>AS139/AM139-1</f>
        <v>-0.87155984700065292</v>
      </c>
      <c r="AT140" s="636">
        <f>AT139/AN139-1</f>
        <v>-0.1260217607422951</v>
      </c>
      <c r="AU140" s="637">
        <f>AU139/AO139-1</f>
        <v>4.8375154769385809E-2</v>
      </c>
      <c r="AV140" s="635"/>
      <c r="AW140" s="636">
        <f>AW139/AQ139-1</f>
        <v>0.42661973011482712</v>
      </c>
      <c r="AX140" s="636">
        <f>AX139/AR139-1</f>
        <v>-0.35138240215789618</v>
      </c>
      <c r="AY140" s="636">
        <f>AY139/AS139-1</f>
        <v>2.8915925186126707</v>
      </c>
      <c r="AZ140" s="636">
        <f>AZ139/AT139-1</f>
        <v>0.33503957533532347</v>
      </c>
      <c r="BA140" s="637">
        <f>BA139/AU139-1</f>
        <v>0.28790846182150598</v>
      </c>
      <c r="BB140" s="635"/>
      <c r="BC140" s="636">
        <f>BC139/AW139-1</f>
        <v>0.53919276188238063</v>
      </c>
      <c r="BD140" s="636">
        <f>BD139/AX139-1</f>
        <v>0.87774355025028905</v>
      </c>
      <c r="BE140" s="636">
        <f>BE139/AY139-1</f>
        <v>1.1114273715645573</v>
      </c>
      <c r="BF140" s="636">
        <f>BF139/AZ139-1</f>
        <v>-2.5946937423080572</v>
      </c>
      <c r="BG140" s="637">
        <f>BG139/BA139-1</f>
        <v>-0.58412054744021069</v>
      </c>
      <c r="BH140" s="635"/>
      <c r="BI140" s="636">
        <f>BI139/BC139-1</f>
        <v>-0.15117601703907846</v>
      </c>
      <c r="BJ140" s="636">
        <f>BJ139/BD139-1</f>
        <v>-0.33435865887419236</v>
      </c>
      <c r="BK140" s="636">
        <f>BK139/BE139-1</f>
        <v>0.93098342541436363</v>
      </c>
      <c r="BL140" s="636">
        <f>BL139/BF139-1</f>
        <v>-2.4038498642010127</v>
      </c>
      <c r="BM140" s="637">
        <f>BM139/BG139-1</f>
        <v>3.6560332409972354</v>
      </c>
      <c r="BN140" s="635"/>
      <c r="BO140" s="636">
        <f>BO139/BI139-1</f>
        <v>0.47841532511916562</v>
      </c>
      <c r="BP140" s="636">
        <f>BP139/BJ139-1</f>
        <v>2.2930683918669112</v>
      </c>
      <c r="BQ140" s="636">
        <f>BQ139/BK139-1</f>
        <v>-0.37213454341531449</v>
      </c>
      <c r="BR140" s="636">
        <f>BR139/BL139-1</f>
        <v>0.22132889311766579</v>
      </c>
      <c r="BS140" s="637">
        <f>BS139/BM139-1</f>
        <v>0.32598933382832795</v>
      </c>
      <c r="BT140" s="635"/>
      <c r="BU140" s="636">
        <f>BU139/BO139-1</f>
        <v>0.39416005109955221</v>
      </c>
      <c r="BV140" s="636">
        <f>BV139/BP139-1</f>
        <v>-0.24565687182509532</v>
      </c>
      <c r="BW140" s="636">
        <f>BW139/BQ139-1</f>
        <v>0.1876743041504878</v>
      </c>
      <c r="BX140" s="636">
        <f>BX139/BR139-1</f>
        <v>-0.12837858308338856</v>
      </c>
      <c r="BY140" s="637">
        <f>BY139/BS139-1</f>
        <v>3.4402986413969883E-2</v>
      </c>
      <c r="BZ140" s="635"/>
      <c r="CA140" s="636">
        <f>CA139/BU139-1</f>
        <v>0.80203683583574414</v>
      </c>
      <c r="CB140" s="636">
        <f>CB139/BV139-1</f>
        <v>1.1618299972716208</v>
      </c>
      <c r="CC140" s="636">
        <f>CC139/BW139-1</f>
        <v>-0.24666574581395406</v>
      </c>
      <c r="CD140" s="636">
        <f>CD139/BX139-1</f>
        <v>0.22583159954118481</v>
      </c>
      <c r="CE140" s="637">
        <f>CE139/BY139-1</f>
        <v>0.53248235908522279</v>
      </c>
      <c r="CF140" s="635"/>
      <c r="CG140" s="636">
        <f>CG139/CA139-1</f>
        <v>0.59754860298942591</v>
      </c>
      <c r="CH140" s="636">
        <f>CH139/CB139-1</f>
        <v>0.37409432241261631</v>
      </c>
      <c r="CI140" s="636">
        <f>CI139/CC139-1</f>
        <v>-0.22856269736172141</v>
      </c>
      <c r="CJ140" s="636">
        <f>CJ139/CD139-1</f>
        <v>0.58361317135809254</v>
      </c>
      <c r="CK140" s="637">
        <f>CK139/CE139-1</f>
        <v>0.50364445350180054</v>
      </c>
      <c r="CL140" s="635"/>
      <c r="CM140" s="636">
        <f>CM139/CG139-1</f>
        <v>0.46681570850447862</v>
      </c>
      <c r="CN140" s="636">
        <f>CN139/CH139-1</f>
        <v>-0.35436358171069704</v>
      </c>
      <c r="CO140" s="636">
        <f>CO139/CI139-1</f>
        <v>-0.63928062113769601</v>
      </c>
      <c r="CP140" s="636">
        <f>CP139/CJ139-1</f>
        <v>0.43798232487945676</v>
      </c>
      <c r="CQ140" s="637">
        <f>CQ139/CK139-1</f>
        <v>0.27869022798580478</v>
      </c>
      <c r="CR140" s="635"/>
      <c r="CS140" s="636">
        <f>CS139/CM139-1</f>
        <v>0.1087262247600389</v>
      </c>
      <c r="CT140" s="636">
        <f>CT139/CN139-1</f>
        <v>0.31188893487144731</v>
      </c>
      <c r="CU140" s="636">
        <f>CU139/CO139-1</f>
        <v>6.2596090489773548E-2</v>
      </c>
      <c r="CV140" s="636">
        <f>CV139/CP139-1</f>
        <v>0.62505603267327481</v>
      </c>
      <c r="CW140" s="637">
        <f>CW139/CQ139-1</f>
        <v>0.29777769926512154</v>
      </c>
      <c r="CX140" s="635"/>
      <c r="CY140" s="636">
        <f>CY139/CS139-1</f>
        <v>0.34937757342565456</v>
      </c>
      <c r="CZ140" s="636">
        <f>CZ139/CT139-1</f>
        <v>0.45831839230680904</v>
      </c>
      <c r="DA140" s="636">
        <f>DA139/CU139-1</f>
        <v>9.7334599010742959</v>
      </c>
      <c r="DB140" s="636">
        <f>DB139/CV139-1</f>
        <v>0.19116217096096277</v>
      </c>
      <c r="DC140" s="637">
        <f>DC139/CW139-1</f>
        <v>0.35562238243928013</v>
      </c>
      <c r="DD140" s="635"/>
      <c r="DE140" s="636">
        <f>DE139/CY139-1</f>
        <v>0.17969570037684379</v>
      </c>
      <c r="DF140" s="636">
        <f>DF139/CZ139-1</f>
        <v>5.981937348488775E-2</v>
      </c>
      <c r="DG140" s="636">
        <f>DG139/DA139-1</f>
        <v>0.23849851750766504</v>
      </c>
      <c r="DH140" s="636">
        <f>DH139/DB139-1</f>
        <v>0.52667505182749674</v>
      </c>
      <c r="DI140" s="637">
        <f>DI139/DC139-1</f>
        <v>0.29726948201660619</v>
      </c>
      <c r="DJ140" s="635"/>
      <c r="DK140" s="636">
        <f>DK139/DE139-1</f>
        <v>0.22643471044361596</v>
      </c>
      <c r="DL140" s="636">
        <f>DL139/DF139-1</f>
        <v>0.69664320553419823</v>
      </c>
      <c r="DM140" s="636">
        <f>DM139/DG139-1</f>
        <v>0.62988626011085325</v>
      </c>
      <c r="DN140" s="636">
        <f>DN139/DH139-1</f>
        <v>0.19697012914976098</v>
      </c>
      <c r="DO140" s="637">
        <f>DO139/DI139-1</f>
        <v>0.27192959847988085</v>
      </c>
      <c r="DP140" s="948"/>
      <c r="DQ140" s="948"/>
      <c r="DR140" s="948"/>
    </row>
    <row r="141" spans="1:122" ht="11.25" customHeight="1">
      <c r="A141" s="638"/>
      <c r="B141" s="639"/>
      <c r="C141" s="548"/>
      <c r="D141" s="548"/>
      <c r="E141" s="548"/>
      <c r="F141" s="548"/>
      <c r="G141" s="548"/>
      <c r="H141" s="548"/>
      <c r="I141" s="548"/>
      <c r="J141" s="548"/>
      <c r="K141" s="548"/>
      <c r="L141" s="548"/>
      <c r="M141" s="548"/>
      <c r="N141" s="548"/>
      <c r="O141" s="548"/>
      <c r="P141" s="548"/>
      <c r="Q141" s="561"/>
      <c r="R141" s="548"/>
      <c r="S141" s="561"/>
      <c r="T141" s="561"/>
      <c r="U141" s="561"/>
      <c r="V141" s="561"/>
      <c r="W141" s="561"/>
      <c r="X141" s="561"/>
      <c r="Y141" s="617"/>
      <c r="Z141" s="617"/>
      <c r="AA141" s="617"/>
      <c r="AB141" s="617"/>
      <c r="AC141" s="617"/>
      <c r="AD141" s="561"/>
      <c r="AE141" s="617"/>
      <c r="AF141" s="617"/>
      <c r="AG141" s="617"/>
      <c r="AH141" s="617"/>
      <c r="AI141" s="619"/>
      <c r="AJ141" s="561"/>
      <c r="AK141" s="617"/>
      <c r="AL141" s="617"/>
      <c r="AM141" s="617"/>
      <c r="AN141" s="617"/>
      <c r="AO141" s="619"/>
      <c r="AP141" s="561"/>
      <c r="AQ141" s="617"/>
      <c r="AR141" s="617"/>
      <c r="AS141" s="617"/>
      <c r="AT141" s="617"/>
      <c r="AU141" s="619"/>
      <c r="AV141" s="561"/>
      <c r="AW141" s="617"/>
      <c r="AX141" s="617"/>
      <c r="AY141" s="617"/>
      <c r="AZ141" s="617"/>
      <c r="BA141" s="619"/>
      <c r="BB141" s="561"/>
      <c r="BC141" s="617"/>
      <c r="BD141" s="617"/>
      <c r="BE141" s="617" t="s">
        <v>167</v>
      </c>
      <c r="BF141" s="617"/>
      <c r="BG141" s="619"/>
      <c r="BH141" s="561"/>
      <c r="BI141" s="617"/>
      <c r="BJ141" s="617"/>
      <c r="BK141" s="617"/>
      <c r="BL141" s="617"/>
      <c r="BM141" s="619"/>
      <c r="BN141" s="561"/>
      <c r="BO141" s="617"/>
      <c r="BP141" s="617"/>
      <c r="BQ141" s="617"/>
      <c r="BR141" s="617"/>
      <c r="BS141" s="619"/>
      <c r="BT141" s="561"/>
      <c r="BU141" s="617"/>
      <c r="BV141" s="617"/>
      <c r="BW141" s="617"/>
      <c r="BX141" s="617"/>
      <c r="BY141" s="619"/>
      <c r="BZ141" s="561"/>
      <c r="CA141" s="617"/>
      <c r="CB141" s="617"/>
      <c r="CC141" s="617"/>
      <c r="CD141" s="617"/>
      <c r="CE141" s="619"/>
      <c r="CF141" s="561"/>
      <c r="CG141" s="617"/>
      <c r="CH141" s="617"/>
      <c r="CI141" s="617"/>
      <c r="CJ141" s="617"/>
      <c r="CK141" s="619"/>
      <c r="CL141" s="561"/>
      <c r="CM141" s="617"/>
      <c r="CN141" s="617"/>
      <c r="CO141" s="617"/>
      <c r="CP141" s="617"/>
      <c r="CQ141" s="619"/>
      <c r="CR141" s="561"/>
      <c r="CS141" s="617"/>
      <c r="CT141" s="617"/>
      <c r="CU141" s="617"/>
      <c r="CV141" s="617"/>
      <c r="CW141" s="619"/>
      <c r="CX141" s="561"/>
      <c r="CY141" s="617"/>
      <c r="CZ141" s="617"/>
      <c r="DA141" s="617"/>
      <c r="DB141" s="617"/>
      <c r="DC141" s="619"/>
      <c r="DD141" s="561"/>
      <c r="DE141" s="617"/>
      <c r="DF141" s="617"/>
      <c r="DG141" s="617"/>
      <c r="DH141" s="617"/>
      <c r="DI141" s="619"/>
      <c r="DJ141" s="561"/>
      <c r="DK141" s="617"/>
      <c r="DL141" s="617"/>
      <c r="DM141" s="617"/>
      <c r="DN141" s="617"/>
      <c r="DO141" s="619"/>
      <c r="DP141" s="948"/>
      <c r="DQ141" s="948"/>
      <c r="DR141" s="948"/>
    </row>
    <row r="142" spans="1:122" ht="11.25" hidden="1" customHeight="1" outlineLevel="1">
      <c r="A142" s="626"/>
      <c r="B142" s="639"/>
      <c r="C142" s="548"/>
      <c r="D142" s="548"/>
      <c r="E142" s="548"/>
      <c r="F142" s="548"/>
      <c r="G142" s="548"/>
      <c r="H142" s="548"/>
      <c r="I142" s="548"/>
      <c r="J142" s="548"/>
      <c r="K142" s="548"/>
      <c r="L142" s="548"/>
      <c r="M142" s="548"/>
      <c r="N142" s="548"/>
      <c r="O142" s="548"/>
      <c r="P142" s="548"/>
      <c r="Q142" s="561"/>
      <c r="R142" s="548"/>
      <c r="S142" s="561"/>
      <c r="T142" s="561"/>
      <c r="U142" s="561"/>
      <c r="V142" s="561"/>
      <c r="W142" s="561"/>
      <c r="X142" s="561"/>
      <c r="Y142" s="617"/>
      <c r="Z142" s="617"/>
      <c r="AA142" s="617"/>
      <c r="AB142" s="617"/>
      <c r="AC142" s="617"/>
      <c r="AD142" s="561"/>
      <c r="AE142" s="617"/>
      <c r="AF142" s="617"/>
      <c r="AG142" s="617"/>
      <c r="AH142" s="617"/>
      <c r="AI142" s="619"/>
      <c r="AJ142" s="561"/>
      <c r="AK142" s="617"/>
      <c r="AL142" s="617"/>
      <c r="AM142" s="617"/>
      <c r="AN142" s="617"/>
      <c r="AO142" s="619"/>
      <c r="AP142" s="561"/>
      <c r="AQ142" s="617"/>
      <c r="AR142" s="617"/>
      <c r="AS142" s="617"/>
      <c r="AT142" s="617"/>
      <c r="AU142" s="619"/>
      <c r="AV142" s="561"/>
      <c r="AW142" s="617"/>
      <c r="AX142" s="617"/>
      <c r="AY142" s="617"/>
      <c r="AZ142" s="617"/>
      <c r="BA142" s="619"/>
      <c r="BB142" s="561"/>
      <c r="BC142" s="617"/>
      <c r="BD142" s="617"/>
      <c r="BE142" s="617"/>
      <c r="BF142" s="617"/>
      <c r="BG142" s="619"/>
      <c r="BH142" s="561"/>
      <c r="BI142" s="617"/>
      <c r="BJ142" s="617"/>
      <c r="BK142" s="617"/>
      <c r="BL142" s="617"/>
      <c r="BM142" s="640"/>
      <c r="BN142" s="561"/>
      <c r="BO142" s="617"/>
      <c r="BP142" s="617"/>
      <c r="BQ142" s="617"/>
      <c r="BR142" s="617"/>
      <c r="BS142" s="619"/>
      <c r="BT142" s="561"/>
      <c r="BU142" s="617"/>
      <c r="BV142" s="617"/>
      <c r="BW142" s="617"/>
      <c r="BX142" s="617"/>
      <c r="BY142" s="619"/>
      <c r="BZ142" s="561"/>
      <c r="CA142" s="617"/>
      <c r="CB142" s="617"/>
      <c r="CC142" s="617"/>
      <c r="CD142" s="617"/>
      <c r="CE142" s="619"/>
      <c r="CF142" s="561"/>
      <c r="CG142" s="617"/>
      <c r="CH142" s="617"/>
      <c r="CI142" s="617"/>
      <c r="CJ142" s="617"/>
      <c r="CK142" s="619"/>
      <c r="CL142" s="561"/>
      <c r="CM142" s="617"/>
      <c r="CN142" s="1864"/>
      <c r="CO142" s="617"/>
      <c r="CP142" s="617"/>
      <c r="CQ142" s="619"/>
      <c r="CR142" s="561"/>
      <c r="CS142" s="617"/>
      <c r="CT142" s="617"/>
      <c r="CU142" s="617"/>
      <c r="CV142" s="617"/>
      <c r="CW142" s="619"/>
      <c r="CX142" s="561"/>
      <c r="CY142" s="617"/>
      <c r="CZ142" s="617"/>
      <c r="DA142" s="617"/>
      <c r="DB142" s="617"/>
      <c r="DC142" s="619"/>
      <c r="DD142" s="561"/>
      <c r="DE142" s="617"/>
      <c r="DF142" s="617"/>
      <c r="DG142" s="617"/>
      <c r="DH142" s="617"/>
      <c r="DI142" s="619"/>
      <c r="DJ142" s="561"/>
      <c r="DK142" s="617"/>
      <c r="DL142" s="617"/>
      <c r="DM142" s="617"/>
      <c r="DN142" s="617"/>
      <c r="DO142" s="619"/>
      <c r="DP142" s="948"/>
      <c r="DQ142" s="948"/>
      <c r="DR142" s="948"/>
    </row>
    <row r="143" spans="1:122" hidden="1" outlineLevel="1">
      <c r="A143" s="597"/>
      <c r="B143" s="605"/>
      <c r="C143" s="605"/>
      <c r="D143" s="605"/>
      <c r="E143" s="605"/>
      <c r="F143" s="605"/>
      <c r="G143" s="605"/>
      <c r="H143" s="605"/>
      <c r="I143" s="605"/>
      <c r="J143" s="605"/>
      <c r="K143" s="641"/>
      <c r="L143" s="605"/>
      <c r="M143" s="641"/>
      <c r="N143" s="641"/>
      <c r="O143" s="641"/>
      <c r="P143" s="641"/>
      <c r="Q143" s="641"/>
      <c r="R143" s="605"/>
      <c r="S143" s="641"/>
      <c r="T143" s="641">
        <f>T64-T137</f>
        <v>0</v>
      </c>
      <c r="U143" s="641">
        <f>U64-U137</f>
        <v>-2.8421709430404007E-14</v>
      </c>
      <c r="V143" s="641">
        <f>V64-V137</f>
        <v>0</v>
      </c>
      <c r="W143" s="641">
        <f>W64-W137</f>
        <v>0</v>
      </c>
      <c r="X143" s="605"/>
      <c r="Y143" s="641">
        <f>Y64-Y137</f>
        <v>0</v>
      </c>
      <c r="Z143" s="641">
        <f>Z64-Z137</f>
        <v>-3.5527136788005009E-14</v>
      </c>
      <c r="AA143" s="641">
        <f>AA64-AA137</f>
        <v>0</v>
      </c>
      <c r="AB143" s="641">
        <f>AB64-AB137</f>
        <v>0</v>
      </c>
      <c r="AC143" s="641">
        <f>AC64-AC137</f>
        <v>0</v>
      </c>
      <c r="AD143" s="605"/>
      <c r="AE143" s="641"/>
      <c r="AF143" s="641"/>
      <c r="AG143" s="641"/>
      <c r="AH143" s="641"/>
      <c r="AI143" s="642"/>
      <c r="AJ143" s="605"/>
      <c r="AK143" s="641"/>
      <c r="AL143" s="641"/>
      <c r="AM143" s="641"/>
      <c r="AN143" s="641"/>
      <c r="AO143" s="642"/>
      <c r="AP143" s="605"/>
      <c r="AQ143" s="641"/>
      <c r="AR143" s="641"/>
      <c r="AS143" s="641"/>
      <c r="AT143" s="641"/>
      <c r="AU143" s="642"/>
      <c r="AV143" s="605"/>
      <c r="AW143" s="641"/>
      <c r="AX143" s="641"/>
      <c r="AY143" s="641"/>
      <c r="AZ143" s="641"/>
      <c r="BA143" s="642"/>
      <c r="BB143" s="605"/>
      <c r="BC143" s="641"/>
      <c r="BD143" s="641"/>
      <c r="BE143" s="641"/>
      <c r="BF143" s="641"/>
      <c r="BG143" s="642"/>
      <c r="BH143" s="605"/>
      <c r="BI143" s="641"/>
      <c r="BJ143" s="641"/>
      <c r="BK143" s="641"/>
      <c r="BL143" s="641"/>
      <c r="BM143" s="642"/>
      <c r="BN143" s="605"/>
      <c r="BO143" s="641"/>
      <c r="BP143" s="641"/>
      <c r="BQ143" s="641"/>
      <c r="BR143" s="641"/>
      <c r="BS143" s="642"/>
      <c r="BT143" s="605"/>
      <c r="BU143" s="641"/>
      <c r="BV143" s="641"/>
      <c r="BW143" s="641"/>
      <c r="BX143" s="641"/>
      <c r="BY143" s="642"/>
      <c r="BZ143" s="605"/>
      <c r="CA143" s="641"/>
      <c r="CB143" s="641"/>
      <c r="CC143" s="641"/>
      <c r="CD143" s="641"/>
      <c r="CE143" s="642"/>
      <c r="CF143" s="605"/>
      <c r="CG143" s="641"/>
      <c r="CH143" s="641"/>
      <c r="CI143" s="641"/>
      <c r="CJ143" s="641"/>
      <c r="CK143" s="642">
        <f>CK146/Model!CK13</f>
        <v>0.21864536123124301</v>
      </c>
      <c r="CL143" s="605"/>
      <c r="CM143" s="641"/>
      <c r="CN143" s="641"/>
      <c r="CO143" s="641"/>
      <c r="CP143" s="641"/>
      <c r="CQ143" s="642"/>
      <c r="CR143" s="605"/>
      <c r="CS143" s="641"/>
      <c r="CT143" s="641"/>
      <c r="CU143" s="641"/>
      <c r="CV143" s="641"/>
      <c r="CW143" s="642"/>
      <c r="CX143" s="605"/>
      <c r="CY143" s="641"/>
      <c r="CZ143" s="641"/>
      <c r="DA143" s="641"/>
      <c r="DB143" s="641"/>
      <c r="DC143" s="642"/>
      <c r="DD143" s="605"/>
      <c r="DE143" s="641"/>
      <c r="DF143" s="641"/>
      <c r="DG143" s="641"/>
      <c r="DH143" s="641"/>
      <c r="DI143" s="642"/>
      <c r="DJ143" s="605"/>
      <c r="DK143" s="641"/>
      <c r="DL143" s="641"/>
      <c r="DM143" s="641"/>
      <c r="DN143" s="641"/>
      <c r="DO143" s="642"/>
      <c r="DP143" s="1703"/>
      <c r="DQ143" s="1011"/>
      <c r="DR143" s="1011"/>
    </row>
    <row r="144" spans="1:122" ht="12.75" hidden="1" customHeight="1" outlineLevel="1">
      <c r="A144" s="597" t="s">
        <v>712</v>
      </c>
      <c r="B144" s="584"/>
      <c r="C144" s="641"/>
      <c r="D144" s="641"/>
      <c r="E144" s="641"/>
      <c r="F144" s="584"/>
      <c r="G144" s="556">
        <f>G102-G89+G107</f>
        <v>2.2999999999999998</v>
      </c>
      <c r="H144" s="556">
        <f>H102-H89+H107</f>
        <v>1.8110000000000002</v>
      </c>
      <c r="I144" s="556">
        <f>I102-I89+I107</f>
        <v>-0.61500000000000044</v>
      </c>
      <c r="J144" s="556">
        <f>J102-J89+J107</f>
        <v>-0.30499999999999983</v>
      </c>
      <c r="K144" s="556">
        <f>K102-K89+K107</f>
        <v>3.1909999999999998</v>
      </c>
      <c r="L144" s="584"/>
      <c r="M144" s="556">
        <f>M102-M89+M107</f>
        <v>4.43</v>
      </c>
      <c r="N144" s="556">
        <f>N102-N89+N107</f>
        <v>3.4979999999999993</v>
      </c>
      <c r="O144" s="556">
        <f>O102-O89+O107</f>
        <v>6.1760000000000019</v>
      </c>
      <c r="P144" s="556">
        <f>P102-P89+P107</f>
        <v>4.7610000000000001</v>
      </c>
      <c r="Q144" s="556">
        <f>Q102-Q89+Q107</f>
        <v>18.865000000000013</v>
      </c>
      <c r="R144" s="584"/>
      <c r="S144" s="556">
        <f>S102-S89+S107</f>
        <v>6.381000000000002</v>
      </c>
      <c r="T144" s="556">
        <f>T102-T89+T107</f>
        <v>14.450999999999997</v>
      </c>
      <c r="U144" s="556">
        <f>U102-U89+U107</f>
        <v>11.869000000000002</v>
      </c>
      <c r="V144" s="556">
        <f>V102-V89+V107</f>
        <v>18.065000000000005</v>
      </c>
      <c r="W144" s="556">
        <f>W102-W89+W107</f>
        <v>50.765999999999998</v>
      </c>
      <c r="X144" s="584"/>
      <c r="Y144" s="556">
        <f>Y102-Y89+Y107</f>
        <v>8.7530000000000001</v>
      </c>
      <c r="Z144" s="556">
        <f>Z102-Z89+Z107</f>
        <v>10.7</v>
      </c>
      <c r="AA144" s="556">
        <f>AA102-AA89+AA107</f>
        <v>19.28</v>
      </c>
      <c r="AB144" s="556">
        <f>AB102-AB89+AB107</f>
        <v>30.064000000000004</v>
      </c>
      <c r="AC144" s="556">
        <f>AC102-AC89+AC107</f>
        <v>68.796999999999997</v>
      </c>
      <c r="AD144" s="584"/>
      <c r="AE144" s="556">
        <f>AE102-AE89+AE107</f>
        <v>9.820999999999998</v>
      </c>
      <c r="AF144" s="556">
        <f>AF102-AF89+AF107</f>
        <v>33.131999999999998</v>
      </c>
      <c r="AG144" s="556">
        <f>AG102-AG89+AG107</f>
        <v>26.419999999999995</v>
      </c>
      <c r="AH144" s="556">
        <f>AH102-AH89+AH107</f>
        <v>36.301617851413241</v>
      </c>
      <c r="AI144" s="558">
        <f>AI102-AI89+AI107</f>
        <v>105.67461785141325</v>
      </c>
      <c r="AJ144" s="584"/>
      <c r="AK144" s="556">
        <f>AK102-AK89+AK107</f>
        <v>27.159000000000006</v>
      </c>
      <c r="AL144" s="556">
        <f>AL102-AL89+AL107</f>
        <v>33.47</v>
      </c>
      <c r="AM144" s="556">
        <f>AM102-AM89+AM107</f>
        <v>52.174000000000007</v>
      </c>
      <c r="AN144" s="556">
        <f>AN102-AN89+AN107</f>
        <v>79.897999999999982</v>
      </c>
      <c r="AO144" s="558">
        <f>AO102-AO89+AO107</f>
        <v>192.70099999999999</v>
      </c>
      <c r="AP144" s="584"/>
      <c r="AQ144" s="556">
        <f>AQ102-AQ89+AQ107</f>
        <v>72.353000000000009</v>
      </c>
      <c r="AR144" s="556">
        <f>AR102-AR89+AR107</f>
        <v>51.881999999999991</v>
      </c>
      <c r="AS144" s="556">
        <f>AS102-AS89+AS107</f>
        <v>23.213000000000001</v>
      </c>
      <c r="AT144" s="556">
        <f>AT102-AT89+AT107</f>
        <v>75.646999999999991</v>
      </c>
      <c r="AU144" s="558">
        <f>AU102-AU89+AU107</f>
        <v>223.09499999999994</v>
      </c>
      <c r="AV144" s="584"/>
      <c r="AW144" s="556">
        <f>AW102-AW89+AW107</f>
        <v>94.553000000000026</v>
      </c>
      <c r="AX144" s="556">
        <f>AX102-AX89+AX107</f>
        <v>41.656999999999982</v>
      </c>
      <c r="AY144" s="556">
        <f>AY102-AY89+AY107</f>
        <v>28.831999999999994</v>
      </c>
      <c r="AZ144" s="556">
        <f>AZ102-AZ89+AZ107</f>
        <v>103.50699999999998</v>
      </c>
      <c r="BA144" s="558">
        <f>BA102-BA89+BA107</f>
        <v>268.54900000000004</v>
      </c>
      <c r="BB144" s="584"/>
      <c r="BC144" s="556">
        <f>BC102-BC89+BC107</f>
        <v>140.28100000000003</v>
      </c>
      <c r="BD144" s="556">
        <f>BD102-BD89+BD107</f>
        <v>71.666999999999987</v>
      </c>
      <c r="BE144" s="556">
        <f>BE102-BE89+BE107</f>
        <v>67.828000000000031</v>
      </c>
      <c r="BF144" s="556">
        <f>BF102-BF89+BF107</f>
        <v>124.40900000000002</v>
      </c>
      <c r="BG144" s="558">
        <f>BG102-BG89+BG107</f>
        <v>404.18499999999989</v>
      </c>
      <c r="BH144" s="584"/>
      <c r="BI144" s="556">
        <f>BI102-BI89+BI107</f>
        <v>114.238</v>
      </c>
      <c r="BJ144" s="556">
        <f>BJ102-BJ89+BJ107</f>
        <v>39.967999999999996</v>
      </c>
      <c r="BK144" s="556">
        <f>BK102-BK89+BK107</f>
        <v>100.92299999999999</v>
      </c>
      <c r="BL144" s="556">
        <f>BL102-BL89+BL107</f>
        <v>190.75100000000003</v>
      </c>
      <c r="BM144" s="558">
        <f>BM102-BM89+BM107</f>
        <v>445.88</v>
      </c>
      <c r="BN144" s="584"/>
      <c r="BO144" s="556">
        <f>BO102-BO89+BO107</f>
        <v>179.53400000000005</v>
      </c>
      <c r="BP144" s="556">
        <f>BP102-BP89+BP107</f>
        <v>121.59499999999994</v>
      </c>
      <c r="BQ144" s="556">
        <f>BQ102-BQ89+BQ107</f>
        <v>58.021000000000058</v>
      </c>
      <c r="BR144" s="556">
        <f>BR102-BR89+BR107</f>
        <v>217.07900000000006</v>
      </c>
      <c r="BS144" s="558">
        <f>BS102-BS89+BS107</f>
        <v>576.22900000000016</v>
      </c>
      <c r="BT144" s="584"/>
      <c r="BU144" s="556">
        <f>BU102-BU89+BU107</f>
        <v>231.04499999999996</v>
      </c>
      <c r="BV144" s="556">
        <f>BV102-BV89+BV107</f>
        <v>79.356000000000051</v>
      </c>
      <c r="BW144" s="556">
        <f>BW102-BW89+BW107</f>
        <v>66.734999999999985</v>
      </c>
      <c r="BX144" s="556">
        <f>BX102-BX89+BX107</f>
        <v>207.36700000000005</v>
      </c>
      <c r="BY144" s="558">
        <f>BY102-BY89+BY107</f>
        <v>584.50300000000004</v>
      </c>
      <c r="BZ144" s="584"/>
      <c r="CA144" s="556">
        <f>CA102-CA89+CA107</f>
        <v>422.03</v>
      </c>
      <c r="CB144" s="556">
        <f>CB102-CB89+CB107</f>
        <v>167.50199999999995</v>
      </c>
      <c r="CC144" s="556">
        <f>CC102-CC89+CC107</f>
        <v>50.306000000000182</v>
      </c>
      <c r="CD144" s="556">
        <f>CD102-CD89+CD107</f>
        <v>251.15199999999973</v>
      </c>
      <c r="CE144" s="558">
        <f>CE102-CE89+CE107</f>
        <v>890.99</v>
      </c>
      <c r="CF144" s="584"/>
      <c r="CG144" s="556">
        <f>CG102-CG89+CG107</f>
        <v>663.99400000000003</v>
      </c>
      <c r="CH144" s="556">
        <f>CH102-CH89+CH107</f>
        <v>239.39499999999998</v>
      </c>
      <c r="CI144" s="556">
        <f>CI102-CI89+CI107</f>
        <v>82.473000000000042</v>
      </c>
      <c r="CJ144" s="556">
        <f>CJ102-CJ89+CJ107</f>
        <v>401.74300000000051</v>
      </c>
      <c r="CK144" s="558">
        <f>CK102-CK89+CK107</f>
        <v>1387.6050000000005</v>
      </c>
      <c r="CL144" s="584"/>
      <c r="CM144" s="556">
        <f>CM102-CM89+CM107</f>
        <v>967.76099999999985</v>
      </c>
      <c r="CN144" s="556">
        <f>CN102-CN89+CN107</f>
        <v>154.64800000000014</v>
      </c>
      <c r="CO144" s="556">
        <f>CO102-CO89+CO107</f>
        <v>13.65900000000002</v>
      </c>
      <c r="CP144" s="556">
        <f>CP102-CP89+CP107</f>
        <v>562.17199999999991</v>
      </c>
      <c r="CQ144" s="558">
        <f>CQ102-CQ89+CQ107</f>
        <v>1698.2399999999998</v>
      </c>
      <c r="CR144" s="584"/>
      <c r="CS144" s="556">
        <f>CS102-CS89+CS107</f>
        <v>1072.9819999999997</v>
      </c>
      <c r="CT144" s="556">
        <f>CT102-CT89+CT107</f>
        <v>202.88099999999977</v>
      </c>
      <c r="CU144" s="556">
        <f>CU102-CU89+CU107</f>
        <v>14.513999999999839</v>
      </c>
      <c r="CV144" s="556">
        <f>CV102-CV89+CV107</f>
        <v>913.56100000000015</v>
      </c>
      <c r="CW144" s="558">
        <f>CW102-CW89+CW107</f>
        <v>2203.9379999999996</v>
      </c>
      <c r="CX144" s="584"/>
      <c r="CY144" s="556">
        <f>CY102-CY89+CY107</f>
        <v>1452.8578474894055</v>
      </c>
      <c r="CZ144" s="556">
        <f>CZ102-CZ89+CZ107</f>
        <v>300.86509374959741</v>
      </c>
      <c r="DA144" s="556">
        <f>DA102-DA89+DA107</f>
        <v>160.78543700419061</v>
      </c>
      <c r="DB144" s="556">
        <f>DB102-DB89+DB107</f>
        <v>1093.1993040652683</v>
      </c>
      <c r="DC144" s="558">
        <f>DC102-DC89+DC107</f>
        <v>3007.7076823084617</v>
      </c>
      <c r="DD144" s="584"/>
      <c r="DE144" s="556">
        <f>DE102-DE89+DE107</f>
        <v>1713.0316774401238</v>
      </c>
      <c r="DF144" s="556">
        <f>DF102-DF89+DF107</f>
        <v>318.56355829374593</v>
      </c>
      <c r="DG144" s="556">
        <f>DG102-DG89+DG107</f>
        <v>197.94003277897383</v>
      </c>
      <c r="DH144" s="556">
        <f>DH102-DH89+DH107</f>
        <v>1666.3267289324892</v>
      </c>
      <c r="DI144" s="558">
        <f>DI102-DI89+DI107</f>
        <v>3895.8619974453331</v>
      </c>
      <c r="DJ144" s="584"/>
      <c r="DK144" s="556">
        <f>DK102-DK89+DK107</f>
        <v>2099.7893357498019</v>
      </c>
      <c r="DL144" s="556">
        <f>DL102-DL89+DL107</f>
        <v>537.00548068221053</v>
      </c>
      <c r="DM144" s="556">
        <f>DM102-DM89+DM107</f>
        <v>319.4703084517871</v>
      </c>
      <c r="DN144" s="556">
        <f>DN102-DN89+DN107</f>
        <v>1993.5584692902717</v>
      </c>
      <c r="DO144" s="558">
        <f>DO102-DO89+DO107</f>
        <v>4949.8235941740713</v>
      </c>
      <c r="DP144" s="1698"/>
      <c r="DQ144" s="956"/>
      <c r="DR144" s="956"/>
    </row>
    <row r="145" spans="1:122" hidden="1" outlineLevel="1">
      <c r="A145" s="597" t="s">
        <v>449</v>
      </c>
      <c r="B145" s="586"/>
      <c r="C145" s="586"/>
      <c r="D145" s="586"/>
      <c r="E145" s="586"/>
      <c r="F145" s="586"/>
      <c r="G145" s="586"/>
      <c r="H145" s="586"/>
      <c r="I145" s="586"/>
      <c r="J145" s="586"/>
      <c r="K145" s="586"/>
      <c r="L145" s="586"/>
      <c r="M145" s="612">
        <f>M144/G144-1</f>
        <v>0.92608695652173911</v>
      </c>
      <c r="N145" s="612">
        <f>N144/H144-1</f>
        <v>0.93152954168967361</v>
      </c>
      <c r="O145" s="612">
        <f>O144/I144-1</f>
        <v>-11.042276422764223</v>
      </c>
      <c r="P145" s="612">
        <f>P144/J144-1</f>
        <v>-16.609836065573781</v>
      </c>
      <c r="Q145" s="612">
        <f>Q144/K144-1</f>
        <v>4.911939830774056</v>
      </c>
      <c r="R145" s="586"/>
      <c r="S145" s="612">
        <f>S144/M144-1</f>
        <v>0.44040632054176121</v>
      </c>
      <c r="T145" s="612">
        <f>T144/N144-1</f>
        <v>3.1312178387650089</v>
      </c>
      <c r="U145" s="612">
        <f>U144/O144-1</f>
        <v>0.92179404145077681</v>
      </c>
      <c r="V145" s="612">
        <f>V144/P144-1</f>
        <v>2.7943709304767914</v>
      </c>
      <c r="W145" s="612">
        <f>W144/Q144-1</f>
        <v>1.6910151073416362</v>
      </c>
      <c r="X145" s="586"/>
      <c r="Y145" s="612">
        <f>Y144/S144-1</f>
        <v>0.37172856918978181</v>
      </c>
      <c r="Z145" s="612">
        <f>Z144/T144-1</f>
        <v>-0.2595668119853296</v>
      </c>
      <c r="AA145" s="612">
        <f>AA144/U144-1</f>
        <v>0.6243996966888532</v>
      </c>
      <c r="AB145" s="612">
        <f>AB144/V144-1</f>
        <v>0.66421256573484611</v>
      </c>
      <c r="AC145" s="612">
        <f>AC144/W144-1</f>
        <v>0.35517866288460787</v>
      </c>
      <c r="AD145" s="586"/>
      <c r="AE145" s="612">
        <f>AE144/Y144-1</f>
        <v>0.12201530903690139</v>
      </c>
      <c r="AF145" s="612">
        <f>AF144/Z144-1</f>
        <v>2.0964485981308409</v>
      </c>
      <c r="AG145" s="612">
        <f>AG144/AA144-1</f>
        <v>0.37033195020746845</v>
      </c>
      <c r="AH145" s="612">
        <f>AH144/AB144-1</f>
        <v>0.20747797536632628</v>
      </c>
      <c r="AI145" s="643">
        <f>AI144/AC144-1</f>
        <v>0.53603526100575971</v>
      </c>
      <c r="AJ145" s="586"/>
      <c r="AK145" s="612">
        <f>AK144/AE144-1</f>
        <v>1.765400672029326</v>
      </c>
      <c r="AL145" s="612">
        <f>AL144/AF144-1</f>
        <v>1.0201617771338878E-2</v>
      </c>
      <c r="AM145" s="612">
        <f>AM144/AG144-1</f>
        <v>0.97479182437547385</v>
      </c>
      <c r="AN145" s="612">
        <f>AN144/AH144-1</f>
        <v>1.2009487380708985</v>
      </c>
      <c r="AO145" s="643">
        <f>AO144/AI144-1</f>
        <v>0.82353155296906433</v>
      </c>
      <c r="AP145" s="586"/>
      <c r="AQ145" s="612">
        <f>AQ144/AK144-1</f>
        <v>1.6640524319746675</v>
      </c>
      <c r="AR145" s="612">
        <f>AR144/AL144-1</f>
        <v>0.55010457125784251</v>
      </c>
      <c r="AS145" s="612">
        <f>AS144/AM144-1</f>
        <v>-0.55508490819181966</v>
      </c>
      <c r="AT145" s="612">
        <f>AT144/AN144-1</f>
        <v>-5.3205336804425518E-2</v>
      </c>
      <c r="AU145" s="643">
        <f>AU144/AO144-1</f>
        <v>0.1577262183382544</v>
      </c>
      <c r="AV145" s="586"/>
      <c r="AW145" s="612">
        <f>AW144/AQ144-1</f>
        <v>0.30682901883819635</v>
      </c>
      <c r="AX145" s="612">
        <f>AX144/AR144-1</f>
        <v>-0.19708183955899949</v>
      </c>
      <c r="AY145" s="612">
        <f>AY144/AS144-1</f>
        <v>0.2420626373152972</v>
      </c>
      <c r="AZ145" s="612">
        <f>AZ144/AT144-1</f>
        <v>0.36828955543511288</v>
      </c>
      <c r="BA145" s="611">
        <f>BA144/AU144-1</f>
        <v>0.20374280015240198</v>
      </c>
      <c r="BB145" s="586"/>
      <c r="BC145" s="612">
        <f>BC144/AW144-1</f>
        <v>0.48362294163061992</v>
      </c>
      <c r="BD145" s="612">
        <f>BD144/AX144-1</f>
        <v>0.72040713445519411</v>
      </c>
      <c r="BE145" s="612">
        <f>BE144/AY144-1</f>
        <v>1.3525249722530539</v>
      </c>
      <c r="BF145" s="612">
        <f>BF144/AZ144-1</f>
        <v>0.20193803317650061</v>
      </c>
      <c r="BG145" s="611">
        <f>BG144/BA144-1</f>
        <v>0.50506983827904706</v>
      </c>
      <c r="BH145" s="586"/>
      <c r="BI145" s="612">
        <f>BI144/BC144-1</f>
        <v>-0.18564880489873914</v>
      </c>
      <c r="BJ145" s="612">
        <f>BJ144/BD144-1</f>
        <v>-0.44230957065315968</v>
      </c>
      <c r="BK145" s="612">
        <f>BK144/BE144-1</f>
        <v>0.48792534056731651</v>
      </c>
      <c r="BL145" s="612">
        <f>BL144/BF144-1</f>
        <v>0.53325724023181609</v>
      </c>
      <c r="BM145" s="611">
        <f>BM144/BG144-1</f>
        <v>0.10315820725657843</v>
      </c>
      <c r="BN145" s="586"/>
      <c r="BO145" s="612">
        <f>BO144/BI144-1</f>
        <v>0.57157863407972864</v>
      </c>
      <c r="BP145" s="612">
        <f>BP144/BJ144-1</f>
        <v>2.0423088470776611</v>
      </c>
      <c r="BQ145" s="612">
        <f>BQ144/BK144-1</f>
        <v>-0.42509636059173761</v>
      </c>
      <c r="BR145" s="612">
        <f>BR144/BL144-1</f>
        <v>0.13802286750790316</v>
      </c>
      <c r="BS145" s="611">
        <f>BS144/BM144-1</f>
        <v>0.29234098860680047</v>
      </c>
      <c r="BT145" s="586"/>
      <c r="BU145" s="612">
        <f>BU144/BO144-1</f>
        <v>0.28691501331224112</v>
      </c>
      <c r="BV145" s="612">
        <f>BV144/BP144-1</f>
        <v>-0.34737448085858724</v>
      </c>
      <c r="BW145" s="612">
        <f>BW144/BQ144-1</f>
        <v>0.15018700125816364</v>
      </c>
      <c r="BX145" s="612">
        <f>BX144/BR144-1</f>
        <v>-4.4739472726519014E-2</v>
      </c>
      <c r="BY145" s="611">
        <f>BY144/BS144-1</f>
        <v>1.4358874683502387E-2</v>
      </c>
      <c r="BZ145" s="586"/>
      <c r="CA145" s="612">
        <f>CA144/BU144-1</f>
        <v>0.82661386310026197</v>
      </c>
      <c r="CB145" s="612">
        <f>CB144/BV144-1</f>
        <v>1.1107666717072413</v>
      </c>
      <c r="CC145" s="612">
        <f>CC144/BW144-1</f>
        <v>-0.24618266277065715</v>
      </c>
      <c r="CD145" s="612">
        <f>CD144/BX144-1</f>
        <v>0.21114738603538497</v>
      </c>
      <c r="CE145" s="611">
        <f>CE144/BY144-1</f>
        <v>0.52435487927350244</v>
      </c>
      <c r="CF145" s="586"/>
      <c r="CG145" s="612">
        <f>CG144/CA144-1</f>
        <v>0.57333364926663988</v>
      </c>
      <c r="CH145" s="612">
        <f>CH144/CB144-1</f>
        <v>0.42920681544101003</v>
      </c>
      <c r="CI145" s="612">
        <f>CI144/CC144-1</f>
        <v>0.63942670854370731</v>
      </c>
      <c r="CJ145" s="612">
        <f>CJ144/CD144-1</f>
        <v>0.59960103841498746</v>
      </c>
      <c r="CK145" s="611">
        <f>CK144/CE144-1</f>
        <v>0.55737438130618799</v>
      </c>
      <c r="CL145" s="586"/>
      <c r="CM145" s="612">
        <f>CM144/CG144-1</f>
        <v>0.45748455558333334</v>
      </c>
      <c r="CN145" s="612">
        <f>CN144/CH144-1</f>
        <v>-0.35400488732011881</v>
      </c>
      <c r="CO145" s="612">
        <f>CO144/CI144-1</f>
        <v>-0.83438216143465116</v>
      </c>
      <c r="CP145" s="612">
        <f>CP144/CJ144-1</f>
        <v>0.39933240902765998</v>
      </c>
      <c r="CQ145" s="611">
        <f>CQ144/CK144-1</f>
        <v>0.22386414001102573</v>
      </c>
      <c r="CR145" s="586"/>
      <c r="CS145" s="612">
        <f>CS144/CM144-1</f>
        <v>0.1087262247600389</v>
      </c>
      <c r="CT145" s="612">
        <f>CT144/CN144-1</f>
        <v>0.31188893487144731</v>
      </c>
      <c r="CU145" s="612">
        <f>CU144/CO144-1</f>
        <v>6.2596090489773548E-2</v>
      </c>
      <c r="CV145" s="612">
        <f>CV144/CP144-1</f>
        <v>0.62505603267327481</v>
      </c>
      <c r="CW145" s="611">
        <f>CW144/CQ144-1</f>
        <v>0.29777769926512154</v>
      </c>
      <c r="CX145" s="586"/>
      <c r="CY145" s="612">
        <f>CY144/CS144-1</f>
        <v>0.35403748384353673</v>
      </c>
      <c r="CZ145" s="612">
        <f>CZ144/CT144-1</f>
        <v>0.48296338124120908</v>
      </c>
      <c r="DA145" s="612">
        <f>DA144/CU144-1</f>
        <v>10.077954871447732</v>
      </c>
      <c r="DB145" s="612">
        <f>DB144/CV144-1</f>
        <v>0.19663525923859293</v>
      </c>
      <c r="DC145" s="611">
        <f>DC144/CW144-1</f>
        <v>0.36469704787905211</v>
      </c>
      <c r="DD145" s="586"/>
      <c r="DE145" s="612">
        <f>DE144/CY144-1</f>
        <v>0.17907727889573555</v>
      </c>
      <c r="DF145" s="612">
        <f>DF144/CZ144-1</f>
        <v>5.8825250625047731E-2</v>
      </c>
      <c r="DG145" s="612">
        <f>DG144/DA144-1</f>
        <v>0.23108184713155855</v>
      </c>
      <c r="DH145" s="612">
        <f>DH144/DB144-1</f>
        <v>0.5242661815973888</v>
      </c>
      <c r="DI145" s="611">
        <f>DI144/DC144-1</f>
        <v>0.29529276410771388</v>
      </c>
      <c r="DJ145" s="586"/>
      <c r="DK145" s="612">
        <f>DK144/DE144-1</f>
        <v>0.22577379239573148</v>
      </c>
      <c r="DL145" s="612">
        <f>DL144/DF144-1</f>
        <v>0.68570907343720822</v>
      </c>
      <c r="DM145" s="612">
        <f>DM144/DG144-1</f>
        <v>0.61397522252872339</v>
      </c>
      <c r="DN145" s="612">
        <f>DN144/DH144-1</f>
        <v>0.19637909821408139</v>
      </c>
      <c r="DO145" s="611">
        <f>DO144/DI144-1</f>
        <v>0.27053360653428205</v>
      </c>
      <c r="DP145" s="1699"/>
      <c r="DQ145" s="966"/>
      <c r="DR145" s="966"/>
    </row>
    <row r="146" spans="1:122" collapsed="1">
      <c r="A146" s="597" t="s">
        <v>232</v>
      </c>
      <c r="B146" s="586"/>
      <c r="C146" s="586"/>
      <c r="D146" s="586"/>
      <c r="E146" s="586"/>
      <c r="F146" s="586"/>
      <c r="G146" s="586"/>
      <c r="H146" s="586"/>
      <c r="I146" s="586"/>
      <c r="J146" s="586"/>
      <c r="K146" s="586"/>
      <c r="L146" s="586"/>
      <c r="M146" s="586"/>
      <c r="N146" s="586"/>
      <c r="O146" s="586"/>
      <c r="P146" s="586"/>
      <c r="Q146" s="556"/>
      <c r="R146" s="586"/>
      <c r="S146" s="586"/>
      <c r="T146" s="586"/>
      <c r="U146" s="586"/>
      <c r="V146" s="586"/>
      <c r="W146" s="556"/>
      <c r="X146" s="586"/>
      <c r="Y146" s="586"/>
      <c r="Z146" s="586"/>
      <c r="AA146" s="586"/>
      <c r="AB146" s="586"/>
      <c r="AC146" s="556"/>
      <c r="AD146" s="586"/>
      <c r="AE146" s="586"/>
      <c r="AF146" s="586"/>
      <c r="AG146" s="586"/>
      <c r="AH146" s="586"/>
      <c r="AI146" s="556"/>
      <c r="AJ146" s="586"/>
      <c r="AK146" s="586"/>
      <c r="AL146" s="586"/>
      <c r="AM146" s="586"/>
      <c r="AN146" s="586"/>
      <c r="AO146" s="556"/>
      <c r="AP146" s="586"/>
      <c r="AQ146" s="644">
        <f>AQ139-(Model!AQ71*(1-Model!AQ80))</f>
        <v>56.556320000000007</v>
      </c>
      <c r="AR146" s="644">
        <f>AR139-(Model!AR71*(1-Model!AR80))</f>
        <v>36.987639999999985</v>
      </c>
      <c r="AS146" s="644">
        <f>AS139-(Model!AS71*(1-Model!AS80))</f>
        <v>2.9703007092873865</v>
      </c>
      <c r="AT146" s="644">
        <f>AT139-(Model!AT71*(1-Model!AT80))</f>
        <v>59.691504117024699</v>
      </c>
      <c r="AU146" s="556">
        <f>SUM(AQ146:AT146)</f>
        <v>156.20576482631208</v>
      </c>
      <c r="AV146" s="586"/>
      <c r="AW146" s="644">
        <f>AW139-(Model!AW71*(1-Model!AW80))</f>
        <v>82.383060000000015</v>
      </c>
      <c r="AX146" s="644">
        <f>AX139-(Model!AX71*(1-Model!AX80))</f>
        <v>22.076979999999988</v>
      </c>
      <c r="AY146" s="644">
        <f>AY139-(Model!AY71*(1-Model!AY80))</f>
        <v>17.443499999999997</v>
      </c>
      <c r="AZ146" s="644">
        <f>AZ139-(Model!AZ71*(1-Model!AZ80))</f>
        <v>78.825419999999966</v>
      </c>
      <c r="BA146" s="558">
        <f>SUM(AW146:AZ146)</f>
        <v>200.72895999999997</v>
      </c>
      <c r="BB146" s="586"/>
      <c r="BC146" s="644">
        <f>BC139-(Model!BC71*(1-Model!BC80))</f>
        <v>128.26888871296089</v>
      </c>
      <c r="BD146" s="644">
        <f>BD139-(Model!BD71*(1-Model!BD80))</f>
        <v>45.531612009410907</v>
      </c>
      <c r="BE146" s="644">
        <f>BE139-(Model!BE71*(1-Model!BE80))</f>
        <v>39.732918241424365</v>
      </c>
      <c r="BF146" s="644">
        <f>BF139-(Model!BF71*(1-Model!BF80))</f>
        <v>-140.35096623939339</v>
      </c>
      <c r="BG146" s="558">
        <f>SUM(BC146:BF146)</f>
        <v>73.182452724402765</v>
      </c>
      <c r="BH146" s="586"/>
      <c r="BI146" s="644">
        <f>BI139-(Model!BI71*(1-Model!BI80))</f>
        <v>107.07191203281678</v>
      </c>
      <c r="BJ146" s="644">
        <f>BJ139-(Model!BJ71*(1-Model!BJ80))</f>
        <v>31.907723537891268</v>
      </c>
      <c r="BK146" s="644">
        <f>BK139-(Model!BK71*(1-Model!BK80))</f>
        <v>84.534814706306818</v>
      </c>
      <c r="BL146" s="644">
        <f>BL139-(Model!BL71*(1-Model!BL80))</f>
        <v>187.14952000000002</v>
      </c>
      <c r="BM146" s="558">
        <f>SUM(BI146:BL146)</f>
        <v>410.66397027701487</v>
      </c>
      <c r="BN146" s="586"/>
      <c r="BO146" s="644">
        <f>BO139-(Model!BO71*(1-Model!BO80))</f>
        <v>162.8776717133608</v>
      </c>
      <c r="BP146" s="644">
        <f>BP139-(Model!BP71*(1-Model!BP80))</f>
        <v>103.38619671946506</v>
      </c>
      <c r="BQ146" s="644">
        <f>BQ139-(Model!BQ71*(1-Model!BQ80))</f>
        <v>56.389466157278214</v>
      </c>
      <c r="BR146" s="644">
        <f>BR139-(Model!BR71*(1-Model!BR80))</f>
        <v>230.22784610580459</v>
      </c>
      <c r="BS146" s="558">
        <f>SUM(BO146:BR146)</f>
        <v>552.8811806959086</v>
      </c>
      <c r="BT146" s="586"/>
      <c r="BU146" s="644">
        <f>BU139-(Model!BU71*(1-Model!BU80))</f>
        <v>229.28494973931399</v>
      </c>
      <c r="BV146" s="644">
        <f>BV139-(Model!BV71*(1-Model!BV80))</f>
        <v>83.41396265448688</v>
      </c>
      <c r="BW146" s="644">
        <f>BW139-(Model!BW71*(1-Model!BW80))</f>
        <v>75.035216670670167</v>
      </c>
      <c r="BX146" s="644">
        <f>BX139-(Model!BX71*(1-Model!BX80))</f>
        <v>205.64252104714345</v>
      </c>
      <c r="BY146" s="558">
        <f>SUM(BU146:BX146)</f>
        <v>593.37665011161448</v>
      </c>
      <c r="BZ146" s="586"/>
      <c r="CA146" s="644">
        <f>CA139-(Model!CA71*(1-Model!CA80))</f>
        <v>419.28508341782901</v>
      </c>
      <c r="CB146" s="644">
        <f>CB139-(Model!CB71*(1-Model!CB80))</f>
        <v>180.64028350798139</v>
      </c>
      <c r="CC146" s="644">
        <f>CC139-(Model!CC71*(1-Model!CC80))</f>
        <v>52.548935546676432</v>
      </c>
      <c r="CD146" s="644">
        <f>CD139-(Model!CD71*(1-Model!CD80))</f>
        <v>253.75746403712267</v>
      </c>
      <c r="CE146" s="558">
        <f>SUM(CA146:CD146)</f>
        <v>906.23176650960954</v>
      </c>
      <c r="CF146" s="586"/>
      <c r="CG146" s="644">
        <f>CG139-(Model!CG71*(1-Model!CG80))</f>
        <v>663.68031393788056</v>
      </c>
      <c r="CH146" s="644">
        <f>CH139-(Model!CH71*(1-Model!CH80))</f>
        <v>242.99192459490365</v>
      </c>
      <c r="CI146" s="644">
        <f>CI139-(Model!CI71*(1-Model!CI80))</f>
        <v>47.755556163272658</v>
      </c>
      <c r="CJ146" s="644">
        <f>CJ139-(Model!CJ71*(1-Model!CJ80))</f>
        <v>402.39764031518365</v>
      </c>
      <c r="CK146" s="558">
        <f>SUM(CG146:CJ146)</f>
        <v>1356.8254350112404</v>
      </c>
      <c r="CL146" s="586"/>
      <c r="CM146" s="644">
        <f>CM139-(Model!CM71*(1-Model!CM80))</f>
        <v>981.25695402784925</v>
      </c>
      <c r="CN146" s="644">
        <f>CN139-(Model!CN71*(1-Model!CN80))</f>
        <v>155.53329948053744</v>
      </c>
      <c r="CO146" s="644">
        <f>CO139-(Model!CO71*(1-Model!CO80))</f>
        <v>19.880825478549884</v>
      </c>
      <c r="CP146" s="644">
        <f>CP139-(Model!CP71*(1-Model!CP80))</f>
        <v>557.76239999999996</v>
      </c>
      <c r="CQ146" s="558">
        <f>SUM(CM146:CP146)</f>
        <v>1714.4334789869367</v>
      </c>
      <c r="CR146" s="586"/>
      <c r="CS146" s="644">
        <f>CS139-(Model!CS71*(1-Model!CS80))</f>
        <v>1077.7785633442506</v>
      </c>
      <c r="CT146" s="644">
        <f>CT139-(Model!CT71*(1-Model!CT80))</f>
        <v>211.75035997041709</v>
      </c>
      <c r="CU146" s="644">
        <f>CU139-(Model!CU71*(1-Model!CU80))</f>
        <v>16.319833888779968</v>
      </c>
      <c r="CV146" s="644">
        <f>CV139-(Model!CV71*(1-Model!CV80))</f>
        <v>902.20216278930877</v>
      </c>
      <c r="CW146" s="558">
        <f>SUM(CS146:CV146)</f>
        <v>2208.0509199927565</v>
      </c>
      <c r="CX146" s="586"/>
      <c r="CY146" s="644">
        <f>CY139-(Model!CY71*(1-Model!CY80))</f>
        <v>1454.4783833840115</v>
      </c>
      <c r="CZ146" s="644">
        <f>CZ139-(Model!CZ71*(1-Model!CZ80))</f>
        <v>302.2938700419308</v>
      </c>
      <c r="DA146" s="644">
        <f>DA139-(Model!DA71*(1-Model!DA80))</f>
        <v>162.11539893848536</v>
      </c>
      <c r="DB146" s="644">
        <f>DB139-(Model!DB71*(1-Model!DB80))</f>
        <v>1094.4584885089614</v>
      </c>
      <c r="DC146" s="558">
        <f>SUM(CY146:DB146)</f>
        <v>3013.3461408733892</v>
      </c>
      <c r="DD146" s="586"/>
      <c r="DE146" s="644">
        <f>DE139-(Model!DE71*(1-Model!DE80))</f>
        <v>1706.2548132956524</v>
      </c>
      <c r="DF146" s="644">
        <f>DF139-(Model!DF71*(1-Model!DF80))</f>
        <v>311.78669414927464</v>
      </c>
      <c r="DG146" s="644">
        <f>DG139-(Model!DG71*(1-Model!DG80))</f>
        <v>190.89248167438311</v>
      </c>
      <c r="DH146" s="644">
        <f>DH139-(Model!DH71*(1-Model!DH80))</f>
        <v>1659.1596883477562</v>
      </c>
      <c r="DI146" s="558">
        <f>SUM(DE146:DH146)</f>
        <v>3868.0936774670663</v>
      </c>
      <c r="DJ146" s="586"/>
      <c r="DK146" s="644">
        <f>DK139-(Model!DK71*(1-Model!DK80))</f>
        <v>2092.109923047512</v>
      </c>
      <c r="DL146" s="644">
        <f>DL139-(Model!DL71*(1-Model!DL80))</f>
        <v>529.32606797992048</v>
      </c>
      <c r="DM146" s="644">
        <f>DM139-(Model!DM71*(1-Model!DM80))</f>
        <v>311.45457990497317</v>
      </c>
      <c r="DN146" s="644">
        <f>DN139-(Model!DN71*(1-Model!DN80))</f>
        <v>1985.3631364591242</v>
      </c>
      <c r="DO146" s="558">
        <f>SUM(DK146:DN146)</f>
        <v>4918.25370739153</v>
      </c>
      <c r="DP146" s="1699"/>
      <c r="DQ146" s="966"/>
      <c r="DR146" s="966"/>
    </row>
    <row r="147" spans="1:122" collapsed="1">
      <c r="A147" s="597" t="s">
        <v>449</v>
      </c>
      <c r="B147" s="586"/>
      <c r="C147" s="586"/>
      <c r="D147" s="586"/>
      <c r="E147" s="586"/>
      <c r="F147" s="586"/>
      <c r="G147" s="586"/>
      <c r="H147" s="586"/>
      <c r="I147" s="586"/>
      <c r="J147" s="586"/>
      <c r="K147" s="586"/>
      <c r="L147" s="586"/>
      <c r="M147" s="586"/>
      <c r="N147" s="586"/>
      <c r="O147" s="586"/>
      <c r="P147" s="586"/>
      <c r="Q147" s="556">
        <f>SUM(M144:P144)</f>
        <v>18.865000000000002</v>
      </c>
      <c r="R147" s="586"/>
      <c r="S147" s="586"/>
      <c r="T147" s="586"/>
      <c r="U147" s="586"/>
      <c r="V147" s="586"/>
      <c r="W147" s="556">
        <f>SUM(S144:V144)</f>
        <v>50.766000000000005</v>
      </c>
      <c r="X147" s="586"/>
      <c r="Y147" s="586"/>
      <c r="Z147" s="586"/>
      <c r="AA147" s="586"/>
      <c r="AB147" s="586"/>
      <c r="AC147" s="556">
        <f>SUM(Y144:AB144)</f>
        <v>68.797000000000011</v>
      </c>
      <c r="AD147" s="586"/>
      <c r="AE147" s="586"/>
      <c r="AF147" s="586"/>
      <c r="AG147" s="586"/>
      <c r="AH147" s="586"/>
      <c r="AI147" s="556"/>
      <c r="AJ147" s="586"/>
      <c r="AK147" s="586"/>
      <c r="AL147" s="586"/>
      <c r="AM147" s="586"/>
      <c r="AN147" s="586"/>
      <c r="AO147" s="556"/>
      <c r="AP147" s="586"/>
      <c r="AQ147" s="586"/>
      <c r="AR147" s="586"/>
      <c r="AS147" s="586"/>
      <c r="AT147" s="586"/>
      <c r="AU147" s="556"/>
      <c r="AV147" s="586"/>
      <c r="AW147" s="586"/>
      <c r="AX147" s="586"/>
      <c r="AY147" s="586"/>
      <c r="AZ147" s="586"/>
      <c r="BA147" s="645">
        <f>BA146/AU146-1</f>
        <v>0.28502914231874876</v>
      </c>
      <c r="BB147" s="586"/>
      <c r="BC147" s="586"/>
      <c r="BD147" s="586"/>
      <c r="BE147" s="586"/>
      <c r="BF147" s="586"/>
      <c r="BG147" s="645">
        <f>BG146/BA146-1</f>
        <v>-0.6354165700634189</v>
      </c>
      <c r="BH147" s="586"/>
      <c r="BI147" s="586"/>
      <c r="BJ147" s="586"/>
      <c r="BK147" s="586"/>
      <c r="BL147" s="586"/>
      <c r="BM147" s="645">
        <f>BM146/BG146-1</f>
        <v>4.6115087017311538</v>
      </c>
      <c r="BN147" s="586"/>
      <c r="BO147" s="586"/>
      <c r="BP147" s="586"/>
      <c r="BQ147" s="586"/>
      <c r="BR147" s="586"/>
      <c r="BS147" s="645">
        <f>BS146/BM146-1</f>
        <v>0.34631041608778235</v>
      </c>
      <c r="BT147" s="586"/>
      <c r="BU147" s="653">
        <f>BU146/BO146-1</f>
        <v>0.40771259392029857</v>
      </c>
      <c r="BV147" s="653">
        <f>BV146/BP146-1</f>
        <v>-0.1931808568137211</v>
      </c>
      <c r="BW147" s="653">
        <f>BW146/BQ146-1</f>
        <v>0.33066017084443233</v>
      </c>
      <c r="BX147" s="653">
        <f>BX146/BR146-1</f>
        <v>-0.10678693074930035</v>
      </c>
      <c r="BY147" s="645">
        <f>BY146/BS146-1</f>
        <v>7.3244434481807508E-2</v>
      </c>
      <c r="BZ147" s="586"/>
      <c r="CA147" s="653">
        <f>CA146/BU146-1</f>
        <v>0.82866378231338822</v>
      </c>
      <c r="CB147" s="653">
        <f>CB146/BV146-1</f>
        <v>1.1655880833310905</v>
      </c>
      <c r="CC147" s="653">
        <f>CC146/BW146-1</f>
        <v>-0.29967636693429034</v>
      </c>
      <c r="CD147" s="653">
        <f>CD146/BX146-1</f>
        <v>0.23397370711550902</v>
      </c>
      <c r="CE147" s="645">
        <f>CE146/BY146-1</f>
        <v>0.52724541206524878</v>
      </c>
      <c r="CF147" s="586"/>
      <c r="CG147" s="653">
        <f>CG146/CA146-1</f>
        <v>0.582885583545802</v>
      </c>
      <c r="CH147" s="586"/>
      <c r="CI147" s="586"/>
      <c r="CJ147" s="586"/>
      <c r="CK147" s="645">
        <f>CK146/CE146-1</f>
        <v>0.4972168104822805</v>
      </c>
      <c r="CL147" s="586"/>
      <c r="CM147" s="586"/>
      <c r="CN147" s="586"/>
      <c r="CO147" s="586"/>
      <c r="CP147" s="586"/>
      <c r="CQ147" s="645">
        <f>CQ146/CK146-1</f>
        <v>0.26356230856826013</v>
      </c>
      <c r="CR147" s="586"/>
      <c r="CS147" s="586"/>
      <c r="CT147" s="586"/>
      <c r="CU147" s="586"/>
      <c r="CV147" s="586"/>
      <c r="CW147" s="645">
        <f>CW146/CQ146-1</f>
        <v>0.28791868979221036</v>
      </c>
      <c r="CX147" s="586"/>
      <c r="CY147" s="586"/>
      <c r="CZ147" s="586"/>
      <c r="DA147" s="586"/>
      <c r="DB147" s="586"/>
      <c r="DC147" s="645">
        <f>DC146/CW146-1</f>
        <v>0.36470862768113821</v>
      </c>
      <c r="DD147" s="586"/>
      <c r="DE147" s="586"/>
      <c r="DF147" s="586"/>
      <c r="DG147" s="586"/>
      <c r="DH147" s="586"/>
      <c r="DI147" s="645">
        <f>DI146/DC146-1</f>
        <v>0.28365395033772556</v>
      </c>
      <c r="DJ147" s="586"/>
      <c r="DK147" s="586"/>
      <c r="DL147" s="586"/>
      <c r="DM147" s="586"/>
      <c r="DN147" s="586"/>
      <c r="DO147" s="645">
        <f>DO146/DI146-1</f>
        <v>0.27149291550046883</v>
      </c>
      <c r="DP147" s="1699"/>
      <c r="DQ147" s="966"/>
      <c r="DR147" s="966"/>
    </row>
    <row r="148" spans="1:122">
      <c r="A148" s="597" t="s">
        <v>318</v>
      </c>
      <c r="B148" s="586"/>
      <c r="C148" s="586"/>
      <c r="D148" s="586"/>
      <c r="E148" s="586"/>
      <c r="F148" s="586"/>
      <c r="G148" s="586"/>
      <c r="H148" s="586"/>
      <c r="I148" s="586"/>
      <c r="J148" s="586"/>
      <c r="K148" s="586"/>
      <c r="L148" s="586"/>
      <c r="M148" s="586"/>
      <c r="N148" s="586"/>
      <c r="O148" s="586"/>
      <c r="P148" s="586"/>
      <c r="Q148" s="556"/>
      <c r="R148" s="586"/>
      <c r="S148" s="586"/>
      <c r="T148" s="586"/>
      <c r="U148" s="586"/>
      <c r="V148" s="586"/>
      <c r="W148" s="556"/>
      <c r="X148" s="586"/>
      <c r="Y148" s="586"/>
      <c r="Z148" s="586"/>
      <c r="AA148" s="586"/>
      <c r="AB148" s="586"/>
      <c r="AC148" s="556"/>
      <c r="AD148" s="586"/>
      <c r="AE148" s="586"/>
      <c r="AF148" s="586"/>
      <c r="AG148" s="586"/>
      <c r="AH148" s="586"/>
      <c r="AI148" s="556"/>
      <c r="AJ148" s="586"/>
      <c r="AK148" s="586"/>
      <c r="AL148" s="586"/>
      <c r="AM148" s="586"/>
      <c r="AN148" s="586"/>
      <c r="AO148" s="556"/>
      <c r="AP148" s="586"/>
      <c r="AQ148" s="644"/>
      <c r="AR148" s="644"/>
      <c r="AS148" s="644"/>
      <c r="AT148" s="646"/>
      <c r="AU148" s="647">
        <f>AU146/Model!AU111</f>
        <v>0.31259533571002163</v>
      </c>
      <c r="AV148" s="647"/>
      <c r="AW148" s="648"/>
      <c r="AX148" s="648"/>
      <c r="AY148" s="648"/>
      <c r="AZ148" s="648"/>
      <c r="BA148" s="649">
        <f>BA146/Model!BA111</f>
        <v>0.39513574803149598</v>
      </c>
      <c r="BB148" s="647"/>
      <c r="BC148" s="648"/>
      <c r="BD148" s="648"/>
      <c r="BE148" s="648"/>
      <c r="BF148" s="648"/>
      <c r="BG148" s="649">
        <f>BG146/Model!BG111</f>
        <v>0.1346082232317449</v>
      </c>
      <c r="BH148" s="647"/>
      <c r="BI148" s="648">
        <f>BI146/Model!BI111</f>
        <v>0.18976037492878445</v>
      </c>
      <c r="BJ148" s="648">
        <f>BJ146/Model!BJ111</f>
        <v>5.5605418277888813E-2</v>
      </c>
      <c r="BK148" s="648">
        <f>BK146/Model!BK111</f>
        <v>0.14864989116329425</v>
      </c>
      <c r="BL148" s="648">
        <f>BL146/Model!BL111</f>
        <v>0.3298905003983727</v>
      </c>
      <c r="BM148" s="649">
        <f>BM146/Model!BM111</f>
        <v>0.71794400398079528</v>
      </c>
      <c r="BN148" s="647"/>
      <c r="BO148" s="648">
        <f>BO146/Model!BO111</f>
        <v>0.2788027328011462</v>
      </c>
      <c r="BP148" s="648">
        <f>BP146/Model!BP111</f>
        <v>0.17679623773798014</v>
      </c>
      <c r="BQ148" s="648">
        <f>BQ146/Model!BQ111</f>
        <v>9.3966156128401424E-2</v>
      </c>
      <c r="BR148" s="648">
        <f>BR146/Model!BR111</f>
        <v>0.37568346883575809</v>
      </c>
      <c r="BS148" s="649">
        <f>BS146/Model!BS111</f>
        <v>0.92765298774481308</v>
      </c>
      <c r="BT148" s="647"/>
      <c r="BU148" s="648">
        <f>BU146/Model!BU111</f>
        <v>0.36822453654031539</v>
      </c>
      <c r="BV148" s="648">
        <f>BV146/Model!BV111</f>
        <v>0.13353583837261931</v>
      </c>
      <c r="BW148" s="648">
        <f>BW146/Model!BW111</f>
        <v>0.11723025350575825</v>
      </c>
      <c r="BX148" s="648">
        <f>BX146/Model!BX111</f>
        <v>0.31619555333873045</v>
      </c>
      <c r="BY148" s="649">
        <f>BY146/Model!BY111</f>
        <v>0.93527438531402929</v>
      </c>
      <c r="BZ148" s="586"/>
      <c r="CA148" s="648">
        <f>CA146/Model!CA111</f>
        <v>0.64704488181763742</v>
      </c>
      <c r="CB148" s="648">
        <f>CB146/Model!CB111</f>
        <v>0.27885623968875933</v>
      </c>
      <c r="CC148" s="648">
        <f>CC146/Model!CC111</f>
        <v>7.9796360341660516E-2</v>
      </c>
      <c r="CD148" s="648">
        <f>CD146/Model!CD111</f>
        <v>0.39203298702138267</v>
      </c>
      <c r="CE148" s="649">
        <f>CE146/Model!CE111</f>
        <v>1.3933377764873798</v>
      </c>
      <c r="CF148" s="586"/>
      <c r="CG148" s="648">
        <f>CG146/Model!CG111</f>
        <v>0.99905212015155664</v>
      </c>
      <c r="CH148" s="648">
        <f>CH146/Model!CH111</f>
        <v>0.36125805921395315</v>
      </c>
      <c r="CI148" s="648">
        <f>CI146/Model!CI111</f>
        <v>7.0463984423402612E-2</v>
      </c>
      <c r="CJ148" s="648">
        <f>CJ146/Model!CJ111</f>
        <v>0.58919218454120437</v>
      </c>
      <c r="CK148" s="649">
        <f>CK146/Model!CK111</f>
        <v>2.0118762455534935</v>
      </c>
      <c r="CL148" s="586"/>
      <c r="CM148" s="648">
        <f>CM146/Model!CM111</f>
        <v>1.4287396371104928</v>
      </c>
      <c r="CN148" s="648">
        <f>CN146/Model!CN111</f>
        <v>0.22347765914602027</v>
      </c>
      <c r="CO148" s="648">
        <f>CO146/Model!CO111</f>
        <v>2.8211597321073648E-2</v>
      </c>
      <c r="CP148" s="648">
        <f>CP146/Model!CP111</f>
        <v>0.78425203493236106</v>
      </c>
      <c r="CQ148" s="649">
        <f>CQ146/Model!CQ111</f>
        <v>2.4503511005382363</v>
      </c>
      <c r="CR148" s="586"/>
      <c r="CS148" s="648">
        <f>CS146/Model!CS111</f>
        <v>1.5262223805241353</v>
      </c>
      <c r="CT148" s="648">
        <f>CT146/Model!CT111</f>
        <v>0.290313167472939</v>
      </c>
      <c r="CU148" s="648">
        <f>CU146/Model!CU111</f>
        <v>2.2110420303831656E-2</v>
      </c>
      <c r="CV148" s="648">
        <f>CV146/Model!CV111</f>
        <v>1.2037965303060703</v>
      </c>
      <c r="CW148" s="649">
        <f>CW146/Model!CW111</f>
        <v>3.0214885003304763</v>
      </c>
      <c r="CX148" s="586"/>
      <c r="CY148" s="648">
        <f>CY146/Model!CY111</f>
        <v>1.9217855144291456</v>
      </c>
      <c r="CZ148" s="648">
        <f>CZ146/Model!CZ111</f>
        <v>0.3956275529382528</v>
      </c>
      <c r="DA148" s="648">
        <f>DA146/Model!DA111</f>
        <v>0.21175307174558258</v>
      </c>
      <c r="DB148" s="648">
        <f>DB146/Model!DB111</f>
        <v>1.4267723068034803</v>
      </c>
      <c r="DC148" s="649">
        <f>DC146/Model!DC111</f>
        <v>3.9472728772725012</v>
      </c>
      <c r="DD148" s="586"/>
      <c r="DE148" s="648">
        <f>DE146/Model!DE111</f>
        <v>2.2113576476737582</v>
      </c>
      <c r="DF148" s="648">
        <f>DF146/Model!DF111</f>
        <v>0.40019496429702278</v>
      </c>
      <c r="DG148" s="648">
        <f>DG146/Model!DG111</f>
        <v>0.24268451128023102</v>
      </c>
      <c r="DH148" s="648">
        <f>DH146/Model!DH111</f>
        <v>2.0893928352280744</v>
      </c>
      <c r="DI148" s="649">
        <f>DI146/Model!DI111</f>
        <v>4.9411227081334506</v>
      </c>
      <c r="DJ148" s="586"/>
      <c r="DK148" s="648">
        <f>DK146/Model!DK111</f>
        <v>2.6099598958659653</v>
      </c>
      <c r="DL148" s="648">
        <f>DL146/Model!DL111</f>
        <v>0.65422639095662194</v>
      </c>
      <c r="DM148" s="648">
        <f>DM146/Model!DM111</f>
        <v>0.38141016193617233</v>
      </c>
      <c r="DN148" s="648">
        <f>DN146/Model!DN111</f>
        <v>2.4091669161861842</v>
      </c>
      <c r="DO148" s="649">
        <f>DO146/Model!DO111</f>
        <v>6.050725677339404</v>
      </c>
      <c r="DP148" s="1699"/>
      <c r="DQ148" s="966"/>
      <c r="DR148" s="966"/>
    </row>
    <row r="149" spans="1:122">
      <c r="A149" s="597" t="s">
        <v>599</v>
      </c>
      <c r="B149" s="586"/>
      <c r="C149" s="586"/>
      <c r="D149" s="586"/>
      <c r="E149" s="586"/>
      <c r="F149" s="586"/>
      <c r="G149" s="586"/>
      <c r="H149" s="586"/>
      <c r="I149" s="586"/>
      <c r="J149" s="586"/>
      <c r="K149" s="586"/>
      <c r="L149" s="586"/>
      <c r="M149" s="586"/>
      <c r="N149" s="586"/>
      <c r="O149" s="586"/>
      <c r="P149" s="586"/>
      <c r="Q149" s="556"/>
      <c r="R149" s="586"/>
      <c r="S149" s="586"/>
      <c r="T149" s="586"/>
      <c r="U149" s="586"/>
      <c r="V149" s="586"/>
      <c r="W149" s="556"/>
      <c r="X149" s="586"/>
      <c r="Y149" s="586"/>
      <c r="Z149" s="586"/>
      <c r="AA149" s="586"/>
      <c r="AB149" s="586"/>
      <c r="AC149" s="556"/>
      <c r="AD149" s="586"/>
      <c r="AE149" s="586"/>
      <c r="AF149" s="586"/>
      <c r="AG149" s="586"/>
      <c r="AH149" s="586"/>
      <c r="AI149" s="556"/>
      <c r="AJ149" s="586"/>
      <c r="AK149" s="586"/>
      <c r="AL149" s="586"/>
      <c r="AM149" s="586"/>
      <c r="AN149" s="586"/>
      <c r="AO149" s="556"/>
      <c r="AP149" s="586"/>
      <c r="AQ149" s="644"/>
      <c r="AR149" s="644"/>
      <c r="AS149" s="644"/>
      <c r="AT149" s="646"/>
      <c r="AU149" s="648">
        <f>(BS!AU10+BS!AU11+BS!AU22-BS!AU34-BS!AU40)/Model!AU111</f>
        <v>1.7661685070821644</v>
      </c>
      <c r="AV149" s="647"/>
      <c r="AW149" s="648"/>
      <c r="AX149" s="648"/>
      <c r="AY149" s="648"/>
      <c r="AZ149" s="648"/>
      <c r="BA149" s="650">
        <f>(BS!BA10+BS!BA11+BS!BA22-BS!BA34-BS!BA40)/Model!BA111</f>
        <v>2.5134842519685048</v>
      </c>
      <c r="BB149" s="647"/>
      <c r="BC149" s="648"/>
      <c r="BD149" s="648"/>
      <c r="BE149" s="648"/>
      <c r="BF149" s="648"/>
      <c r="BG149" s="650">
        <f>(BS!BG10+BS!BG11+BS!BG22-BS!BG34-BS!BG40)/Model!BG111</f>
        <v>1.7198282046094135</v>
      </c>
      <c r="BH149" s="647"/>
      <c r="BI149" s="648">
        <f>(BS!BI10+BS!BI11+BS!BI22-BS!BI34-BS!BI40)/Model!BI111</f>
        <v>1.850101373863974</v>
      </c>
      <c r="BJ149" s="648">
        <f>(BS!BJ10+BS!BJ11+BS!BJ22-BS!BJ34-BS!BJ40)/Model!BJ111</f>
        <v>1.3985647167075619</v>
      </c>
      <c r="BK149" s="648">
        <f>(BS!BK10+BS!BK11+BS!BK22-BS!BK34-BS!BK40)/Model!BK111</f>
        <v>1.4183166749899769</v>
      </c>
      <c r="BL149" s="648">
        <f>(BS!BL10+BS!BL11+BS!BL22-BS!BL34-BS!BL40)/Model!BL111</f>
        <v>1.6763821416232452</v>
      </c>
      <c r="BM149" s="650">
        <f>(BS!BM10+BS!BM11+BS!BM22-BS!BM34-BS!BM40)/Model!BM111</f>
        <v>1.6626311188811189</v>
      </c>
      <c r="BN149" s="647"/>
      <c r="BO149" s="648">
        <f>(BS!BO10+BS!BO11+BS!BO22-BS!BO34-BS!BO40)/Model!$BQ$111</f>
        <v>1.9242714596136667</v>
      </c>
      <c r="BP149" s="648">
        <f>(BS!BP10+BS!BP11+BS!BP22-BS!BP34-BS!BP40)/Model!$BQ$111</f>
        <v>2.1591790756268909</v>
      </c>
      <c r="BQ149" s="648">
        <f>(BS!BQ10+BS!BQ11+BS!BQ22-BS!BQ34-BS!BQ40)/Model!$BQ$111</f>
        <v>1.501671376961327</v>
      </c>
      <c r="BR149" s="648">
        <f>(BS!BR10+BS!BR11+BS!BR22-BS!BR34-BS!BR40)/Model!$BQ$111</f>
        <v>2.0613210376868008</v>
      </c>
      <c r="BS149" s="650">
        <f>(BS!BS10+BS!BS11+BS!BS22-BS!BS34-BS!BS40)/Model!$BQ$111</f>
        <v>2.0613210376868008</v>
      </c>
      <c r="BT149" s="647"/>
      <c r="BU149" s="648">
        <f>(BS!BU10+BS!BU11+BS!BU22-BS!BU34-BS!BU40)/Model!$BQ$111</f>
        <v>2.5364803434071428</v>
      </c>
      <c r="BV149" s="648">
        <f>(BS!BV10+BS!BV11+BS!BV22-BS!BV34-BS!BV40)/Model!$BQ$111</f>
        <v>-1.0659052430911973</v>
      </c>
      <c r="BW149" s="648">
        <f>(BS!BW10+BS!BW11+BS!BW22-BS!BW34-BS!BW40)/Model!$BQ$111</f>
        <v>-0.82802480903310094</v>
      </c>
      <c r="BX149" s="648">
        <f>(BS!BX10+BS!BX11+BS!BX22-BS!BX34-BS!BX40)/Model!$BQ$111</f>
        <v>-0.44670923706557525</v>
      </c>
      <c r="BY149" s="650">
        <f>(BS!BY10+BS!BY11+BS!BY22-BS!BY34-BS!BY40)/Model!$BQ$111</f>
        <v>-0.44670923706557525</v>
      </c>
      <c r="BZ149" s="586"/>
      <c r="CA149" s="648">
        <f>(BS!CA10+BS!CA11+BS!CA22-BS!CA34-BS!CA40)/Model!$BQ$111</f>
        <v>0.33668164184874599</v>
      </c>
      <c r="CB149" s="646">
        <f>(BS!CB10+BS!CB11+BS!CB22-BS!CB34-BS!CB40)/Model!$BQ$111</f>
        <v>0.5797645074853689</v>
      </c>
      <c r="CC149" s="646">
        <f>(BS!CC10+BS!CC11+BS!CC22-BS!CC34-BS!CC40)/Model!$BQ$111</f>
        <v>1.1627551224454424</v>
      </c>
      <c r="CD149" s="646">
        <f>(BS!CD10+BS!CD11+BS!CD22-BS!CD34-BS!CD40)/Model!$BQ$111</f>
        <v>1.3657499366776427</v>
      </c>
      <c r="CE149" s="650">
        <f>(BS!CE10+BS!CE11+BS!CE22-BS!CE34-BS!CE40)/Model!$BQ$111</f>
        <v>1.3657499366776427</v>
      </c>
      <c r="CF149" s="586"/>
      <c r="CG149" s="648">
        <f>(BS!CG10+BS!CG11+BS!CG22-BS!CG34-BS!CG40)/Model!$BQ$111</f>
        <v>1.4093373815205363</v>
      </c>
      <c r="CH149" s="646">
        <f>(BS!CH10+BS!CH11+BS!CH22-BS!CH34-BS!CH40)/Model!$BQ$111</f>
        <v>1.6399890685614495</v>
      </c>
      <c r="CI149" s="646">
        <f>(BS!CI10+BS!CI11+BS!CI22-BS!CI34-BS!CI40)/Model!$BQ$111</f>
        <v>2.0203098129657522</v>
      </c>
      <c r="CJ149" s="646">
        <f>(BS!CJ10+BS!CJ11+BS!CJ22-BS!CJ34-BS!CJ40)/Model!$BQ$111</f>
        <v>2.716725767533628</v>
      </c>
      <c r="CK149" s="650">
        <f>(BS!CK10+BS!CK11+BS!CK22-BS!CK34-BS!CK40)/Model!$BQ$111</f>
        <v>2.716725767533628</v>
      </c>
      <c r="CL149" s="586"/>
      <c r="CM149" s="646">
        <f>(BS!CM10+BS!CM11+BS!CM22-BS!CM34-BS!CM40)/Model!$BQ$111</f>
        <v>4.3664898084332044</v>
      </c>
      <c r="CN149" s="646">
        <f>(BS!CN10+BS!CN11+BS!CN22-BS!CN34-BS!CN40)/Model!$BQ$111</f>
        <v>1.0294815565302013</v>
      </c>
      <c r="CO149" s="646">
        <f>(BS!CO10+BS!CO11+BS!CO22-BS!CO34-BS!CO40)/Model!$BQ$111</f>
        <v>1.0696379294255662</v>
      </c>
      <c r="CP149" s="646">
        <f>(BS!CP10+BS!CP11+BS!CP22-BS!CP34-BS!CP40)/Model!$BQ$111</f>
        <v>2.7653206777491897</v>
      </c>
      <c r="CQ149" s="650">
        <f>(BS!CQ10+BS!CQ11+BS!CQ22-BS!CQ34-BS!CQ40)/Model!$BQ$111</f>
        <v>2.7653206777491897</v>
      </c>
      <c r="CR149" s="586"/>
      <c r="CS149" s="646">
        <f>(BS!CS10+BS!CS11+BS!CS22-BS!CS34-BS!CS40)/Model!$BQ$111</f>
        <v>4.5579032967618938</v>
      </c>
      <c r="CT149" s="646">
        <f>(BS!CT10+BS!CT11+BS!CT22-BS!CT34-BS!CT40)/Model!$BQ$111</f>
        <v>5.0461303374081812</v>
      </c>
      <c r="CU149" s="646">
        <f>(BS!CU10+BS!CU11+BS!CU22-BS!CU34-BS!CU40)/Model!$BQ$111</f>
        <v>5.2676152800181297</v>
      </c>
      <c r="CV149" s="646">
        <f>(BS!CV10+BS!CV11+BS!CV22-BS!CV34-BS!CV40)/Model!$BQ$111</f>
        <v>6.9559126418087533</v>
      </c>
      <c r="CW149" s="650">
        <f>(BS!CW10+BS!CW11+BS!CW22-BS!CW34-BS!CW40)/Model!$BQ$111</f>
        <v>6.9559126418087533</v>
      </c>
      <c r="CX149" s="586"/>
      <c r="CY149" s="646">
        <f>(BS!CY10+BS!CY11+BS!CY22-BS!CY34-BS!CY40)/Model!$BQ$111</f>
        <v>8.204300842182386</v>
      </c>
      <c r="CZ149" s="646">
        <f>(BS!CZ10+BS!CZ11+BS!CZ22-BS!CZ34-BS!CZ40)/Model!$BQ$111</f>
        <v>8.9447467711498039</v>
      </c>
      <c r="DA149" s="646">
        <f>(BS!DA10+BS!DA11+BS!DA22-BS!DA34-BS!DA40)/Model!$BQ$111</f>
        <v>9.472267120697337</v>
      </c>
      <c r="DB149" s="646">
        <f>(BS!DB10+BS!DB11+BS!DB22-BS!DB34-BS!DB40)/Model!$BQ$111</f>
        <v>11.548880957910699</v>
      </c>
      <c r="DC149" s="650">
        <f>(BS!DC10+BS!DC11+BS!DC22-BS!DC34-BS!DC40)/Model!$BQ$111</f>
        <v>11.548880957910699</v>
      </c>
      <c r="DD149" s="586"/>
      <c r="DE149" s="646">
        <f>(BS!DE10+BS!DE11+BS!DE22-BS!DE34-BS!DE40)/Model!$BQ$111</f>
        <v>13.594610847952508</v>
      </c>
      <c r="DF149" s="646">
        <f>(BS!DF10+BS!DF11+BS!DF22-BS!DF34-BS!DF40)/Model!$BQ$111</f>
        <v>14.492073689147558</v>
      </c>
      <c r="DG149" s="646">
        <f>(BS!DG10+BS!DG11+BS!DG22-BS!DG34-BS!DG40)/Model!$BQ$111</f>
        <v>15.207440229551905</v>
      </c>
      <c r="DH149" s="646">
        <f>(BS!DH10+BS!DH11+BS!DH22-BS!DH34-BS!DH40)/Model!$BQ$111</f>
        <v>18.363279703217152</v>
      </c>
      <c r="DI149" s="650">
        <f>(BS!DI10+BS!DI11+BS!DI22-BS!DI34-BS!DI40)/Model!$BQ$111</f>
        <v>18.363279703217152</v>
      </c>
      <c r="DJ149" s="586"/>
      <c r="DK149" s="646">
        <f>(BS!DK10+BS!DK11+BS!DK22-BS!DK34-BS!DK40)/Model!$BQ$111</f>
        <v>20.907427195361883</v>
      </c>
      <c r="DL149" s="646">
        <f>(BS!DL10+BS!DL11+BS!DL22-BS!DL34-BS!DL40)/Model!$BQ$111</f>
        <v>22.261431037181286</v>
      </c>
      <c r="DM149" s="646">
        <f>(BS!DM10+BS!DM11+BS!DM22-BS!DM34-BS!DM40)/Model!$BQ$111</f>
        <v>23.275401578902155</v>
      </c>
      <c r="DN149" s="646">
        <f>(BS!DN10+BS!DN11+BS!DN22-BS!DN34-BS!DN40)/Model!$BQ$111</f>
        <v>27.06811869877372</v>
      </c>
      <c r="DO149" s="650">
        <f>(BS!DO10+BS!DO11+BS!DO22-BS!DO34-BS!DO40)/Model!$BQ$111</f>
        <v>27.06811869877372</v>
      </c>
      <c r="DP149" s="1699"/>
      <c r="DQ149" s="966"/>
      <c r="DR149" s="966"/>
    </row>
    <row r="150" spans="1:122">
      <c r="A150" s="1302"/>
      <c r="B150" s="966"/>
      <c r="C150" s="966"/>
      <c r="D150" s="966"/>
      <c r="E150" s="966"/>
      <c r="F150" s="966"/>
      <c r="G150" s="966"/>
      <c r="H150" s="966"/>
      <c r="I150" s="966"/>
      <c r="J150" s="966"/>
      <c r="K150" s="966"/>
      <c r="L150" s="966"/>
      <c r="M150" s="966"/>
      <c r="N150" s="966"/>
      <c r="O150" s="966"/>
      <c r="P150" s="966"/>
      <c r="Q150" s="977"/>
      <c r="R150" s="966"/>
      <c r="S150" s="966"/>
      <c r="T150" s="966"/>
      <c r="U150" s="966"/>
      <c r="V150" s="966"/>
      <c r="W150" s="977"/>
      <c r="X150" s="966"/>
      <c r="Y150" s="966"/>
      <c r="Z150" s="966"/>
      <c r="AA150" s="966"/>
      <c r="AB150" s="966"/>
      <c r="AC150" s="977"/>
      <c r="AD150" s="966"/>
      <c r="AE150" s="966"/>
      <c r="AF150" s="966"/>
      <c r="AG150" s="966"/>
      <c r="AH150" s="966"/>
      <c r="AI150" s="977"/>
      <c r="AJ150" s="966"/>
      <c r="AK150" s="966"/>
      <c r="AL150" s="966"/>
      <c r="AM150" s="966"/>
      <c r="AN150" s="966"/>
      <c r="AO150" s="977"/>
      <c r="AP150" s="966"/>
      <c r="AQ150" s="966"/>
      <c r="AR150" s="966"/>
      <c r="AS150" s="966"/>
      <c r="AT150" s="966"/>
      <c r="AU150" s="1139">
        <f>CF!AU102/Model!AU77</f>
        <v>1.3427683992559574</v>
      </c>
      <c r="AV150" s="966"/>
      <c r="AW150" s="966"/>
      <c r="AX150" s="966"/>
      <c r="AY150" s="966"/>
      <c r="AZ150" s="966"/>
      <c r="BA150" s="1139"/>
      <c r="BB150" s="966"/>
      <c r="BC150" s="966"/>
      <c r="BD150" s="966"/>
      <c r="BE150" s="966"/>
      <c r="BF150" s="966"/>
      <c r="BG150" s="1139"/>
      <c r="BH150" s="966"/>
      <c r="BI150" s="966"/>
      <c r="BJ150" s="966"/>
      <c r="BK150" s="966"/>
      <c r="BL150" s="966"/>
      <c r="BM150" s="977"/>
      <c r="BN150" s="966"/>
      <c r="BO150" s="966"/>
      <c r="BP150" s="966"/>
      <c r="BQ150" s="966"/>
      <c r="BR150" s="966"/>
      <c r="BS150" s="977"/>
      <c r="BT150" s="966"/>
      <c r="BU150" s="966"/>
      <c r="BV150" s="966"/>
      <c r="BW150" s="966"/>
      <c r="BX150" s="966"/>
      <c r="BY150" s="977"/>
      <c r="BZ150" s="966"/>
      <c r="CA150" s="966"/>
      <c r="CB150" s="966"/>
      <c r="CC150" s="966"/>
      <c r="CD150" s="966"/>
      <c r="CE150" s="977"/>
      <c r="CF150" s="966"/>
      <c r="CG150" s="966"/>
      <c r="CH150" s="966"/>
      <c r="CI150" s="966"/>
      <c r="CJ150" s="966"/>
      <c r="CK150" s="977"/>
      <c r="CL150" s="966"/>
      <c r="CM150" s="966"/>
      <c r="CN150" s="966"/>
      <c r="CO150" s="966"/>
      <c r="CP150" s="966"/>
      <c r="CQ150" s="977"/>
      <c r="CR150" s="966"/>
      <c r="CS150" s="966"/>
      <c r="CT150" s="966"/>
      <c r="CU150" s="966"/>
      <c r="CV150" s="966"/>
      <c r="CW150" s="977"/>
      <c r="CX150" s="966"/>
      <c r="CY150" s="966"/>
      <c r="CZ150" s="966"/>
      <c r="DA150" s="966"/>
      <c r="DB150" s="966"/>
      <c r="DC150" s="977"/>
      <c r="DD150" s="966"/>
      <c r="DE150" s="966"/>
      <c r="DF150" s="966"/>
      <c r="DG150" s="966"/>
      <c r="DH150" s="966"/>
      <c r="DI150" s="977"/>
      <c r="DJ150" s="966"/>
      <c r="DK150" s="966"/>
      <c r="DL150" s="966"/>
      <c r="DM150" s="966"/>
      <c r="DN150" s="966"/>
      <c r="DO150" s="977"/>
      <c r="DP150" s="1699"/>
      <c r="DQ150" s="966"/>
      <c r="DR150" s="966"/>
    </row>
    <row r="151" spans="1:122">
      <c r="A151" s="1302"/>
      <c r="B151" s="966"/>
      <c r="C151" s="966"/>
      <c r="D151" s="966"/>
      <c r="E151" s="966"/>
      <c r="F151" s="966"/>
      <c r="G151" s="966"/>
      <c r="H151" s="966"/>
      <c r="I151" s="966"/>
      <c r="J151" s="966"/>
      <c r="K151" s="966"/>
      <c r="L151" s="966"/>
      <c r="M151" s="966"/>
      <c r="N151" s="966"/>
      <c r="O151" s="966"/>
      <c r="P151" s="966"/>
      <c r="Q151" s="977"/>
      <c r="R151" s="966"/>
      <c r="S151" s="966"/>
      <c r="T151" s="966"/>
      <c r="U151" s="966"/>
      <c r="V151" s="966"/>
      <c r="W151" s="977"/>
      <c r="X151" s="966"/>
      <c r="Y151" s="966"/>
      <c r="Z151" s="966"/>
      <c r="AA151" s="966"/>
      <c r="AB151" s="966"/>
      <c r="AC151" s="977"/>
      <c r="AD151" s="966"/>
      <c r="AE151" s="966"/>
      <c r="AF151" s="966"/>
      <c r="AG151" s="966"/>
      <c r="AH151" s="966"/>
      <c r="AI151" s="977"/>
      <c r="AJ151" s="966"/>
      <c r="AK151" s="966"/>
      <c r="AL151" s="966"/>
      <c r="AM151" s="966"/>
      <c r="AN151" s="966"/>
      <c r="AO151" s="977"/>
      <c r="AP151" s="966"/>
      <c r="AQ151" s="966"/>
      <c r="AR151" s="966"/>
      <c r="AS151" s="966"/>
      <c r="AT151" s="966"/>
      <c r="AU151" s="1139">
        <f>AU102/Model!AU84</f>
        <v>2.4887015327376121</v>
      </c>
      <c r="AV151" s="966"/>
      <c r="AW151" s="966"/>
      <c r="AX151" s="966"/>
      <c r="AY151" s="966"/>
      <c r="AZ151" s="966"/>
      <c r="BA151" s="1139"/>
      <c r="BB151" s="966"/>
      <c r="BC151" s="966"/>
      <c r="BD151" s="966"/>
      <c r="BE151" s="966"/>
      <c r="BF151" s="966"/>
      <c r="BG151" s="1139"/>
      <c r="BH151" s="966"/>
      <c r="BI151" s="966"/>
      <c r="BJ151" s="966"/>
      <c r="BK151" s="966"/>
      <c r="BL151" s="966"/>
      <c r="BM151" s="977"/>
      <c r="BN151" s="966"/>
      <c r="BO151" s="966"/>
      <c r="BP151" s="966"/>
      <c r="BQ151" s="966"/>
      <c r="BR151" s="966"/>
      <c r="BS151" s="977"/>
      <c r="BT151" s="966"/>
      <c r="BU151" s="966"/>
      <c r="BV151" s="966"/>
      <c r="BW151" s="966"/>
      <c r="BX151" s="966"/>
      <c r="BY151" s="1038">
        <f>BY146/Model!BY111</f>
        <v>0.93527438531402929</v>
      </c>
      <c r="BZ151" s="966"/>
      <c r="CA151" s="966"/>
      <c r="CB151" s="966"/>
      <c r="CC151" s="966"/>
      <c r="CD151" s="966"/>
      <c r="CE151" s="1337">
        <f>CE139/Model!CE111</f>
        <v>1.3580185223480501</v>
      </c>
      <c r="CF151" s="966"/>
      <c r="CG151" s="966"/>
      <c r="CH151" s="966"/>
      <c r="CI151" s="966"/>
      <c r="CJ151" s="966"/>
      <c r="CK151" s="1337">
        <f>CK139/Model!CK111</f>
        <v>1.9692960344479904</v>
      </c>
      <c r="CL151" s="966"/>
      <c r="CM151" s="966"/>
      <c r="CN151" s="966"/>
      <c r="CO151" s="966"/>
      <c r="CP151" s="966"/>
      <c r="CQ151" s="1337">
        <f>CQ139/Model!CQ111</f>
        <v>2.4272065985534579</v>
      </c>
      <c r="CR151" s="966"/>
      <c r="CS151" s="966"/>
      <c r="CT151" s="966"/>
      <c r="CU151" s="966"/>
      <c r="CV151" s="966"/>
      <c r="CW151" s="1337">
        <f>CW139/Model!CW111</f>
        <v>3.0158603962191206</v>
      </c>
      <c r="CX151" s="966"/>
      <c r="CY151" s="966"/>
      <c r="CZ151" s="966"/>
      <c r="DA151" s="966"/>
      <c r="DB151" s="966"/>
      <c r="DC151" s="1337">
        <f>DC139/Model!DC111</f>
        <v>3.9136882881223545</v>
      </c>
      <c r="DD151" s="966"/>
      <c r="DE151" s="966"/>
      <c r="DF151" s="966"/>
      <c r="DG151" s="966"/>
      <c r="DH151" s="966"/>
      <c r="DI151" s="1337">
        <f>DI139/Model!DI111</f>
        <v>4.9510459999276124</v>
      </c>
      <c r="DJ151" s="966"/>
      <c r="DK151" s="966"/>
      <c r="DL151" s="966"/>
      <c r="DM151" s="966"/>
      <c r="DN151" s="966"/>
      <c r="DO151" s="1337">
        <f>DO139/Model!DO111</f>
        <v>6.0649596341875069</v>
      </c>
      <c r="DP151" s="1699"/>
      <c r="DQ151" s="966"/>
      <c r="DR151" s="966"/>
    </row>
    <row r="152" spans="1:122" hidden="1" outlineLevel="1">
      <c r="A152" s="1302" t="s">
        <v>353</v>
      </c>
      <c r="B152" s="966"/>
      <c r="C152" s="966"/>
      <c r="D152" s="966"/>
      <c r="E152" s="966"/>
      <c r="F152" s="966"/>
      <c r="G152" s="966"/>
      <c r="H152" s="966"/>
      <c r="I152" s="966"/>
      <c r="J152" s="966"/>
      <c r="K152" s="966"/>
      <c r="L152" s="966"/>
      <c r="M152" s="966"/>
      <c r="N152" s="966"/>
      <c r="O152" s="966"/>
      <c r="P152" s="966"/>
      <c r="Q152" s="977"/>
      <c r="R152" s="966"/>
      <c r="S152" s="966"/>
      <c r="T152" s="966"/>
      <c r="U152" s="966"/>
      <c r="V152" s="966"/>
      <c r="W152" s="977"/>
      <c r="X152" s="966"/>
      <c r="Y152" s="966"/>
      <c r="Z152" s="966"/>
      <c r="AA152" s="966"/>
      <c r="AB152" s="966"/>
      <c r="AC152" s="977"/>
      <c r="AD152" s="966"/>
      <c r="AE152" s="966"/>
      <c r="AF152" s="966"/>
      <c r="AG152" s="966"/>
      <c r="AH152" s="966"/>
      <c r="AI152" s="977"/>
      <c r="AJ152" s="966"/>
      <c r="AK152" s="966"/>
      <c r="AL152" s="966"/>
      <c r="AM152" s="966"/>
      <c r="AN152" s="966"/>
      <c r="AO152" s="977"/>
      <c r="AP152" s="966"/>
      <c r="AQ152" s="966"/>
      <c r="AR152" s="966"/>
      <c r="AS152" s="966"/>
      <c r="AT152" s="966"/>
      <c r="AU152" s="977"/>
      <c r="AV152" s="966"/>
      <c r="AW152" s="966"/>
      <c r="AX152" s="966"/>
      <c r="AY152" s="966"/>
      <c r="AZ152" s="966"/>
      <c r="BA152" s="977"/>
      <c r="BB152" s="966"/>
      <c r="BC152" s="966"/>
      <c r="BD152" s="966"/>
      <c r="BE152" s="966"/>
      <c r="BF152" s="966"/>
      <c r="BG152" s="977"/>
      <c r="BH152" s="966"/>
      <c r="BI152" s="966"/>
      <c r="BJ152" s="966"/>
      <c r="BK152" s="966"/>
      <c r="BL152" s="966"/>
      <c r="BM152" s="977"/>
      <c r="BN152" s="966"/>
      <c r="BO152" s="966"/>
      <c r="BP152" s="966"/>
      <c r="BQ152" s="966"/>
      <c r="BR152" s="966"/>
      <c r="BS152" s="977"/>
      <c r="BT152" s="966"/>
      <c r="BU152" s="966"/>
      <c r="BV152" s="966"/>
      <c r="BW152" s="966"/>
      <c r="BX152" s="966"/>
      <c r="BY152" s="984">
        <f>BY151*33.5+8</f>
        <v>39.331691908019977</v>
      </c>
      <c r="BZ152" s="966"/>
      <c r="CA152" s="966"/>
      <c r="CB152" s="966"/>
      <c r="CC152" s="966"/>
      <c r="CD152" s="966"/>
      <c r="CE152" s="1338"/>
      <c r="CF152" s="966"/>
      <c r="CG152" s="966"/>
      <c r="CH152" s="966"/>
      <c r="CI152" s="966"/>
      <c r="CJ152" s="966"/>
      <c r="CK152" s="1338"/>
      <c r="CL152" s="966"/>
      <c r="CM152" s="966"/>
      <c r="CN152" s="966"/>
      <c r="CO152" s="966"/>
      <c r="CP152" s="966"/>
      <c r="CQ152" s="1338"/>
      <c r="CR152" s="966"/>
      <c r="CS152" s="966"/>
      <c r="CT152" s="966"/>
      <c r="CU152" s="966"/>
      <c r="CV152" s="966"/>
      <c r="CW152" s="1338"/>
      <c r="CX152" s="966"/>
      <c r="CY152" s="966"/>
      <c r="CZ152" s="966"/>
      <c r="DA152" s="966"/>
      <c r="DB152" s="966"/>
      <c r="DC152" s="1338"/>
      <c r="DD152" s="966"/>
      <c r="DE152" s="966"/>
      <c r="DF152" s="966"/>
      <c r="DG152" s="966"/>
      <c r="DH152" s="966"/>
      <c r="DI152" s="1338"/>
      <c r="DJ152" s="966"/>
      <c r="DK152" s="966"/>
      <c r="DL152" s="966"/>
      <c r="DM152" s="966"/>
      <c r="DN152" s="966"/>
      <c r="DO152" s="1338"/>
      <c r="DP152" s="1699"/>
      <c r="DQ152" s="966"/>
      <c r="DR152" s="966"/>
    </row>
    <row r="153" spans="1:122" hidden="1" outlineLevel="1">
      <c r="A153" s="1302" t="s">
        <v>354</v>
      </c>
      <c r="B153" s="966"/>
      <c r="C153" s="966"/>
      <c r="D153" s="966"/>
      <c r="E153" s="966"/>
      <c r="F153" s="966"/>
      <c r="G153" s="966"/>
      <c r="H153" s="966"/>
      <c r="I153" s="966"/>
      <c r="J153" s="966"/>
      <c r="K153" s="966"/>
      <c r="L153" s="966"/>
      <c r="M153" s="966"/>
      <c r="N153" s="966"/>
      <c r="O153" s="966"/>
      <c r="P153" s="966"/>
      <c r="Q153" s="977"/>
      <c r="R153" s="966"/>
      <c r="S153" s="966"/>
      <c r="T153" s="966"/>
      <c r="U153" s="966"/>
      <c r="V153" s="966"/>
      <c r="W153" s="977"/>
      <c r="X153" s="966"/>
      <c r="Y153" s="966"/>
      <c r="Z153" s="966"/>
      <c r="AA153" s="966"/>
      <c r="AB153" s="966"/>
      <c r="AC153" s="977"/>
      <c r="AD153" s="966"/>
      <c r="AE153" s="966"/>
      <c r="AF153" s="966"/>
      <c r="AG153" s="966"/>
      <c r="AH153" s="966"/>
      <c r="AI153" s="977"/>
      <c r="AJ153" s="966"/>
      <c r="AK153" s="966"/>
      <c r="AL153" s="966"/>
      <c r="AM153" s="966">
        <v>5.5E-2</v>
      </c>
      <c r="AN153" s="966"/>
      <c r="AO153" s="977"/>
      <c r="AP153" s="966"/>
      <c r="AQ153" s="977">
        <f>5.415-AR153</f>
        <v>4.2370000000000001</v>
      </c>
      <c r="AR153" s="977">
        <v>1.1779999999999999</v>
      </c>
      <c r="AS153" s="977">
        <v>1.8939999999999999</v>
      </c>
      <c r="AT153" s="977">
        <f>9.6-AS153-AR153-AQ153</f>
        <v>2.2909999999999995</v>
      </c>
      <c r="AU153" s="977">
        <f>SUM(AQ153:AT153)</f>
        <v>9.6</v>
      </c>
      <c r="AV153" s="977"/>
      <c r="AW153" s="977">
        <f>21.074-AX153</f>
        <v>4.2830000000000013</v>
      </c>
      <c r="AX153" s="977">
        <v>16.791</v>
      </c>
      <c r="AY153" s="966"/>
      <c r="AZ153" s="966"/>
      <c r="BA153" s="977"/>
      <c r="BB153" s="966"/>
      <c r="BC153" s="966"/>
      <c r="BD153" s="966"/>
      <c r="BE153" s="966"/>
      <c r="BF153" s="966"/>
      <c r="BG153" s="977"/>
      <c r="BH153" s="966"/>
      <c r="BI153" s="966"/>
      <c r="BJ153" s="966"/>
      <c r="BK153" s="966"/>
      <c r="BL153" s="966"/>
      <c r="BM153" s="977"/>
      <c r="BN153" s="966"/>
      <c r="BO153" s="966"/>
      <c r="BP153" s="966"/>
      <c r="BQ153" s="966"/>
      <c r="BR153" s="966"/>
      <c r="BS153" s="977"/>
      <c r="BT153" s="966"/>
      <c r="BU153" s="966"/>
      <c r="BV153" s="966"/>
      <c r="BW153" s="966"/>
      <c r="BX153" s="966"/>
      <c r="BY153" s="977"/>
      <c r="BZ153" s="966"/>
      <c r="CA153" s="966"/>
      <c r="CB153" s="966"/>
      <c r="CC153" s="966"/>
      <c r="CD153" s="966"/>
      <c r="CE153" s="977"/>
      <c r="CF153" s="966"/>
      <c r="CG153" s="966"/>
      <c r="CH153" s="966"/>
      <c r="CI153" s="966"/>
      <c r="CJ153" s="966"/>
      <c r="CK153" s="977"/>
      <c r="CL153" s="966"/>
      <c r="CM153" s="966"/>
      <c r="CN153" s="966"/>
      <c r="CO153" s="966"/>
      <c r="CP153" s="966"/>
      <c r="CQ153" s="977"/>
      <c r="CR153" s="966"/>
      <c r="CS153" s="966"/>
      <c r="CT153" s="966"/>
      <c r="CU153" s="966"/>
      <c r="CV153" s="966"/>
      <c r="CW153" s="977"/>
      <c r="CX153" s="966"/>
      <c r="CY153" s="966"/>
      <c r="CZ153" s="966"/>
      <c r="DA153" s="966"/>
      <c r="DB153" s="966"/>
      <c r="DC153" s="977"/>
      <c r="DD153" s="966"/>
      <c r="DE153" s="966"/>
      <c r="DF153" s="966"/>
      <c r="DG153" s="966"/>
      <c r="DH153" s="966"/>
      <c r="DI153" s="977"/>
      <c r="DJ153" s="966"/>
      <c r="DK153" s="966"/>
      <c r="DL153" s="966"/>
      <c r="DM153" s="966"/>
      <c r="DN153" s="966"/>
      <c r="DO153" s="977"/>
      <c r="DP153" s="1699"/>
      <c r="DQ153" s="966"/>
      <c r="DR153" s="966"/>
    </row>
    <row r="154" spans="1:122" hidden="1" outlineLevel="1">
      <c r="A154" s="1302"/>
      <c r="B154" s="966"/>
      <c r="C154" s="966"/>
      <c r="D154" s="966"/>
      <c r="E154" s="966"/>
      <c r="F154" s="966"/>
      <c r="G154" s="966"/>
      <c r="H154" s="966"/>
      <c r="I154" s="966"/>
      <c r="J154" s="966"/>
      <c r="K154" s="966"/>
      <c r="L154" s="966"/>
      <c r="M154" s="966"/>
      <c r="N154" s="966"/>
      <c r="O154" s="966"/>
      <c r="P154" s="966"/>
      <c r="Q154" s="977"/>
      <c r="R154" s="966"/>
      <c r="S154" s="966"/>
      <c r="T154" s="966"/>
      <c r="U154" s="966"/>
      <c r="V154" s="966"/>
      <c r="W154" s="977"/>
      <c r="X154" s="966"/>
      <c r="Y154" s="966"/>
      <c r="Z154" s="966"/>
      <c r="AA154" s="966"/>
      <c r="AB154" s="966"/>
      <c r="AC154" s="977"/>
      <c r="AD154" s="966"/>
      <c r="AE154" s="966"/>
      <c r="AF154" s="966"/>
      <c r="AG154" s="966"/>
      <c r="AH154" s="966"/>
      <c r="AI154" s="977"/>
      <c r="AJ154" s="966"/>
      <c r="AK154" s="966"/>
      <c r="AL154" s="966"/>
      <c r="AM154" s="966"/>
      <c r="AN154" s="966"/>
      <c r="AO154" s="977"/>
      <c r="AP154" s="966"/>
      <c r="AQ154" s="966"/>
      <c r="AR154" s="966"/>
      <c r="AS154" s="966"/>
      <c r="AT154" s="966"/>
      <c r="AU154" s="977"/>
      <c r="AV154" s="966"/>
      <c r="AW154" s="966"/>
      <c r="AX154" s="966"/>
      <c r="AY154" s="966"/>
      <c r="AZ154" s="966"/>
      <c r="BA154" s="977"/>
      <c r="BB154" s="966"/>
      <c r="BC154" s="966"/>
      <c r="BD154" s="966"/>
      <c r="BE154" s="966"/>
      <c r="BF154" s="966"/>
      <c r="BG154" s="977"/>
      <c r="BH154" s="966"/>
      <c r="BI154" s="966"/>
      <c r="BJ154" s="966"/>
      <c r="BK154" s="966"/>
      <c r="BL154" s="966"/>
      <c r="BM154" s="977">
        <f>69/BM158</f>
        <v>89.728142008175297</v>
      </c>
      <c r="BN154" s="966"/>
      <c r="BO154" s="966"/>
      <c r="BP154" s="966"/>
      <c r="BQ154" s="966"/>
      <c r="BR154" s="966"/>
      <c r="BS154" s="977"/>
      <c r="BT154" s="966"/>
      <c r="BU154" s="966"/>
      <c r="BV154" s="966"/>
      <c r="BW154" s="966"/>
      <c r="BX154" s="966"/>
      <c r="BY154" s="977"/>
      <c r="BZ154" s="966"/>
      <c r="CA154" s="966"/>
      <c r="CB154" s="966"/>
      <c r="CC154" s="966"/>
      <c r="CD154" s="966"/>
      <c r="CE154" s="977"/>
      <c r="CF154" s="966"/>
      <c r="CG154" s="966"/>
      <c r="CH154" s="966"/>
      <c r="CI154" s="966"/>
      <c r="CJ154" s="966"/>
      <c r="CK154" s="977"/>
      <c r="CL154" s="966"/>
      <c r="CM154" s="966"/>
      <c r="CN154" s="966"/>
      <c r="CO154" s="966"/>
      <c r="CP154" s="966"/>
      <c r="CQ154" s="977"/>
      <c r="CR154" s="966"/>
      <c r="CS154" s="966"/>
      <c r="CT154" s="966"/>
      <c r="CU154" s="966"/>
      <c r="CV154" s="966"/>
      <c r="CW154" s="977"/>
      <c r="CX154" s="966"/>
      <c r="CY154" s="966"/>
      <c r="CZ154" s="966"/>
      <c r="DA154" s="966"/>
      <c r="DB154" s="966"/>
      <c r="DC154" s="977"/>
      <c r="DD154" s="966"/>
      <c r="DE154" s="966"/>
      <c r="DF154" s="966"/>
      <c r="DG154" s="966"/>
      <c r="DH154" s="966"/>
      <c r="DI154" s="977"/>
      <c r="DJ154" s="966"/>
      <c r="DK154" s="966"/>
      <c r="DL154" s="966"/>
      <c r="DM154" s="966"/>
      <c r="DN154" s="966"/>
      <c r="DO154" s="977"/>
      <c r="DP154" s="1699"/>
      <c r="DQ154" s="966"/>
      <c r="DR154" s="966"/>
    </row>
    <row r="155" spans="1:122" hidden="1" outlineLevel="1">
      <c r="A155" s="1302" t="s">
        <v>1068</v>
      </c>
      <c r="B155" s="966"/>
      <c r="C155" s="966"/>
      <c r="D155" s="966"/>
      <c r="E155" s="966"/>
      <c r="F155" s="966"/>
      <c r="G155" s="966"/>
      <c r="H155" s="966"/>
      <c r="I155" s="966"/>
      <c r="J155" s="966"/>
      <c r="K155" s="966"/>
      <c r="L155" s="966"/>
      <c r="M155" s="966"/>
      <c r="N155" s="966"/>
      <c r="O155" s="966"/>
      <c r="P155" s="966"/>
      <c r="Q155" s="977"/>
      <c r="R155" s="966"/>
      <c r="S155" s="966"/>
      <c r="T155" s="966"/>
      <c r="U155" s="966"/>
      <c r="V155" s="966"/>
      <c r="W155" s="977"/>
      <c r="X155" s="966"/>
      <c r="Y155" s="966"/>
      <c r="Z155" s="966"/>
      <c r="AA155" s="966"/>
      <c r="AB155" s="966"/>
      <c r="AC155" s="977"/>
      <c r="AD155" s="966"/>
      <c r="AE155" s="966"/>
      <c r="AF155" s="966"/>
      <c r="AG155" s="966"/>
      <c r="AH155" s="966"/>
      <c r="AI155" s="977"/>
      <c r="AJ155" s="966"/>
      <c r="AK155" s="966"/>
      <c r="AL155" s="966"/>
      <c r="AM155" s="966"/>
      <c r="AN155" s="966"/>
      <c r="AO155" s="977"/>
      <c r="AP155" s="966"/>
      <c r="AQ155" s="966"/>
      <c r="AR155" s="966"/>
      <c r="AS155" s="966"/>
      <c r="AT155" s="966"/>
      <c r="AU155" s="977"/>
      <c r="AV155" s="966"/>
      <c r="AW155" s="966"/>
      <c r="AX155" s="966"/>
      <c r="AY155" s="966"/>
      <c r="AZ155" s="966"/>
      <c r="BA155" s="977"/>
      <c r="BB155" s="966"/>
      <c r="BC155" s="966"/>
      <c r="BD155" s="966"/>
      <c r="BE155" s="966"/>
      <c r="BF155" s="966"/>
      <c r="BG155" s="977"/>
      <c r="BH155" s="966"/>
      <c r="BI155" s="966"/>
      <c r="BJ155" s="966"/>
      <c r="BK155" s="966"/>
      <c r="BL155" s="966"/>
      <c r="BM155" s="977"/>
      <c r="BN155" s="966"/>
      <c r="BO155" s="966"/>
      <c r="BP155" s="966"/>
      <c r="BQ155" s="966"/>
      <c r="BR155" s="966"/>
      <c r="BS155" s="977"/>
      <c r="BT155" s="966"/>
      <c r="BU155" s="966"/>
      <c r="BV155" s="966"/>
      <c r="BW155" s="966"/>
      <c r="BX155" s="966"/>
      <c r="BY155" s="977"/>
      <c r="BZ155" s="966"/>
      <c r="CA155" s="966"/>
      <c r="CB155" s="966"/>
      <c r="CC155" s="966"/>
      <c r="CD155" s="966"/>
      <c r="CE155" s="1138">
        <f>-CE107/Model!CE19</f>
        <v>5.4052172980947916E-2</v>
      </c>
      <c r="CF155" s="966"/>
      <c r="CG155" s="966"/>
      <c r="CH155" s="966"/>
      <c r="CI155" s="966"/>
      <c r="CJ155" s="966"/>
      <c r="CK155" s="1138">
        <f>-CK107/Model!CK19</f>
        <v>4.2667884166344691E-2</v>
      </c>
      <c r="CL155" s="966"/>
      <c r="CM155" s="966"/>
      <c r="CN155" s="966"/>
      <c r="CO155" s="966"/>
      <c r="CP155" s="966"/>
      <c r="CQ155" s="1138">
        <f>-CQ107/Model!CQ19</f>
        <v>5.5285853738519998E-2</v>
      </c>
      <c r="CR155" s="966"/>
      <c r="CS155" s="966"/>
      <c r="CT155" s="966"/>
      <c r="CU155" s="966"/>
      <c r="CV155" s="966"/>
      <c r="CW155" s="1138">
        <f>-CW107/Model!CW19</f>
        <v>5.0956716461775055E-2</v>
      </c>
      <c r="CX155" s="966"/>
      <c r="CY155" s="966"/>
      <c r="CZ155" s="966"/>
      <c r="DA155" s="966"/>
      <c r="DB155" s="966"/>
      <c r="DC155" s="1138">
        <f>-DC107/Model!DC19</f>
        <v>3.8832075571244698E-2</v>
      </c>
      <c r="DD155" s="966"/>
      <c r="DE155" s="966"/>
      <c r="DF155" s="966"/>
      <c r="DG155" s="966"/>
      <c r="DH155" s="966"/>
      <c r="DI155" s="1138">
        <f>-DI107/Model!DI19</f>
        <v>3.7651083614933911E-2</v>
      </c>
      <c r="DJ155" s="966"/>
      <c r="DK155" s="966"/>
      <c r="DL155" s="966"/>
      <c r="DM155" s="966"/>
      <c r="DN155" s="966"/>
      <c r="DO155" s="1138">
        <f>-DO107/Model!DO19</f>
        <v>3.6646931439927366E-2</v>
      </c>
      <c r="DP155" s="1699"/>
      <c r="DQ155" s="966"/>
      <c r="DR155" s="966"/>
    </row>
    <row r="156" spans="1:122" hidden="1" outlineLevel="1">
      <c r="A156" s="1302" t="s">
        <v>96</v>
      </c>
      <c r="B156" s="966"/>
      <c r="C156" s="966"/>
      <c r="D156" s="966"/>
      <c r="E156" s="966"/>
      <c r="F156" s="966"/>
      <c r="G156" s="966"/>
      <c r="H156" s="966"/>
      <c r="I156" s="966"/>
      <c r="J156" s="966"/>
      <c r="K156" s="966"/>
      <c r="L156" s="966"/>
      <c r="M156" s="966"/>
      <c r="N156" s="966"/>
      <c r="O156" s="966"/>
      <c r="P156" s="966"/>
      <c r="Q156" s="977"/>
      <c r="R156" s="966"/>
      <c r="S156" s="966"/>
      <c r="T156" s="966"/>
      <c r="U156" s="966"/>
      <c r="V156" s="966"/>
      <c r="W156" s="977"/>
      <c r="X156" s="966"/>
      <c r="Y156" s="966"/>
      <c r="Z156" s="966"/>
      <c r="AA156" s="966"/>
      <c r="AB156" s="966"/>
      <c r="AC156" s="977"/>
      <c r="AD156" s="966"/>
      <c r="AE156" s="966"/>
      <c r="AF156" s="966"/>
      <c r="AG156" s="966"/>
      <c r="AH156" s="966"/>
      <c r="AI156" s="977"/>
      <c r="AJ156" s="966"/>
      <c r="AK156" s="1023">
        <f>(AK102)/Model!AK111</f>
        <v>7.6325278733369264E-2</v>
      </c>
      <c r="AL156" s="1023">
        <f>(AL102)/Model!AL111</f>
        <v>7.1402668688650237E-2</v>
      </c>
      <c r="AM156" s="1023">
        <f>(AM102)/Model!AM111</f>
        <v>0.10640588037881951</v>
      </c>
      <c r="AN156" s="1023">
        <f>(AN102)/Model!AN111</f>
        <v>0.16331055950840875</v>
      </c>
      <c r="AO156" s="1023">
        <f>(AO102)/Model!AO111</f>
        <v>0.41875334397940206</v>
      </c>
      <c r="AP156" s="966"/>
      <c r="AQ156" s="1023">
        <f>(AQ102)/Model!AQ111</f>
        <v>0.16845371099715467</v>
      </c>
      <c r="AR156" s="1023">
        <f>(AR102)/Model!AR111</f>
        <v>0.10562104978268827</v>
      </c>
      <c r="AS156" s="1023">
        <f>(AS102)/Model!AS111</f>
        <v>3.420560523602887E-2</v>
      </c>
      <c r="AT156" s="1098">
        <f>(AT102)/Model!AT111</f>
        <v>0.15162446901624468</v>
      </c>
      <c r="AU156" s="1023">
        <f>(AU102)/Model!AU111</f>
        <v>0.45938411786130234</v>
      </c>
      <c r="AV156" s="966"/>
      <c r="AW156" s="1023">
        <f>(AW102)/Model!AW111</f>
        <v>0.19651732363241831</v>
      </c>
      <c r="AX156" s="1023">
        <f>(AX102)/Model!AX111</f>
        <v>8.9475056492264879E-2</v>
      </c>
      <c r="AY156" s="1023">
        <f>(AY102)/Model!AY111</f>
        <v>6.9053469781330673E-2</v>
      </c>
      <c r="AZ156" s="1023">
        <f>(AZ102)/Model!AZ111</f>
        <v>0.17515131573913237</v>
      </c>
      <c r="BA156" s="1023">
        <f>(BA102)/Model!BA111</f>
        <v>0.53328937007874022</v>
      </c>
      <c r="BB156" s="966"/>
      <c r="BC156" s="1023">
        <f>(BC102)/Model!BC111</f>
        <v>0.27066525016824072</v>
      </c>
      <c r="BD156" s="1023">
        <f>(BD102)/Model!BD111</f>
        <v>0.14178392559026948</v>
      </c>
      <c r="BE156" s="1023">
        <f>(BE102)/Model!BE111</f>
        <v>0.13506611015440298</v>
      </c>
      <c r="BF156" s="1023">
        <f>(BF102)/Model!BF111</f>
        <v>0.2955834207091349</v>
      </c>
      <c r="BG156" s="1023">
        <f>(BG102)/Model!BG111</f>
        <v>0.84441113175271731</v>
      </c>
      <c r="BH156" s="966"/>
      <c r="BI156" s="1023">
        <f>(BI102)/Model!BI111</f>
        <v>0.2472636145808226</v>
      </c>
      <c r="BJ156" s="1023">
        <f>(BJ102)/Model!BJ111</f>
        <v>0.14452689326343965</v>
      </c>
      <c r="BK156" s="1023">
        <f>(BK102)/Model!BK111</f>
        <v>0.22632780243509579</v>
      </c>
      <c r="BL156" s="1023">
        <f>(BL102)/Model!BL111</f>
        <v>0.42366227869164552</v>
      </c>
      <c r="BM156" s="1023">
        <f>(BM102)/Model!BM111</f>
        <v>1.0341031468531467</v>
      </c>
      <c r="BN156" s="966"/>
      <c r="BO156" s="1023">
        <f>(BO102)/Model!BO111</f>
        <v>0.36496155452547407</v>
      </c>
      <c r="BP156" s="1023">
        <f>(BP102)/Model!BP111</f>
        <v>0.23290456516683303</v>
      </c>
      <c r="BQ156" s="1023">
        <f>(BQ102)/Model!BQ111</f>
        <v>0.17649440763600982</v>
      </c>
      <c r="BR156" s="1023">
        <f>(BR102)/Model!BR111</f>
        <v>0.45946797122828098</v>
      </c>
      <c r="BS156" s="1023">
        <f>(BS102)/Model!BS111</f>
        <v>1.2364043624161076</v>
      </c>
      <c r="BT156" s="966"/>
      <c r="BU156" s="1023">
        <f>(BU102)/Model!BU111</f>
        <v>0.45479277378159133</v>
      </c>
      <c r="BV156" s="1023">
        <f>(BV102)/Model!BV111</f>
        <v>0.29325420711559652</v>
      </c>
      <c r="BW156" s="1023">
        <f>(BW102)/Model!BW111</f>
        <v>0.21538213968225198</v>
      </c>
      <c r="BX156" s="1023">
        <f>(BX102)/Model!BX111</f>
        <v>0.4170550383246332</v>
      </c>
      <c r="BY156" s="1023">
        <f>(BY102)/Model!BY111</f>
        <v>1.3799055468098897</v>
      </c>
      <c r="BZ156" s="966"/>
      <c r="CA156" s="1023">
        <f>(CA102)/Model!CA111</f>
        <v>0.73007253086419754</v>
      </c>
      <c r="CB156" s="1023">
        <f>(CB102)/Model!CB111</f>
        <v>0.37958752064712326</v>
      </c>
      <c r="CC156" s="1023">
        <f>(CC102)/Model!CC111</f>
        <v>0.18603482259186283</v>
      </c>
      <c r="CD156" s="1023">
        <f>(CD102)/Model!CD111</f>
        <v>0.51325534616846302</v>
      </c>
      <c r="CE156" s="1023">
        <f>(CE102)/Model!CE111</f>
        <v>1.8045936099667359</v>
      </c>
      <c r="CF156" s="966"/>
      <c r="CG156" s="1023">
        <f>(CG102)/Model!CG111</f>
        <v>1.1001746172720568</v>
      </c>
      <c r="CH156" s="1023">
        <f>(CH102)/Model!CH111</f>
        <v>0.45257029527509296</v>
      </c>
      <c r="CI156" s="1023">
        <f>(CI102)/Model!CI111</f>
        <v>0.17397341124046453</v>
      </c>
      <c r="CJ156" s="1023">
        <f>(CJ102)/Model!CJ111</f>
        <v>0.6726699025572328</v>
      </c>
      <c r="CK156" s="1023">
        <f>(CK102)/Model!CK111</f>
        <v>2.3911119085182859</v>
      </c>
      <c r="CL156" s="966"/>
      <c r="CM156" s="1023">
        <f>(CM102)/Model!CM111</f>
        <v>1.5303778834855613</v>
      </c>
      <c r="CN156" s="1023">
        <f>(CN102)/Model!CN111</f>
        <v>0.36018610051036848</v>
      </c>
      <c r="CO156" s="1023">
        <f>(CO102)/Model!CO111</f>
        <v>0.21897420761057129</v>
      </c>
      <c r="CP156" s="1023">
        <f>(CP102)/Model!CP111</f>
        <v>0.99288951255829905</v>
      </c>
      <c r="CQ156" s="1023">
        <f>(CQ102)/Model!CQ111</f>
        <v>3.090317771916272</v>
      </c>
      <c r="CR156" s="966"/>
      <c r="CS156" s="1023">
        <f>(CS102)/Model!CS111</f>
        <v>1.7411912644758938</v>
      </c>
      <c r="CT156" s="1023">
        <f>(CT102)/Model!CT111</f>
        <v>0.45417515554178417</v>
      </c>
      <c r="CU156" s="1023">
        <f>(CU102)/Model!CU111</f>
        <v>0.17042538605566113</v>
      </c>
      <c r="CV156" s="1023">
        <f>(CV102)/Model!CV111</f>
        <v>1.4027625076054355</v>
      </c>
      <c r="CW156" s="1023">
        <f>(CW102)/Model!CW111</f>
        <v>3.7466209166201976</v>
      </c>
      <c r="CX156" s="966"/>
      <c r="CY156" s="1023">
        <f>(CY102)/Model!CY111</f>
        <v>2.1207349733415821</v>
      </c>
      <c r="CZ156" s="1023">
        <f>(CZ102)/Model!CZ111</f>
        <v>0.54189415333460433</v>
      </c>
      <c r="DA156" s="1023">
        <f>(DA102)/Model!DA111</f>
        <v>0.32741240306838038</v>
      </c>
      <c r="DB156" s="1023">
        <f>(DB102)/Model!DB111</f>
        <v>1.5793274121500178</v>
      </c>
      <c r="DC156" s="1023">
        <f>(DC102)/Model!DC111</f>
        <v>4.5601931609723794</v>
      </c>
      <c r="DD156" s="966"/>
      <c r="DE156" s="1023">
        <f>(DE102)/Model!DE111</f>
        <v>2.4351622507623745</v>
      </c>
      <c r="DF156" s="1023">
        <f>(DF102)/Model!DF111</f>
        <v>0.58497276500350937</v>
      </c>
      <c r="DG156" s="1023">
        <f>(DG102)/Model!DG111</f>
        <v>0.39039906361287541</v>
      </c>
      <c r="DH156" s="1023">
        <f>(DH102)/Model!DH111</f>
        <v>2.2777830984753384</v>
      </c>
      <c r="DI156" s="1023">
        <f>(DI102)/Model!DI111</f>
        <v>5.6851234519016405</v>
      </c>
      <c r="DJ156" s="966"/>
      <c r="DK156" s="1023">
        <f>(DK102)/Model!DK111</f>
        <v>2.8151251876565895</v>
      </c>
      <c r="DL156" s="1023">
        <f>(DL102)/Model!DL111</f>
        <v>0.8673930440151939</v>
      </c>
      <c r="DM156" s="1023">
        <f>(DM102)/Model!DM111</f>
        <v>0.55185459069213749</v>
      </c>
      <c r="DN156" s="1023">
        <f>(DN102)/Model!DN111</f>
        <v>2.6558444468905043</v>
      </c>
      <c r="DO156" s="1023">
        <f>(DO102)/Model!DO111</f>
        <v>6.8865570304444548</v>
      </c>
      <c r="DP156" s="1699"/>
      <c r="DQ156" s="966"/>
      <c r="DR156" s="966"/>
    </row>
    <row r="157" spans="1:122" hidden="1" outlineLevel="1">
      <c r="A157" s="1302" t="s">
        <v>252</v>
      </c>
      <c r="B157" s="966"/>
      <c r="C157" s="966"/>
      <c r="D157" s="966"/>
      <c r="E157" s="966"/>
      <c r="F157" s="966"/>
      <c r="G157" s="966"/>
      <c r="H157" s="966"/>
      <c r="I157" s="966"/>
      <c r="J157" s="966"/>
      <c r="K157" s="966"/>
      <c r="L157" s="966"/>
      <c r="M157" s="966"/>
      <c r="N157" s="966"/>
      <c r="O157" s="966"/>
      <c r="P157" s="966"/>
      <c r="Q157" s="977"/>
      <c r="R157" s="966"/>
      <c r="S157" s="966"/>
      <c r="T157" s="966"/>
      <c r="U157" s="966"/>
      <c r="V157" s="966"/>
      <c r="W157" s="977"/>
      <c r="X157" s="966"/>
      <c r="Y157" s="966"/>
      <c r="Z157" s="966"/>
      <c r="AA157" s="966"/>
      <c r="AB157" s="966"/>
      <c r="AC157" s="977"/>
      <c r="AD157" s="966"/>
      <c r="AE157" s="966"/>
      <c r="AF157" s="966"/>
      <c r="AG157" s="966"/>
      <c r="AH157" s="966"/>
      <c r="AI157" s="977"/>
      <c r="AJ157" s="966"/>
      <c r="AK157" s="966"/>
      <c r="AL157" s="966"/>
      <c r="AM157" s="966"/>
      <c r="AN157" s="966"/>
      <c r="AO157" s="977"/>
      <c r="AP157" s="966"/>
      <c r="AQ157" s="966"/>
      <c r="AR157" s="1233">
        <v>0.42</v>
      </c>
      <c r="AS157" s="1233">
        <v>0.443</v>
      </c>
      <c r="AT157" s="1233">
        <v>0.72199999999999998</v>
      </c>
      <c r="AU157" s="1106">
        <v>2.31</v>
      </c>
      <c r="AV157" s="1233"/>
      <c r="AW157" s="1233">
        <v>0.73</v>
      </c>
      <c r="AX157" s="1106">
        <v>0.45</v>
      </c>
      <c r="AY157" s="1106">
        <v>0.7</v>
      </c>
      <c r="AZ157" s="1233">
        <v>1.03</v>
      </c>
      <c r="BA157" s="1106">
        <v>2.7909999999999999</v>
      </c>
      <c r="BB157" s="1233"/>
      <c r="BC157" s="1233"/>
      <c r="BD157" s="1106"/>
      <c r="BE157" s="1233"/>
      <c r="BF157" s="1233"/>
      <c r="BG157" s="1106"/>
      <c r="BH157" s="1233"/>
      <c r="BI157" s="1233"/>
      <c r="BJ157" s="1106"/>
      <c r="BK157" s="1233"/>
      <c r="BL157" s="1233"/>
      <c r="BM157" s="1106"/>
      <c r="BN157" s="1233"/>
      <c r="BO157" s="1233"/>
      <c r="BP157" s="1106"/>
      <c r="BQ157" s="1233"/>
      <c r="BR157" s="1233"/>
      <c r="BS157" s="1106"/>
      <c r="BT157" s="1233"/>
      <c r="BU157" s="1233"/>
      <c r="BV157" s="1106"/>
      <c r="BW157" s="1233"/>
      <c r="BX157" s="1233"/>
      <c r="BY157" s="1106"/>
      <c r="BZ157" s="1233"/>
      <c r="CA157" s="1233"/>
      <c r="CB157" s="1106"/>
      <c r="CC157" s="1233"/>
      <c r="CD157" s="1233"/>
      <c r="CE157" s="1106"/>
      <c r="CF157" s="1233"/>
      <c r="CG157" s="1233"/>
      <c r="CH157" s="1106"/>
      <c r="CI157" s="1106"/>
      <c r="CJ157" s="1233"/>
      <c r="CK157" s="1106"/>
      <c r="CL157" s="1233"/>
      <c r="CM157" s="1233"/>
      <c r="CN157" s="1106"/>
      <c r="CO157" s="1233"/>
      <c r="CP157" s="1233"/>
      <c r="CQ157" s="1106"/>
      <c r="CR157" s="1233"/>
      <c r="CS157" s="1233"/>
      <c r="CT157" s="1106"/>
      <c r="CU157" s="1233"/>
      <c r="CV157" s="1233"/>
      <c r="CW157" s="1106"/>
      <c r="CX157" s="1233"/>
      <c r="CY157" s="1233"/>
      <c r="CZ157" s="1106"/>
      <c r="DA157" s="1233"/>
      <c r="DB157" s="1233"/>
      <c r="DC157" s="1106"/>
      <c r="DD157" s="1233"/>
      <c r="DE157" s="1233"/>
      <c r="DF157" s="1106"/>
      <c r="DG157" s="1233"/>
      <c r="DH157" s="1233"/>
      <c r="DI157" s="1106"/>
      <c r="DJ157" s="1233"/>
      <c r="DK157" s="1233"/>
      <c r="DL157" s="1106"/>
      <c r="DM157" s="1233"/>
      <c r="DN157" s="1233"/>
      <c r="DO157" s="1106"/>
      <c r="DP157" s="1699"/>
      <c r="DQ157" s="966"/>
      <c r="DR157" s="966"/>
    </row>
    <row r="158" spans="1:122" hidden="1" outlineLevel="1">
      <c r="A158" s="966" t="s">
        <v>576</v>
      </c>
      <c r="B158" s="966"/>
      <c r="C158" s="966"/>
      <c r="D158" s="966"/>
      <c r="E158" s="966"/>
      <c r="F158" s="966"/>
      <c r="G158" s="966"/>
      <c r="H158" s="966"/>
      <c r="I158" s="966"/>
      <c r="J158" s="966"/>
      <c r="K158" s="966"/>
      <c r="L158" s="966"/>
      <c r="M158" s="966"/>
      <c r="N158" s="966"/>
      <c r="O158" s="966"/>
      <c r="P158" s="966"/>
      <c r="Q158" s="966"/>
      <c r="R158" s="966"/>
      <c r="S158" s="966"/>
      <c r="T158" s="966"/>
      <c r="U158" s="966"/>
      <c r="V158" s="966"/>
      <c r="W158" s="1023">
        <f>(W102+W107)/Model!W111</f>
        <v>0.1162671140213215</v>
      </c>
      <c r="X158" s="966"/>
      <c r="Y158" s="966"/>
      <c r="Z158" s="966"/>
      <c r="AA158" s="966"/>
      <c r="AB158" s="966"/>
      <c r="AC158" s="1023">
        <f>(AC102+AC107)/Model!AC111</f>
        <v>0.15256196467823846</v>
      </c>
      <c r="AD158" s="993"/>
      <c r="AE158" s="1023"/>
      <c r="AF158" s="1023"/>
      <c r="AG158" s="1023"/>
      <c r="AH158" s="1023"/>
      <c r="AI158" s="1023">
        <f>(AI102+AI107)/Model!AI111</f>
        <v>0.18553699751039235</v>
      </c>
      <c r="AJ158" s="993"/>
      <c r="AK158" s="1023">
        <f>(AK102+AK107)/Model!AK111</f>
        <v>4.3256517594396325E-2</v>
      </c>
      <c r="AL158" s="1023">
        <f>(AL102+AL107)/Model!AL111</f>
        <v>5.0583930175632348E-2</v>
      </c>
      <c r="AM158" s="1023">
        <f>(AM102+AM107)/Model!AM111</f>
        <v>8.7739115487562316E-2</v>
      </c>
      <c r="AN158" s="1023">
        <f>(AN102+AN107)/Model!AN111</f>
        <v>0.14639391979301417</v>
      </c>
      <c r="AO158" s="1023">
        <f>(AO102+AO107)/Model!AO111</f>
        <v>0.32947396257203004</v>
      </c>
      <c r="AP158" s="993"/>
      <c r="AQ158" s="1023">
        <f>(AQ102+AQ107)/Model!AQ111</f>
        <v>0.11987195974729534</v>
      </c>
      <c r="AR158" s="1023">
        <f>(AR102+AR107)/Model!AR111</f>
        <v>7.9678967729610084E-2</v>
      </c>
      <c r="AS158" s="1023">
        <f>(AS102+AS107)/Model!AS111</f>
        <v>1.1002293559652539E-2</v>
      </c>
      <c r="AT158" s="1023">
        <f>(AT102+AT107)/Model!AT111</f>
        <v>0.12706872877068728</v>
      </c>
      <c r="AU158" s="1023">
        <f>(AU102+AU107)/Model!AU111</f>
        <v>0.33719427023089565</v>
      </c>
      <c r="AV158" s="993"/>
      <c r="AW158" s="1023"/>
      <c r="AX158" s="1023"/>
      <c r="AY158" s="1023"/>
      <c r="AZ158" s="1023"/>
      <c r="BA158" s="1023">
        <f>(BA102+BA107)/Model!BA111</f>
        <v>0.42718503937007885</v>
      </c>
      <c r="BB158" s="993"/>
      <c r="BC158" s="1023"/>
      <c r="BD158" s="1023"/>
      <c r="BE158" s="1023"/>
      <c r="BF158" s="1023"/>
      <c r="BG158" s="1023">
        <f>(BG102+BG107)/Model!BG111</f>
        <v>0.67723803042286657</v>
      </c>
      <c r="BH158" s="993"/>
      <c r="BI158" s="1023"/>
      <c r="BJ158" s="1023"/>
      <c r="BK158" s="1023"/>
      <c r="BL158" s="1023"/>
      <c r="BM158" s="1023">
        <f>(BM102+BM107)/Model!BM111</f>
        <v>0.76898951048951047</v>
      </c>
      <c r="BN158" s="993"/>
      <c r="BO158" s="1023"/>
      <c r="BP158" s="1023"/>
      <c r="BQ158" s="1023"/>
      <c r="BR158" s="1023"/>
      <c r="BS158" s="1023">
        <f>(BS102+BS107)/Model!BS111</f>
        <v>0.94177181208053717</v>
      </c>
      <c r="BT158" s="993"/>
      <c r="BU158" s="1023"/>
      <c r="BV158" s="1023"/>
      <c r="BW158" s="1023"/>
      <c r="BX158" s="1023"/>
      <c r="BY158" s="1023">
        <f>(BY102+BY107)/Model!BY111</f>
        <v>0.90845133414638468</v>
      </c>
      <c r="BZ158" s="993"/>
      <c r="CA158" s="1023"/>
      <c r="CB158" s="1023"/>
      <c r="CC158" s="1023"/>
      <c r="CD158" s="1023"/>
      <c r="CE158" s="1023">
        <f>(CE102+CE107)/Model!CE111</f>
        <v>1.3580185223480501</v>
      </c>
      <c r="CF158" s="993"/>
      <c r="CG158" s="1023"/>
      <c r="CH158" s="1023"/>
      <c r="CI158" s="1023"/>
      <c r="CJ158" s="1023"/>
      <c r="CK158" s="1023">
        <f>(CK102+CK107)/Model!CK111</f>
        <v>1.9692960344479904</v>
      </c>
      <c r="CL158" s="993"/>
      <c r="CM158" s="1023"/>
      <c r="CN158" s="1023"/>
      <c r="CO158" s="1023"/>
      <c r="CP158" s="1023"/>
      <c r="CQ158" s="1023">
        <f>(CQ102+CQ107)/Model!CQ111</f>
        <v>2.4272065985534579</v>
      </c>
      <c r="CR158" s="993"/>
      <c r="CS158" s="1023"/>
      <c r="CT158" s="1023"/>
      <c r="CU158" s="1023"/>
      <c r="CV158" s="1023"/>
      <c r="CW158" s="1023">
        <f>(CW102+CW107)/Model!CW111</f>
        <v>3.0158603962191206</v>
      </c>
      <c r="CX158" s="993"/>
      <c r="CY158" s="1023"/>
      <c r="CZ158" s="1023"/>
      <c r="DA158" s="1023"/>
      <c r="DB158" s="1023"/>
      <c r="DC158" s="1023">
        <f>(DC102+DC107)/Model!DC111</f>
        <v>3.9136882881223545</v>
      </c>
      <c r="DD158" s="993"/>
      <c r="DE158" s="1023"/>
      <c r="DF158" s="1023"/>
      <c r="DG158" s="1023"/>
      <c r="DH158" s="1023"/>
      <c r="DI158" s="1023">
        <f>(DI102+DI107)/Model!DI111</f>
        <v>4.9510459999276124</v>
      </c>
      <c r="DJ158" s="993"/>
      <c r="DK158" s="1023"/>
      <c r="DL158" s="1023"/>
      <c r="DM158" s="1023"/>
      <c r="DN158" s="1023"/>
      <c r="DO158" s="1023">
        <f>(DO102+DO107)/Model!DO111</f>
        <v>6.0649596341875069</v>
      </c>
      <c r="DP158" s="1699"/>
      <c r="DQ158" s="966"/>
      <c r="DR158" s="966"/>
    </row>
    <row r="159" spans="1:122" hidden="1" outlineLevel="1">
      <c r="A159" s="970" t="s">
        <v>168</v>
      </c>
      <c r="B159" s="966"/>
      <c r="C159" s="966"/>
      <c r="D159" s="1138"/>
      <c r="E159" s="1138"/>
      <c r="F159" s="966"/>
      <c r="G159" s="966"/>
      <c r="H159" s="966"/>
      <c r="I159" s="966"/>
      <c r="J159" s="966"/>
      <c r="K159" s="1138"/>
      <c r="L159" s="966"/>
      <c r="M159" s="966"/>
      <c r="N159" s="966"/>
      <c r="O159" s="966"/>
      <c r="P159" s="1263"/>
      <c r="Q159" s="966"/>
      <c r="R159" s="966"/>
      <c r="S159" s="1263"/>
      <c r="T159" s="1263"/>
      <c r="U159" s="1263"/>
      <c r="V159" s="1263"/>
      <c r="W159" s="966"/>
      <c r="X159" s="966"/>
      <c r="Y159" s="1263"/>
      <c r="Z159" s="1263"/>
      <c r="AA159" s="1263"/>
      <c r="AB159" s="1263"/>
      <c r="AC159" s="966"/>
      <c r="AD159" s="966"/>
      <c r="AE159" s="1263"/>
      <c r="AF159" s="1263"/>
      <c r="AG159" s="1263"/>
      <c r="AH159" s="1263"/>
      <c r="AI159" s="966"/>
      <c r="AJ159" s="966"/>
      <c r="AK159" s="1263"/>
      <c r="AL159" s="1263"/>
      <c r="AM159" s="1263"/>
      <c r="AN159" s="1263"/>
      <c r="AO159" s="1263"/>
      <c r="AP159" s="966"/>
      <c r="AQ159" s="1263"/>
      <c r="AR159" s="1263"/>
      <c r="AS159" s="1263"/>
      <c r="AT159" s="1263"/>
      <c r="AU159" s="966"/>
      <c r="AV159" s="966"/>
      <c r="AW159" s="1263"/>
      <c r="AX159" s="1263"/>
      <c r="AY159" s="1263"/>
      <c r="AZ159" s="1263"/>
      <c r="BA159" s="966"/>
      <c r="BB159" s="966"/>
      <c r="BC159" s="1263"/>
      <c r="BD159" s="1263"/>
      <c r="BE159" s="1263"/>
      <c r="BF159" s="1263"/>
      <c r="BG159" s="966"/>
      <c r="BH159" s="966"/>
      <c r="BI159" s="1263"/>
      <c r="BJ159" s="1263"/>
      <c r="BK159" s="1263"/>
      <c r="BL159" s="1263"/>
      <c r="BM159" s="966"/>
      <c r="BN159" s="966"/>
      <c r="BO159" s="1263"/>
      <c r="BP159" s="1263"/>
      <c r="BQ159" s="1263"/>
      <c r="BR159" s="1263"/>
      <c r="BS159" s="966"/>
      <c r="BT159" s="966"/>
      <c r="BU159" s="1263"/>
      <c r="BV159" s="1263"/>
      <c r="BW159" s="1263"/>
      <c r="BX159" s="1263"/>
      <c r="BY159" s="966"/>
      <c r="BZ159" s="966"/>
      <c r="CA159" s="1263"/>
      <c r="CB159" s="1263"/>
      <c r="CC159" s="1263"/>
      <c r="CD159" s="1263"/>
      <c r="CE159" s="966"/>
      <c r="CF159" s="966"/>
      <c r="CG159" s="1263"/>
      <c r="CH159" s="1263"/>
      <c r="CI159" s="1263"/>
      <c r="CJ159" s="1263"/>
      <c r="CK159" s="966"/>
      <c r="CL159" s="966"/>
      <c r="CM159" s="1263"/>
      <c r="CN159" s="1263"/>
      <c r="CO159" s="1263"/>
      <c r="CP159" s="1263"/>
      <c r="CQ159" s="966"/>
      <c r="CR159" s="966"/>
      <c r="CS159" s="1263"/>
      <c r="CT159" s="1263"/>
      <c r="CU159" s="1263"/>
      <c r="CV159" s="1263"/>
      <c r="CW159" s="966"/>
      <c r="CX159" s="966"/>
      <c r="CY159" s="1263"/>
      <c r="CZ159" s="1263"/>
      <c r="DA159" s="1263"/>
      <c r="DB159" s="1263"/>
      <c r="DC159" s="966"/>
      <c r="DD159" s="966"/>
      <c r="DE159" s="1263"/>
      <c r="DF159" s="1263"/>
      <c r="DG159" s="1263"/>
      <c r="DH159" s="1263"/>
      <c r="DI159" s="966"/>
      <c r="DJ159" s="966"/>
      <c r="DK159" s="1263"/>
      <c r="DL159" s="1263"/>
      <c r="DM159" s="1263"/>
      <c r="DN159" s="1263"/>
      <c r="DO159" s="966"/>
      <c r="DP159" s="1699"/>
      <c r="DQ159" s="966"/>
      <c r="DR159" s="966"/>
    </row>
    <row r="160" spans="1:122" hidden="1" outlineLevel="1">
      <c r="A160" s="966" t="s">
        <v>952</v>
      </c>
      <c r="B160" s="966"/>
      <c r="C160" s="966"/>
      <c r="D160" s="966"/>
      <c r="E160" s="1138"/>
      <c r="F160" s="966"/>
      <c r="G160" s="977">
        <f>G102+G107</f>
        <v>2.2999999999999998</v>
      </c>
      <c r="H160" s="977">
        <f>H102+H107</f>
        <v>1.8110000000000002</v>
      </c>
      <c r="I160" s="977">
        <f>I102+I107</f>
        <v>-0.61500000000000044</v>
      </c>
      <c r="J160" s="977">
        <f>J102+J107</f>
        <v>-0.30499999999999983</v>
      </c>
      <c r="K160" s="977">
        <f>K102+K107</f>
        <v>3.1909999999999998</v>
      </c>
      <c r="L160" s="966"/>
      <c r="M160" s="977">
        <f>M102+M107</f>
        <v>4.43</v>
      </c>
      <c r="N160" s="977">
        <f>N102+N107</f>
        <v>3.4979999999999993</v>
      </c>
      <c r="O160" s="977">
        <f>O102+O107</f>
        <v>6.1760000000000019</v>
      </c>
      <c r="P160" s="977">
        <f>P102+P107</f>
        <v>4.7610000000000001</v>
      </c>
      <c r="Q160" s="977">
        <f>Q102+Q107</f>
        <v>18.865000000000013</v>
      </c>
      <c r="R160" s="966"/>
      <c r="S160" s="977">
        <f>S102+S107</f>
        <v>6.381000000000002</v>
      </c>
      <c r="T160" s="977">
        <f>T102+T107</f>
        <v>14.450999999999997</v>
      </c>
      <c r="U160" s="977">
        <f>U102+U107</f>
        <v>11.869000000000002</v>
      </c>
      <c r="V160" s="977">
        <f>V102+V107</f>
        <v>18.863000000000003</v>
      </c>
      <c r="W160" s="977">
        <f>W102+W107</f>
        <v>51.564</v>
      </c>
      <c r="X160" s="966"/>
      <c r="Y160" s="977">
        <f>Y102+Y107</f>
        <v>8.7530000000000001</v>
      </c>
      <c r="Z160" s="977">
        <f>Z102+Z107</f>
        <v>10.7</v>
      </c>
      <c r="AA160" s="977">
        <f>AA102+AA107</f>
        <v>19.28</v>
      </c>
      <c r="AB160" s="977">
        <f>AB102+AB107</f>
        <v>33.725999999999999</v>
      </c>
      <c r="AC160" s="977">
        <f>AC102+AC107</f>
        <v>72.459000000000003</v>
      </c>
      <c r="AD160" s="966"/>
      <c r="AE160" s="977">
        <f>AE102+AE107</f>
        <v>9.820999999999998</v>
      </c>
      <c r="AF160" s="977">
        <f>AF102+AF107</f>
        <v>27.203999999999997</v>
      </c>
      <c r="AG160" s="977">
        <f>AG102+AG107</f>
        <v>21.541999999999998</v>
      </c>
      <c r="AH160" s="977">
        <f>AH102+AH107</f>
        <v>30.53361785141324</v>
      </c>
      <c r="AI160" s="977">
        <f>AI102+AI107</f>
        <v>89.100617851413233</v>
      </c>
      <c r="AJ160" s="966"/>
      <c r="AK160" s="977">
        <f>AK102+AK107</f>
        <v>20.873000000000005</v>
      </c>
      <c r="AL160" s="977">
        <f>AL102+AL107</f>
        <v>24.549999999999997</v>
      </c>
      <c r="AM160" s="977">
        <f>AM102+AM107</f>
        <v>42.876000000000005</v>
      </c>
      <c r="AN160" s="977">
        <f>AN102+AN107</f>
        <v>72.423999999999978</v>
      </c>
      <c r="AO160" s="977">
        <f>AO102+AO107</f>
        <v>160.72299999999998</v>
      </c>
      <c r="AP160" s="966"/>
      <c r="AQ160" s="977">
        <f>AQ102+AQ107</f>
        <v>59.655000000000008</v>
      </c>
      <c r="AR160" s="977">
        <f>AR102+AR107</f>
        <v>40.038999999999987</v>
      </c>
      <c r="AS160" s="977">
        <f>AS102+AS107</f>
        <v>5.507000000000005</v>
      </c>
      <c r="AT160" s="977">
        <f>AT102+AT107</f>
        <v>63.296999999999997</v>
      </c>
      <c r="AU160" s="977">
        <f>AU102+AU107</f>
        <v>168.49799999999996</v>
      </c>
      <c r="AV160" s="966"/>
      <c r="AW160" s="977">
        <f>AW102+AW107</f>
        <v>85.105000000000018</v>
      </c>
      <c r="AX160" s="977">
        <f>AX102+AX107</f>
        <v>25.969999999999988</v>
      </c>
      <c r="AY160" s="977">
        <f>AY102+AY107</f>
        <v>21.430999999999997</v>
      </c>
      <c r="AZ160" s="977">
        <f>AZ102+AZ107</f>
        <v>84.503999999999962</v>
      </c>
      <c r="BA160" s="977">
        <f>BA102+BA107</f>
        <v>217.01000000000005</v>
      </c>
      <c r="BB160" s="966"/>
      <c r="BC160" s="977">
        <f>BC102+BC107</f>
        <v>130.99300000000002</v>
      </c>
      <c r="BD160" s="977">
        <f>BD102+BD107</f>
        <v>48.764999999999986</v>
      </c>
      <c r="BE160" s="977">
        <f>BE102+BE107</f>
        <v>53.250000000000021</v>
      </c>
      <c r="BF160" s="977">
        <f>BF102+BF107</f>
        <v>135.18600000000004</v>
      </c>
      <c r="BG160" s="977">
        <f>BG102+BG107</f>
        <v>368.1939999999999</v>
      </c>
      <c r="BH160" s="966"/>
      <c r="BI160" s="977">
        <f>BI102+BI107</f>
        <v>112.20400000000001</v>
      </c>
      <c r="BJ160" s="977">
        <f>BJ102+BJ107</f>
        <v>37.881999999999998</v>
      </c>
      <c r="BK160" s="977">
        <f>BK102+BK107</f>
        <v>94.030999999999992</v>
      </c>
      <c r="BL160" s="977">
        <f>BL102+BL107</f>
        <v>195.74500000000003</v>
      </c>
      <c r="BM160" s="977">
        <f>BM102+BM107</f>
        <v>439.86199999999997</v>
      </c>
      <c r="BN160" s="966"/>
      <c r="BO160" s="977">
        <f>BO102+BO107</f>
        <v>168.49100000000004</v>
      </c>
      <c r="BP160" s="977">
        <f>BP102+BP107</f>
        <v>106.89299999999994</v>
      </c>
      <c r="BQ160" s="977">
        <f>BQ102+BQ107</f>
        <v>54.861000000000061</v>
      </c>
      <c r="BR160" s="977">
        <f>BR102+BR107</f>
        <v>231.05100000000004</v>
      </c>
      <c r="BS160" s="977">
        <f>BS102+BS107</f>
        <v>561.29600000000016</v>
      </c>
      <c r="BT160" s="966"/>
      <c r="BU160" s="977">
        <f>BU102+BU107</f>
        <v>229.17899999999997</v>
      </c>
      <c r="BV160" s="977">
        <f>BV102+BV107</f>
        <v>80.634000000000043</v>
      </c>
      <c r="BW160" s="977">
        <f>BW102+BW107</f>
        <v>65.156999999999982</v>
      </c>
      <c r="BX160" s="977">
        <f>BX102+BX107</f>
        <v>201.38900000000004</v>
      </c>
      <c r="BY160" s="977">
        <f>BY102+BY107</f>
        <v>576.35900000000004</v>
      </c>
      <c r="BZ160" s="966"/>
      <c r="CA160" s="977">
        <f>CA102+CA107</f>
        <v>412.98899999999998</v>
      </c>
      <c r="CB160" s="977">
        <f>CB102+CB107</f>
        <v>174.31699999999995</v>
      </c>
      <c r="CC160" s="977">
        <f>CC102+CC107</f>
        <v>49.085000000000178</v>
      </c>
      <c r="CD160" s="977">
        <f>CD102+CD107</f>
        <v>246.86899999999972</v>
      </c>
      <c r="CE160" s="977">
        <f>CE102+CE107</f>
        <v>883.26</v>
      </c>
      <c r="CF160" s="966"/>
      <c r="CG160" s="977">
        <f>CG102+CG107</f>
        <v>659.77</v>
      </c>
      <c r="CH160" s="977">
        <f>CH102+CH107</f>
        <v>239.52799999999996</v>
      </c>
      <c r="CI160" s="977">
        <f>CI102+CI107</f>
        <v>37.866000000000042</v>
      </c>
      <c r="CJ160" s="977">
        <f>CJ102+CJ107</f>
        <v>390.9450000000005</v>
      </c>
      <c r="CK160" s="977">
        <f>CK102+CK107</f>
        <v>1328.1090000000004</v>
      </c>
      <c r="CL160" s="966"/>
      <c r="CM160" s="977">
        <f>CM102+CM107</f>
        <v>967.76099999999985</v>
      </c>
      <c r="CN160" s="977">
        <f>CN102+CN107</f>
        <v>154.64800000000014</v>
      </c>
      <c r="CO160" s="977">
        <f>CO102+CO107</f>
        <v>13.65900000000002</v>
      </c>
      <c r="CP160" s="977">
        <f>CP102+CP107</f>
        <v>562.17199999999991</v>
      </c>
      <c r="CQ160" s="977">
        <f>CQ102+CQ107</f>
        <v>1698.2399999999998</v>
      </c>
      <c r="CR160" s="966"/>
      <c r="CS160" s="977">
        <f>CS102+CS107</f>
        <v>1072.9819999999997</v>
      </c>
      <c r="CT160" s="977">
        <f>CT102+CT107</f>
        <v>202.88099999999977</v>
      </c>
      <c r="CU160" s="977">
        <f>CU102+CU107</f>
        <v>14.513999999999839</v>
      </c>
      <c r="CV160" s="977">
        <f>CV102+CV107</f>
        <v>913.56100000000015</v>
      </c>
      <c r="CW160" s="977">
        <f>CW102+CW107</f>
        <v>2203.9379999999996</v>
      </c>
      <c r="CX160" s="966"/>
      <c r="CY160" s="977">
        <f>CY102+CY107</f>
        <v>1447.8578474894055</v>
      </c>
      <c r="CZ160" s="977">
        <f>CZ102+CZ107</f>
        <v>295.86509374959741</v>
      </c>
      <c r="DA160" s="977">
        <f>DA102+DA107</f>
        <v>155.78543700419061</v>
      </c>
      <c r="DB160" s="977">
        <f>DB102+DB107</f>
        <v>1088.1993040652683</v>
      </c>
      <c r="DC160" s="977">
        <f>DC102+DC107</f>
        <v>2987.7076823084617</v>
      </c>
      <c r="DD160" s="966"/>
      <c r="DE160" s="977">
        <f>DE102+DE107</f>
        <v>1708.0316774401238</v>
      </c>
      <c r="DF160" s="977">
        <f>DF102+DF107</f>
        <v>313.56355829374593</v>
      </c>
      <c r="DG160" s="977">
        <f>DG102+DG107</f>
        <v>192.94003277897383</v>
      </c>
      <c r="DH160" s="977">
        <f>DH102+DH107</f>
        <v>1661.3267289324892</v>
      </c>
      <c r="DI160" s="977">
        <f>DI102+DI107</f>
        <v>3875.8619974453331</v>
      </c>
      <c r="DJ160" s="966"/>
      <c r="DK160" s="977">
        <f>DK102+DK107</f>
        <v>2094.7893357498019</v>
      </c>
      <c r="DL160" s="977">
        <f>DL102+DL107</f>
        <v>532.00548068221053</v>
      </c>
      <c r="DM160" s="977">
        <f>DM102+DM107</f>
        <v>314.4703084517871</v>
      </c>
      <c r="DN160" s="977">
        <f>DN102+DN107</f>
        <v>1988.5584692902717</v>
      </c>
      <c r="DO160" s="977">
        <f>DO102+DO107</f>
        <v>4929.8235941740713</v>
      </c>
      <c r="DP160" s="1699"/>
      <c r="DQ160" s="966"/>
      <c r="DR160" s="966"/>
    </row>
    <row r="161" spans="1:128" hidden="1" outlineLevel="1">
      <c r="A161" s="966"/>
      <c r="B161" s="966"/>
      <c r="C161" s="966"/>
      <c r="D161" s="966"/>
      <c r="E161" s="966"/>
      <c r="F161" s="966"/>
      <c r="G161" s="966"/>
      <c r="H161" s="966"/>
      <c r="I161" s="966"/>
      <c r="J161" s="966"/>
      <c r="K161" s="966"/>
      <c r="L161" s="966"/>
      <c r="M161" s="966"/>
      <c r="N161" s="966"/>
      <c r="O161" s="966"/>
      <c r="P161" s="966"/>
      <c r="Q161" s="966"/>
      <c r="R161" s="966"/>
      <c r="S161" s="966"/>
      <c r="T161" s="966"/>
      <c r="U161" s="966"/>
      <c r="V161" s="966"/>
      <c r="W161" s="966"/>
      <c r="X161" s="966"/>
      <c r="Y161" s="966"/>
      <c r="Z161" s="966"/>
      <c r="AA161" s="966"/>
      <c r="AB161" s="966"/>
      <c r="AC161" s="966"/>
      <c r="AD161" s="966"/>
      <c r="AE161" s="966"/>
      <c r="AF161" s="966"/>
      <c r="AG161" s="966"/>
      <c r="AH161" s="966"/>
      <c r="AI161" s="977">
        <f>21/(AI160/Model!AI111)</f>
        <v>113.18497271048994</v>
      </c>
      <c r="AJ161" s="966"/>
      <c r="AK161" s="966"/>
      <c r="AL161" s="966"/>
      <c r="AM161" s="966"/>
      <c r="AN161" s="966"/>
      <c r="AO161" s="966"/>
      <c r="AP161" s="966"/>
      <c r="AQ161" s="966"/>
      <c r="AR161" s="966"/>
      <c r="AS161" s="966"/>
      <c r="AT161" s="966"/>
      <c r="AU161" s="977"/>
      <c r="AV161" s="966"/>
      <c r="AW161" s="966"/>
      <c r="AX161" s="966"/>
      <c r="AY161" s="966"/>
      <c r="AZ161" s="966"/>
      <c r="BA161" s="977"/>
      <c r="BB161" s="966"/>
      <c r="BC161" s="966"/>
      <c r="BD161" s="966"/>
      <c r="BE161" s="966"/>
      <c r="BF161" s="966"/>
      <c r="BG161" s="977">
        <f>21/(BG160/Model!BG111)</f>
        <v>31.008299972297223</v>
      </c>
      <c r="BH161" s="966"/>
      <c r="BI161" s="966"/>
      <c r="BJ161" s="966"/>
      <c r="BK161" s="966"/>
      <c r="BL161" s="966"/>
      <c r="BM161" s="977">
        <f>21/(BM160/Model!BM111)</f>
        <v>27.308564959009871</v>
      </c>
      <c r="BN161" s="966"/>
      <c r="BO161" s="966"/>
      <c r="BP161" s="966"/>
      <c r="BQ161" s="966"/>
      <c r="BR161" s="966"/>
      <c r="BS161" s="977">
        <f>21/(BS160/Model!BS111)</f>
        <v>22.298395142669815</v>
      </c>
      <c r="BT161" s="966"/>
      <c r="BU161" s="966"/>
      <c r="BV161" s="966"/>
      <c r="BW161" s="966"/>
      <c r="BX161" s="966"/>
      <c r="BY161" s="977">
        <f>21/(BY160/Model!BY111)</f>
        <v>23.116263040917207</v>
      </c>
      <c r="BZ161" s="966"/>
      <c r="CA161" s="966"/>
      <c r="CB161" s="966"/>
      <c r="CC161" s="966"/>
      <c r="CD161" s="966"/>
      <c r="CE161" s="977">
        <f>21/(CE160/Model!CE111)</f>
        <v>15.463706609605326</v>
      </c>
      <c r="CF161" s="966"/>
      <c r="CG161" s="966"/>
      <c r="CH161" s="966"/>
      <c r="CI161" s="966"/>
      <c r="CJ161" s="966"/>
      <c r="CK161" s="977">
        <f>21/(CK160/Model!CK111)</f>
        <v>10.663709078095245</v>
      </c>
      <c r="CL161" s="966"/>
      <c r="CM161" s="966"/>
      <c r="CN161" s="966"/>
      <c r="CO161" s="966"/>
      <c r="CP161" s="966"/>
      <c r="CQ161" s="977">
        <f>21/(CQ160/Model!CQ111)</f>
        <v>8.651921106557376</v>
      </c>
      <c r="CR161" s="966"/>
      <c r="CS161" s="966"/>
      <c r="CT161" s="966"/>
      <c r="CU161" s="966"/>
      <c r="CV161" s="966"/>
      <c r="CW161" s="977">
        <f>21/(CW160/Model!CW111)</f>
        <v>6.9631870315771147</v>
      </c>
      <c r="CX161" s="966"/>
      <c r="CY161" s="966"/>
      <c r="CZ161" s="966"/>
      <c r="DA161" s="966"/>
      <c r="DB161" s="966"/>
      <c r="DC161" s="977">
        <f>21/(DC160/Model!DC111)</f>
        <v>5.3657824675850812</v>
      </c>
      <c r="DD161" s="966"/>
      <c r="DE161" s="966"/>
      <c r="DF161" s="966"/>
      <c r="DG161" s="966"/>
      <c r="DH161" s="966"/>
      <c r="DI161" s="977">
        <f>21/(DI160/Model!DI111)</f>
        <v>4.2415279519331941</v>
      </c>
      <c r="DJ161" s="966"/>
      <c r="DK161" s="966"/>
      <c r="DL161" s="966"/>
      <c r="DM161" s="966"/>
      <c r="DN161" s="966"/>
      <c r="DO161" s="977">
        <f>21/(DO160/Model!DO111)</f>
        <v>3.4625127398417166</v>
      </c>
      <c r="DP161" s="1699"/>
      <c r="DQ161" s="966"/>
      <c r="DR161" s="966"/>
    </row>
    <row r="162" spans="1:128" hidden="1" outlineLevel="1">
      <c r="A162" s="966" t="s">
        <v>933</v>
      </c>
      <c r="B162" s="966"/>
      <c r="C162" s="966"/>
      <c r="D162" s="966"/>
      <c r="E162" s="966"/>
      <c r="F162" s="966"/>
      <c r="G162" s="966"/>
      <c r="H162" s="966"/>
      <c r="I162" s="966"/>
      <c r="J162" s="966"/>
      <c r="K162" s="966"/>
      <c r="L162" s="966"/>
      <c r="M162" s="966"/>
      <c r="N162" s="966"/>
      <c r="O162" s="966"/>
      <c r="P162" s="966"/>
      <c r="Q162" s="966"/>
      <c r="R162" s="966"/>
      <c r="S162" s="1138">
        <f>S160/Model!S19</f>
        <v>0.18315680702660816</v>
      </c>
      <c r="T162" s="1138">
        <f>T160/Model!T19</f>
        <v>0.35610260959562345</v>
      </c>
      <c r="U162" s="1138">
        <f>U160/Model!U19</f>
        <v>0.25601259679471972</v>
      </c>
      <c r="V162" s="1138">
        <f>V160/Model!V19</f>
        <v>0.3455141590650988</v>
      </c>
      <c r="W162" s="1138">
        <f>W160/Model!W19</f>
        <v>0.29235435861091424</v>
      </c>
      <c r="X162" s="966"/>
      <c r="Y162" s="1138">
        <f>Y160/Model!Y19</f>
        <v>0.13638842576000751</v>
      </c>
      <c r="Z162" s="1138">
        <f>Z160/Model!Z19</f>
        <v>0.14872885478781811</v>
      </c>
      <c r="AA162" s="1138">
        <f>AA160/Model!AA19</f>
        <v>0.2332079397142961</v>
      </c>
      <c r="AB162" s="1138">
        <f>AB160/Model!AB19</f>
        <v>0.37035491522445757</v>
      </c>
      <c r="AC162" s="1138">
        <f>AC160/Model!AC19</f>
        <v>0.23384658084213039</v>
      </c>
      <c r="AD162" s="966"/>
      <c r="AE162" s="1138">
        <f>AE160/Model!AE19</f>
        <v>9.3813881512332109E-2</v>
      </c>
      <c r="AF162" s="1138">
        <f>AF160/Model!AF19</f>
        <v>0.23027501968054037</v>
      </c>
      <c r="AG162" s="1138">
        <f>AG160/Model!AG19</f>
        <v>0.16564016208776422</v>
      </c>
      <c r="AH162" s="1138">
        <f>AH160/Model!AH19</f>
        <v>0.21171262256391701</v>
      </c>
      <c r="AI162" s="1138">
        <f>AI160/Model!AI19</f>
        <v>0.17924155368038744</v>
      </c>
      <c r="AJ162" s="966"/>
      <c r="AK162" s="1138">
        <f>AK160/Model!AK19</f>
        <v>0.12851882865798095</v>
      </c>
      <c r="AL162" s="1138">
        <f>AL160/Model!AL19</f>
        <v>0.13903125513226375</v>
      </c>
      <c r="AM162" s="1138">
        <f>AM160/Model!AM19</f>
        <v>0.22238243180863371</v>
      </c>
      <c r="AN162" s="1138">
        <f>AN160/Model!AN19</f>
        <v>0.33389578895927258</v>
      </c>
      <c r="AO162" s="1138">
        <f>AO160/Model!AO19</f>
        <v>0.2146694270068118</v>
      </c>
      <c r="AP162" s="966"/>
      <c r="AQ162" s="1138">
        <f>AQ160/Model!AQ19</f>
        <v>0.2409115506699728</v>
      </c>
      <c r="AR162" s="1138">
        <f>AR160/Model!AR19</f>
        <v>0.1521949847383085</v>
      </c>
      <c r="AS162" s="1138">
        <f>AS160/Model!AS19</f>
        <v>1.9917753818443563E-2</v>
      </c>
      <c r="AT162" s="1138">
        <f>AT160/Model!AT19</f>
        <v>0.21857981994799416</v>
      </c>
      <c r="AU162" s="1138">
        <f>AU160/Model!AU19</f>
        <v>0.15648481707775758</v>
      </c>
      <c r="AV162" s="966"/>
      <c r="AW162" s="1138">
        <f>AW160/Model!AW19</f>
        <v>0.27910233369626536</v>
      </c>
      <c r="AX162" s="1138">
        <f>AX160/Model!AX19</f>
        <v>8.2167682820721288E-2</v>
      </c>
      <c r="AY162" s="1138">
        <f>AY160/Model!AY19</f>
        <v>6.4834563105621246E-2</v>
      </c>
      <c r="AZ162" s="1138">
        <f>AZ160/Model!AZ19</f>
        <v>0.23867882694203335</v>
      </c>
      <c r="BA162" s="1138">
        <f>BA160/Model!BA19</f>
        <v>0.16621693143982422</v>
      </c>
      <c r="BB162" s="966"/>
      <c r="BC162" s="966"/>
      <c r="BD162" s="966"/>
      <c r="BE162" s="966"/>
      <c r="BF162" s="966"/>
      <c r="BG162" s="966"/>
      <c r="BH162" s="966"/>
      <c r="BI162" s="966"/>
      <c r="BJ162" s="966"/>
      <c r="BK162" s="966"/>
      <c r="BL162" s="966"/>
      <c r="BM162" s="966"/>
      <c r="BN162" s="966"/>
      <c r="BO162" s="966"/>
      <c r="BP162" s="966"/>
      <c r="BQ162" s="966"/>
      <c r="BR162" s="966"/>
      <c r="BS162" s="966"/>
      <c r="BT162" s="966"/>
      <c r="BU162" s="966"/>
      <c r="BV162" s="966"/>
      <c r="BW162" s="966"/>
      <c r="BX162" s="966"/>
      <c r="BY162" s="966"/>
      <c r="BZ162" s="966"/>
      <c r="CA162" s="966"/>
      <c r="CB162" s="966"/>
      <c r="CC162" s="966"/>
      <c r="CD162" s="966"/>
      <c r="CE162" s="966"/>
      <c r="CF162" s="966"/>
      <c r="CG162" s="966"/>
      <c r="CH162" s="966"/>
      <c r="CI162" s="966"/>
      <c r="CJ162" s="966"/>
      <c r="CK162" s="966"/>
      <c r="CL162" s="966"/>
      <c r="CM162" s="966"/>
      <c r="CN162" s="966"/>
      <c r="CO162" s="966"/>
      <c r="CP162" s="966"/>
      <c r="CQ162" s="966"/>
      <c r="CR162" s="966"/>
      <c r="CS162" s="966"/>
      <c r="CT162" s="966"/>
      <c r="CU162" s="966"/>
      <c r="CV162" s="966"/>
      <c r="CW162" s="966"/>
      <c r="CX162" s="966"/>
      <c r="CY162" s="966"/>
      <c r="CZ162" s="966"/>
      <c r="DA162" s="966"/>
      <c r="DB162" s="966"/>
      <c r="DC162" s="966"/>
      <c r="DD162" s="966"/>
      <c r="DE162" s="966"/>
      <c r="DF162" s="966"/>
      <c r="DG162" s="966"/>
      <c r="DH162" s="966"/>
      <c r="DI162" s="966"/>
      <c r="DJ162" s="966"/>
      <c r="DK162" s="966"/>
      <c r="DL162" s="966"/>
      <c r="DM162" s="966"/>
      <c r="DN162" s="966"/>
      <c r="DO162" s="966"/>
      <c r="DP162" s="1699"/>
      <c r="DQ162" s="966"/>
      <c r="DR162" s="966"/>
    </row>
    <row r="163" spans="1:128" hidden="1" outlineLevel="1">
      <c r="A163" s="966" t="s">
        <v>372</v>
      </c>
      <c r="B163" s="966"/>
      <c r="C163" s="966"/>
      <c r="D163" s="966"/>
      <c r="E163" s="966"/>
      <c r="F163" s="966"/>
      <c r="G163" s="966"/>
      <c r="H163" s="966"/>
      <c r="I163" s="966"/>
      <c r="J163" s="966"/>
      <c r="K163" s="966"/>
      <c r="L163" s="966"/>
      <c r="M163" s="966"/>
      <c r="N163" s="966"/>
      <c r="O163" s="966"/>
      <c r="P163" s="966"/>
      <c r="Q163" s="966"/>
      <c r="R163" s="966"/>
      <c r="S163" s="966"/>
      <c r="T163" s="966"/>
      <c r="U163" s="966"/>
      <c r="V163" s="966"/>
      <c r="W163" s="966"/>
      <c r="X163" s="966"/>
      <c r="Y163" s="966"/>
      <c r="Z163" s="966"/>
      <c r="AA163" s="966"/>
      <c r="AB163" s="966"/>
      <c r="AC163" s="966"/>
      <c r="AD163" s="966"/>
      <c r="AE163" s="966"/>
      <c r="AF163" s="966"/>
      <c r="AG163" s="966"/>
      <c r="AH163" s="966"/>
      <c r="AI163" s="966"/>
      <c r="AJ163" s="966"/>
      <c r="AK163" s="966"/>
      <c r="AL163" s="966"/>
      <c r="AM163" s="966"/>
      <c r="AN163" s="966"/>
      <c r="AO163" s="966"/>
      <c r="AP163" s="966"/>
      <c r="AQ163" s="966"/>
      <c r="AR163" s="966"/>
      <c r="AS163" s="966"/>
      <c r="AT163" s="966"/>
      <c r="AU163" s="966"/>
      <c r="AV163" s="966"/>
      <c r="AW163" s="966"/>
      <c r="AX163" s="966"/>
      <c r="AY163" s="966"/>
      <c r="AZ163" s="966"/>
      <c r="BA163" s="966"/>
      <c r="BB163" s="966"/>
      <c r="BC163" s="966"/>
      <c r="BD163" s="966"/>
      <c r="BE163" s="966"/>
      <c r="BF163" s="966"/>
      <c r="BG163" s="966"/>
      <c r="BH163" s="966"/>
      <c r="BI163" s="966"/>
      <c r="BJ163" s="966"/>
      <c r="BK163" s="966"/>
      <c r="BL163" s="966"/>
      <c r="BM163" s="966"/>
      <c r="BN163" s="966"/>
      <c r="BO163" s="966"/>
      <c r="BP163" s="966"/>
      <c r="BQ163" s="966"/>
      <c r="BR163" s="966"/>
      <c r="BS163" s="966"/>
      <c r="BT163" s="966"/>
      <c r="BU163" s="966"/>
      <c r="BV163" s="966"/>
      <c r="BW163" s="966"/>
      <c r="BX163" s="966"/>
      <c r="BY163" s="966"/>
      <c r="BZ163" s="966"/>
      <c r="CA163" s="966"/>
      <c r="CB163" s="966"/>
      <c r="CC163" s="966"/>
      <c r="CD163" s="966"/>
      <c r="CE163" s="966"/>
      <c r="CF163" s="966"/>
      <c r="CG163" s="966"/>
      <c r="CH163" s="966"/>
      <c r="CI163" s="966"/>
      <c r="CJ163" s="966"/>
      <c r="CK163" s="966"/>
      <c r="CL163" s="966"/>
      <c r="CM163" s="966"/>
      <c r="CN163" s="966"/>
      <c r="CO163" s="966"/>
      <c r="CP163" s="966"/>
      <c r="CQ163" s="966"/>
      <c r="CR163" s="966"/>
      <c r="CS163" s="966"/>
      <c r="CT163" s="966"/>
      <c r="CU163" s="966"/>
      <c r="CV163" s="966"/>
      <c r="CW163" s="966"/>
      <c r="CX163" s="966"/>
      <c r="CY163" s="966"/>
      <c r="CZ163" s="966"/>
      <c r="DA163" s="966"/>
      <c r="DB163" s="966"/>
      <c r="DC163" s="966"/>
      <c r="DD163" s="966"/>
      <c r="DE163" s="966"/>
      <c r="DF163" s="966"/>
      <c r="DG163" s="966"/>
      <c r="DH163" s="966"/>
      <c r="DI163" s="966"/>
      <c r="DJ163" s="966"/>
      <c r="DK163" s="966"/>
      <c r="DL163" s="966"/>
      <c r="DM163" s="966"/>
      <c r="DN163" s="966"/>
      <c r="DO163" s="966"/>
      <c r="DP163" s="1699"/>
      <c r="DQ163" s="966"/>
      <c r="DR163" s="966"/>
    </row>
    <row r="164" spans="1:128" hidden="1" outlineLevel="1">
      <c r="C164" s="1339"/>
      <c r="D164" s="1339"/>
      <c r="E164" s="1339"/>
      <c r="F164" s="1339"/>
      <c r="G164" s="1339"/>
      <c r="H164" s="1339"/>
      <c r="I164" s="1339"/>
      <c r="J164" s="1339"/>
      <c r="K164" s="1339"/>
      <c r="L164" s="1339"/>
      <c r="M164" s="1339"/>
      <c r="N164" s="1339"/>
      <c r="O164" s="1339"/>
      <c r="P164" s="1339"/>
      <c r="Q164" s="1339"/>
      <c r="R164" s="1339"/>
      <c r="S164" s="1339"/>
      <c r="T164" s="1339"/>
      <c r="U164" s="1339"/>
      <c r="V164" s="1339"/>
      <c r="W164" s="1339"/>
      <c r="X164" s="1339"/>
      <c r="Y164" s="1339"/>
      <c r="Z164" s="1339"/>
      <c r="AA164" s="1339"/>
      <c r="AB164" s="1339"/>
      <c r="AC164" s="1339"/>
      <c r="AD164" s="1339"/>
      <c r="AE164" s="1339"/>
      <c r="AF164" s="1138">
        <f>(AF160+AE160)/(Model!AF19+Model!AE19)</f>
        <v>0.16616327757906499</v>
      </c>
      <c r="AG164" s="1339"/>
      <c r="AH164" s="1339"/>
      <c r="AI164" s="1339"/>
      <c r="AJ164" s="1339"/>
      <c r="AK164" s="1339"/>
      <c r="AL164" s="1138"/>
      <c r="AM164" s="1138"/>
      <c r="AN164" s="1138"/>
      <c r="AO164" s="1138"/>
      <c r="AP164" s="1339"/>
      <c r="AQ164" s="1339"/>
      <c r="AR164" s="1339"/>
      <c r="AS164" s="1339"/>
      <c r="AT164" s="1339"/>
      <c r="AU164" s="1339"/>
      <c r="AV164" s="1339"/>
      <c r="AW164" s="1339"/>
      <c r="AX164" s="1339"/>
      <c r="AY164" s="1339"/>
      <c r="AZ164" s="1339"/>
      <c r="BA164" s="1339"/>
      <c r="BB164" s="1339"/>
      <c r="BC164" s="1339"/>
      <c r="BD164" s="1339"/>
      <c r="BE164" s="1339"/>
      <c r="BF164" s="1339"/>
      <c r="BG164" s="1339"/>
      <c r="BH164" s="1339"/>
      <c r="BI164" s="1339"/>
      <c r="BJ164" s="1339"/>
      <c r="BK164" s="1339"/>
      <c r="BL164" s="1339"/>
      <c r="BM164" s="1339"/>
      <c r="BN164" s="1339"/>
      <c r="BO164" s="1339"/>
      <c r="BP164" s="1339"/>
      <c r="BQ164" s="1339"/>
      <c r="BR164" s="1339"/>
      <c r="BS164" s="1339"/>
      <c r="BT164" s="1339"/>
      <c r="BU164" s="1339"/>
      <c r="BV164" s="1339"/>
      <c r="BW164" s="1339"/>
      <c r="BX164" s="1339"/>
      <c r="BY164" s="1339"/>
      <c r="BZ164" s="1339"/>
      <c r="CA164" s="1339"/>
      <c r="CB164" s="1339"/>
      <c r="CC164" s="1339"/>
      <c r="CD164" s="1339"/>
      <c r="CE164" s="1339"/>
      <c r="CF164" s="1339"/>
      <c r="CG164" s="1339"/>
      <c r="CH164" s="1339"/>
      <c r="CI164" s="1339"/>
      <c r="CJ164" s="1339"/>
      <c r="CK164" s="1339"/>
      <c r="CL164" s="1339"/>
      <c r="CM164" s="1339"/>
      <c r="CN164" s="1339"/>
      <c r="CO164" s="1339"/>
      <c r="CP164" s="1339"/>
      <c r="CQ164" s="1339"/>
      <c r="CR164" s="1339"/>
      <c r="CS164" s="1339"/>
      <c r="CT164" s="1339"/>
      <c r="CU164" s="1339"/>
      <c r="CV164" s="1339"/>
      <c r="CW164" s="1339"/>
      <c r="CX164" s="1339"/>
      <c r="CY164" s="1339"/>
      <c r="CZ164" s="1339"/>
      <c r="DA164" s="1339"/>
      <c r="DB164" s="1339"/>
      <c r="DC164" s="1339"/>
      <c r="DD164" s="1339"/>
      <c r="DE164" s="1339"/>
      <c r="DF164" s="1339"/>
      <c r="DG164" s="1339"/>
      <c r="DH164" s="1339"/>
      <c r="DI164" s="1339"/>
      <c r="DJ164" s="1339"/>
      <c r="DK164" s="1339"/>
      <c r="DL164" s="1339"/>
      <c r="DM164" s="1339"/>
      <c r="DN164" s="1339"/>
      <c r="DO164" s="1339"/>
      <c r="DP164" s="1704"/>
      <c r="DQ164" s="1339"/>
      <c r="DR164" s="1339"/>
    </row>
    <row r="165" spans="1:128" s="966" customFormat="1" collapsed="1">
      <c r="A165" s="966" t="s">
        <v>406</v>
      </c>
      <c r="AW165" s="1138">
        <f>AW139/Model!AW19</f>
        <v>0.27910233369626536</v>
      </c>
      <c r="AX165" s="1138">
        <f>AX139/Model!AX19</f>
        <v>8.2167682820721288E-2</v>
      </c>
      <c r="AY165" s="1138">
        <f>AY139/Model!AY19</f>
        <v>6.4834563105621246E-2</v>
      </c>
      <c r="AZ165" s="1138">
        <f>AZ139/Model!AZ19</f>
        <v>0.23867882694203335</v>
      </c>
      <c r="BA165" s="1138">
        <f>BA139/Model!BA19</f>
        <v>0.16621693143982422</v>
      </c>
      <c r="BC165" s="1138">
        <f>BC139/Model!BC19</f>
        <v>0.3476339722886419</v>
      </c>
      <c r="BD165" s="1138">
        <f>BD139/Model!BD19</f>
        <v>0.12365228768776684</v>
      </c>
      <c r="BE165" s="1138">
        <f>BE139/Model!BE19</f>
        <v>0.10545646920088472</v>
      </c>
      <c r="BF165" s="1138">
        <f>BF139/Model!BF19</f>
        <v>-0.29496111559819377</v>
      </c>
      <c r="BG165" s="1138">
        <f>BG139/Model!BG19</f>
        <v>5.4461333660000694E-2</v>
      </c>
      <c r="BI165" s="1138">
        <f>BI139/Model!BI19</f>
        <v>0.22045586124307048</v>
      </c>
      <c r="BJ165" s="1138">
        <f>BJ139/Model!BJ19</f>
        <v>5.9450331683766733E-2</v>
      </c>
      <c r="BK165" s="1138">
        <f>BK139/Model!BK19</f>
        <v>0.14955156950672646</v>
      </c>
      <c r="BL165" s="1138">
        <f>BL139/Model!BL19</f>
        <v>0.29937665469771951</v>
      </c>
      <c r="BM165" s="1138">
        <f>BM139/Model!BM19</f>
        <v>0.18539588332695794</v>
      </c>
      <c r="BO165" s="1138">
        <f>BO139/Model!BO19</f>
        <v>0.23636635526919328</v>
      </c>
      <c r="BP165" s="1138">
        <f>BP139/Model!BP19</f>
        <v>0.14609874406990228</v>
      </c>
      <c r="BQ165" s="1138">
        <f>BQ139/Model!BQ19</f>
        <v>6.9585412443968736E-2</v>
      </c>
      <c r="BR165" s="1138">
        <f>BR139/Model!BR19</f>
        <v>0.27681353714772472</v>
      </c>
      <c r="BS165" s="1138">
        <f>BS139/Model!BS19</f>
        <v>0.18267356677196053</v>
      </c>
      <c r="BU165" s="1138">
        <f>BU139/Model!BU19</f>
        <v>0.25674493324804254</v>
      </c>
      <c r="BV165" s="1138">
        <f>BV139/Model!BV19</f>
        <v>8.4248778071955355E-2</v>
      </c>
      <c r="BW165" s="1138">
        <f>BW139/Model!BW19</f>
        <v>6.055291933154526E-2</v>
      </c>
      <c r="BX165" s="1138">
        <f>BX139/Model!BX19</f>
        <v>0.1758484233026732</v>
      </c>
      <c r="BY165" s="1138">
        <f>BY139/Model!BY19</f>
        <v>0.1415766581355995</v>
      </c>
      <c r="CA165" s="1138">
        <f>CA139/Model!CA19</f>
        <v>0.33664690749381304</v>
      </c>
      <c r="CB165" s="1138">
        <f>CB139/Model!CB19</f>
        <v>0.13220345667327238</v>
      </c>
      <c r="CC165" s="1138">
        <f>CC139/Model!CC19</f>
        <v>3.5474883551174376E-2</v>
      </c>
      <c r="CD165" s="1138">
        <f>CD139/Model!CD19</f>
        <v>0.17088995769094434</v>
      </c>
      <c r="CE165" s="1138">
        <f>CE139/Model!CE19</f>
        <v>0.16437068281776823</v>
      </c>
      <c r="CG165" s="1138">
        <f>CG139/Model!CG19</f>
        <v>0.43659635235549743</v>
      </c>
      <c r="CH165" s="1138">
        <f>CH139/Model!CH19</f>
        <v>0.1465286257160405</v>
      </c>
      <c r="CI165" s="1138">
        <f>CI139/Model!CI19</f>
        <v>2.2118417002196911E-2</v>
      </c>
      <c r="CJ165" s="1138">
        <f>CJ139/Model!CJ19</f>
        <v>0.2160635747359069</v>
      </c>
      <c r="CK165" s="1138">
        <f>CK139/Model!CK19</f>
        <v>0.19919993592527979</v>
      </c>
      <c r="CM165" s="1138">
        <f>CM139/Model!CM19</f>
        <v>0.50493555525061784</v>
      </c>
      <c r="CN165" s="1138">
        <f>CN139/Model!CN19</f>
        <v>7.5933729349342949E-2</v>
      </c>
      <c r="CO165" s="1138">
        <f>CO139/Model!CO19</f>
        <v>6.3685001923278759E-3</v>
      </c>
      <c r="CP165" s="1138">
        <f>CP139/Model!CP19</f>
        <v>0.24506318254498277</v>
      </c>
      <c r="CQ165" s="1138">
        <f>CQ139/Model!CQ19</f>
        <v>0.20236454216309274</v>
      </c>
      <c r="CS165" s="1138">
        <f>CS139/Model!CS19</f>
        <v>0.44940167424826566</v>
      </c>
      <c r="CT165" s="1138">
        <f>CT139/Model!CT19</f>
        <v>7.9201230173927106E-2</v>
      </c>
      <c r="CU165" s="1138">
        <f>CU139/Model!CU19</f>
        <v>5.4159929637615963E-3</v>
      </c>
      <c r="CV165" s="1138">
        <f>CV139/Model!CV19</f>
        <v>0.32043494868297229</v>
      </c>
      <c r="CW165" s="1138">
        <f>CW139/Model!CW19</f>
        <v>0.21029918668032058</v>
      </c>
      <c r="CY165" s="1138">
        <f>CY139/Model!CY19</f>
        <v>0.49176252083184097</v>
      </c>
      <c r="CZ165" s="1138">
        <f>CZ139/Model!CZ19</f>
        <v>9.4926945592376466E-2</v>
      </c>
      <c r="DA165" s="1138">
        <f>DA139/Model!DA19</f>
        <v>4.8149255287159777E-2</v>
      </c>
      <c r="DB165" s="1138">
        <f>DB139/Model!DB19</f>
        <v>0.31882293239763526</v>
      </c>
      <c r="DC165" s="1138">
        <f>DC139/Model!DC19</f>
        <v>0.23507423648130471</v>
      </c>
      <c r="DE165" s="1138">
        <f>DE139/Model!DE19</f>
        <v>0.48260709975943045</v>
      </c>
      <c r="DF165" s="1138">
        <f>DF139/Model!DF19</f>
        <v>8.3629051360046266E-2</v>
      </c>
      <c r="DG165" s="1138">
        <f>DG139/Model!DG19</f>
        <v>4.9567682513070151E-2</v>
      </c>
      <c r="DH165" s="1138">
        <f>DH139/Model!DH19</f>
        <v>0.40701195072027307</v>
      </c>
      <c r="DI165" s="1138">
        <f>DI139/Model!DI19</f>
        <v>0.25394084292246327</v>
      </c>
      <c r="DK165" s="1138">
        <f>DK139/Model!DK19</f>
        <v>0.4945073271006194</v>
      </c>
      <c r="DL165" s="1138">
        <f>DL139/Model!DL19</f>
        <v>0.11881603815305386</v>
      </c>
      <c r="DM165" s="1138">
        <f>DM139/Model!DM19</f>
        <v>6.7722444247276289E-2</v>
      </c>
      <c r="DN165" s="1138">
        <f>DN139/Model!DN19</f>
        <v>0.40866185632927182</v>
      </c>
      <c r="DO165" s="1138">
        <f>DO139/Model!DO19</f>
        <v>0.27052442097867346</v>
      </c>
      <c r="DP165" s="1699"/>
      <c r="DS165"/>
      <c r="DT165"/>
      <c r="DU165"/>
      <c r="DV165"/>
      <c r="DW165"/>
      <c r="DX165"/>
    </row>
  </sheetData>
  <customSheetViews>
    <customSheetView guid="{7ADDAC9C-E12E-468B-A7D0-D44A9895D58E}" scale="90" showGridLines="0" hiddenRows="1" hiddenColumns="1" showRuler="0"/>
    <customSheetView guid="{5A095E4E-6841-4715-B354-198715F5FF0A}" scale="90" showGridLines="0" hiddenRows="1" hiddenColumns="1" showRuler="0"/>
  </customSheetViews>
  <mergeCells count="14">
    <mergeCell ref="DK6:DN6"/>
    <mergeCell ref="DK78:DN78"/>
    <mergeCell ref="DE6:DH6"/>
    <mergeCell ref="DE78:DH78"/>
    <mergeCell ref="CA78:CD78"/>
    <mergeCell ref="CS6:CV6"/>
    <mergeCell ref="CM6:CP6"/>
    <mergeCell ref="CG6:CJ6"/>
    <mergeCell ref="CA6:CD6"/>
    <mergeCell ref="CY6:DB6"/>
    <mergeCell ref="CY78:DB78"/>
    <mergeCell ref="CS78:CV78"/>
    <mergeCell ref="CM78:CP78"/>
    <mergeCell ref="CG78:CJ78"/>
  </mergeCells>
  <phoneticPr fontId="4" type="noConversion"/>
  <pageMargins left="0" right="0" top="0" bottom="0" header="0" footer="0"/>
  <pageSetup paperSize="5" orientation="landscape" r:id="rId1"/>
  <headerFooter alignWithMargins="0">
    <oddFooter>&amp;L&amp;"Arial,Bold"&amp;8Morgan Stanley Research</oddFooter>
  </headerFooter>
  <ignoredErrors>
    <ignoredError sqref="M78" numberStoredAsText="1"/>
  </ignoredErrors>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enableFormatConditionsCalculation="0">
    <tabColor indexed="48"/>
    <pageSetUpPr fitToPage="1"/>
  </sheetPr>
  <dimension ref="A1:FA355"/>
  <sheetViews>
    <sheetView zoomScale="90" zoomScaleNormal="90" workbookViewId="0">
      <pane xSplit="84" ySplit="5" topLeftCell="CH6" activePane="bottomRight" state="frozen"/>
      <selection pane="topRight" activeCell="CG1" sqref="CG1"/>
      <selection pane="bottomLeft" activeCell="A6" sqref="A6"/>
      <selection pane="bottomRight" sqref="A1:FB356"/>
    </sheetView>
  </sheetViews>
  <sheetFormatPr defaultRowHeight="12.75" outlineLevelRow="1" outlineLevelCol="2"/>
  <cols>
    <col min="1" max="1" width="38.85546875" style="656" customWidth="1" collapsed="1"/>
    <col min="2" max="2" width="1.42578125" style="656" hidden="1" customWidth="1" outlineLevel="2"/>
    <col min="3" max="6" width="7.42578125" style="656" hidden="1" customWidth="1" outlineLevel="2"/>
    <col min="7" max="7" width="7.42578125" style="656" hidden="1" customWidth="1" outlineLevel="1" collapsed="1"/>
    <col min="8" max="8" width="1.28515625" style="656" hidden="1" customWidth="1" outlineLevel="1"/>
    <col min="9" max="12" width="7.42578125" style="656" hidden="1" customWidth="1" outlineLevel="2"/>
    <col min="13" max="13" width="7.42578125" style="656" hidden="1" customWidth="1" outlineLevel="1" collapsed="1"/>
    <col min="14" max="14" width="1.28515625" style="656" hidden="1" customWidth="1" outlineLevel="1"/>
    <col min="15" max="18" width="7.42578125" style="656" hidden="1" customWidth="1" outlineLevel="2"/>
    <col min="19" max="19" width="8.5703125" style="656" hidden="1" customWidth="1" outlineLevel="1" collapsed="1"/>
    <col min="20" max="20" width="1.28515625" style="656" hidden="1" customWidth="1" outlineLevel="1"/>
    <col min="21" max="24" width="9" style="656" hidden="1" customWidth="1" outlineLevel="2"/>
    <col min="25" max="25" width="9" style="656" hidden="1" customWidth="1" outlineLevel="1" collapsed="1"/>
    <col min="26" max="26" width="1.28515625" style="656" hidden="1" customWidth="1" outlineLevel="2"/>
    <col min="27" max="27" width="9" style="656" hidden="1" customWidth="1" outlineLevel="2"/>
    <col min="28" max="28" width="7.85546875" style="656" hidden="1" customWidth="1" outlineLevel="2"/>
    <col min="29" max="29" width="8.140625" style="656" hidden="1" customWidth="1" outlineLevel="2"/>
    <col min="30" max="30" width="8.42578125" style="656" hidden="1" customWidth="1" outlineLevel="2"/>
    <col min="31" max="31" width="8.85546875" style="656" hidden="1" customWidth="1" outlineLevel="1" collapsed="1"/>
    <col min="32" max="32" width="1.28515625" style="656" hidden="1" customWidth="1" outlineLevel="1"/>
    <col min="33" max="36" width="8.7109375" style="656" hidden="1" customWidth="1" outlineLevel="2"/>
    <col min="37" max="37" width="9.5703125" style="656" hidden="1" customWidth="1" outlineLevel="1" collapsed="1"/>
    <col min="38" max="38" width="9.5703125" style="656" hidden="1" customWidth="1" collapsed="1"/>
    <col min="39" max="48" width="9.5703125" style="656" hidden="1" customWidth="1" outlineLevel="1"/>
    <col min="49" max="49" width="9.5703125" style="656" hidden="1" customWidth="1" collapsed="1"/>
    <col min="50" max="50" width="1.7109375" style="656" hidden="1" customWidth="1"/>
    <col min="51" max="52" width="9.5703125" style="656" hidden="1" customWidth="1" outlineLevel="1"/>
    <col min="53" max="53" width="8.85546875" style="656" hidden="1" customWidth="1" outlineLevel="1"/>
    <col min="54" max="54" width="8.5703125" style="656" hidden="1" customWidth="1" outlineLevel="1"/>
    <col min="55" max="55" width="8.85546875" style="656" hidden="1" customWidth="1" collapsed="1"/>
    <col min="56" max="56" width="1.28515625" style="656" hidden="1" customWidth="1"/>
    <col min="57" max="60" width="8.85546875" style="656" hidden="1" customWidth="1" outlineLevel="1"/>
    <col min="61" max="61" width="8.85546875" style="656" hidden="1" customWidth="1" collapsed="1"/>
    <col min="62" max="62" width="1.5703125" style="656" hidden="1" customWidth="1"/>
    <col min="63" max="66" width="8.85546875" style="656" hidden="1" customWidth="1" outlineLevel="1"/>
    <col min="67" max="67" width="8.85546875" style="656" hidden="1" customWidth="1" collapsed="1"/>
    <col min="68" max="68" width="1.7109375" style="656" hidden="1" customWidth="1"/>
    <col min="69" max="72" width="8.85546875" style="656" hidden="1" customWidth="1" outlineLevel="1"/>
    <col min="73" max="73" width="8.85546875" style="656" hidden="1" customWidth="1" collapsed="1"/>
    <col min="74" max="74" width="1.7109375" style="656" hidden="1" customWidth="1"/>
    <col min="75" max="78" width="8.85546875" style="656" hidden="1" customWidth="1" outlineLevel="1"/>
    <col min="79" max="79" width="8.85546875" style="656" hidden="1" customWidth="1" collapsed="1"/>
    <col min="80" max="80" width="1.7109375" style="656" hidden="1" customWidth="1"/>
    <col min="81" max="84" width="8.85546875" style="656" hidden="1" customWidth="1" outlineLevel="1"/>
    <col min="85" max="85" width="8.85546875" style="656" hidden="1" customWidth="1" collapsed="1"/>
    <col min="86" max="86" width="1.7109375" style="656" customWidth="1"/>
    <col min="87" max="90" width="8.85546875" style="656" hidden="1" customWidth="1" outlineLevel="1"/>
    <col min="91" max="91" width="8.85546875" style="656" customWidth="1" collapsed="1"/>
    <col min="92" max="92" width="1.7109375" style="656" customWidth="1"/>
    <col min="93" max="96" width="8.85546875" style="656" hidden="1" customWidth="1" outlineLevel="1"/>
    <col min="97" max="97" width="9.85546875" style="656" bestFit="1" customWidth="1" collapsed="1"/>
    <col min="98" max="98" width="1.7109375" style="656" customWidth="1"/>
    <col min="99" max="102" width="9.85546875" style="656" hidden="1" customWidth="1" outlineLevel="1"/>
    <col min="103" max="103" width="9.85546875" style="656" bestFit="1" customWidth="1" collapsed="1"/>
    <col min="104" max="104" width="1.7109375" style="656" customWidth="1"/>
    <col min="105" max="108" width="9.85546875" style="656" customWidth="1" outlineLevel="1"/>
    <col min="109" max="109" width="9.85546875" style="656" customWidth="1"/>
    <col min="110" max="110" width="1.7109375" style="656" customWidth="1"/>
    <col min="111" max="114" width="9.85546875" style="656" customWidth="1" outlineLevel="1"/>
    <col min="115" max="115" width="9.85546875" style="656" customWidth="1"/>
    <col min="116" max="116" width="1.7109375" style="656" customWidth="1"/>
    <col min="117" max="120" width="9.85546875" style="656" hidden="1" customWidth="1" outlineLevel="1"/>
    <col min="121" max="121" width="9.85546875" style="656" customWidth="1" collapsed="1"/>
    <col min="122" max="122" width="1.7109375" style="656" customWidth="1"/>
    <col min="123" max="126" width="9.85546875" style="656" hidden="1" customWidth="1" outlineLevel="1"/>
    <col min="127" max="127" width="9.85546875" style="656" customWidth="1" collapsed="1"/>
    <col min="128" max="134" width="8.7109375" style="656" customWidth="1"/>
    <col min="135" max="135" width="7.7109375" style="656" customWidth="1"/>
    <col min="136" max="136" width="11.140625" style="656" customWidth="1"/>
    <col min="137" max="137" width="1.7109375" style="656" customWidth="1"/>
    <col min="138" max="141" width="9.140625" style="656" customWidth="1"/>
    <col min="142" max="142" width="40.7109375" style="656" customWidth="1"/>
    <col min="143" max="16384" width="9.140625" style="656"/>
  </cols>
  <sheetData>
    <row r="1" spans="1:142" s="655" customFormat="1" ht="18">
      <c r="A1" s="926" t="s">
        <v>380</v>
      </c>
      <c r="B1" s="927"/>
      <c r="C1" s="930"/>
      <c r="D1" s="930"/>
      <c r="E1" s="930"/>
      <c r="F1" s="930"/>
      <c r="G1" s="930"/>
      <c r="H1" s="930"/>
      <c r="I1" s="1929"/>
      <c r="J1" s="930"/>
      <c r="K1" s="930"/>
      <c r="L1" s="930"/>
      <c r="M1" s="930"/>
      <c r="N1" s="930"/>
      <c r="O1" s="930"/>
      <c r="P1" s="930"/>
      <c r="Q1" s="930"/>
      <c r="R1" s="930"/>
      <c r="S1" s="1930"/>
      <c r="T1" s="931"/>
      <c r="U1" s="930"/>
      <c r="V1" s="930"/>
      <c r="W1" s="930"/>
      <c r="X1" s="930"/>
      <c r="Y1" s="930"/>
      <c r="Z1" s="930"/>
      <c r="AA1" s="930"/>
      <c r="AB1" s="930"/>
      <c r="AC1" s="930"/>
      <c r="AD1" s="930"/>
      <c r="AE1" s="930"/>
      <c r="AF1" s="930"/>
      <c r="AG1" s="930"/>
      <c r="AH1" s="930"/>
      <c r="AI1" s="930"/>
      <c r="AJ1" s="930"/>
      <c r="AK1" s="930"/>
      <c r="AL1" s="930"/>
      <c r="AM1" s="930"/>
      <c r="AN1" s="930"/>
      <c r="AO1" s="930"/>
      <c r="AP1" s="930"/>
      <c r="AQ1" s="930"/>
      <c r="AR1" s="930"/>
      <c r="AS1" s="930"/>
      <c r="AT1" s="930"/>
      <c r="AU1" s="930"/>
      <c r="AV1" s="930"/>
      <c r="AW1" s="930"/>
      <c r="AX1" s="930"/>
      <c r="AY1" s="930"/>
      <c r="AZ1" s="930"/>
      <c r="BA1" s="930"/>
      <c r="BB1" s="930"/>
      <c r="BC1" s="930"/>
      <c r="BD1" s="930"/>
      <c r="BE1" s="930"/>
      <c r="BF1" s="930"/>
      <c r="BG1" s="930"/>
      <c r="BH1" s="930"/>
      <c r="BI1" s="930"/>
      <c r="BJ1" s="930"/>
      <c r="BK1" s="930"/>
      <c r="BL1" s="930"/>
      <c r="BM1" s="930"/>
      <c r="BN1" s="930"/>
      <c r="BO1" s="930"/>
      <c r="BP1" s="930"/>
      <c r="BQ1" s="930"/>
      <c r="BR1" s="930"/>
      <c r="BS1" s="930"/>
      <c r="BT1" s="930"/>
      <c r="BU1" s="930"/>
      <c r="BV1" s="1599"/>
      <c r="BW1" s="1599"/>
      <c r="BX1" s="1599"/>
      <c r="BY1" s="930"/>
      <c r="BZ1" s="930"/>
      <c r="CA1" s="931"/>
      <c r="CB1" s="1599"/>
      <c r="CC1" s="1599"/>
      <c r="CD1" s="1633"/>
      <c r="CE1" s="931"/>
      <c r="CF1" s="930"/>
      <c r="CG1" s="1808"/>
      <c r="CH1" s="931"/>
      <c r="CI1" s="931"/>
      <c r="CJ1" s="931"/>
      <c r="CK1" s="931"/>
      <c r="CL1" s="930"/>
      <c r="CM1" s="931"/>
      <c r="CN1" s="931"/>
      <c r="CO1" s="931"/>
      <c r="CP1" s="931"/>
      <c r="CQ1" s="931"/>
      <c r="CR1" s="1931"/>
      <c r="CS1" s="1931"/>
      <c r="CT1" s="1931"/>
      <c r="CU1" s="1931"/>
      <c r="CV1" s="1931"/>
      <c r="CW1" s="1931"/>
      <c r="CX1" s="1928"/>
      <c r="CY1" s="1931"/>
      <c r="CZ1" s="1931"/>
      <c r="DA1" s="1922"/>
      <c r="DB1" s="1922"/>
      <c r="DC1" s="1922"/>
      <c r="DD1" s="1922"/>
      <c r="DE1" s="1932"/>
      <c r="DF1" s="1931"/>
    </row>
    <row r="2" spans="1:142" ht="20.25" customHeight="1">
      <c r="A2" s="932" t="s">
        <v>1102</v>
      </c>
      <c r="B2" s="932"/>
      <c r="C2" s="933"/>
      <c r="D2" s="933"/>
      <c r="E2" s="933"/>
      <c r="F2" s="933"/>
      <c r="G2" s="933"/>
      <c r="H2" s="933"/>
      <c r="I2" s="933"/>
      <c r="J2" s="695"/>
      <c r="K2" s="694"/>
      <c r="L2" s="695"/>
      <c r="M2" s="695"/>
      <c r="N2" s="934"/>
      <c r="O2" s="934"/>
      <c r="P2" s="934"/>
      <c r="Q2" s="695"/>
      <c r="R2" s="695"/>
      <c r="S2" s="935"/>
      <c r="T2" s="935"/>
      <c r="U2" s="695"/>
      <c r="V2" s="695"/>
      <c r="W2" s="694"/>
      <c r="X2" s="695"/>
      <c r="Y2" s="695"/>
      <c r="Z2" s="695"/>
      <c r="AA2" s="695"/>
      <c r="AB2" s="695"/>
      <c r="AC2" s="695"/>
      <c r="AD2" s="695"/>
      <c r="AE2" s="936"/>
      <c r="AF2" s="695"/>
      <c r="AG2" s="695"/>
      <c r="AH2" s="695"/>
      <c r="AI2" s="695"/>
      <c r="AJ2" s="695"/>
      <c r="AK2" s="695"/>
      <c r="AL2" s="695"/>
      <c r="AM2" s="695"/>
      <c r="AN2" s="695"/>
      <c r="AO2" s="695"/>
      <c r="AP2" s="695"/>
      <c r="AQ2" s="695"/>
      <c r="AR2" s="695"/>
      <c r="AS2" s="694"/>
      <c r="AT2" s="694"/>
      <c r="AU2" s="695"/>
      <c r="AV2" s="695"/>
      <c r="AW2" s="695"/>
      <c r="AX2" s="695"/>
      <c r="AY2" s="695"/>
      <c r="AZ2" s="695"/>
      <c r="BA2" s="695"/>
      <c r="BB2" s="695"/>
      <c r="BC2" s="695"/>
      <c r="BD2" s="695"/>
      <c r="BE2" s="695"/>
      <c r="BF2" s="695"/>
      <c r="BG2" s="695"/>
      <c r="BH2" s="695"/>
      <c r="BI2" s="695"/>
      <c r="BJ2" s="695"/>
      <c r="BK2" s="695"/>
      <c r="BL2" s="695"/>
      <c r="BM2" s="695"/>
      <c r="BN2" s="695"/>
      <c r="BO2" s="695"/>
      <c r="BP2" s="695"/>
      <c r="BQ2" s="695"/>
      <c r="BR2" s="695"/>
      <c r="BS2" s="695"/>
      <c r="BT2" s="695"/>
      <c r="BU2" s="937"/>
      <c r="BV2" s="937"/>
      <c r="BW2" s="937"/>
      <c r="BX2" s="937"/>
      <c r="BY2" s="695"/>
      <c r="BZ2" s="695"/>
      <c r="CA2" s="1592"/>
      <c r="CB2" s="1593"/>
      <c r="CC2" s="1593"/>
      <c r="CD2" s="1592"/>
      <c r="CE2" s="1592"/>
      <c r="CF2" s="1592"/>
      <c r="CG2" s="1593"/>
      <c r="CH2" s="1592"/>
      <c r="CI2" s="1592"/>
      <c r="CJ2" s="1592"/>
      <c r="CK2" s="695"/>
      <c r="CL2" s="1592"/>
      <c r="CM2" s="1593"/>
      <c r="CN2" s="1592"/>
      <c r="CO2" s="1592"/>
      <c r="CP2" s="1592"/>
      <c r="CQ2" s="695"/>
      <c r="CR2" s="695"/>
      <c r="CS2" s="695"/>
      <c r="CT2" s="695"/>
      <c r="CU2" s="695"/>
      <c r="CV2" s="695"/>
      <c r="CW2" s="695"/>
      <c r="CX2" s="548"/>
      <c r="CY2" s="548"/>
      <c r="CZ2" s="548"/>
      <c r="DA2" s="1933"/>
      <c r="DB2" s="1922"/>
      <c r="DC2" s="1922"/>
      <c r="DD2" s="1922"/>
      <c r="DE2" s="924"/>
      <c r="DF2" s="548"/>
      <c r="DG2" s="655"/>
      <c r="DH2" s="655"/>
      <c r="DI2" s="655"/>
      <c r="DJ2" s="655"/>
      <c r="DK2" s="655"/>
      <c r="DL2" s="655"/>
      <c r="DM2" s="2020"/>
      <c r="DN2" s="2020"/>
      <c r="DO2" s="2020"/>
      <c r="DP2" s="2020"/>
      <c r="DQ2" s="2020"/>
      <c r="DR2" s="2020"/>
      <c r="DS2" s="2020"/>
      <c r="DT2" s="2020"/>
      <c r="DU2" s="2020"/>
      <c r="DV2" s="2020"/>
      <c r="DW2" s="655"/>
      <c r="DX2" s="1943"/>
      <c r="DY2" s="1943"/>
      <c r="DZ2" s="1943"/>
      <c r="EA2" s="1943"/>
      <c r="EB2" s="1943"/>
      <c r="EC2" s="1943"/>
      <c r="ED2" s="1943"/>
      <c r="EE2" s="1943"/>
    </row>
    <row r="3" spans="1:142" s="499" customFormat="1">
      <c r="A3" s="239"/>
      <c r="B3" s="242"/>
      <c r="C3" s="243">
        <v>2001</v>
      </c>
      <c r="D3" s="241"/>
      <c r="E3" s="244"/>
      <c r="F3" s="241"/>
      <c r="G3" s="241"/>
      <c r="H3" s="242"/>
      <c r="I3" s="243">
        <v>2002</v>
      </c>
      <c r="J3" s="241"/>
      <c r="K3" s="244"/>
      <c r="L3" s="241"/>
      <c r="M3" s="241"/>
      <c r="N3" s="242"/>
      <c r="O3" s="243">
        <v>2003</v>
      </c>
      <c r="P3" s="241"/>
      <c r="Q3" s="244"/>
      <c r="R3" s="241"/>
      <c r="S3" s="241"/>
      <c r="T3" s="242"/>
      <c r="U3" s="243">
        <v>2004</v>
      </c>
      <c r="V3" s="241"/>
      <c r="W3" s="244"/>
      <c r="X3" s="241"/>
      <c r="Y3" s="241"/>
      <c r="Z3" s="242"/>
      <c r="AA3" s="243">
        <v>2005</v>
      </c>
      <c r="AB3" s="241"/>
      <c r="AC3" s="244"/>
      <c r="AD3" s="241"/>
      <c r="AE3" s="241"/>
      <c r="AF3" s="242"/>
      <c r="AG3" s="243">
        <v>2006</v>
      </c>
      <c r="AH3" s="241"/>
      <c r="AI3" s="244"/>
      <c r="AJ3" s="241"/>
      <c r="AK3" s="241"/>
      <c r="AL3" s="242"/>
      <c r="AM3" s="243">
        <f>Model!AE6</f>
        <v>2007</v>
      </c>
      <c r="AN3" s="241"/>
      <c r="AO3" s="244"/>
      <c r="AP3" s="241"/>
      <c r="AQ3" s="419"/>
      <c r="AR3" s="242"/>
      <c r="AS3" s="243">
        <f>Model!AK6</f>
        <v>2008</v>
      </c>
      <c r="AT3" s="241"/>
      <c r="AU3" s="244"/>
      <c r="AV3" s="241"/>
      <c r="AW3" s="419"/>
      <c r="AX3" s="242"/>
      <c r="AY3" s="243">
        <f>Model!AQ6</f>
        <v>2009</v>
      </c>
      <c r="AZ3" s="241"/>
      <c r="BA3" s="244"/>
      <c r="BB3" s="241"/>
      <c r="BC3" s="419"/>
      <c r="BD3" s="242"/>
      <c r="BE3" s="243">
        <f>Model!AW6</f>
        <v>2010</v>
      </c>
      <c r="BF3" s="241"/>
      <c r="BG3" s="244"/>
      <c r="BH3" s="241"/>
      <c r="BI3" s="419"/>
      <c r="BJ3" s="242"/>
      <c r="BK3" s="243">
        <f>Model!BC6</f>
        <v>2011</v>
      </c>
      <c r="BL3" s="241"/>
      <c r="BM3" s="244"/>
      <c r="BN3" s="241"/>
      <c r="BO3" s="420"/>
      <c r="BP3" s="241"/>
      <c r="BQ3" s="2026">
        <f>Model!BI6</f>
        <v>2012</v>
      </c>
      <c r="BR3" s="2026"/>
      <c r="BS3" s="2026"/>
      <c r="BT3" s="2026"/>
      <c r="BU3" s="419"/>
      <c r="BV3" s="241"/>
      <c r="BW3" s="2026">
        <f>Model!BO6</f>
        <v>2013</v>
      </c>
      <c r="BX3" s="2026"/>
      <c r="BY3" s="2026"/>
      <c r="BZ3" s="2026"/>
      <c r="CA3" s="419"/>
      <c r="CB3" s="241"/>
      <c r="CC3" s="2026">
        <f>Model!BU6</f>
        <v>2014</v>
      </c>
      <c r="CD3" s="2026"/>
      <c r="CE3" s="2026"/>
      <c r="CF3" s="2026"/>
      <c r="CG3" s="419"/>
      <c r="CH3" s="241"/>
      <c r="CI3" s="2026">
        <f>Model!CA6</f>
        <v>2015</v>
      </c>
      <c r="CJ3" s="2026"/>
      <c r="CK3" s="2026"/>
      <c r="CL3" s="2026"/>
      <c r="CM3" s="419"/>
      <c r="CN3" s="241"/>
      <c r="CO3" s="2026">
        <f>Model!CG6</f>
        <v>2016</v>
      </c>
      <c r="CP3" s="2026"/>
      <c r="CQ3" s="2026"/>
      <c r="CR3" s="2026"/>
      <c r="CS3" s="1591"/>
      <c r="CT3" s="241"/>
      <c r="CU3" s="2026">
        <f>Model!CM6</f>
        <v>2017</v>
      </c>
      <c r="CV3" s="2026"/>
      <c r="CW3" s="2026"/>
      <c r="CX3" s="2026"/>
      <c r="CY3" s="419"/>
      <c r="CZ3" s="241"/>
      <c r="DA3" s="2026">
        <f>Model!CS6</f>
        <v>2018</v>
      </c>
      <c r="DB3" s="2026"/>
      <c r="DC3" s="2026"/>
      <c r="DD3" s="2026"/>
      <c r="DE3" s="419"/>
      <c r="DF3" s="241"/>
      <c r="DG3" s="2026" t="str">
        <f>Model!CY6</f>
        <v xml:space="preserve">  2019E</v>
      </c>
      <c r="DH3" s="2026"/>
      <c r="DI3" s="2026"/>
      <c r="DJ3" s="2026"/>
      <c r="DK3" s="419"/>
      <c r="DL3" s="241"/>
      <c r="DM3" s="2026" t="str">
        <f>Model!DE6</f>
        <v xml:space="preserve">  2020E</v>
      </c>
      <c r="DN3" s="2026"/>
      <c r="DO3" s="2026"/>
      <c r="DP3" s="2026"/>
      <c r="DQ3" s="419"/>
      <c r="DR3" s="241"/>
      <c r="DS3" s="2026" t="str">
        <f>Model!DK6</f>
        <v xml:space="preserve">  2021E</v>
      </c>
      <c r="DT3" s="2026"/>
      <c r="DU3" s="2026"/>
      <c r="DV3" s="2026"/>
      <c r="DW3" s="419"/>
      <c r="EJ3" s="656"/>
      <c r="EK3" s="656"/>
      <c r="EL3" s="656"/>
    </row>
    <row r="4" spans="1:142" s="499" customFormat="1">
      <c r="A4" s="421"/>
      <c r="B4" s="422"/>
      <c r="C4" s="422" t="s">
        <v>277</v>
      </c>
      <c r="D4" s="422" t="s">
        <v>278</v>
      </c>
      <c r="E4" s="422" t="s">
        <v>279</v>
      </c>
      <c r="F4" s="422" t="s">
        <v>193</v>
      </c>
      <c r="G4" s="422" t="s">
        <v>864</v>
      </c>
      <c r="H4" s="422"/>
      <c r="I4" s="422" t="s">
        <v>272</v>
      </c>
      <c r="J4" s="422" t="s">
        <v>273</v>
      </c>
      <c r="K4" s="422" t="s">
        <v>274</v>
      </c>
      <c r="L4" s="422" t="s">
        <v>275</v>
      </c>
      <c r="M4" s="422" t="s">
        <v>865</v>
      </c>
      <c r="N4" s="422"/>
      <c r="O4" s="422" t="s">
        <v>867</v>
      </c>
      <c r="P4" s="422" t="s">
        <v>652</v>
      </c>
      <c r="Q4" s="422" t="s">
        <v>653</v>
      </c>
      <c r="R4" s="422" t="s">
        <v>654</v>
      </c>
      <c r="S4" s="422" t="s">
        <v>866</v>
      </c>
      <c r="T4" s="422"/>
      <c r="U4" s="422" t="s">
        <v>655</v>
      </c>
      <c r="V4" s="422" t="s">
        <v>838</v>
      </c>
      <c r="W4" s="422" t="s">
        <v>839</v>
      </c>
      <c r="X4" s="422" t="s">
        <v>840</v>
      </c>
      <c r="Y4" s="422" t="s">
        <v>841</v>
      </c>
      <c r="Z4" s="422"/>
      <c r="AA4" s="422" t="s">
        <v>683</v>
      </c>
      <c r="AB4" s="422" t="s">
        <v>591</v>
      </c>
      <c r="AC4" s="422" t="s">
        <v>421</v>
      </c>
      <c r="AD4" s="422" t="s">
        <v>255</v>
      </c>
      <c r="AE4" s="422" t="s">
        <v>64</v>
      </c>
      <c r="AF4" s="422"/>
      <c r="AG4" s="422" t="s">
        <v>348</v>
      </c>
      <c r="AH4" s="422" t="s">
        <v>325</v>
      </c>
      <c r="AI4" s="422" t="s">
        <v>728</v>
      </c>
      <c r="AJ4" s="422" t="s">
        <v>548</v>
      </c>
      <c r="AK4" s="422" t="s">
        <v>65</v>
      </c>
      <c r="AL4" s="422"/>
      <c r="AM4" s="422" t="str">
        <f>Model!AE7</f>
        <v>4/06</v>
      </c>
      <c r="AN4" s="422" t="str">
        <f>Model!AF7</f>
        <v xml:space="preserve"> 7/06</v>
      </c>
      <c r="AO4" s="422" t="str">
        <f>Model!AG7</f>
        <v xml:space="preserve"> 10/06</v>
      </c>
      <c r="AP4" s="422" t="str">
        <f>Model!AH7</f>
        <v>1/07</v>
      </c>
      <c r="AQ4" s="423" t="str">
        <f>Model!AI7</f>
        <v>FY07</v>
      </c>
      <c r="AR4" s="422"/>
      <c r="AS4" s="422" t="str">
        <f>Model!AK7</f>
        <v>4/07</v>
      </c>
      <c r="AT4" s="422" t="str">
        <f>Model!AL7</f>
        <v xml:space="preserve"> 7/07</v>
      </c>
      <c r="AU4" s="422" t="str">
        <f>Model!AM7</f>
        <v xml:space="preserve"> 10/07</v>
      </c>
      <c r="AV4" s="422" t="str">
        <f>Model!AN7</f>
        <v>1/08</v>
      </c>
      <c r="AW4" s="423" t="str">
        <f>Model!AO7</f>
        <v>FY08</v>
      </c>
      <c r="AX4" s="422"/>
      <c r="AY4" s="422" t="str">
        <f>Model!AQ7</f>
        <v>4/08</v>
      </c>
      <c r="AZ4" s="422" t="str">
        <f>Model!AR7</f>
        <v xml:space="preserve"> 7/08</v>
      </c>
      <c r="BA4" s="422" t="str">
        <f>Model!AS7</f>
        <v xml:space="preserve"> 10/08</v>
      </c>
      <c r="BB4" s="422" t="str">
        <f>Model!AT7</f>
        <v>1/09</v>
      </c>
      <c r="BC4" s="423" t="str">
        <f>Model!AU7</f>
        <v>FY09</v>
      </c>
      <c r="BD4" s="422"/>
      <c r="BE4" s="422" t="str">
        <f>Model!AW7</f>
        <v>4/09</v>
      </c>
      <c r="BF4" s="422" t="str">
        <f>Model!AX7</f>
        <v xml:space="preserve"> 7/09</v>
      </c>
      <c r="BG4" s="422" t="str">
        <f>Model!AY7</f>
        <v xml:space="preserve"> 10/09</v>
      </c>
      <c r="BH4" s="422" t="str">
        <f>Model!AZ7</f>
        <v>1/10</v>
      </c>
      <c r="BI4" s="423" t="str">
        <f>Model!BA7</f>
        <v>FY10</v>
      </c>
      <c r="BJ4" s="422"/>
      <c r="BK4" s="422" t="str">
        <f>Model!BC7</f>
        <v>4/10</v>
      </c>
      <c r="BL4" s="422" t="str">
        <f>Model!BD7</f>
        <v xml:space="preserve"> 7/10</v>
      </c>
      <c r="BM4" s="422" t="str">
        <f>Model!BE7</f>
        <v xml:space="preserve"> 10/10</v>
      </c>
      <c r="BN4" s="422" t="str">
        <f>Model!BF7</f>
        <v>1/11</v>
      </c>
      <c r="BO4" s="424" t="str">
        <f>Model!BG7</f>
        <v>FY11</v>
      </c>
      <c r="BP4" s="252"/>
      <c r="BQ4" s="252" t="str">
        <f>Model!BI7</f>
        <v>4/11</v>
      </c>
      <c r="BR4" s="252" t="str">
        <f>Model!BJ7</f>
        <v xml:space="preserve"> 7/11</v>
      </c>
      <c r="BS4" s="252" t="str">
        <f>Model!BK7</f>
        <v xml:space="preserve"> 10/11</v>
      </c>
      <c r="BT4" s="252" t="str">
        <f>Model!BL7</f>
        <v>1/12</v>
      </c>
      <c r="BU4" s="253" t="str">
        <f>Model!BM7</f>
        <v>FY12</v>
      </c>
      <c r="BV4" s="252"/>
      <c r="BW4" s="252" t="str">
        <f>Model!BO7</f>
        <v>4/12</v>
      </c>
      <c r="BX4" s="252" t="str">
        <f>Model!BP7</f>
        <v xml:space="preserve"> 7/12</v>
      </c>
      <c r="BY4" s="252" t="str">
        <f>Model!BQ7</f>
        <v xml:space="preserve"> 10/12</v>
      </c>
      <c r="BZ4" s="252" t="str">
        <f>Model!BR7</f>
        <v>1/13</v>
      </c>
      <c r="CA4" s="253" t="str">
        <f>Model!BS7</f>
        <v>FY13</v>
      </c>
      <c r="CB4" s="252"/>
      <c r="CC4" s="252" t="str">
        <f>Model!BU7</f>
        <v>4/13</v>
      </c>
      <c r="CD4" s="252" t="str">
        <f>Model!BV7</f>
        <v xml:space="preserve"> 7/13</v>
      </c>
      <c r="CE4" s="252" t="str">
        <f>Model!BW7</f>
        <v xml:space="preserve"> 10/13</v>
      </c>
      <c r="CF4" s="252" t="str">
        <f>Model!BX7</f>
        <v>1/14</v>
      </c>
      <c r="CG4" s="253" t="str">
        <f>Model!BY7</f>
        <v>FY14</v>
      </c>
      <c r="CH4" s="252"/>
      <c r="CI4" s="252" t="str">
        <f>Model!CA7</f>
        <v>4/14</v>
      </c>
      <c r="CJ4" s="252" t="str">
        <f>Model!CB7</f>
        <v xml:space="preserve"> 7/14</v>
      </c>
      <c r="CK4" s="252" t="str">
        <f>Model!CC7</f>
        <v xml:space="preserve"> 10/14</v>
      </c>
      <c r="CL4" s="252" t="str">
        <f>Model!CD7</f>
        <v>1/15</v>
      </c>
      <c r="CM4" s="253" t="str">
        <f>Model!CE7</f>
        <v>FY15</v>
      </c>
      <c r="CN4" s="252"/>
      <c r="CO4" s="252" t="str">
        <f>Model!CG7</f>
        <v>4/15</v>
      </c>
      <c r="CP4" s="252" t="str">
        <f>Model!CH7</f>
        <v xml:space="preserve"> 7/15</v>
      </c>
      <c r="CQ4" s="252" t="str">
        <f>Model!CI7</f>
        <v xml:space="preserve"> 10/15</v>
      </c>
      <c r="CR4" s="252" t="str">
        <f>Model!CJ7</f>
        <v>1/16</v>
      </c>
      <c r="CS4" s="253" t="str">
        <f>Model!CK7</f>
        <v>FY16</v>
      </c>
      <c r="CT4" s="252"/>
      <c r="CU4" s="252" t="str">
        <f>Model!CM7</f>
        <v>4/16</v>
      </c>
      <c r="CV4" s="252" t="str">
        <f>Model!CN7</f>
        <v xml:space="preserve"> 7/16</v>
      </c>
      <c r="CW4" s="252" t="str">
        <f>Model!CO7</f>
        <v xml:space="preserve"> 10/16</v>
      </c>
      <c r="CX4" s="252" t="str">
        <f>Model!CP7</f>
        <v>1/17</v>
      </c>
      <c r="CY4" s="253" t="str">
        <f>Model!CQ7</f>
        <v>FY17</v>
      </c>
      <c r="CZ4" s="252"/>
      <c r="DA4" s="252" t="str">
        <f>Model!CS7</f>
        <v>4/17</v>
      </c>
      <c r="DB4" s="252" t="str">
        <f>Model!CT7</f>
        <v xml:space="preserve"> 7/17</v>
      </c>
      <c r="DC4" s="252" t="str">
        <f>Model!CU7</f>
        <v xml:space="preserve"> 10/17</v>
      </c>
      <c r="DD4" s="252" t="str">
        <f>Model!CV7</f>
        <v>1/18</v>
      </c>
      <c r="DE4" s="253" t="str">
        <f>Model!CW7</f>
        <v>FY18</v>
      </c>
      <c r="DF4" s="252"/>
      <c r="DG4" s="252" t="str">
        <f>Model!CY7</f>
        <v>4/18E</v>
      </c>
      <c r="DH4" s="252" t="str">
        <f>Model!CZ7</f>
        <v xml:space="preserve"> 7/18E</v>
      </c>
      <c r="DI4" s="252" t="str">
        <f>Model!DA7</f>
        <v xml:space="preserve"> 10/18E</v>
      </c>
      <c r="DJ4" s="252" t="str">
        <f>Model!DB7</f>
        <v>1/19E</v>
      </c>
      <c r="DK4" s="253" t="str">
        <f>Model!DC7</f>
        <v>FY19E</v>
      </c>
      <c r="DL4" s="252"/>
      <c r="DM4" s="252" t="str">
        <f>Model!DE7</f>
        <v>4/19E</v>
      </c>
      <c r="DN4" s="252" t="str">
        <f>Model!DF7</f>
        <v xml:space="preserve"> 7/19E</v>
      </c>
      <c r="DO4" s="252" t="str">
        <f>Model!DG7</f>
        <v xml:space="preserve"> 10/19E</v>
      </c>
      <c r="DP4" s="252" t="str">
        <f>Model!DH7</f>
        <v>1/20E</v>
      </c>
      <c r="DQ4" s="253" t="str">
        <f>Model!DI7</f>
        <v>FY20E</v>
      </c>
      <c r="DR4" s="252"/>
      <c r="DS4" s="252" t="str">
        <f>Model!DK7</f>
        <v>4/20E</v>
      </c>
      <c r="DT4" s="252" t="str">
        <f>Model!DL7</f>
        <v xml:space="preserve"> 7/20E</v>
      </c>
      <c r="DU4" s="252" t="str">
        <f>Model!DM7</f>
        <v xml:space="preserve"> 10/20E</v>
      </c>
      <c r="DV4" s="252" t="str">
        <f>Model!DN7</f>
        <v>1/21E</v>
      </c>
      <c r="DW4" s="253" t="str">
        <f>Model!DO7</f>
        <v>FY21E</v>
      </c>
      <c r="EA4" s="1419"/>
      <c r="EB4" s="1420"/>
      <c r="EC4" s="1420"/>
      <c r="ED4" s="1420"/>
      <c r="EE4" s="1420"/>
      <c r="EF4" s="1420"/>
      <c r="EG4" s="1420"/>
      <c r="EH4" s="1420"/>
      <c r="EI4" s="1420"/>
      <c r="EJ4" s="656"/>
      <c r="EK4" s="656"/>
      <c r="EL4" s="656"/>
    </row>
    <row r="5" spans="1:142" ht="0.75" customHeight="1">
      <c r="A5" s="1340"/>
      <c r="B5" s="1340"/>
      <c r="C5" s="1340"/>
      <c r="D5" s="1340"/>
      <c r="E5" s="1340"/>
      <c r="F5" s="1340"/>
      <c r="G5" s="853"/>
      <c r="H5" s="1340"/>
      <c r="I5" s="1340"/>
      <c r="J5" s="1340"/>
      <c r="K5" s="1340"/>
      <c r="L5" s="500"/>
      <c r="M5" s="853"/>
      <c r="N5" s="1340"/>
      <c r="O5" s="1340"/>
      <c r="P5" s="1340"/>
      <c r="Q5" s="1340"/>
      <c r="R5" s="1340"/>
      <c r="S5" s="853"/>
      <c r="T5" s="1340"/>
      <c r="U5" s="1340"/>
      <c r="V5" s="1340"/>
      <c r="W5" s="1340"/>
      <c r="X5" s="1340"/>
      <c r="Y5" s="853"/>
      <c r="Z5" s="1340"/>
      <c r="AA5" s="1340"/>
      <c r="AB5" s="1340"/>
      <c r="AC5" s="1340"/>
      <c r="AD5" s="1340"/>
      <c r="AE5" s="853"/>
      <c r="AF5" s="1340"/>
      <c r="AG5" s="1340"/>
      <c r="AH5" s="1340"/>
      <c r="AI5" s="1340"/>
      <c r="AJ5" s="1340"/>
      <c r="AK5" s="853"/>
      <c r="AL5" s="1340"/>
      <c r="AM5" s="1340"/>
      <c r="AN5" s="1340"/>
      <c r="AO5" s="1340"/>
      <c r="AP5" s="1340"/>
      <c r="AQ5" s="1341"/>
      <c r="AR5" s="1340"/>
      <c r="AS5" s="1340"/>
      <c r="AT5" s="1340"/>
      <c r="AU5" s="1340"/>
      <c r="AV5" s="1340"/>
      <c r="AW5" s="1341"/>
      <c r="AX5" s="1340"/>
      <c r="AY5" s="1340"/>
      <c r="AZ5" s="1340"/>
      <c r="BA5" s="1340"/>
      <c r="BB5" s="1340"/>
      <c r="BC5" s="1341"/>
      <c r="BD5" s="1340"/>
      <c r="BE5" s="1340"/>
      <c r="BF5" s="1340"/>
      <c r="BG5" s="1340"/>
      <c r="BH5" s="1340"/>
      <c r="BI5" s="1341"/>
      <c r="BJ5" s="1340"/>
      <c r="BK5" s="1340"/>
      <c r="BL5" s="1340"/>
      <c r="BM5" s="1340"/>
      <c r="BN5" s="1340"/>
      <c r="BO5" s="1342"/>
      <c r="BP5" s="1340"/>
      <c r="BQ5" s="1340"/>
      <c r="BR5" s="1340"/>
      <c r="BS5" s="1340"/>
      <c r="BT5" s="1340"/>
      <c r="BU5" s="1343"/>
      <c r="BV5" s="1340"/>
      <c r="BW5" s="1340"/>
      <c r="BX5" s="1340"/>
      <c r="BY5" s="1340"/>
      <c r="BZ5" s="1340"/>
      <c r="CA5" s="1343"/>
      <c r="CB5" s="1340"/>
      <c r="CC5" s="1340"/>
      <c r="CD5" s="1340"/>
      <c r="CE5" s="1340"/>
      <c r="CF5" s="1340"/>
      <c r="CG5" s="1343"/>
      <c r="CH5" s="1340"/>
      <c r="CI5" s="1340"/>
      <c r="CJ5" s="1340"/>
      <c r="CK5" s="1340"/>
      <c r="CL5" s="1340"/>
      <c r="CM5" s="1343"/>
      <c r="CN5" s="1340"/>
      <c r="CO5" s="1340"/>
      <c r="CP5" s="1340"/>
      <c r="CQ5" s="1340"/>
      <c r="CR5" s="1340"/>
      <c r="CS5" s="1343"/>
      <c r="CT5" s="1340"/>
      <c r="CU5" s="1340"/>
      <c r="CV5" s="1340"/>
      <c r="CW5" s="1340"/>
      <c r="CX5" s="1340"/>
      <c r="CY5" s="1343"/>
      <c r="CZ5" s="1340"/>
      <c r="DA5" s="1340"/>
      <c r="DB5" s="1340"/>
      <c r="DC5" s="1340"/>
      <c r="DD5" s="1340"/>
      <c r="DE5" s="1343"/>
      <c r="DF5" s="1340"/>
      <c r="DG5" s="1340"/>
      <c r="DH5" s="1340"/>
      <c r="DI5" s="1340"/>
      <c r="DJ5" s="1340"/>
      <c r="DK5" s="1343"/>
      <c r="DL5" s="1340"/>
      <c r="DM5" s="1340"/>
      <c r="DN5" s="1340"/>
      <c r="DO5" s="1340"/>
      <c r="DP5" s="1340"/>
      <c r="DQ5" s="1343"/>
      <c r="DR5" s="1340"/>
      <c r="DS5" s="1340"/>
      <c r="DT5" s="1340"/>
      <c r="DU5" s="1340"/>
      <c r="DV5" s="1340"/>
      <c r="DW5" s="1343"/>
      <c r="DX5" s="500"/>
      <c r="DY5" s="500"/>
      <c r="DZ5" s="500"/>
      <c r="EA5" s="548"/>
      <c r="EB5" s="548"/>
      <c r="EC5" s="548"/>
      <c r="ED5" s="548"/>
      <c r="EE5" s="548"/>
      <c r="EF5" s="548"/>
      <c r="EG5" s="548"/>
      <c r="EH5" s="548"/>
      <c r="EI5" s="548"/>
    </row>
    <row r="6" spans="1:142" s="475" customFormat="1" ht="15">
      <c r="A6" s="425" t="s">
        <v>52</v>
      </c>
      <c r="B6" s="425"/>
      <c r="C6" s="425"/>
      <c r="D6" s="425"/>
      <c r="E6" s="425"/>
      <c r="F6" s="425"/>
      <c r="G6" s="425"/>
      <c r="H6" s="425"/>
      <c r="I6" s="426"/>
      <c r="J6" s="426"/>
      <c r="K6" s="426"/>
      <c r="L6" s="426"/>
      <c r="M6" s="425"/>
      <c r="N6" s="425"/>
      <c r="O6" s="426"/>
      <c r="P6" s="426"/>
      <c r="Q6" s="426"/>
      <c r="R6" s="426"/>
      <c r="S6" s="425"/>
      <c r="T6" s="426"/>
      <c r="U6" s="426"/>
      <c r="V6" s="426"/>
      <c r="W6" s="426"/>
      <c r="X6" s="426"/>
      <c r="Y6" s="425"/>
      <c r="Z6" s="426"/>
      <c r="AA6" s="426"/>
      <c r="AB6" s="426"/>
      <c r="AC6" s="426"/>
      <c r="AD6" s="426"/>
      <c r="AE6" s="425"/>
      <c r="AF6" s="426"/>
      <c r="AG6" s="426"/>
      <c r="AH6" s="426"/>
      <c r="AI6" s="426"/>
      <c r="AJ6" s="426"/>
      <c r="AK6" s="425"/>
      <c r="AL6" s="426"/>
      <c r="AM6" s="426"/>
      <c r="AN6" s="426"/>
      <c r="AO6" s="426"/>
      <c r="AP6" s="426"/>
      <c r="AQ6" s="427"/>
      <c r="AR6" s="426"/>
      <c r="AS6" s="426"/>
      <c r="AT6" s="426"/>
      <c r="AU6" s="426"/>
      <c r="AV6" s="426"/>
      <c r="AW6" s="427"/>
      <c r="AX6" s="426"/>
      <c r="AY6" s="426"/>
      <c r="AZ6" s="426"/>
      <c r="BA6" s="426"/>
      <c r="BB6" s="426"/>
      <c r="BC6" s="427"/>
      <c r="BD6" s="426"/>
      <c r="BE6" s="426"/>
      <c r="BF6" s="426"/>
      <c r="BG6" s="426"/>
      <c r="BH6" s="426"/>
      <c r="BI6" s="427"/>
      <c r="BJ6" s="426"/>
      <c r="BK6" s="426"/>
      <c r="BL6" s="426"/>
      <c r="BM6" s="426"/>
      <c r="BN6" s="426"/>
      <c r="BO6" s="428"/>
      <c r="BP6" s="426"/>
      <c r="BQ6" s="426"/>
      <c r="BR6" s="426"/>
      <c r="BS6" s="426"/>
      <c r="BT6" s="426"/>
      <c r="BU6" s="429"/>
      <c r="BV6" s="426"/>
      <c r="BW6" s="426"/>
      <c r="BX6" s="426"/>
      <c r="BY6" s="426"/>
      <c r="BZ6" s="426"/>
      <c r="CA6" s="429"/>
      <c r="CB6" s="426"/>
      <c r="CC6" s="426"/>
      <c r="CD6" s="426"/>
      <c r="CE6" s="426"/>
      <c r="CF6" s="426"/>
      <c r="CG6" s="429"/>
      <c r="CH6" s="426"/>
      <c r="CI6" s="426"/>
      <c r="CJ6" s="426"/>
      <c r="CK6" s="426"/>
      <c r="CL6" s="426"/>
      <c r="CM6" s="429"/>
      <c r="CN6" s="426"/>
      <c r="CO6" s="426"/>
      <c r="CP6" s="426"/>
      <c r="CQ6" s="426"/>
      <c r="CR6" s="426"/>
      <c r="CS6" s="429"/>
      <c r="CT6" s="426"/>
      <c r="CU6" s="426"/>
      <c r="CV6" s="426"/>
      <c r="CW6" s="426"/>
      <c r="CX6" s="426"/>
      <c r="CY6" s="429"/>
      <c r="CZ6" s="426"/>
      <c r="DA6" s="426"/>
      <c r="DB6" s="426"/>
      <c r="DC6" s="426"/>
      <c r="DD6" s="426"/>
      <c r="DE6" s="429"/>
      <c r="DF6" s="426"/>
      <c r="DG6" s="426"/>
      <c r="DH6" s="426"/>
      <c r="DI6" s="426"/>
      <c r="DJ6" s="426"/>
      <c r="DK6" s="429"/>
      <c r="DL6" s="426"/>
      <c r="DM6" s="426"/>
      <c r="DN6" s="426"/>
      <c r="DO6" s="426"/>
      <c r="DP6" s="426"/>
      <c r="DQ6" s="429"/>
      <c r="DR6" s="426"/>
      <c r="DS6" s="426"/>
      <c r="DT6" s="426"/>
      <c r="DU6" s="426"/>
      <c r="DV6" s="426"/>
      <c r="DW6" s="429"/>
      <c r="EA6" s="1358"/>
      <c r="EB6" s="1358"/>
      <c r="EC6" s="1358"/>
      <c r="ED6" s="1358"/>
      <c r="EE6" s="1358"/>
      <c r="EF6" s="1358"/>
      <c r="EG6" s="1358"/>
      <c r="EH6" s="1358"/>
      <c r="EI6" s="1358"/>
      <c r="EJ6" s="656"/>
      <c r="EK6" s="656"/>
      <c r="EL6" s="656"/>
    </row>
    <row r="7" spans="1:142" ht="12" customHeight="1">
      <c r="A7" s="1340"/>
      <c r="B7" s="1340"/>
      <c r="C7" s="1340"/>
      <c r="D7" s="1340"/>
      <c r="E7" s="1340"/>
      <c r="F7" s="1340"/>
      <c r="G7" s="853"/>
      <c r="H7" s="1340"/>
      <c r="I7" s="1340"/>
      <c r="J7" s="1340"/>
      <c r="K7" s="1340"/>
      <c r="L7" s="500"/>
      <c r="M7" s="853"/>
      <c r="N7" s="1340"/>
      <c r="O7" s="1340"/>
      <c r="P7" s="1340"/>
      <c r="Q7" s="1340"/>
      <c r="R7" s="1340"/>
      <c r="S7" s="853"/>
      <c r="T7" s="1340"/>
      <c r="U7" s="1340"/>
      <c r="V7" s="1340"/>
      <c r="W7" s="1340"/>
      <c r="X7" s="1340"/>
      <c r="Y7" s="853"/>
      <c r="Z7" s="1340"/>
      <c r="AA7" s="1340"/>
      <c r="AB7" s="1340"/>
      <c r="AC7" s="1340"/>
      <c r="AD7" s="1340"/>
      <c r="AE7" s="853"/>
      <c r="AF7" s="1340"/>
      <c r="AG7" s="1340"/>
      <c r="AH7" s="1340"/>
      <c r="AI7" s="1340"/>
      <c r="AJ7" s="1340"/>
      <c r="AK7" s="853"/>
      <c r="AL7" s="1340"/>
      <c r="AM7" s="1340"/>
      <c r="AN7" s="1340"/>
      <c r="AO7" s="1340"/>
      <c r="AP7" s="1340"/>
      <c r="AQ7" s="1341"/>
      <c r="AR7" s="1340"/>
      <c r="AS7" s="1340"/>
      <c r="AT7" s="1340"/>
      <c r="AU7" s="1340"/>
      <c r="AV7" s="1340"/>
      <c r="AW7" s="1341"/>
      <c r="AX7" s="1340"/>
      <c r="AY7" s="1340"/>
      <c r="AZ7" s="1340"/>
      <c r="BA7" s="1340"/>
      <c r="BB7" s="1340"/>
      <c r="BC7" s="1341"/>
      <c r="BD7" s="1340"/>
      <c r="BE7" s="1340"/>
      <c r="BF7" s="1340"/>
      <c r="BG7" s="1340"/>
      <c r="BH7" s="1340"/>
      <c r="BI7" s="1341"/>
      <c r="BJ7" s="1340"/>
      <c r="BK7" s="1340"/>
      <c r="BL7" s="1340"/>
      <c r="BM7" s="1340"/>
      <c r="BN7" s="1340"/>
      <c r="BO7" s="1342"/>
      <c r="BP7" s="1340"/>
      <c r="BQ7" s="1340"/>
      <c r="BR7" s="1340"/>
      <c r="BS7" s="1340"/>
      <c r="BT7" s="1340"/>
      <c r="BU7" s="1343"/>
      <c r="BV7" s="1340"/>
      <c r="BW7" s="1340"/>
      <c r="BX7" s="1340"/>
      <c r="BY7" s="1340"/>
      <c r="BZ7" s="1340"/>
      <c r="CA7" s="1343"/>
      <c r="CB7" s="1340"/>
      <c r="CC7" s="1340"/>
      <c r="CD7" s="1340"/>
      <c r="CE7" s="1340"/>
      <c r="CF7" s="1340"/>
      <c r="CG7" s="1343"/>
      <c r="CH7" s="1340"/>
      <c r="CI7" s="1340"/>
      <c r="CJ7" s="1340"/>
      <c r="CK7" s="1340"/>
      <c r="CL7" s="1340"/>
      <c r="CM7" s="1343"/>
      <c r="CN7" s="1340"/>
      <c r="CO7" s="1340"/>
      <c r="CP7" s="1340"/>
      <c r="CQ7" s="1340"/>
      <c r="CR7" s="1340"/>
      <c r="CS7" s="1343"/>
      <c r="CT7" s="1340"/>
      <c r="CU7" s="1340"/>
      <c r="CV7" s="1340"/>
      <c r="CW7" s="1340"/>
      <c r="CX7" s="1340"/>
      <c r="CY7" s="1343"/>
      <c r="CZ7" s="1340"/>
      <c r="DA7" s="1340"/>
      <c r="DB7" s="1340"/>
      <c r="DC7" s="1340"/>
      <c r="DD7" s="1340"/>
      <c r="DE7" s="1343"/>
      <c r="DF7" s="1340"/>
      <c r="DG7" s="1340"/>
      <c r="DH7" s="1340"/>
      <c r="DI7" s="1340"/>
      <c r="DJ7" s="1340"/>
      <c r="DK7" s="1343"/>
      <c r="DL7" s="1340"/>
      <c r="DM7" s="1340"/>
      <c r="DN7" s="1340"/>
      <c r="DO7" s="1340"/>
      <c r="DP7" s="1340"/>
      <c r="DQ7" s="1343"/>
      <c r="DR7" s="1340"/>
      <c r="DS7" s="1340"/>
      <c r="DT7" s="1340"/>
      <c r="DU7" s="1340"/>
      <c r="DV7" s="1340"/>
      <c r="DW7" s="1343"/>
      <c r="DX7" s="500"/>
      <c r="DY7" s="500"/>
      <c r="DZ7" s="500"/>
      <c r="EA7" s="1344"/>
      <c r="EB7" s="651"/>
      <c r="EC7" s="651"/>
      <c r="ED7" s="651"/>
      <c r="EE7" s="651"/>
      <c r="EF7" s="651"/>
      <c r="EG7" s="651"/>
      <c r="EH7" s="651"/>
      <c r="EI7" s="500"/>
    </row>
    <row r="8" spans="1:142" s="499" customFormat="1">
      <c r="A8" s="853" t="s">
        <v>377</v>
      </c>
      <c r="B8" s="853"/>
      <c r="C8" s="1345">
        <v>210</v>
      </c>
      <c r="D8" s="1345">
        <v>570</v>
      </c>
      <c r="E8" s="1345">
        <v>990</v>
      </c>
      <c r="F8" s="1346">
        <v>1500</v>
      </c>
      <c r="G8" s="1346">
        <v>1500</v>
      </c>
      <c r="H8" s="1346"/>
      <c r="I8" s="1345">
        <v>1901</v>
      </c>
      <c r="J8" s="1345">
        <v>2357</v>
      </c>
      <c r="K8" s="1345">
        <v>2880</v>
      </c>
      <c r="L8" s="1346">
        <v>3500</v>
      </c>
      <c r="M8" s="1346">
        <v>3500</v>
      </c>
      <c r="N8" s="1346"/>
      <c r="O8" s="1346">
        <v>4300</v>
      </c>
      <c r="P8" s="1346">
        <v>4900</v>
      </c>
      <c r="Q8" s="1346">
        <v>5100</v>
      </c>
      <c r="R8" s="1346">
        <v>5700</v>
      </c>
      <c r="S8" s="1346">
        <v>5700</v>
      </c>
      <c r="T8" s="1346"/>
      <c r="U8" s="1346">
        <v>6300</v>
      </c>
      <c r="V8" s="1346">
        <v>7000</v>
      </c>
      <c r="W8" s="1346">
        <v>7700</v>
      </c>
      <c r="X8" s="1346">
        <v>8700</v>
      </c>
      <c r="Y8" s="1346">
        <v>8700</v>
      </c>
      <c r="Z8" s="1346"/>
      <c r="AA8" s="1346">
        <v>9800</v>
      </c>
      <c r="AB8" s="1346">
        <v>11100</v>
      </c>
      <c r="AC8" s="1346">
        <v>12500</v>
      </c>
      <c r="AD8" s="1346">
        <v>13900</v>
      </c>
      <c r="AE8" s="1346">
        <v>13900</v>
      </c>
      <c r="AF8" s="1346"/>
      <c r="AG8" s="1346">
        <v>15500</v>
      </c>
      <c r="AH8" s="1346">
        <v>16900</v>
      </c>
      <c r="AI8" s="1346">
        <v>18700</v>
      </c>
      <c r="AJ8" s="1346">
        <v>20500</v>
      </c>
      <c r="AK8" s="1346">
        <v>20500</v>
      </c>
      <c r="AL8" s="1346"/>
      <c r="AM8" s="1346">
        <v>22700</v>
      </c>
      <c r="AN8" s="1346">
        <v>24800</v>
      </c>
      <c r="AO8" s="1346">
        <v>27100</v>
      </c>
      <c r="AP8" s="1346">
        <v>29800</v>
      </c>
      <c r="AQ8" s="1347">
        <f>AP8</f>
        <v>29800</v>
      </c>
      <c r="AR8" s="1346"/>
      <c r="AS8" s="1346">
        <v>32300</v>
      </c>
      <c r="AT8" s="1346">
        <v>35300</v>
      </c>
      <c r="AU8" s="1346">
        <v>38100</v>
      </c>
      <c r="AV8" s="1346">
        <v>41000</v>
      </c>
      <c r="AW8" s="1347">
        <f>AV8</f>
        <v>41000</v>
      </c>
      <c r="AX8" s="1346"/>
      <c r="AY8" s="1346">
        <v>43600</v>
      </c>
      <c r="AZ8" s="1346">
        <v>47700</v>
      </c>
      <c r="BA8" s="1346">
        <v>51800</v>
      </c>
      <c r="BB8" s="1346">
        <v>55400</v>
      </c>
      <c r="BC8" s="1347">
        <f>BB8</f>
        <v>55400</v>
      </c>
      <c r="BD8" s="1346"/>
      <c r="BE8" s="1346">
        <v>59300</v>
      </c>
      <c r="BF8" s="1346">
        <f>BE8+BF11</f>
        <v>63200</v>
      </c>
      <c r="BG8" s="1346">
        <f>BF8+BG11</f>
        <v>67900</v>
      </c>
      <c r="BH8" s="1346">
        <f>BG8+BH11</f>
        <v>72500</v>
      </c>
      <c r="BI8" s="1347">
        <f>BH8</f>
        <v>72500</v>
      </c>
      <c r="BJ8" s="853"/>
      <c r="BK8" s="1346">
        <v>77300</v>
      </c>
      <c r="BL8" s="1346">
        <v>82400</v>
      </c>
      <c r="BM8" s="1346">
        <v>87200</v>
      </c>
      <c r="BN8" s="1346">
        <v>92300</v>
      </c>
      <c r="BO8" s="1348">
        <f>BN8</f>
        <v>92300</v>
      </c>
      <c r="BP8" s="853"/>
      <c r="BQ8" s="1346">
        <f>BN8+BQ11</f>
        <v>97700</v>
      </c>
      <c r="BR8" s="1346">
        <f>BQ8+BR11</f>
        <v>104000</v>
      </c>
      <c r="BS8" s="1346">
        <f>BR8+BS11</f>
        <v>110500</v>
      </c>
      <c r="BT8" s="1346">
        <f>BS8+BT11</f>
        <v>117103</v>
      </c>
      <c r="BU8" s="1347">
        <f>BT8</f>
        <v>117103</v>
      </c>
      <c r="BV8" s="853"/>
      <c r="BW8" s="1346">
        <f>BT8+BW11</f>
        <v>121403</v>
      </c>
      <c r="BX8" s="1346">
        <f>BW8+BX11</f>
        <v>126203</v>
      </c>
      <c r="BY8" s="1346">
        <f>BX8+BY11</f>
        <v>131103</v>
      </c>
      <c r="BZ8" s="1346">
        <f>BY8+BZ11</f>
        <v>136403</v>
      </c>
      <c r="CA8" s="1347">
        <f>BZ8</f>
        <v>136403</v>
      </c>
      <c r="CB8" s="853"/>
      <c r="CC8" s="1346">
        <f>BZ8+CC11</f>
        <v>140903</v>
      </c>
      <c r="CD8" s="1346">
        <f>CC8+CD11</f>
        <v>152690.61782857653</v>
      </c>
      <c r="CE8" s="1346">
        <f>CD8+CE11</f>
        <v>157904.31873974524</v>
      </c>
      <c r="CF8" s="1346">
        <f>CE8+CF11</f>
        <v>163404.31873974524</v>
      </c>
      <c r="CG8" s="1347">
        <f>CF8</f>
        <v>163404.31873974524</v>
      </c>
      <c r="CH8" s="853"/>
      <c r="CI8" s="1346">
        <f>CF8+CI11</f>
        <v>168604.31873974524</v>
      </c>
      <c r="CJ8" s="1346">
        <f>CI8+CJ11</f>
        <v>175734.31873974524</v>
      </c>
      <c r="CK8" s="1346">
        <f>CJ8+CK11</f>
        <v>180287.49333360666</v>
      </c>
      <c r="CL8" s="1346">
        <f>CK8+CL11</f>
        <v>186955.49333360666</v>
      </c>
      <c r="CM8" s="1347">
        <f>CL8</f>
        <v>186955.49333360666</v>
      </c>
      <c r="CN8" s="853"/>
      <c r="CO8" s="1346">
        <f>CL8+CO11</f>
        <v>191529.56740768073</v>
      </c>
      <c r="CP8" s="1346">
        <f>CO8+CP11</f>
        <v>197523.15493975216</v>
      </c>
      <c r="CQ8" s="1346">
        <f>CP8+CQ11</f>
        <v>202371.44270173422</v>
      </c>
      <c r="CR8" s="1346">
        <f>CQ8+CR11</f>
        <v>207219.73046371629</v>
      </c>
      <c r="CS8" s="1347">
        <f>CR8</f>
        <v>207219.73046371629</v>
      </c>
      <c r="CT8" s="853"/>
      <c r="CU8" s="1346">
        <f>CR8+CU11</f>
        <v>211554.51269965593</v>
      </c>
      <c r="CV8" s="1346">
        <f>CU8+CV11</f>
        <v>217492.60405087486</v>
      </c>
      <c r="CW8" s="1346">
        <f>CV8+CW11</f>
        <v>221398.16919247151</v>
      </c>
      <c r="CX8" s="1346">
        <f>CW8+CX11</f>
        <v>227009.61336143222</v>
      </c>
      <c r="CY8" s="1347">
        <f>CX8</f>
        <v>227009.61336143222</v>
      </c>
      <c r="CZ8" s="853"/>
      <c r="DA8" s="1346">
        <f>CX8+DA11</f>
        <v>229016.45698918204</v>
      </c>
      <c r="DB8" s="1346">
        <f>DA8+DB11</f>
        <v>234954.54834040097</v>
      </c>
      <c r="DC8" s="1346">
        <f>DB8+DC11</f>
        <v>238173.02331819822</v>
      </c>
      <c r="DD8" s="1346">
        <f>DC8+DD11</f>
        <v>243213.02331819822</v>
      </c>
      <c r="DE8" s="1347">
        <f>DD8</f>
        <v>243213.02331819822</v>
      </c>
      <c r="DF8" s="853"/>
      <c r="DG8" s="1346">
        <f>DD8+DG11</f>
        <v>245164.12128962166</v>
      </c>
      <c r="DH8" s="1346">
        <f>DG8+DH11</f>
        <v>251652.03591410158</v>
      </c>
      <c r="DI8" s="1346">
        <f>DH8+DI11</f>
        <v>255019.51436309316</v>
      </c>
      <c r="DJ8" s="1346">
        <f>DI8+DJ11</f>
        <v>260386.18102975981</v>
      </c>
      <c r="DK8" s="1347">
        <f>DJ8</f>
        <v>260386.18102975981</v>
      </c>
      <c r="DL8" s="853"/>
      <c r="DM8" s="1346">
        <f>DJ8+DM11</f>
        <v>262646.02218943904</v>
      </c>
      <c r="DN8" s="1346">
        <f>DM8+DN11</f>
        <v>270161.25003607851</v>
      </c>
      <c r="DO8" s="1346">
        <f>DN8+DO11</f>
        <v>273751.35622697562</v>
      </c>
      <c r="DP8" s="1346">
        <f>DO8+DP11</f>
        <v>278971.93030104972</v>
      </c>
      <c r="DQ8" s="1347">
        <f>DP8</f>
        <v>278971.93030104972</v>
      </c>
      <c r="DR8" s="853"/>
      <c r="DS8" s="1346">
        <f>DP8+DS11</f>
        <v>281369.66362037975</v>
      </c>
      <c r="DT8" s="1346">
        <f>DS8+DT11</f>
        <v>289712.26238457981</v>
      </c>
      <c r="DU8" s="1346">
        <f>DT8+DU11</f>
        <v>293698.94234267512</v>
      </c>
      <c r="DV8" s="1346">
        <f>DU8+DV11</f>
        <v>299353.83917652286</v>
      </c>
      <c r="DW8" s="1347">
        <f>DV8</f>
        <v>299353.83917652286</v>
      </c>
      <c r="EA8" s="1349"/>
      <c r="EC8" s="651"/>
      <c r="ED8" s="651"/>
      <c r="EE8" s="651"/>
      <c r="EF8" s="651"/>
      <c r="EG8" s="651"/>
      <c r="EH8" s="651"/>
      <c r="EI8" s="651"/>
      <c r="EJ8" s="656"/>
      <c r="EK8" s="656"/>
      <c r="EL8" s="656"/>
    </row>
    <row r="9" spans="1:142" s="1356" customFormat="1">
      <c r="A9" s="1350" t="s">
        <v>877</v>
      </c>
      <c r="B9" s="1350"/>
      <c r="C9" s="1351" t="s">
        <v>88</v>
      </c>
      <c r="D9" s="1351" t="s">
        <v>88</v>
      </c>
      <c r="E9" s="1351" t="s">
        <v>88</v>
      </c>
      <c r="F9" s="1351" t="s">
        <v>88</v>
      </c>
      <c r="G9" s="1352" t="s">
        <v>88</v>
      </c>
      <c r="H9" s="1351"/>
      <c r="I9" s="1353">
        <f>I8/C8-1</f>
        <v>8.0523809523809522</v>
      </c>
      <c r="J9" s="1353">
        <f>J8/D8-1</f>
        <v>3.1350877192982454</v>
      </c>
      <c r="K9" s="1353">
        <f>K8/E8-1</f>
        <v>1.9090909090909092</v>
      </c>
      <c r="L9" s="1351">
        <f>L8/F8-1</f>
        <v>1.3333333333333335</v>
      </c>
      <c r="M9" s="1352">
        <f>M8/G8-1</f>
        <v>1.3333333333333335</v>
      </c>
      <c r="N9" s="1351"/>
      <c r="O9" s="1353">
        <f>O8/I8-1</f>
        <v>1.2619673855865332</v>
      </c>
      <c r="P9" s="1353">
        <f>P8/J8-1</f>
        <v>1.0789138735680952</v>
      </c>
      <c r="Q9" s="1353">
        <f>Q8/K8-1</f>
        <v>0.77083333333333326</v>
      </c>
      <c r="R9" s="1351">
        <f>R8/L8-1</f>
        <v>0.62857142857142856</v>
      </c>
      <c r="S9" s="1352">
        <f>S8/M8-1</f>
        <v>0.62857142857142856</v>
      </c>
      <c r="T9" s="1351"/>
      <c r="U9" s="1351">
        <f>U8/O8-1</f>
        <v>0.46511627906976738</v>
      </c>
      <c r="V9" s="1351">
        <f>V8/P8-1</f>
        <v>0.4285714285714286</v>
      </c>
      <c r="W9" s="1351">
        <f>W8/Q8-1</f>
        <v>0.50980392156862742</v>
      </c>
      <c r="X9" s="1351">
        <f>X8/R8-1</f>
        <v>0.52631578947368429</v>
      </c>
      <c r="Y9" s="1352">
        <f>Y8/S8-1</f>
        <v>0.52631578947368429</v>
      </c>
      <c r="Z9" s="1351"/>
      <c r="AA9" s="1351">
        <f>AA8/U8-1</f>
        <v>0.55555555555555558</v>
      </c>
      <c r="AB9" s="1351">
        <f>AB8/V8-1</f>
        <v>0.58571428571428563</v>
      </c>
      <c r="AC9" s="1351">
        <f>AC8/W8-1</f>
        <v>0.62337662337662336</v>
      </c>
      <c r="AD9" s="1351">
        <f>AD8/X8-1</f>
        <v>0.59770114942528729</v>
      </c>
      <c r="AE9" s="1352">
        <f>AE8/Y8-1</f>
        <v>0.59770114942528729</v>
      </c>
      <c r="AF9" s="1351"/>
      <c r="AG9" s="1351">
        <f>AG8/AA8-1</f>
        <v>0.58163265306122458</v>
      </c>
      <c r="AH9" s="1351">
        <f>AH8/AB8-1</f>
        <v>0.52252252252252251</v>
      </c>
      <c r="AI9" s="1351">
        <f>AI8/AC8-1</f>
        <v>0.496</v>
      </c>
      <c r="AJ9" s="1351">
        <f>AJ8/AD8-1</f>
        <v>0.47482014388489202</v>
      </c>
      <c r="AK9" s="1352">
        <f>AK8/AE8-1</f>
        <v>0.47482014388489202</v>
      </c>
      <c r="AL9" s="1351"/>
      <c r="AM9" s="1351">
        <f>AM8/AG8-1</f>
        <v>0.46451612903225814</v>
      </c>
      <c r="AN9" s="1351">
        <f>AN8/AH8-1</f>
        <v>0.46745562130177509</v>
      </c>
      <c r="AO9" s="1351">
        <f>AO8/AI8-1</f>
        <v>0.44919786096256686</v>
      </c>
      <c r="AP9" s="1351">
        <f>AP8/AJ8-1</f>
        <v>0.45365853658536581</v>
      </c>
      <c r="AQ9" s="1354">
        <f>AQ8/AK8-1</f>
        <v>0.45365853658536581</v>
      </c>
      <c r="AR9" s="1351"/>
      <c r="AS9" s="1351">
        <f>AS8/AM8-1</f>
        <v>0.4229074889867841</v>
      </c>
      <c r="AT9" s="1351">
        <f>AT8/AN8-1</f>
        <v>0.42338709677419351</v>
      </c>
      <c r="AU9" s="1351">
        <f>AU8/AO8-1</f>
        <v>0.40590405904059046</v>
      </c>
      <c r="AV9" s="1351">
        <f>AV8/AP8-1</f>
        <v>0.37583892617449655</v>
      </c>
      <c r="AW9" s="1354">
        <f>AW8/AQ8-1</f>
        <v>0.37583892617449655</v>
      </c>
      <c r="AX9" s="1351"/>
      <c r="AY9" s="1351">
        <f>AY8/AS8-1</f>
        <v>0.34984520123839014</v>
      </c>
      <c r="AZ9" s="1351">
        <f>AZ8/AT8-1</f>
        <v>0.35127478753541075</v>
      </c>
      <c r="BA9" s="1351">
        <f>BA8/AU8-1</f>
        <v>0.35958005249343827</v>
      </c>
      <c r="BB9" s="1351">
        <f>BB8/AV8-1</f>
        <v>0.35121951219512204</v>
      </c>
      <c r="BC9" s="1354">
        <f>BC8/AW8-1</f>
        <v>0.35121951219512204</v>
      </c>
      <c r="BD9" s="1351"/>
      <c r="BE9" s="1351">
        <f>BE8/AY8-1</f>
        <v>0.36009174311926606</v>
      </c>
      <c r="BF9" s="1351">
        <f>BF8/AZ8-1</f>
        <v>0.3249475890985325</v>
      </c>
      <c r="BG9" s="1351">
        <f>BG8/BA8-1</f>
        <v>0.31081081081081074</v>
      </c>
      <c r="BH9" s="1351">
        <f>BH8/BB8-1</f>
        <v>0.30866425992779778</v>
      </c>
      <c r="BI9" s="1354">
        <f>BI8/BC8-1</f>
        <v>0.30866425992779778</v>
      </c>
      <c r="BJ9" s="1350"/>
      <c r="BK9" s="1351">
        <f>BK8/BE8-1</f>
        <v>0.30354131534569984</v>
      </c>
      <c r="BL9" s="1351">
        <f>BL8/BF8-1</f>
        <v>0.30379746835443044</v>
      </c>
      <c r="BM9" s="1351">
        <f>BM8/BG8-1</f>
        <v>0.28424153166421218</v>
      </c>
      <c r="BN9" s="1351">
        <f>BN8/BH8-1</f>
        <v>0.27310344827586208</v>
      </c>
      <c r="BO9" s="1355">
        <f>BO8/BI8-1</f>
        <v>0.27310344827586208</v>
      </c>
      <c r="BP9" s="1350"/>
      <c r="BQ9" s="1351">
        <f>BQ8/BK8-1</f>
        <v>0.26390685640362221</v>
      </c>
      <c r="BR9" s="1351">
        <f>BR8/BL8-1</f>
        <v>0.26213592233009719</v>
      </c>
      <c r="BS9" s="1351">
        <f>BS8/BM8-1</f>
        <v>0.26720183486238525</v>
      </c>
      <c r="BT9" s="1351">
        <f>BT8/BN8-1</f>
        <v>0.26872156013001081</v>
      </c>
      <c r="BU9" s="1354">
        <f>BU8/BO8-1</f>
        <v>0.26872156013001081</v>
      </c>
      <c r="BV9" s="1350"/>
      <c r="BW9" s="1351">
        <f>BW8/BQ8-1</f>
        <v>0.24261003070624354</v>
      </c>
      <c r="BX9" s="1351">
        <f>BX8/BR8-1</f>
        <v>0.21349038461538461</v>
      </c>
      <c r="BY9" s="1351">
        <f>BY8/BS8-1</f>
        <v>0.18645248868778275</v>
      </c>
      <c r="BZ9" s="1351">
        <f>BZ8/BT8-1</f>
        <v>0.16481217389819225</v>
      </c>
      <c r="CA9" s="1354">
        <f>CA8/BU8-1</f>
        <v>0.16481217389819225</v>
      </c>
      <c r="CB9" s="1350"/>
      <c r="CC9" s="1351">
        <f>CC8/BW8-1</f>
        <v>0.16062206041036875</v>
      </c>
      <c r="CD9" s="1351">
        <f>CD8/BX8-1</f>
        <v>0.2098810474281636</v>
      </c>
      <c r="CE9" s="1351">
        <f>CE8/BY8-1</f>
        <v>0.2044294847543171</v>
      </c>
      <c r="CF9" s="1351">
        <f>CF8/BZ8-1</f>
        <v>0.19795252846158262</v>
      </c>
      <c r="CG9" s="1354">
        <f>CG8/CA8-1</f>
        <v>0.19795252846158262</v>
      </c>
      <c r="CH9" s="1350"/>
      <c r="CI9" s="1351">
        <f>CI8/CC8-1</f>
        <v>0.19659850208828233</v>
      </c>
      <c r="CJ9" s="1351">
        <f>CJ8/CD8-1</f>
        <v>0.15091759558560125</v>
      </c>
      <c r="CK9" s="1351">
        <f>CK8/CE8-1</f>
        <v>0.14175150352127441</v>
      </c>
      <c r="CL9" s="1351">
        <f>CL8/CF8-1</f>
        <v>0.1441282260805572</v>
      </c>
      <c r="CM9" s="1354">
        <f>CM8/CG8-1</f>
        <v>0.1441282260805572</v>
      </c>
      <c r="CN9" s="1350"/>
      <c r="CO9" s="1351">
        <f>CO8/CI8-1</f>
        <v>0.13597070845689618</v>
      </c>
      <c r="CP9" s="1351">
        <f>CP8/CJ8-1</f>
        <v>0.1239873711422026</v>
      </c>
      <c r="CQ9" s="1351">
        <f>CQ8/CK8-1</f>
        <v>0.12249296365368556</v>
      </c>
      <c r="CR9" s="1351">
        <f>CR8/CL8-1</f>
        <v>0.10839070181238153</v>
      </c>
      <c r="CS9" s="1354">
        <f>CS8/CM8-1</f>
        <v>0.10839070181238153</v>
      </c>
      <c r="CT9" s="1350"/>
      <c r="CU9" s="1351">
        <f>CU8/CO8-1</f>
        <v>0.10455276207746578</v>
      </c>
      <c r="CV9" s="1351">
        <f>CV8/CP8-1</f>
        <v>0.10109928183970984</v>
      </c>
      <c r="CW9" s="1351">
        <f>CW8/CQ8-1</f>
        <v>9.4018831099504041E-2</v>
      </c>
      <c r="CX9" s="1351">
        <f>CX8/CR8-1</f>
        <v>9.5501923747464357E-2</v>
      </c>
      <c r="CY9" s="1354">
        <f>CY8/CS8-1</f>
        <v>9.5501923747464357E-2</v>
      </c>
      <c r="CZ9" s="1350"/>
      <c r="DA9" s="1351">
        <f>DA8/CU8-1</f>
        <v>8.2541109932818379E-2</v>
      </c>
      <c r="DB9" s="1351">
        <f>DB8/CV8-1</f>
        <v>8.0287531457582384E-2</v>
      </c>
      <c r="DC9" s="1351">
        <f>DC8/CW8-1</f>
        <v>7.5767808681125759E-2</v>
      </c>
      <c r="DD9" s="1351">
        <f>DD8/CX8-1</f>
        <v>7.1377637787382264E-2</v>
      </c>
      <c r="DE9" s="1354">
        <f>DE8/CY8-1</f>
        <v>7.1377637787382264E-2</v>
      </c>
      <c r="DF9" s="1350"/>
      <c r="DG9" s="1351">
        <f>DG8/DA8-1</f>
        <v>7.050875082397412E-2</v>
      </c>
      <c r="DH9" s="1351">
        <f>DH8/DB8-1</f>
        <v>7.1066883751104815E-2</v>
      </c>
      <c r="DI9" s="1351">
        <f>DI8/DC8-1</f>
        <v>7.0732154339696596E-2</v>
      </c>
      <c r="DJ9" s="1351">
        <f>DJ8/DD8-1</f>
        <v>7.0609531830430727E-2</v>
      </c>
      <c r="DK9" s="1354">
        <f>DK8/DE8-1</f>
        <v>7.0609531830430727E-2</v>
      </c>
      <c r="DL9" s="1350"/>
      <c r="DM9" s="1351">
        <f>DM8/DG8-1</f>
        <v>7.1306930263116852E-2</v>
      </c>
      <c r="DN9" s="1351">
        <f>DN8/DH8-1</f>
        <v>7.3550822089493595E-2</v>
      </c>
      <c r="DO9" s="1351">
        <f>DO8/DI8-1</f>
        <v>7.3452582288319856E-2</v>
      </c>
      <c r="DP9" s="1351">
        <f>DP8/DJ8-1</f>
        <v>7.1377633013349984E-2</v>
      </c>
      <c r="DQ9" s="1354">
        <f>DQ8/DK8-1</f>
        <v>7.1377633013349984E-2</v>
      </c>
      <c r="DR9" s="1350"/>
      <c r="DS9" s="1351">
        <f>DS8/DM8-1</f>
        <v>7.128850182027846E-2</v>
      </c>
      <c r="DT9" s="1351">
        <f>DT8/DN8-1</f>
        <v>7.2367937096420754E-2</v>
      </c>
      <c r="DU9" s="1351">
        <f>DU8/DO8-1</f>
        <v>7.2867533482319446E-2</v>
      </c>
      <c r="DV9" s="1351">
        <f>DV8/DP8-1</f>
        <v>7.3060787346878264E-2</v>
      </c>
      <c r="DW9" s="1354">
        <f>DW8/DQ8-1</f>
        <v>7.3060787346878264E-2</v>
      </c>
      <c r="EJ9" s="656"/>
      <c r="EK9" s="656"/>
      <c r="EL9" s="656"/>
    </row>
    <row r="10" spans="1:142" s="1356" customFormat="1">
      <c r="A10" s="1350" t="s">
        <v>878</v>
      </c>
      <c r="B10" s="1350"/>
      <c r="C10" s="1351" t="s">
        <v>88</v>
      </c>
      <c r="D10" s="1353">
        <f>D8/C8-1</f>
        <v>1.7142857142857144</v>
      </c>
      <c r="E10" s="1353">
        <f>E8/D8-1</f>
        <v>0.73684210526315796</v>
      </c>
      <c r="F10" s="1353">
        <f>F8/E8-1</f>
        <v>0.51515151515151514</v>
      </c>
      <c r="G10" s="1352" t="s">
        <v>88</v>
      </c>
      <c r="H10" s="1351"/>
      <c r="I10" s="1353">
        <f>I8/F8-1</f>
        <v>0.26733333333333342</v>
      </c>
      <c r="J10" s="1353">
        <f>J8/I8-1</f>
        <v>0.23987375065754857</v>
      </c>
      <c r="K10" s="1353">
        <f>K8/J8-1</f>
        <v>0.22189223589308438</v>
      </c>
      <c r="L10" s="1353">
        <f>L8/K8-1</f>
        <v>0.21527777777777768</v>
      </c>
      <c r="M10" s="1352" t="s">
        <v>88</v>
      </c>
      <c r="N10" s="1351"/>
      <c r="O10" s="1351">
        <f>O8/L8-1</f>
        <v>0.22857142857142865</v>
      </c>
      <c r="P10" s="1351">
        <f>P8/O8-1</f>
        <v>0.13953488372093026</v>
      </c>
      <c r="Q10" s="1351">
        <f>Q8/P8-1</f>
        <v>4.081632653061229E-2</v>
      </c>
      <c r="R10" s="1351">
        <f>R8/Q8-1</f>
        <v>0.11764705882352944</v>
      </c>
      <c r="S10" s="1352" t="s">
        <v>88</v>
      </c>
      <c r="T10" s="1351"/>
      <c r="U10" s="1351">
        <f>U8/R8-1</f>
        <v>0.10526315789473695</v>
      </c>
      <c r="V10" s="1351">
        <f>V8/U8-1</f>
        <v>0.11111111111111116</v>
      </c>
      <c r="W10" s="1351">
        <f>W8/V8-1</f>
        <v>0.10000000000000009</v>
      </c>
      <c r="X10" s="1351">
        <f>X8/W8-1</f>
        <v>0.12987012987012991</v>
      </c>
      <c r="Y10" s="1352" t="s">
        <v>88</v>
      </c>
      <c r="Z10" s="1351"/>
      <c r="AA10" s="1351">
        <f>AA8/X8-1</f>
        <v>0.12643678160919536</v>
      </c>
      <c r="AB10" s="1351">
        <f>AB8/AA8-1</f>
        <v>0.13265306122448983</v>
      </c>
      <c r="AC10" s="1351">
        <f>AC8/AB8-1</f>
        <v>0.12612612612612617</v>
      </c>
      <c r="AD10" s="1351">
        <f>AD8/AC8-1</f>
        <v>0.1120000000000001</v>
      </c>
      <c r="AE10" s="1352" t="s">
        <v>88</v>
      </c>
      <c r="AF10" s="1351"/>
      <c r="AG10" s="1351">
        <f>AG8/AD8-1</f>
        <v>0.1151079136690647</v>
      </c>
      <c r="AH10" s="1351">
        <f>AH8/AG8-1</f>
        <v>9.0322580645161299E-2</v>
      </c>
      <c r="AI10" s="1351">
        <f>AI8/AH8-1</f>
        <v>0.10650887573964507</v>
      </c>
      <c r="AJ10" s="1351">
        <f>AJ8/AI8-1</f>
        <v>9.625668449197855E-2</v>
      </c>
      <c r="AK10" s="1352" t="s">
        <v>88</v>
      </c>
      <c r="AL10" s="1351"/>
      <c r="AM10" s="1351">
        <f>AM8/AJ8-1</f>
        <v>0.1073170731707318</v>
      </c>
      <c r="AN10" s="1351">
        <f>AN8/AM8-1</f>
        <v>9.2511013215859084E-2</v>
      </c>
      <c r="AO10" s="1351">
        <f>AO8/AN8-1</f>
        <v>9.2741935483870996E-2</v>
      </c>
      <c r="AP10" s="1351">
        <f>AP8/AO8-1</f>
        <v>9.9630996309963082E-2</v>
      </c>
      <c r="AQ10" s="1354" t="s">
        <v>88</v>
      </c>
      <c r="AR10" s="1351"/>
      <c r="AS10" s="1351">
        <f>AS8/AP8-1</f>
        <v>8.3892617449664364E-2</v>
      </c>
      <c r="AT10" s="1351">
        <f>AT8/AS8-1</f>
        <v>9.2879256965944235E-2</v>
      </c>
      <c r="AU10" s="1351">
        <f>AU8/AT8-1</f>
        <v>7.932011331444766E-2</v>
      </c>
      <c r="AV10" s="1351">
        <f>AV8/AU8-1</f>
        <v>7.6115485564304475E-2</v>
      </c>
      <c r="AW10" s="1354" t="s">
        <v>88</v>
      </c>
      <c r="AX10" s="1351"/>
      <c r="AY10" s="1351">
        <f>AY8/AW8-1</f>
        <v>6.341463414634152E-2</v>
      </c>
      <c r="AZ10" s="1351">
        <f>AZ8/AY8-1</f>
        <v>9.4036697247706469E-2</v>
      </c>
      <c r="BA10" s="1351">
        <f>BA8/AZ8-1</f>
        <v>8.595387840670865E-2</v>
      </c>
      <c r="BB10" s="1351">
        <f>BB8/BA8-1</f>
        <v>6.9498069498069581E-2</v>
      </c>
      <c r="BC10" s="1354" t="s">
        <v>88</v>
      </c>
      <c r="BD10" s="1351"/>
      <c r="BE10" s="1351">
        <f>BE8/BC8-1</f>
        <v>7.0397111913357291E-2</v>
      </c>
      <c r="BF10" s="1351">
        <f>BF8/BE8-1</f>
        <v>6.5767284991568253E-2</v>
      </c>
      <c r="BG10" s="1351">
        <f>BG8/BF8-1</f>
        <v>7.4367088607594889E-2</v>
      </c>
      <c r="BH10" s="1351">
        <f>BH8/BG8-1</f>
        <v>6.7746686303387316E-2</v>
      </c>
      <c r="BI10" s="1354" t="s">
        <v>88</v>
      </c>
      <c r="BJ10" s="1350"/>
      <c r="BK10" s="1351">
        <f>BK8/BI8-1</f>
        <v>6.6206896551724181E-2</v>
      </c>
      <c r="BL10" s="1351">
        <f>BL8/BK8-1</f>
        <v>6.5976714100905554E-2</v>
      </c>
      <c r="BM10" s="1351">
        <f>BM8/BL8-1</f>
        <v>5.8252427184465994E-2</v>
      </c>
      <c r="BN10" s="1351">
        <f>BN8/BM8-1</f>
        <v>5.8486238532110102E-2</v>
      </c>
      <c r="BO10" s="1355" t="s">
        <v>88</v>
      </c>
      <c r="BP10" s="1350"/>
      <c r="BQ10" s="1351">
        <f>BQ8/BO8-1</f>
        <v>5.8504875406283796E-2</v>
      </c>
      <c r="BR10" s="1351">
        <f>BR8/BQ8-1</f>
        <v>6.4483111566018492E-2</v>
      </c>
      <c r="BS10" s="1351">
        <f>BS8/BR8-1</f>
        <v>6.25E-2</v>
      </c>
      <c r="BT10" s="1351">
        <f>BT8/BS8-1</f>
        <v>5.9755656108597233E-2</v>
      </c>
      <c r="BU10" s="1354" t="s">
        <v>88</v>
      </c>
      <c r="BV10" s="1350"/>
      <c r="BW10" s="1351">
        <f>BW8/BU8-1</f>
        <v>3.6719810764882288E-2</v>
      </c>
      <c r="BX10" s="1351">
        <f>BX8/BW8-1</f>
        <v>3.953773794716775E-2</v>
      </c>
      <c r="BY10" s="1351">
        <f>BY8/BX8-1</f>
        <v>3.8826335348605134E-2</v>
      </c>
      <c r="BZ10" s="1351">
        <f>BZ8/BY8-1</f>
        <v>4.0426229758281584E-2</v>
      </c>
      <c r="CA10" s="1354" t="s">
        <v>88</v>
      </c>
      <c r="CB10" s="1350"/>
      <c r="CC10" s="1351">
        <f>CC8/CA8-1</f>
        <v>3.2990476749045206E-2</v>
      </c>
      <c r="CD10" s="1351">
        <f>CD8/CC8-1</f>
        <v>8.3657678179857919E-2</v>
      </c>
      <c r="CE10" s="1351">
        <f>CE8/CD8-1</f>
        <v>3.4145522398907557E-2</v>
      </c>
      <c r="CF10" s="1351">
        <f>CF8/CE8-1</f>
        <v>3.4831219588521867E-2</v>
      </c>
      <c r="CG10" s="1354" t="s">
        <v>88</v>
      </c>
      <c r="CH10" s="1350"/>
      <c r="CI10" s="1351">
        <f>CI8/CG8-1</f>
        <v>3.1822904315534473E-2</v>
      </c>
      <c r="CJ10" s="1351">
        <f>CJ8/CI8-1</f>
        <v>4.2288359238328521E-2</v>
      </c>
      <c r="CK10" s="1351">
        <f>CK8/CJ8-1</f>
        <v>2.5909421827869927E-2</v>
      </c>
      <c r="CL10" s="1351">
        <f>CL8/CK8-1</f>
        <v>3.6985371956231194E-2</v>
      </c>
      <c r="CM10" s="1354" t="s">
        <v>88</v>
      </c>
      <c r="CN10" s="1350"/>
      <c r="CO10" s="1351">
        <f>CO8/CM8-1</f>
        <v>2.446611218805983E-2</v>
      </c>
      <c r="CP10" s="1351">
        <f>CP8/CO8-1</f>
        <v>3.1293275566762757E-2</v>
      </c>
      <c r="CQ10" s="1351">
        <f>CQ8/CP8-1</f>
        <v>2.4545414756365513E-2</v>
      </c>
      <c r="CR10" s="1351">
        <f>CR8/CQ8-1</f>
        <v>2.3957371145135964E-2</v>
      </c>
      <c r="CS10" s="1354" t="s">
        <v>88</v>
      </c>
      <c r="CT10" s="1350"/>
      <c r="CU10" s="1351">
        <f>CU8/CS8-1</f>
        <v>2.0918771712709283E-2</v>
      </c>
      <c r="CV10" s="1351">
        <f>CV8/CU8-1</f>
        <v>2.8068847482583648E-2</v>
      </c>
      <c r="CW10" s="1351">
        <f>CW8/CV8-1</f>
        <v>1.7957231964922826E-2</v>
      </c>
      <c r="CX10" s="1351">
        <f>CX8/CW8-1</f>
        <v>2.5345485870221562E-2</v>
      </c>
      <c r="CY10" s="1354" t="s">
        <v>88</v>
      </c>
      <c r="CZ10" s="1350"/>
      <c r="DA10" s="1351">
        <f>DA8/CY8-1</f>
        <v>8.8403464418691513E-3</v>
      </c>
      <c r="DB10" s="1351">
        <f>DB8/DA8-1</f>
        <v>2.5928666565212977E-2</v>
      </c>
      <c r="DC10" s="1351">
        <f>DC8/DB8-1</f>
        <v>1.3698287607245341E-2</v>
      </c>
      <c r="DD10" s="1351">
        <f>DD8/DC8-1</f>
        <v>2.1161086716636968E-2</v>
      </c>
      <c r="DE10" s="1354" t="s">
        <v>88</v>
      </c>
      <c r="DF10" s="1350"/>
      <c r="DG10" s="1351">
        <f>DG8/DE8-1</f>
        <v>8.0221772041819683E-3</v>
      </c>
      <c r="DH10" s="1351">
        <f>DH8/DG8-1</f>
        <v>2.6463556699699575E-2</v>
      </c>
      <c r="DI10" s="1351">
        <f>DI8/DH8-1</f>
        <v>1.3381487007484427E-2</v>
      </c>
      <c r="DJ10" s="1351">
        <f>DJ8/DI8-1</f>
        <v>2.1044141190801779E-2</v>
      </c>
      <c r="DK10" s="1354" t="s">
        <v>88</v>
      </c>
      <c r="DL10" s="1350"/>
      <c r="DM10" s="1351">
        <f>DM8/DK8-1</f>
        <v>8.6788060362579245E-3</v>
      </c>
      <c r="DN10" s="1351">
        <f>DN8/DM8-1</f>
        <v>2.8613522428369231E-2</v>
      </c>
      <c r="DO10" s="1351">
        <f>DO8/DN8-1</f>
        <v>1.3288753255389807E-2</v>
      </c>
      <c r="DP10" s="1351">
        <f>DP8/DO8-1</f>
        <v>1.9070495744852423E-2</v>
      </c>
      <c r="DQ10" s="1354" t="s">
        <v>88</v>
      </c>
      <c r="DR10" s="1350"/>
      <c r="DS10" s="1351">
        <f>DS8/DQ8-1</f>
        <v>8.594890951009182E-3</v>
      </c>
      <c r="DT10" s="1351">
        <f>DT8/DS8-1</f>
        <v>2.9649958196828807E-2</v>
      </c>
      <c r="DU10" s="1351">
        <f>DU8/DT8-1</f>
        <v>1.3760825742346938E-2</v>
      </c>
      <c r="DV10" s="1351">
        <f>DV8/DU8-1</f>
        <v>1.925405923746859E-2</v>
      </c>
      <c r="DW10" s="1354" t="s">
        <v>88</v>
      </c>
      <c r="EA10" s="1357"/>
      <c r="EB10" s="1358"/>
      <c r="EC10" s="1358"/>
      <c r="ED10" s="1358"/>
      <c r="EE10" s="1358"/>
      <c r="EF10" s="1358"/>
      <c r="EG10" s="1358"/>
      <c r="EH10" s="1358"/>
      <c r="EI10" s="1358"/>
      <c r="EJ10" s="656"/>
      <c r="EK10" s="656"/>
      <c r="EL10" s="656"/>
    </row>
    <row r="11" spans="1:142" s="1356" customFormat="1">
      <c r="A11" s="1350" t="s">
        <v>859</v>
      </c>
      <c r="B11" s="1350"/>
      <c r="C11" s="1351"/>
      <c r="D11" s="1353"/>
      <c r="E11" s="1353"/>
      <c r="F11" s="1353"/>
      <c r="G11" s="1352"/>
      <c r="H11" s="1351"/>
      <c r="I11" s="1359">
        <f>I8-F8</f>
        <v>401</v>
      </c>
      <c r="J11" s="1359">
        <f>J8-I8</f>
        <v>456</v>
      </c>
      <c r="K11" s="1359">
        <f>K8-J8</f>
        <v>523</v>
      </c>
      <c r="L11" s="1359">
        <f>L8-K8</f>
        <v>620</v>
      </c>
      <c r="M11" s="1359">
        <f>SUM(I11:L11)</f>
        <v>2000</v>
      </c>
      <c r="N11" s="1351"/>
      <c r="O11" s="1359">
        <f>O8-L8</f>
        <v>800</v>
      </c>
      <c r="P11" s="1359">
        <f>P8-O8</f>
        <v>600</v>
      </c>
      <c r="Q11" s="1359">
        <f>Q8-P8</f>
        <v>200</v>
      </c>
      <c r="R11" s="1359">
        <f>R8-Q8</f>
        <v>600</v>
      </c>
      <c r="S11" s="1359">
        <f>SUM(O11:R11)</f>
        <v>2200</v>
      </c>
      <c r="T11" s="1351"/>
      <c r="U11" s="1359">
        <f>U8-R8</f>
        <v>600</v>
      </c>
      <c r="V11" s="1359">
        <f>V8-U8</f>
        <v>700</v>
      </c>
      <c r="W11" s="1359">
        <f>W8-V8</f>
        <v>700</v>
      </c>
      <c r="X11" s="1359">
        <f>X8-W8</f>
        <v>1000</v>
      </c>
      <c r="Y11" s="1359">
        <f>SUM(U11:X11)</f>
        <v>3000</v>
      </c>
      <c r="Z11" s="1351"/>
      <c r="AA11" s="1359">
        <f>AA8-X8</f>
        <v>1100</v>
      </c>
      <c r="AB11" s="1359">
        <f>AB8-AA8</f>
        <v>1300</v>
      </c>
      <c r="AC11" s="1359">
        <f>AC8-AB8</f>
        <v>1400</v>
      </c>
      <c r="AD11" s="1359">
        <f>AD8-AC8</f>
        <v>1400</v>
      </c>
      <c r="AE11" s="1359">
        <f>SUM(AA11:AD11)</f>
        <v>5200</v>
      </c>
      <c r="AF11" s="1351"/>
      <c r="AG11" s="1359">
        <f>AG8-AD8</f>
        <v>1600</v>
      </c>
      <c r="AH11" s="1359">
        <f>AH8-AG8</f>
        <v>1400</v>
      </c>
      <c r="AI11" s="1359">
        <f>AI8-AH8</f>
        <v>1800</v>
      </c>
      <c r="AJ11" s="1359">
        <f>AJ8-AI8</f>
        <v>1800</v>
      </c>
      <c r="AK11" s="1359">
        <f>SUM(AG11:AJ11)</f>
        <v>6600</v>
      </c>
      <c r="AL11" s="1351"/>
      <c r="AM11" s="1359">
        <f>AM8-AJ8</f>
        <v>2200</v>
      </c>
      <c r="AN11" s="1359">
        <f>AN8-AM8</f>
        <v>2100</v>
      </c>
      <c r="AO11" s="1359">
        <f>AO8-AN8</f>
        <v>2300</v>
      </c>
      <c r="AP11" s="1359">
        <f>AP8-AO8</f>
        <v>2700</v>
      </c>
      <c r="AQ11" s="1360">
        <f>SUM(AM11:AP11)</f>
        <v>9300</v>
      </c>
      <c r="AR11" s="1351"/>
      <c r="AS11" s="1359">
        <f>AS8-AP8</f>
        <v>2500</v>
      </c>
      <c r="AT11" s="1359">
        <f>AT8-AS8</f>
        <v>3000</v>
      </c>
      <c r="AU11" s="1359">
        <f>AU8-AT8</f>
        <v>2800</v>
      </c>
      <c r="AV11" s="1359">
        <f>AV8-AU8</f>
        <v>2900</v>
      </c>
      <c r="AW11" s="1360">
        <f>SUM(AS11:AV11)</f>
        <v>11200</v>
      </c>
      <c r="AX11" s="1351"/>
      <c r="AY11" s="1359">
        <f>AY8-AV8</f>
        <v>2600</v>
      </c>
      <c r="AZ11" s="1359">
        <f>AZ8-AY8</f>
        <v>4100</v>
      </c>
      <c r="BA11" s="1359">
        <f>BA8-AZ8</f>
        <v>4100</v>
      </c>
      <c r="BB11" s="1359">
        <f>BB8-BA8</f>
        <v>3600</v>
      </c>
      <c r="BC11" s="1360">
        <f>SUM(AY11:BB11)</f>
        <v>14400</v>
      </c>
      <c r="BD11" s="1351"/>
      <c r="BE11" s="1359">
        <v>3900</v>
      </c>
      <c r="BF11" s="1359">
        <v>3900</v>
      </c>
      <c r="BG11" s="1359">
        <v>4700</v>
      </c>
      <c r="BH11" s="1359">
        <v>4600</v>
      </c>
      <c r="BI11" s="1360">
        <f>SUM(BE11:BH11)</f>
        <v>17100</v>
      </c>
      <c r="BJ11" s="1350"/>
      <c r="BK11" s="1359">
        <v>4800</v>
      </c>
      <c r="BL11" s="1359">
        <f>BL8-BK8</f>
        <v>5100</v>
      </c>
      <c r="BM11" s="1359">
        <f>BM8-BL8</f>
        <v>4800</v>
      </c>
      <c r="BN11" s="1359">
        <f>BN8-BM8</f>
        <v>5100</v>
      </c>
      <c r="BO11" s="1361">
        <f>SUM(BK11:BN11)</f>
        <v>19800</v>
      </c>
      <c r="BP11" s="1350"/>
      <c r="BQ11" s="1359">
        <v>5400</v>
      </c>
      <c r="BR11" s="1359">
        <v>6300</v>
      </c>
      <c r="BS11" s="1359">
        <v>6500</v>
      </c>
      <c r="BT11" s="1359">
        <v>6603</v>
      </c>
      <c r="BU11" s="1360">
        <f>SUM(BQ11:BT11)</f>
        <v>24803</v>
      </c>
      <c r="BV11" s="1350"/>
      <c r="BW11" s="1359">
        <v>4300</v>
      </c>
      <c r="BX11" s="1359">
        <v>4800</v>
      </c>
      <c r="BY11" s="1359">
        <v>4900</v>
      </c>
      <c r="BZ11" s="1359">
        <v>5300</v>
      </c>
      <c r="CA11" s="1360">
        <f>SUM(BW11:BZ11)</f>
        <v>19300</v>
      </c>
      <c r="CB11" s="1350"/>
      <c r="CC11" s="1359">
        <v>4500</v>
      </c>
      <c r="CD11" s="1359">
        <f>(CD111*1000000)/CD115+6000</f>
        <v>11787.617828576527</v>
      </c>
      <c r="CE11" s="1359">
        <f>(CE111*1000000)/CE115</f>
        <v>5213.7009111687003</v>
      </c>
      <c r="CF11" s="1359">
        <v>5500</v>
      </c>
      <c r="CG11" s="1360">
        <f>SUM(CC11:CF11)</f>
        <v>27001.318739745228</v>
      </c>
      <c r="CH11" s="1350"/>
      <c r="CI11" s="1359">
        <v>5200</v>
      </c>
      <c r="CJ11" s="1359">
        <v>7130</v>
      </c>
      <c r="CK11" s="1359">
        <v>4553.1745938614131</v>
      </c>
      <c r="CL11" s="1359">
        <v>6668</v>
      </c>
      <c r="CM11" s="1360">
        <f>SUM(CI11:CL11)</f>
        <v>23551.174593861411</v>
      </c>
      <c r="CN11" s="1350"/>
      <c r="CO11" s="1359">
        <v>4574.0740740740739</v>
      </c>
      <c r="CP11" s="1359">
        <v>5993.587532071434</v>
      </c>
      <c r="CQ11" s="1359">
        <v>4848.2877619820592</v>
      </c>
      <c r="CR11" s="1359">
        <v>4848.2877619820592</v>
      </c>
      <c r="CS11" s="1360">
        <f>SUM(CO11:CR11)</f>
        <v>20264.237130109628</v>
      </c>
      <c r="CT11" s="1350"/>
      <c r="CU11" s="1805">
        <v>4334.7822359396423</v>
      </c>
      <c r="CV11" s="1359">
        <v>5938.0913512189209</v>
      </c>
      <c r="CW11" s="1359">
        <v>3905.565141596659</v>
      </c>
      <c r="CX11" s="1359">
        <v>5611.4441689607174</v>
      </c>
      <c r="CY11" s="1360">
        <f>SUM(CU11:CX11)</f>
        <v>19789.882897715939</v>
      </c>
      <c r="CZ11" s="1350"/>
      <c r="DA11" s="1805">
        <v>2006.8436277498342</v>
      </c>
      <c r="DB11" s="1359">
        <v>5938.0913512189209</v>
      </c>
      <c r="DC11" s="1359">
        <v>3218.4749777972461</v>
      </c>
      <c r="DD11" s="1359">
        <v>5040</v>
      </c>
      <c r="DE11" s="1360">
        <f>SUM(DA11:DD11)</f>
        <v>16203.409956766001</v>
      </c>
      <c r="DF11" s="1350"/>
      <c r="DG11" s="1359">
        <f>(DG111*1000000)/DG115</f>
        <v>1951.0979714234497</v>
      </c>
      <c r="DH11" s="1359">
        <f>(DH111*1000000)/DH115</f>
        <v>6487.9146244799313</v>
      </c>
      <c r="DI11" s="1359">
        <f>(DI111*1000000)/DI115</f>
        <v>3367.4784489915623</v>
      </c>
      <c r="DJ11" s="1359">
        <f>(DJ111*1000000)/DJ115</f>
        <v>5366.6666666666661</v>
      </c>
      <c r="DK11" s="1360">
        <f>SUM(DG11:DJ11)</f>
        <v>17173.157711561609</v>
      </c>
      <c r="DL11" s="1350"/>
      <c r="DM11" s="1359">
        <f>(DM111*1000000)/DM115</f>
        <v>2259.8411596792535</v>
      </c>
      <c r="DN11" s="1359">
        <f>(DN111*1000000)/DN115</f>
        <v>7515.2278466394791</v>
      </c>
      <c r="DO11" s="1359">
        <f>(DO111*1000000)/DO115</f>
        <v>3590.1061908971155</v>
      </c>
      <c r="DP11" s="1359">
        <f>(DP111*1000000)/DP115</f>
        <v>5220.574074074073</v>
      </c>
      <c r="DQ11" s="1360">
        <f>SUM(DM11:DP11)</f>
        <v>18585.749271289918</v>
      </c>
      <c r="DR11" s="1350"/>
      <c r="DS11" s="1359">
        <f>(DS111*1000000)/DS115</f>
        <v>2397.7333193300524</v>
      </c>
      <c r="DT11" s="1359">
        <f>(DT111*1000000)/DT115</f>
        <v>8342.5987642000655</v>
      </c>
      <c r="DU11" s="1359">
        <f>(DU111*1000000)/DU115</f>
        <v>3986.6799580952866</v>
      </c>
      <c r="DV11" s="1359">
        <f>(DV111*1000000)/DV115</f>
        <v>5654.8968338477362</v>
      </c>
      <c r="DW11" s="1360">
        <f>SUM(DS11:DV11)</f>
        <v>20381.908875473142</v>
      </c>
      <c r="EA11" s="1349"/>
      <c r="EC11" s="651"/>
      <c r="ED11" s="651"/>
      <c r="EE11" s="651"/>
      <c r="EF11" s="651"/>
      <c r="EG11" s="651"/>
      <c r="EH11" s="651"/>
      <c r="EI11" s="651"/>
      <c r="EJ11" s="656"/>
      <c r="EK11" s="656"/>
      <c r="EL11" s="656"/>
    </row>
    <row r="12" spans="1:142" s="1356" customFormat="1">
      <c r="A12" s="1350" t="s">
        <v>877</v>
      </c>
      <c r="B12" s="1350"/>
      <c r="C12" s="1351"/>
      <c r="D12" s="1353"/>
      <c r="E12" s="1353"/>
      <c r="F12" s="1353"/>
      <c r="G12" s="1352"/>
      <c r="H12" s="1351"/>
      <c r="I12" s="1359"/>
      <c r="J12" s="1359"/>
      <c r="K12" s="1359"/>
      <c r="L12" s="1359"/>
      <c r="M12" s="1359"/>
      <c r="N12" s="1351"/>
      <c r="O12" s="1351">
        <f>O11/I11-1</f>
        <v>0.99501246882793026</v>
      </c>
      <c r="P12" s="1351">
        <f>P11/J11-1</f>
        <v>0.31578947368421062</v>
      </c>
      <c r="Q12" s="1351">
        <f>Q11/K11-1</f>
        <v>-0.61759082217973238</v>
      </c>
      <c r="R12" s="1351">
        <f>R11/L11-1</f>
        <v>-3.2258064516129004E-2</v>
      </c>
      <c r="S12" s="1351">
        <f>S11/M11-1</f>
        <v>0.10000000000000009</v>
      </c>
      <c r="T12" s="1351"/>
      <c r="U12" s="1351">
        <f>U11/O11-1</f>
        <v>-0.25</v>
      </c>
      <c r="V12" s="1351">
        <f>V11/P11-1</f>
        <v>0.16666666666666674</v>
      </c>
      <c r="W12" s="1351">
        <f>W11/Q11-1</f>
        <v>2.5</v>
      </c>
      <c r="X12" s="1351">
        <f>X11/R11-1</f>
        <v>0.66666666666666674</v>
      </c>
      <c r="Y12" s="1351">
        <f>Y11/S11-1</f>
        <v>0.36363636363636354</v>
      </c>
      <c r="Z12" s="1351"/>
      <c r="AA12" s="1351">
        <f>AA11/U11-1</f>
        <v>0.83333333333333326</v>
      </c>
      <c r="AB12" s="1351">
        <f>AB11/V11-1</f>
        <v>0.85714285714285721</v>
      </c>
      <c r="AC12" s="1351">
        <f>AC11/W11-1</f>
        <v>1</v>
      </c>
      <c r="AD12" s="1351">
        <f>AD11/X11-1</f>
        <v>0.39999999999999991</v>
      </c>
      <c r="AE12" s="1351">
        <f>AE11/Y11-1</f>
        <v>0.73333333333333339</v>
      </c>
      <c r="AF12" s="1351"/>
      <c r="AG12" s="1351">
        <f>AG11/AA11-1</f>
        <v>0.45454545454545459</v>
      </c>
      <c r="AH12" s="1351">
        <f>AH11/AB11-1</f>
        <v>7.6923076923076872E-2</v>
      </c>
      <c r="AI12" s="1351">
        <f>AI11/AC11-1</f>
        <v>0.28571428571428581</v>
      </c>
      <c r="AJ12" s="1351">
        <f>AJ11/AD11-1</f>
        <v>0.28571428571428581</v>
      </c>
      <c r="AK12" s="1351">
        <f>AK11/AE11-1</f>
        <v>0.26923076923076916</v>
      </c>
      <c r="AL12" s="1351"/>
      <c r="AM12" s="1351">
        <f>AM11/AG11-1</f>
        <v>0.375</v>
      </c>
      <c r="AN12" s="1351">
        <f>AN11/AH11-1</f>
        <v>0.5</v>
      </c>
      <c r="AO12" s="1351">
        <f>AO11/AI11-1</f>
        <v>0.27777777777777768</v>
      </c>
      <c r="AP12" s="1351">
        <f>AP11/AJ11-1</f>
        <v>0.5</v>
      </c>
      <c r="AQ12" s="1362">
        <f>AQ11/AK11-1</f>
        <v>0.40909090909090917</v>
      </c>
      <c r="AR12" s="1351"/>
      <c r="AS12" s="1351">
        <f>AS11/AM11-1</f>
        <v>0.13636363636363646</v>
      </c>
      <c r="AT12" s="1351">
        <f>AT11/AN11-1</f>
        <v>0.4285714285714286</v>
      </c>
      <c r="AU12" s="1351">
        <f>AU11/AO11-1</f>
        <v>0.21739130434782616</v>
      </c>
      <c r="AV12" s="1351">
        <f>AV11/AP11-1</f>
        <v>7.4074074074074181E-2</v>
      </c>
      <c r="AW12" s="1362">
        <f>AW11/AQ11-1</f>
        <v>0.20430107526881724</v>
      </c>
      <c r="AX12" s="1351"/>
      <c r="AY12" s="1351">
        <f>AY11/AS11-1</f>
        <v>4.0000000000000036E-2</v>
      </c>
      <c r="AZ12" s="1351">
        <f>AZ11/AT11-1</f>
        <v>0.3666666666666667</v>
      </c>
      <c r="BA12" s="1351">
        <f>BA11/AU11-1</f>
        <v>0.46428571428571419</v>
      </c>
      <c r="BB12" s="1351">
        <f>BB11/AV11-1</f>
        <v>0.24137931034482762</v>
      </c>
      <c r="BC12" s="1362">
        <f>BC11/AW11-1</f>
        <v>0.28571428571428581</v>
      </c>
      <c r="BD12" s="1351"/>
      <c r="BE12" s="1351">
        <f>BE11/AY11-1</f>
        <v>0.5</v>
      </c>
      <c r="BF12" s="1351">
        <f>BF11/AZ11-1</f>
        <v>-4.8780487804878092E-2</v>
      </c>
      <c r="BG12" s="1351">
        <f>BG11/BA11-1</f>
        <v>0.14634146341463405</v>
      </c>
      <c r="BH12" s="1351">
        <f>BH11/BB11-1</f>
        <v>0.27777777777777768</v>
      </c>
      <c r="BI12" s="1362">
        <f>BI11/BC11-1</f>
        <v>0.1875</v>
      </c>
      <c r="BJ12" s="1350"/>
      <c r="BK12" s="1351">
        <f>BK11/BE11-1</f>
        <v>0.23076923076923084</v>
      </c>
      <c r="BL12" s="1351">
        <f>BL11/BF11-1</f>
        <v>0.30769230769230771</v>
      </c>
      <c r="BM12" s="1351">
        <f>BM11/BG11-1</f>
        <v>2.1276595744680771E-2</v>
      </c>
      <c r="BN12" s="1351">
        <f>BN11/BH11-1</f>
        <v>0.10869565217391308</v>
      </c>
      <c r="BO12" s="1363">
        <f>BO11/BI11-1</f>
        <v>0.15789473684210531</v>
      </c>
      <c r="BP12" s="1350"/>
      <c r="BQ12" s="1351">
        <f>BQ11/BK11-1</f>
        <v>0.125</v>
      </c>
      <c r="BR12" s="1351">
        <f>BR11/BL11-1</f>
        <v>0.23529411764705888</v>
      </c>
      <c r="BS12" s="1351">
        <f>BS11/BM11-1</f>
        <v>0.35416666666666674</v>
      </c>
      <c r="BT12" s="1351">
        <f>BT11/BN11-1</f>
        <v>0.29470588235294115</v>
      </c>
      <c r="BU12" s="1362">
        <f>BU11/BO11-1</f>
        <v>0.25267676767676761</v>
      </c>
      <c r="BV12" s="1350"/>
      <c r="BW12" s="1351">
        <f>BW11/BQ11-1</f>
        <v>-0.20370370370370372</v>
      </c>
      <c r="BX12" s="1351">
        <f>BX11/BR11-1</f>
        <v>-0.23809523809523814</v>
      </c>
      <c r="BY12" s="1351">
        <f>BY11/BS11-1</f>
        <v>-0.24615384615384617</v>
      </c>
      <c r="BZ12" s="1351">
        <f>BZ11/BT11-1</f>
        <v>-0.19733454490383162</v>
      </c>
      <c r="CA12" s="1362">
        <f>CA11/BU11-1</f>
        <v>-0.22186832238035725</v>
      </c>
      <c r="CB12" s="1350"/>
      <c r="CC12" s="1351">
        <f>CC11/BW11-1</f>
        <v>4.6511627906976827E-2</v>
      </c>
      <c r="CD12" s="1351">
        <f>CD11/BX11-1</f>
        <v>1.4557537142867765</v>
      </c>
      <c r="CE12" s="1351">
        <f>CE11/BY11-1</f>
        <v>6.4020594116061202E-2</v>
      </c>
      <c r="CF12" s="1351">
        <f>CF11/BZ11-1</f>
        <v>3.7735849056603765E-2</v>
      </c>
      <c r="CG12" s="1362">
        <f>CG11/CA11-1</f>
        <v>0.39903205905415695</v>
      </c>
      <c r="CH12" s="1350"/>
      <c r="CI12" s="1351">
        <f>CI11/CC11-1</f>
        <v>0.15555555555555545</v>
      </c>
      <c r="CJ12" s="1351">
        <f>CJ11/CD11-1</f>
        <v>-0.39512799755733019</v>
      </c>
      <c r="CK12" s="1351">
        <f>CK11/CE11-1</f>
        <v>-0.12669048887946743</v>
      </c>
      <c r="CL12" s="1351">
        <f>CL11/CF11-1</f>
        <v>0.21236363636363631</v>
      </c>
      <c r="CM12" s="1362">
        <f>CM11/CG11-1</f>
        <v>-0.12777687560886775</v>
      </c>
      <c r="CN12" s="1350"/>
      <c r="CO12" s="1351">
        <f>CO11/CI11-1</f>
        <v>-0.12037037037037035</v>
      </c>
      <c r="CP12" s="1351">
        <f>CP11/CJ11-1</f>
        <v>-0.15938463785814394</v>
      </c>
      <c r="CQ12" s="1351">
        <f>CQ11/CK11-1</f>
        <v>6.4814814814814659E-2</v>
      </c>
      <c r="CR12" s="1351">
        <f>CR11/CL11-1</f>
        <v>-0.2729022552516408</v>
      </c>
      <c r="CS12" s="1362">
        <f>CS11/CM11-1</f>
        <v>-0.13956575501794799</v>
      </c>
      <c r="CT12" s="1350"/>
      <c r="CU12" s="1351">
        <f>CU11/CO11-1</f>
        <v>-5.2314814814815036E-2</v>
      </c>
      <c r="CV12" s="1351">
        <f>CV11/CP11-1</f>
        <v>-9.2592592592591894E-3</v>
      </c>
      <c r="CW12" s="1351">
        <f>CW11/CQ11-1</f>
        <v>-0.19444444444444442</v>
      </c>
      <c r="CX12" s="1351">
        <f>CX11/CR11-1</f>
        <v>0.15740740740740766</v>
      </c>
      <c r="CY12" s="1362">
        <f>CY11/CS11-1</f>
        <v>-2.340844263457964E-2</v>
      </c>
      <c r="CZ12" s="1350"/>
      <c r="DA12" s="1351">
        <f>DA11/CU11-1</f>
        <v>-0.53703703703703709</v>
      </c>
      <c r="DB12" s="1351">
        <f>DB11/CV11-1</f>
        <v>0</v>
      </c>
      <c r="DC12" s="1351">
        <f>DC11/CW11-1</f>
        <v>-0.17592592592592615</v>
      </c>
      <c r="DD12" s="1351">
        <f>DD11/CX11-1</f>
        <v>-0.10183549042893769</v>
      </c>
      <c r="DE12" s="1362">
        <f>DE11/CY11-1</f>
        <v>-0.18122759793408749</v>
      </c>
      <c r="DF12" s="1350"/>
      <c r="DG12" s="1351">
        <f>DG11/DA11-1</f>
        <v>-2.7777777777777901E-2</v>
      </c>
      <c r="DH12" s="1351">
        <f>DH11/DB11-1</f>
        <v>9.259259259259256E-2</v>
      </c>
      <c r="DI12" s="1351">
        <f>DI11/DC11-1</f>
        <v>4.6296296296296058E-2</v>
      </c>
      <c r="DJ12" s="1351">
        <f>DJ11/DD11-1</f>
        <v>6.4814814814814659E-2</v>
      </c>
      <c r="DK12" s="1362">
        <f>DK11/DE11-1</f>
        <v>5.984837496447315E-2</v>
      </c>
      <c r="DL12" s="1350"/>
      <c r="DM12" s="1351">
        <f>DM11/DG11-1</f>
        <v>0.1582407407407409</v>
      </c>
      <c r="DN12" s="1351">
        <f>DN11/DH11-1</f>
        <v>0.15834259259259231</v>
      </c>
      <c r="DO12" s="1351">
        <f>DO11/DI11-1</f>
        <v>6.6111111111111009E-2</v>
      </c>
      <c r="DP12" s="1351">
        <f>DP11/DJ11-1</f>
        <v>-2.7222222222222259E-2</v>
      </c>
      <c r="DQ12" s="1362">
        <f>DQ11/DK11-1</f>
        <v>8.2255784489610795E-2</v>
      </c>
      <c r="DR12" s="1350"/>
      <c r="DS12" s="1351">
        <f>DS11/DM11-1</f>
        <v>6.1018518518518583E-2</v>
      </c>
      <c r="DT12" s="1351">
        <f>DT11/DN11-1</f>
        <v>0.11009259259259241</v>
      </c>
      <c r="DU12" s="1351">
        <f>DU11/DO11-1</f>
        <v>0.11046296296296276</v>
      </c>
      <c r="DV12" s="1351">
        <f>DV11/DP11-1</f>
        <v>8.3194444444444571E-2</v>
      </c>
      <c r="DW12" s="1362">
        <f>DW11/DQ11-1</f>
        <v>9.6641764502753524E-2</v>
      </c>
      <c r="EJ12" s="656"/>
      <c r="EK12" s="656"/>
      <c r="EL12" s="656"/>
    </row>
    <row r="13" spans="1:142" s="1356" customFormat="1" ht="4.5" customHeight="1">
      <c r="A13" s="1350"/>
      <c r="B13" s="1350"/>
      <c r="C13" s="1351"/>
      <c r="D13" s="1353"/>
      <c r="E13" s="1353"/>
      <c r="F13" s="1353"/>
      <c r="G13" s="1352"/>
      <c r="H13" s="1351"/>
      <c r="I13" s="1359"/>
      <c r="J13" s="1359"/>
      <c r="K13" s="1359"/>
      <c r="L13" s="1359"/>
      <c r="M13" s="1359"/>
      <c r="N13" s="1351"/>
      <c r="O13" s="1359"/>
      <c r="P13" s="1359"/>
      <c r="Q13" s="1359"/>
      <c r="R13" s="1359"/>
      <c r="S13" s="1359"/>
      <c r="T13" s="1351"/>
      <c r="U13" s="1359"/>
      <c r="V13" s="1359"/>
      <c r="W13" s="1359"/>
      <c r="X13" s="1359"/>
      <c r="Y13" s="1359"/>
      <c r="Z13" s="1351"/>
      <c r="AA13" s="1359"/>
      <c r="AB13" s="1359"/>
      <c r="AC13" s="1359"/>
      <c r="AD13" s="1359"/>
      <c r="AE13" s="1359"/>
      <c r="AF13" s="1351"/>
      <c r="AG13" s="1359"/>
      <c r="AH13" s="1359"/>
      <c r="AI13" s="1359"/>
      <c r="AJ13" s="1359"/>
      <c r="AK13" s="1359"/>
      <c r="AL13" s="1351"/>
      <c r="AM13" s="1359"/>
      <c r="AN13" s="1359"/>
      <c r="AO13" s="1359"/>
      <c r="AP13" s="1359"/>
      <c r="AQ13" s="1360"/>
      <c r="AR13" s="1351"/>
      <c r="AS13" s="1359"/>
      <c r="AT13" s="1359"/>
      <c r="AU13" s="1359"/>
      <c r="AV13" s="1359"/>
      <c r="AW13" s="1360"/>
      <c r="AX13" s="1351"/>
      <c r="AY13" s="1359"/>
      <c r="AZ13" s="1359"/>
      <c r="BA13" s="1359"/>
      <c r="BB13" s="1359"/>
      <c r="BC13" s="1360"/>
      <c r="BD13" s="1351"/>
      <c r="BE13" s="1359"/>
      <c r="BF13" s="1359"/>
      <c r="BG13" s="1359"/>
      <c r="BH13" s="1359"/>
      <c r="BI13" s="1360"/>
      <c r="BJ13" s="1350"/>
      <c r="BK13" s="1359"/>
      <c r="BL13" s="1359"/>
      <c r="BM13" s="1359"/>
      <c r="BN13" s="1359"/>
      <c r="BO13" s="1361"/>
      <c r="BP13" s="1350"/>
      <c r="BQ13" s="1359"/>
      <c r="BR13" s="1359"/>
      <c r="BS13" s="1359"/>
      <c r="BT13" s="1359"/>
      <c r="BU13" s="1360"/>
      <c r="BV13" s="1350"/>
      <c r="BW13" s="1359"/>
      <c r="BX13" s="1359"/>
      <c r="BY13" s="1359"/>
      <c r="BZ13" s="1359"/>
      <c r="CA13" s="1360"/>
      <c r="CB13" s="1350"/>
      <c r="CC13" s="1359"/>
      <c r="CD13" s="1359"/>
      <c r="CE13" s="1359"/>
      <c r="CF13" s="1359"/>
      <c r="CG13" s="1360"/>
      <c r="CH13" s="1350"/>
      <c r="CI13" s="1359"/>
      <c r="CJ13" s="1359"/>
      <c r="CK13" s="1359"/>
      <c r="CL13" s="1359"/>
      <c r="CM13" s="1360"/>
      <c r="CN13" s="1350"/>
      <c r="CO13" s="1359"/>
      <c r="CP13" s="1359"/>
      <c r="CQ13" s="1359"/>
      <c r="CR13" s="1359"/>
      <c r="CS13" s="1360"/>
      <c r="CT13" s="1350"/>
      <c r="CU13" s="1359"/>
      <c r="CV13" s="1359"/>
      <c r="CW13" s="1359"/>
      <c r="CX13" s="1359"/>
      <c r="CY13" s="1360"/>
      <c r="CZ13" s="1350"/>
      <c r="DA13" s="1359"/>
      <c r="DB13" s="1359"/>
      <c r="DC13" s="1359"/>
      <c r="DD13" s="1359"/>
      <c r="DE13" s="1360"/>
      <c r="DF13" s="1350"/>
      <c r="DG13" s="1359"/>
      <c r="DH13" s="1359"/>
      <c r="DI13" s="1359"/>
      <c r="DJ13" s="1359"/>
      <c r="DK13" s="1360"/>
      <c r="DL13" s="1350"/>
      <c r="DM13" s="1359"/>
      <c r="DN13" s="1359"/>
      <c r="DO13" s="1359"/>
      <c r="DP13" s="1359"/>
      <c r="DQ13" s="1360"/>
      <c r="DR13" s="1350"/>
      <c r="DS13" s="1359"/>
      <c r="DT13" s="1359"/>
      <c r="DU13" s="1359"/>
      <c r="DV13" s="1359"/>
      <c r="DW13" s="1360"/>
      <c r="EJ13" s="656"/>
      <c r="EK13" s="656"/>
      <c r="EL13" s="656"/>
    </row>
    <row r="14" spans="1:142" s="1356" customFormat="1" ht="15.75" customHeight="1">
      <c r="A14" s="1350"/>
      <c r="B14" s="1350"/>
      <c r="C14" s="1351"/>
      <c r="D14" s="1353"/>
      <c r="E14" s="1353"/>
      <c r="F14" s="1353"/>
      <c r="G14" s="1352"/>
      <c r="H14" s="1351"/>
      <c r="I14" s="1359"/>
      <c r="J14" s="1359"/>
      <c r="K14" s="1359"/>
      <c r="L14" s="1359"/>
      <c r="M14" s="1359"/>
      <c r="N14" s="1351"/>
      <c r="O14" s="1359"/>
      <c r="P14" s="1359"/>
      <c r="Q14" s="1359"/>
      <c r="R14" s="1359"/>
      <c r="S14" s="1359"/>
      <c r="T14" s="1351"/>
      <c r="U14" s="1359"/>
      <c r="V14" s="1359"/>
      <c r="W14" s="1359"/>
      <c r="X14" s="1359"/>
      <c r="Y14" s="1359"/>
      <c r="Z14" s="1351"/>
      <c r="AA14" s="1359"/>
      <c r="AB14" s="1359"/>
      <c r="AC14" s="1359"/>
      <c r="AD14" s="1359"/>
      <c r="AE14" s="1359"/>
      <c r="AF14" s="1351"/>
      <c r="AG14" s="1359"/>
      <c r="AH14" s="1359"/>
      <c r="AI14" s="1359"/>
      <c r="AJ14" s="1359"/>
      <c r="AK14" s="1359"/>
      <c r="AL14" s="1351"/>
      <c r="AM14" s="1359"/>
      <c r="AN14" s="1359"/>
      <c r="AO14" s="1359"/>
      <c r="AP14" s="1359"/>
      <c r="AQ14" s="1360"/>
      <c r="AR14" s="1351"/>
      <c r="AS14" s="1359"/>
      <c r="AT14" s="1359"/>
      <c r="AU14" s="1359"/>
      <c r="AV14" s="1359"/>
      <c r="AW14" s="1360"/>
      <c r="AX14" s="1351"/>
      <c r="AY14" s="1359"/>
      <c r="AZ14" s="1359"/>
      <c r="BA14" s="1359"/>
      <c r="BB14" s="1359"/>
      <c r="BC14" s="1360">
        <f>BI14-BI15</f>
        <v>5115</v>
      </c>
      <c r="BD14" s="1351"/>
      <c r="BE14" s="1359"/>
      <c r="BF14" s="1359"/>
      <c r="BG14" s="1351">
        <f>BI11/BI8</f>
        <v>0.23586206896551723</v>
      </c>
      <c r="BH14" s="1351">
        <f>BI14/BI8</f>
        <v>9.5862068965517244E-2</v>
      </c>
      <c r="BI14" s="1360">
        <v>6950</v>
      </c>
      <c r="BJ14" s="1350"/>
      <c r="BK14" s="1364">
        <f>BI14/BC14-1</f>
        <v>0.35874877810361672</v>
      </c>
      <c r="BL14" s="1364"/>
      <c r="BM14" s="1364"/>
      <c r="BN14" s="1364"/>
      <c r="BO14" s="1361"/>
      <c r="BP14" s="1350"/>
      <c r="BQ14" s="1359"/>
      <c r="BR14" s="1359"/>
      <c r="BS14" s="1359"/>
      <c r="BT14" s="1359"/>
      <c r="BU14" s="1360"/>
      <c r="BV14" s="1350"/>
      <c r="BW14" s="1359"/>
      <c r="BX14" s="1359"/>
      <c r="BY14" s="1359"/>
      <c r="BZ14" s="1359"/>
      <c r="CA14" s="1360"/>
      <c r="CB14" s="1350"/>
      <c r="CC14" s="1359"/>
      <c r="CD14" s="1359"/>
      <c r="CE14" s="1359"/>
      <c r="CF14" s="1359"/>
      <c r="CG14" s="1360"/>
      <c r="CH14" s="1350"/>
      <c r="CI14" s="1359"/>
      <c r="CJ14" s="1359"/>
      <c r="CK14" s="1359"/>
      <c r="CL14" s="1359"/>
      <c r="CM14" s="1360"/>
      <c r="CN14" s="1350"/>
      <c r="CO14" s="1359"/>
      <c r="CP14" s="1359"/>
      <c r="CQ14" s="1359"/>
      <c r="CR14" s="1359"/>
      <c r="CS14" s="1360"/>
      <c r="CT14" s="1350"/>
      <c r="CU14" s="1359"/>
      <c r="CV14" s="1359"/>
      <c r="CW14" s="1359"/>
      <c r="CX14" s="1359"/>
      <c r="CY14" s="1360"/>
      <c r="CZ14" s="1350"/>
      <c r="DA14" s="1359"/>
      <c r="DB14" s="1359"/>
      <c r="DC14" s="1359"/>
      <c r="DD14" s="1359"/>
      <c r="DE14" s="1360"/>
      <c r="DF14" s="1350"/>
      <c r="DG14" s="1359"/>
      <c r="DH14" s="1359"/>
      <c r="DI14" s="1359"/>
      <c r="DJ14" s="1359"/>
      <c r="DK14" s="1360"/>
      <c r="DL14" s="1350"/>
      <c r="DM14" s="1359"/>
      <c r="DN14" s="1359"/>
      <c r="DO14" s="1359"/>
      <c r="DP14" s="1359"/>
      <c r="DQ14" s="1360"/>
      <c r="DR14" s="1350"/>
      <c r="DS14" s="1359"/>
      <c r="DT14" s="1359"/>
      <c r="DU14" s="1359"/>
      <c r="DV14" s="1359"/>
      <c r="DW14" s="1360"/>
      <c r="EJ14" s="656"/>
      <c r="EK14" s="656"/>
      <c r="EL14" s="656"/>
    </row>
    <row r="15" spans="1:142" s="1356" customFormat="1" ht="16.5" customHeight="1">
      <c r="A15" s="1350"/>
      <c r="B15" s="1350"/>
      <c r="C15" s="1351"/>
      <c r="D15" s="1353"/>
      <c r="E15" s="1353"/>
      <c r="F15" s="1353"/>
      <c r="G15" s="1352"/>
      <c r="H15" s="1351"/>
      <c r="I15" s="1359"/>
      <c r="J15" s="1359"/>
      <c r="K15" s="1359"/>
      <c r="L15" s="1359"/>
      <c r="M15" s="1359"/>
      <c r="N15" s="1351"/>
      <c r="O15" s="1359"/>
      <c r="P15" s="1359"/>
      <c r="Q15" s="1359"/>
      <c r="R15" s="1359"/>
      <c r="S15" s="1359"/>
      <c r="T15" s="1351"/>
      <c r="U15" s="1359"/>
      <c r="V15" s="1359"/>
      <c r="W15" s="1359"/>
      <c r="X15" s="1359"/>
      <c r="Y15" s="1359"/>
      <c r="Z15" s="1351"/>
      <c r="AA15" s="1359"/>
      <c r="AB15" s="1359"/>
      <c r="AC15" s="1359"/>
      <c r="AD15" s="1359"/>
      <c r="AE15" s="1359"/>
      <c r="AF15" s="1351"/>
      <c r="AG15" s="1359"/>
      <c r="AH15" s="1359"/>
      <c r="AI15" s="1359"/>
      <c r="AJ15" s="1359"/>
      <c r="AK15" s="1359"/>
      <c r="AL15" s="1351"/>
      <c r="AM15" s="1359"/>
      <c r="AN15" s="1359"/>
      <c r="AO15" s="1359"/>
      <c r="AP15" s="1359"/>
      <c r="AQ15" s="1360"/>
      <c r="AR15" s="1351"/>
      <c r="AS15" s="1359"/>
      <c r="AT15" s="1359"/>
      <c r="AU15" s="1359"/>
      <c r="AV15" s="1359"/>
      <c r="AW15" s="1360"/>
      <c r="AX15" s="1351"/>
      <c r="AY15" s="1359"/>
      <c r="AZ15" s="1359"/>
      <c r="BA15" s="1359"/>
      <c r="BB15" s="1359"/>
      <c r="BC15" s="1360"/>
      <c r="BD15" s="1351"/>
      <c r="BE15" s="1359"/>
      <c r="BF15" s="1359"/>
      <c r="BG15" s="1359"/>
      <c r="BH15" s="1351">
        <f>BI15/BI14</f>
        <v>0.26402877697841726</v>
      </c>
      <c r="BI15" s="1360">
        <v>1835</v>
      </c>
      <c r="BJ15" s="1350"/>
      <c r="BK15" s="1364">
        <f>BI15/BI11</f>
        <v>0.10730994152046784</v>
      </c>
      <c r="BL15" s="1365"/>
      <c r="BM15" s="1365"/>
      <c r="BN15" s="1365"/>
      <c r="BO15" s="1361"/>
      <c r="BP15" s="1350"/>
      <c r="BQ15" s="1359"/>
      <c r="BR15" s="1359"/>
      <c r="BS15" s="1359"/>
      <c r="BT15" s="1359"/>
      <c r="BU15" s="1360"/>
      <c r="BV15" s="1350"/>
      <c r="BW15" s="1359"/>
      <c r="BX15" s="1359"/>
      <c r="BY15" s="1359"/>
      <c r="BZ15" s="1359"/>
      <c r="CA15" s="1360"/>
      <c r="CB15" s="1350"/>
      <c r="CC15" s="1359"/>
      <c r="CD15" s="1359"/>
      <c r="CE15" s="1359"/>
      <c r="CF15" s="1359"/>
      <c r="CG15" s="1360"/>
      <c r="CH15" s="1350"/>
      <c r="CI15" s="1359"/>
      <c r="CJ15" s="1359"/>
      <c r="CK15" s="1359"/>
      <c r="CL15" s="1359"/>
      <c r="CM15" s="1360"/>
      <c r="CN15" s="1350"/>
      <c r="CO15" s="1359"/>
      <c r="CP15" s="1359"/>
      <c r="CQ15" s="1359"/>
      <c r="CR15" s="1359"/>
      <c r="CS15" s="1360"/>
      <c r="CT15" s="1350"/>
      <c r="CU15" s="1359"/>
      <c r="CV15" s="1359"/>
      <c r="CW15" s="1359"/>
      <c r="CX15" s="1359"/>
      <c r="CY15" s="1360"/>
      <c r="CZ15" s="1350"/>
      <c r="DA15" s="1359"/>
      <c r="DB15" s="1359"/>
      <c r="DC15" s="1359"/>
      <c r="DD15" s="1359"/>
      <c r="DE15" s="1360"/>
      <c r="DF15" s="1350"/>
      <c r="DG15" s="1359"/>
      <c r="DH15" s="1359"/>
      <c r="DI15" s="1359"/>
      <c r="DJ15" s="1359"/>
      <c r="DK15" s="1360"/>
      <c r="DL15" s="1350"/>
      <c r="DM15" s="1359"/>
      <c r="DN15" s="1359"/>
      <c r="DO15" s="1359"/>
      <c r="DP15" s="1359"/>
      <c r="DQ15" s="1360"/>
      <c r="DR15" s="1350"/>
      <c r="DS15" s="1359"/>
      <c r="DT15" s="1359"/>
      <c r="DU15" s="1359"/>
      <c r="DV15" s="1359"/>
      <c r="DW15" s="1360"/>
      <c r="EJ15" s="656"/>
      <c r="EK15" s="656"/>
      <c r="EL15" s="656"/>
    </row>
    <row r="16" spans="1:142" s="1356" customFormat="1" ht="4.5" customHeight="1">
      <c r="A16" s="1350"/>
      <c r="B16" s="1350"/>
      <c r="C16" s="1351"/>
      <c r="D16" s="1353"/>
      <c r="E16" s="1353"/>
      <c r="F16" s="1353"/>
      <c r="G16" s="1352"/>
      <c r="H16" s="1351"/>
      <c r="I16" s="1359"/>
      <c r="J16" s="1359"/>
      <c r="K16" s="1359"/>
      <c r="L16" s="1359"/>
      <c r="M16" s="1359"/>
      <c r="N16" s="1351"/>
      <c r="O16" s="1359"/>
      <c r="P16" s="1359"/>
      <c r="Q16" s="1359"/>
      <c r="R16" s="1359"/>
      <c r="S16" s="1359"/>
      <c r="T16" s="1351"/>
      <c r="U16" s="1359"/>
      <c r="V16" s="1359"/>
      <c r="W16" s="1359"/>
      <c r="X16" s="1359"/>
      <c r="Y16" s="1359"/>
      <c r="Z16" s="1351"/>
      <c r="AA16" s="1359"/>
      <c r="AB16" s="1359"/>
      <c r="AC16" s="1359"/>
      <c r="AD16" s="1359"/>
      <c r="AE16" s="1359"/>
      <c r="AF16" s="1351"/>
      <c r="AG16" s="1359"/>
      <c r="AH16" s="1359"/>
      <c r="AI16" s="1359"/>
      <c r="AJ16" s="1359"/>
      <c r="AK16" s="1359"/>
      <c r="AL16" s="1351"/>
      <c r="AM16" s="1359"/>
      <c r="AN16" s="1359"/>
      <c r="AO16" s="1359"/>
      <c r="AP16" s="1359"/>
      <c r="AQ16" s="1360"/>
      <c r="AR16" s="1351"/>
      <c r="AS16" s="1359"/>
      <c r="AT16" s="1359"/>
      <c r="AU16" s="1359"/>
      <c r="AV16" s="1359"/>
      <c r="AW16" s="1360"/>
      <c r="AX16" s="1351"/>
      <c r="AY16" s="1359"/>
      <c r="AZ16" s="1359"/>
      <c r="BA16" s="1359"/>
      <c r="BB16" s="1359"/>
      <c r="BC16" s="1360"/>
      <c r="BD16" s="1351"/>
      <c r="BE16" s="1359"/>
      <c r="BF16" s="1359"/>
      <c r="BG16" s="1359"/>
      <c r="BH16" s="1359"/>
      <c r="BI16" s="1360"/>
      <c r="BJ16" s="1350"/>
      <c r="BK16" s="1359"/>
      <c r="BL16" s="1359"/>
      <c r="BM16" s="1359"/>
      <c r="BN16" s="1359"/>
      <c r="BO16" s="1361"/>
      <c r="BP16" s="1350"/>
      <c r="BQ16" s="1359"/>
      <c r="BR16" s="1359"/>
      <c r="BS16" s="1359"/>
      <c r="BT16" s="1359"/>
      <c r="BU16" s="1360"/>
      <c r="BV16" s="1350"/>
      <c r="BW16" s="1359"/>
      <c r="BX16" s="1359"/>
      <c r="BY16" s="1359"/>
      <c r="BZ16" s="1359"/>
      <c r="CA16" s="1360"/>
      <c r="CB16" s="1350"/>
      <c r="CC16" s="1359"/>
      <c r="CD16" s="1359"/>
      <c r="CE16" s="1359"/>
      <c r="CF16" s="1359"/>
      <c r="CG16" s="1360"/>
      <c r="CH16" s="1350"/>
      <c r="CI16" s="1359"/>
      <c r="CJ16" s="1359"/>
      <c r="CK16" s="1359"/>
      <c r="CL16" s="1359"/>
      <c r="CM16" s="1360"/>
      <c r="CN16" s="1350"/>
      <c r="CO16" s="1359"/>
      <c r="CP16" s="1359"/>
      <c r="CQ16" s="1359"/>
      <c r="CR16" s="1359"/>
      <c r="CS16" s="1360"/>
      <c r="CT16" s="1350"/>
      <c r="CU16" s="1359"/>
      <c r="CV16" s="1359"/>
      <c r="CW16" s="1359"/>
      <c r="CX16" s="1359"/>
      <c r="CY16" s="1360"/>
      <c r="CZ16" s="1350"/>
      <c r="DA16" s="1359"/>
      <c r="DB16" s="1359"/>
      <c r="DC16" s="1359"/>
      <c r="DD16" s="1359"/>
      <c r="DE16" s="1360"/>
      <c r="DF16" s="1350"/>
      <c r="DG16" s="1359"/>
      <c r="DH16" s="1359"/>
      <c r="DI16" s="1359"/>
      <c r="DJ16" s="1359"/>
      <c r="DK16" s="1360"/>
      <c r="DL16" s="1350"/>
      <c r="DM16" s="1359"/>
      <c r="DN16" s="1359"/>
      <c r="DO16" s="1359"/>
      <c r="DP16" s="1359"/>
      <c r="DQ16" s="1360"/>
      <c r="DR16" s="1350"/>
      <c r="DS16" s="1359"/>
      <c r="DT16" s="1359"/>
      <c r="DU16" s="1359"/>
      <c r="DV16" s="1359"/>
      <c r="DW16" s="1360"/>
      <c r="EJ16" s="656"/>
      <c r="EK16" s="656"/>
      <c r="EL16" s="656"/>
    </row>
    <row r="17" spans="1:149" s="1356" customFormat="1">
      <c r="A17" s="1366" t="s">
        <v>98</v>
      </c>
      <c r="B17" s="1367"/>
      <c r="C17" s="1368"/>
      <c r="D17" s="1369"/>
      <c r="E17" s="1369"/>
      <c r="F17" s="1369"/>
      <c r="G17" s="1370"/>
      <c r="H17" s="1368"/>
      <c r="I17" s="1371"/>
      <c r="J17" s="1371"/>
      <c r="K17" s="1371"/>
      <c r="L17" s="1371"/>
      <c r="M17" s="1371"/>
      <c r="N17" s="1368"/>
      <c r="O17" s="1371">
        <f>AVERAGE(O8,L8)</f>
        <v>3900</v>
      </c>
      <c r="P17" s="1371">
        <f>AVERAGE(P8,O8)</f>
        <v>4600</v>
      </c>
      <c r="Q17" s="1371">
        <f>AVERAGE(Q8,P8)</f>
        <v>5000</v>
      </c>
      <c r="R17" s="1371">
        <f>AVERAGE(R8,Q8)</f>
        <v>5400</v>
      </c>
      <c r="S17" s="1371"/>
      <c r="T17" s="1368"/>
      <c r="U17" s="1371">
        <f>AVERAGE(U8,R8)</f>
        <v>6000</v>
      </c>
      <c r="V17" s="1371">
        <f>AVERAGE(V8,U8)</f>
        <v>6650</v>
      </c>
      <c r="W17" s="1371">
        <f>AVERAGE(W8,V8)</f>
        <v>7350</v>
      </c>
      <c r="X17" s="1371">
        <f>AVERAGE(X8,W8)</f>
        <v>8200</v>
      </c>
      <c r="Y17" s="1371"/>
      <c r="Z17" s="1368"/>
      <c r="AA17" s="1371">
        <f>AVERAGE(AA8,X8)</f>
        <v>9250</v>
      </c>
      <c r="AB17" s="1371">
        <f>AVERAGE(AB8,AA8)</f>
        <v>10450</v>
      </c>
      <c r="AC17" s="1371">
        <f>AVERAGE(AC8,AB8)</f>
        <v>11800</v>
      </c>
      <c r="AD17" s="1371">
        <f>AVERAGE(AD8,AC8)</f>
        <v>13200</v>
      </c>
      <c r="AE17" s="1371"/>
      <c r="AF17" s="1368"/>
      <c r="AG17" s="1371">
        <f>AVERAGE(AG8,AD8)</f>
        <v>14700</v>
      </c>
      <c r="AH17" s="1371">
        <f>AVERAGE(AH8,AG8)</f>
        <v>16200</v>
      </c>
      <c r="AI17" s="1371">
        <f>AVERAGE(AI8,AH8)</f>
        <v>17800</v>
      </c>
      <c r="AJ17" s="1371">
        <f>AVERAGE(AJ8,AI8)</f>
        <v>19600</v>
      </c>
      <c r="AK17" s="1371"/>
      <c r="AL17" s="1368"/>
      <c r="AM17" s="1371">
        <f>AVERAGE(AM8,AJ8)</f>
        <v>21600</v>
      </c>
      <c r="AN17" s="1371">
        <f>AVERAGE(AN8,AM8)</f>
        <v>23750</v>
      </c>
      <c r="AO17" s="1371">
        <f>AVERAGE(AO8,AN8)</f>
        <v>25950</v>
      </c>
      <c r="AP17" s="1371">
        <f>AVERAGE(AP8,AO8)</f>
        <v>28450</v>
      </c>
      <c r="AQ17" s="1372"/>
      <c r="AR17" s="1368"/>
      <c r="AS17" s="1371">
        <f>AVERAGE(AS8,AP8)</f>
        <v>31050</v>
      </c>
      <c r="AT17" s="1371">
        <f>AVERAGE(AT8,AS8)</f>
        <v>33800</v>
      </c>
      <c r="AU17" s="1371">
        <f>AVERAGE(AU8,AT8)</f>
        <v>36700</v>
      </c>
      <c r="AV17" s="1371">
        <f>AVERAGE(AV8,AU8)</f>
        <v>39550</v>
      </c>
      <c r="AW17" s="1372"/>
      <c r="AX17" s="1368"/>
      <c r="AY17" s="1371">
        <f>AVERAGE(AY8,AV8)</f>
        <v>42300</v>
      </c>
      <c r="AZ17" s="1371">
        <f>AVERAGE(AZ8,AY8)</f>
        <v>45650</v>
      </c>
      <c r="BA17" s="1371">
        <f>AVERAGE(BA8,AZ8)</f>
        <v>49750</v>
      </c>
      <c r="BB17" s="1371">
        <f>AVERAGE(BB8,BA8)</f>
        <v>53600</v>
      </c>
      <c r="BC17" s="1372"/>
      <c r="BD17" s="1368"/>
      <c r="BE17" s="1371">
        <f>AVERAGE(BE8,BB8)</f>
        <v>57350</v>
      </c>
      <c r="BF17" s="1371">
        <f>AVERAGE(BF8,BE8)</f>
        <v>61250</v>
      </c>
      <c r="BG17" s="1371">
        <f>AVERAGE(BG8,BF8)</f>
        <v>65550</v>
      </c>
      <c r="BH17" s="1371">
        <f>AVERAGE(BH8,BG8)</f>
        <v>70200</v>
      </c>
      <c r="BI17" s="1372"/>
      <c r="BJ17" s="1367"/>
      <c r="BK17" s="1371">
        <f>AVERAGE(BK8,BH8)</f>
        <v>74900</v>
      </c>
      <c r="BL17" s="1371">
        <f>AVERAGE(BL8,BK8)</f>
        <v>79850</v>
      </c>
      <c r="BM17" s="1371">
        <f>AVERAGE(BM8,BL8)</f>
        <v>84800</v>
      </c>
      <c r="BN17" s="1371">
        <f>AVERAGE(BN8,BM8)</f>
        <v>89750</v>
      </c>
      <c r="BO17" s="1373"/>
      <c r="BP17" s="1367"/>
      <c r="BQ17" s="1371">
        <f>AVERAGE(BQ8,BN8)</f>
        <v>95000</v>
      </c>
      <c r="BR17" s="1371">
        <f>AVERAGE(BR8,BQ8)</f>
        <v>100850</v>
      </c>
      <c r="BS17" s="1371">
        <f>AVERAGE(BS8,BR8)</f>
        <v>107250</v>
      </c>
      <c r="BT17" s="1371">
        <f>AVERAGE(BT8,BS8)</f>
        <v>113801.5</v>
      </c>
      <c r="BU17" s="1372"/>
      <c r="BV17" s="1367"/>
      <c r="BW17" s="1371">
        <f>AVERAGE(BW8,BT8)</f>
        <v>119253</v>
      </c>
      <c r="BX17" s="1371">
        <f>AVERAGE(BX8,BW8)</f>
        <v>123803</v>
      </c>
      <c r="BY17" s="1371">
        <f>AVERAGE(BY8,BX8)</f>
        <v>128653</v>
      </c>
      <c r="BZ17" s="1371">
        <f>AVERAGE(BZ8,BY8)</f>
        <v>133753</v>
      </c>
      <c r="CA17" s="1372"/>
      <c r="CB17" s="1367"/>
      <c r="CC17" s="1371">
        <f>AVERAGE(CC8,BZ8)</f>
        <v>138653</v>
      </c>
      <c r="CD17" s="1371">
        <f>AVERAGE(CD8,CC8)</f>
        <v>146796.80891428827</v>
      </c>
      <c r="CE17" s="1371">
        <f>AVERAGE(CE8,CD8)</f>
        <v>155297.46828416089</v>
      </c>
      <c r="CF17" s="1371">
        <f>AVERAGE(CF8,CE8)</f>
        <v>160654.31873974524</v>
      </c>
      <c r="CG17" s="1372"/>
      <c r="CH17" s="1367"/>
      <c r="CI17" s="1371">
        <f>AVERAGE(CI8,CF8)</f>
        <v>166004.31873974524</v>
      </c>
      <c r="CJ17" s="1371">
        <f>AVERAGE(CJ8,CI8)</f>
        <v>172169.31873974524</v>
      </c>
      <c r="CK17" s="1371">
        <f>AVERAGE(CK8,CJ8)</f>
        <v>178010.90603667597</v>
      </c>
      <c r="CL17" s="1371">
        <f>AVERAGE(CL8,CK8)</f>
        <v>183621.49333360666</v>
      </c>
      <c r="CM17" s="1372"/>
      <c r="CN17" s="1367"/>
      <c r="CO17" s="1371">
        <f>AVERAGE(CO8,CL8)</f>
        <v>189242.53037064371</v>
      </c>
      <c r="CP17" s="1371">
        <f>AVERAGE(CP8,CO8)</f>
        <v>194526.36117371643</v>
      </c>
      <c r="CQ17" s="1371">
        <f>AVERAGE(CQ8,CP8)</f>
        <v>199947.29882074319</v>
      </c>
      <c r="CR17" s="1371">
        <f>AVERAGE(CR8,CQ8)</f>
        <v>204795.58658272526</v>
      </c>
      <c r="CS17" s="1372"/>
      <c r="CT17" s="1367"/>
      <c r="CU17" s="1371">
        <f>AVERAGE(CU8,CR8)</f>
        <v>209387.12158168611</v>
      </c>
      <c r="CV17" s="1371">
        <f>AVERAGE(CV8,CU8)</f>
        <v>214523.55837526539</v>
      </c>
      <c r="CW17" s="1371">
        <f>AVERAGE(CW8,CV8)</f>
        <v>219445.38662167318</v>
      </c>
      <c r="CX17" s="1371">
        <f>AVERAGE(CX8,CW8)</f>
        <v>224203.89127695188</v>
      </c>
      <c r="CY17" s="1372"/>
      <c r="CZ17" s="1367"/>
      <c r="DA17" s="1371">
        <f>AVERAGE(DA8,CX8)</f>
        <v>228013.03517530713</v>
      </c>
      <c r="DB17" s="1371">
        <f>AVERAGE(DB8,DA8)</f>
        <v>231985.50266479151</v>
      </c>
      <c r="DC17" s="1371">
        <f>AVERAGE(DC8,DB8)</f>
        <v>236563.7858292996</v>
      </c>
      <c r="DD17" s="1371">
        <f>AVERAGE(DD8,DC8)</f>
        <v>240693.02331819822</v>
      </c>
      <c r="DE17" s="1372"/>
      <c r="DF17" s="1367"/>
      <c r="DG17" s="1371">
        <f>AVERAGE(DG8,DD8)</f>
        <v>244188.57230390992</v>
      </c>
      <c r="DH17" s="1371">
        <f>AVERAGE(DH8,DG8)</f>
        <v>248408.07860186161</v>
      </c>
      <c r="DI17" s="1371">
        <f>AVERAGE(DI8,DH8)</f>
        <v>253335.77513859735</v>
      </c>
      <c r="DJ17" s="1371">
        <f>AVERAGE(DJ8,DI8)</f>
        <v>257702.8476964265</v>
      </c>
      <c r="DK17" s="1372"/>
      <c r="DL17" s="1367"/>
      <c r="DM17" s="1371">
        <f>AVERAGE(DM8,DJ8)</f>
        <v>261516.10160959943</v>
      </c>
      <c r="DN17" s="1371">
        <f>AVERAGE(DN8,DM8)</f>
        <v>266403.63611275877</v>
      </c>
      <c r="DO17" s="1371">
        <f>AVERAGE(DO8,DN8)</f>
        <v>271956.30313152703</v>
      </c>
      <c r="DP17" s="1371">
        <f>AVERAGE(DP8,DO8)</f>
        <v>276361.64326401264</v>
      </c>
      <c r="DQ17" s="1372"/>
      <c r="DR17" s="1367"/>
      <c r="DS17" s="1371">
        <f>AVERAGE(DS8,DP8)</f>
        <v>280170.79696071474</v>
      </c>
      <c r="DT17" s="1371">
        <f>AVERAGE(DT8,DS8)</f>
        <v>285540.96300247975</v>
      </c>
      <c r="DU17" s="1371">
        <f>AVERAGE(DU8,DT8)</f>
        <v>291705.60236362746</v>
      </c>
      <c r="DV17" s="1371">
        <f>AVERAGE(DV8,DU8)</f>
        <v>296526.39075959899</v>
      </c>
      <c r="DW17" s="1372"/>
      <c r="EJ17" s="656"/>
      <c r="EK17" s="656"/>
      <c r="EL17" s="656"/>
    </row>
    <row r="18" spans="1:149" s="1356" customFormat="1">
      <c r="A18" s="1374" t="s">
        <v>99</v>
      </c>
      <c r="B18" s="853"/>
      <c r="C18" s="1375"/>
      <c r="D18" s="1376"/>
      <c r="E18" s="1376"/>
      <c r="F18" s="1376"/>
      <c r="G18" s="1375"/>
      <c r="H18" s="1375"/>
      <c r="I18" s="1377"/>
      <c r="J18" s="1377"/>
      <c r="K18" s="1377"/>
      <c r="L18" s="1377"/>
      <c r="M18" s="1377"/>
      <c r="N18" s="1375"/>
      <c r="O18" s="1378">
        <f>Model!G13/'MS Revenue Analysis'!O17*1000000</f>
        <v>2258.9743589743593</v>
      </c>
      <c r="P18" s="1378">
        <f>Model!H13/'MS Revenue Analysis'!P17*1000000</f>
        <v>2451.0869565217395</v>
      </c>
      <c r="Q18" s="1378">
        <f>Model!I13/'MS Revenue Analysis'!Q17*1000000</f>
        <v>2587.3999999999996</v>
      </c>
      <c r="R18" s="1378">
        <f>Model!J13/'MS Revenue Analysis'!R17*1000000</f>
        <v>2710</v>
      </c>
      <c r="S18" s="1378">
        <f>SUM(O18:R18)</f>
        <v>10007.461315496099</v>
      </c>
      <c r="T18" s="1375"/>
      <c r="U18" s="1378">
        <f>Model!M13/'MS Revenue Analysis'!U17*1000000</f>
        <v>2820.3333333333335</v>
      </c>
      <c r="V18" s="1378">
        <f>Model!N13/'MS Revenue Analysis'!V17*1000000</f>
        <v>2946.1654135338345</v>
      </c>
      <c r="W18" s="1378">
        <f>Model!O13/'MS Revenue Analysis'!W17*1000000</f>
        <v>3058.5034013605446</v>
      </c>
      <c r="X18" s="1378">
        <f>Model!P13/'MS Revenue Analysis'!X17*1000000</f>
        <v>3268.5365853658536</v>
      </c>
      <c r="Y18" s="1378">
        <f>SUM(U18:X18)</f>
        <v>12093.538733593565</v>
      </c>
      <c r="Z18" s="1375"/>
      <c r="AA18" s="1378">
        <f>Model!S13/'MS Revenue Analysis'!AA17*1000000</f>
        <v>3363.8918918918916</v>
      </c>
      <c r="AB18" s="1378">
        <f>Model!T13/'MS Revenue Analysis'!AB17*1000000</f>
        <v>3446.6028708133977</v>
      </c>
      <c r="AC18" s="1378">
        <f>Model!U13/'MS Revenue Analysis'!AC17*1000000</f>
        <v>3513.9830508474579</v>
      </c>
      <c r="AD18" s="1378">
        <f>Model!V13/'MS Revenue Analysis'!AD17*1000000</f>
        <v>3740.833333333333</v>
      </c>
      <c r="AE18" s="1378">
        <f>SUM(AA18:AD18)</f>
        <v>14065.311146886081</v>
      </c>
      <c r="AF18" s="1375"/>
      <c r="AG18" s="1378">
        <f>Model!Y13/'MS Revenue Analysis'!AG17*1000000</f>
        <v>3958.5034013605441</v>
      </c>
      <c r="AH18" s="1378">
        <f>Model!Z13/'MS Revenue Analysis'!AH17*1000000</f>
        <v>4051.7283950617293</v>
      </c>
      <c r="AI18" s="1378">
        <f>Model!AA13/'MS Revenue Analysis'!AI17*1000000</f>
        <v>4178.9887640449433</v>
      </c>
      <c r="AJ18" s="1378">
        <f>Model!AB13/'MS Revenue Analysis'!AJ17*1000000</f>
        <v>4205.3571428571422</v>
      </c>
      <c r="AK18" s="1378">
        <f>SUM(AG18:AJ18)</f>
        <v>16394.577703324358</v>
      </c>
      <c r="AL18" s="1375"/>
      <c r="AM18" s="1378">
        <f>Model!AE13/'MS Revenue Analysis'!AM17*1000000</f>
        <v>4374.6759259259261</v>
      </c>
      <c r="AN18" s="1378">
        <f>Model!AF13/'MS Revenue Analysis'!AN17*1000000</f>
        <v>4491.0736842105262</v>
      </c>
      <c r="AO18" s="1378">
        <f>Model!AG13/'MS Revenue Analysis'!AO17*1000000</f>
        <v>4563.8921001926792</v>
      </c>
      <c r="AP18" s="1378">
        <f>Model!AH13/'MS Revenue Analysis'!AP17*1000000</f>
        <v>4642.2144112478027</v>
      </c>
      <c r="AQ18" s="1379">
        <f>SUM(AM18:AP18)</f>
        <v>18071.856121576933</v>
      </c>
      <c r="AR18" s="1375"/>
      <c r="AS18" s="1378">
        <f>Model!AK13/'MS Revenue Analysis'!AS17*1000000</f>
        <v>4756.5217391304341</v>
      </c>
      <c r="AT18" s="1378">
        <f>Model!AL13/'MS Revenue Analysis'!AT17*1000000</f>
        <v>4733.6686390532541</v>
      </c>
      <c r="AU18" s="1378">
        <f>Model!AM13/'MS Revenue Analysis'!AU17*1000000</f>
        <v>4805.8855585831061</v>
      </c>
      <c r="AV18" s="1378">
        <f>Model!AN13/'MS Revenue Analysis'!AV17*1000000</f>
        <v>4968.8242730720604</v>
      </c>
      <c r="AW18" s="1379">
        <f>SUM(AS18:AV18)</f>
        <v>19264.900209838856</v>
      </c>
      <c r="AX18" s="1375"/>
      <c r="AY18" s="1378">
        <f>Model!AQ13/'MS Revenue Analysis'!AY17*1000000</f>
        <v>5327.2104018912532</v>
      </c>
      <c r="AZ18" s="1378">
        <f>Model!AR13/'MS Revenue Analysis'!AZ17*1000000</f>
        <v>5251.2595837897043</v>
      </c>
      <c r="BA18" s="1378">
        <f>Model!AS13/'MS Revenue Analysis'!BA17*1000000</f>
        <v>5093.5276381909543</v>
      </c>
      <c r="BB18" s="1378">
        <f>Model!AT13/'MS Revenue Analysis'!BB17*1000000</f>
        <v>4964.7388059701498</v>
      </c>
      <c r="BC18" s="1379">
        <f>SUM(AY18:BB18)</f>
        <v>20636.736429842058</v>
      </c>
      <c r="BD18" s="1375"/>
      <c r="BE18" s="1378">
        <f>Model!AW13/'MS Revenue Analysis'!BE17*1000000</f>
        <v>4913.1299040976455</v>
      </c>
      <c r="BF18" s="1378">
        <f>Model!AX13/'MS Revenue Analysis'!BF17*1000000</f>
        <v>4790.8571428571431</v>
      </c>
      <c r="BG18" s="1378">
        <f>Model!AY13/'MS Revenue Analysis'!BG17*1000000</f>
        <v>4681.4645308924482</v>
      </c>
      <c r="BH18" s="1378">
        <f>Model!AZ13/'MS Revenue Analysis'!BH17*1000000</f>
        <v>4663.732193732194</v>
      </c>
      <c r="BI18" s="1379">
        <f>SUM(BE18:BH18)</f>
        <v>19049.183771579432</v>
      </c>
      <c r="BJ18" s="853"/>
      <c r="BK18" s="1378">
        <f>Model!BC13/'MS Revenue Analysis'!BK17*1000000</f>
        <v>4682.4032042723629</v>
      </c>
      <c r="BL18" s="1378">
        <f>Model!BD13/'MS Revenue Analysis'!BL17*1000000</f>
        <v>4620.5510331872265</v>
      </c>
      <c r="BM18" s="1378">
        <f>Model!BE13/'MS Revenue Analysis'!BM17*1000000</f>
        <v>4751.7452830188677</v>
      </c>
      <c r="BN18" s="1378">
        <f>Model!BF13/'MS Revenue Analysis'!BN17*1000000</f>
        <v>4774.7520891364902</v>
      </c>
      <c r="BO18" s="1380">
        <f>SUM(BK18:BN18)</f>
        <v>18829.451609614949</v>
      </c>
      <c r="BP18" s="853"/>
      <c r="BQ18" s="1378">
        <f>Model!BI13/'MS Revenue Analysis'!BQ17*1000000</f>
        <v>4984.2526315789473</v>
      </c>
      <c r="BR18" s="1378">
        <f>Model!BJ13/'MS Revenue Analysis'!BR17*1000000</f>
        <v>5049.8661378284578</v>
      </c>
      <c r="BS18" s="1378">
        <f>Model!BK13/'MS Revenue Analysis'!BS17*1000000</f>
        <v>5120.5780885780887</v>
      </c>
      <c r="BT18" s="1378">
        <f>Model!BL13/'MS Revenue Analysis'!BT17*1000000</f>
        <v>5221.9786206684448</v>
      </c>
      <c r="BU18" s="1379">
        <f>SUM(BQ18:BT18)</f>
        <v>20376.675478653939</v>
      </c>
      <c r="BV18" s="853"/>
      <c r="BW18" s="1378">
        <f>Model!BO13/'MS Revenue Analysis'!BW17*1000000</f>
        <v>5494.3691144038312</v>
      </c>
      <c r="BX18" s="1378">
        <f>Model!BP13/'MS Revenue Analysis'!BX17*1000000</f>
        <v>5553.1206836667934</v>
      </c>
      <c r="BY18" s="1378">
        <f>Model!BQ13/'MS Revenue Analysis'!BY17*1000000</f>
        <v>5756.5699983677023</v>
      </c>
      <c r="BZ18" s="1378">
        <f>Model!BR13/'MS Revenue Analysis'!BZ17*1000000</f>
        <v>5872.7280883419435</v>
      </c>
      <c r="CA18" s="1379">
        <f>SUM(BW18:BZ18)</f>
        <v>22676.787884780271</v>
      </c>
      <c r="CB18" s="853"/>
      <c r="CC18" s="1378">
        <f>Model!BU13/'MS Revenue Analysis'!CC17*1000000</f>
        <v>6074.3078043749501</v>
      </c>
      <c r="CD18" s="1378">
        <f>Model!BV13/'MS Revenue Analysis'!CD17*1000000</f>
        <v>6150.2971806911191</v>
      </c>
      <c r="CE18" s="1378">
        <f>Model!BW13/'MS Revenue Analysis'!CE17*1000000</f>
        <v>6468.0771109676134</v>
      </c>
      <c r="CF18" s="1378">
        <f>Model!BX13/'MS Revenue Analysis'!CF17*1000000</f>
        <v>6691.391855711433</v>
      </c>
      <c r="CG18" s="1379">
        <f>SUM(CC18:CF18)</f>
        <v>25384.073951745118</v>
      </c>
      <c r="CH18" s="853"/>
      <c r="CI18" s="1378">
        <f>Model!CA13/'MS Revenue Analysis'!CI17*1000000</f>
        <v>6911.3021197882163</v>
      </c>
      <c r="CJ18" s="1378">
        <f>Model!CB13/'MS Revenue Analysis'!CJ17*1000000</f>
        <v>7159.1559345321239</v>
      </c>
      <c r="CK18" s="1378">
        <f>Model!CC13/'MS Revenue Analysis'!CK17*1000000</f>
        <v>7238.3935832253155</v>
      </c>
      <c r="CL18" s="1378">
        <f>Model!CD13/'MS Revenue Analysis'!CL17*1000000</f>
        <v>7326.800232234963</v>
      </c>
      <c r="CM18" s="1379">
        <f>SUM(CI18:CL18)</f>
        <v>28635.65186978062</v>
      </c>
      <c r="CN18" s="853"/>
      <c r="CO18" s="1378">
        <f>Model!CG13/'MS Revenue Analysis'!CO17*1000000</f>
        <v>7425.8518803762281</v>
      </c>
      <c r="CP18" s="1378">
        <f>Model!CH13/'MS Revenue Analysis'!CP17*1000000</f>
        <v>7820.631562842158</v>
      </c>
      <c r="CQ18" s="1378">
        <f>Model!CI13/'MS Revenue Analysis'!CQ17*1000000</f>
        <v>7983.7687701455015</v>
      </c>
      <c r="CR18" s="1378">
        <f>Model!CJ13/'MS Revenue Analysis'!CR17*1000000</f>
        <v>8216.2903413951517</v>
      </c>
      <c r="CS18" s="1379">
        <f>SUM(CO18:CR18)</f>
        <v>31446.542554759035</v>
      </c>
      <c r="CT18" s="853"/>
      <c r="CU18" s="1378">
        <f>Model!CM13/'MS Revenue Analysis'!CU17*1000000</f>
        <v>8479.4756553704501</v>
      </c>
      <c r="CV18" s="1378">
        <f>Model!CN13/'MS Revenue Analysis'!CV17*1000000</f>
        <v>8791.9481397967775</v>
      </c>
      <c r="CW18" s="1378">
        <f>Model!CO13/'MS Revenue Analysis'!CW17*1000000</f>
        <v>9040.8872592086427</v>
      </c>
      <c r="CX18" s="1378">
        <f>Model!CP13/'MS Revenue Analysis'!CX17*1000000</f>
        <v>9413.9802301324944</v>
      </c>
      <c r="CY18" s="1379">
        <f>SUM(CU18:CX18)</f>
        <v>35726.291284508363</v>
      </c>
      <c r="CZ18" s="853"/>
      <c r="DA18" s="1378">
        <f>Model!CS13/'MS Revenue Analysis'!DA17*1000000</f>
        <v>9652.5534090971523</v>
      </c>
      <c r="DB18" s="1378">
        <f>Model!CT13/'MS Revenue Analysis'!DB17*1000000</f>
        <v>10209.685401860534</v>
      </c>
      <c r="DC18" s="1378">
        <f>Model!CU13/'MS Revenue Analysis'!DC17*1000000</f>
        <v>10509.347368129922</v>
      </c>
      <c r="DD18" s="1378">
        <f>Model!CV13/'MS Revenue Analysis'!DD17*1000000</f>
        <v>11030.647932366812</v>
      </c>
      <c r="DE18" s="1379">
        <f>SUM(DA18:DD18)</f>
        <v>41402.234111454418</v>
      </c>
      <c r="DF18" s="853"/>
      <c r="DG18" s="1378">
        <f>Model!CY13/'MS Revenue Analysis'!DG17*1000000</f>
        <v>11116.139086237396</v>
      </c>
      <c r="DH18" s="1378">
        <f>Model!CZ13/'MS Revenue Analysis'!DH17*1000000</f>
        <v>11599.544742454109</v>
      </c>
      <c r="DI18" s="1378">
        <f>Model!DA13/'MS Revenue Analysis'!DI17*1000000</f>
        <v>11847.215949884321</v>
      </c>
      <c r="DJ18" s="1378">
        <f>Model!DB13/'MS Revenue Analysis'!DJ17*1000000</f>
        <v>12349.006986391792</v>
      </c>
      <c r="DK18" s="1379">
        <f>SUM(DG18:DJ18)</f>
        <v>46911.906764967614</v>
      </c>
      <c r="DL18" s="853"/>
      <c r="DM18" s="1378">
        <f>Model!DE13/'MS Revenue Analysis'!DM17*1000000</f>
        <v>12490.326715645077</v>
      </c>
      <c r="DN18" s="1378">
        <f>Model!DF13/'MS Revenue Analysis'!DN17*1000000</f>
        <v>13016.30475922257</v>
      </c>
      <c r="DO18" s="1378">
        <f>Model!DG13/'MS Revenue Analysis'!DO17*1000000</f>
        <v>13279.357914529133</v>
      </c>
      <c r="DP18" s="1378">
        <f>Model!DH13/'MS Revenue Analysis'!DP17*1000000</f>
        <v>13788.730655504545</v>
      </c>
      <c r="DQ18" s="1379">
        <f>SUM(DM18:DP18)</f>
        <v>52574.720044901325</v>
      </c>
      <c r="DR18" s="853"/>
      <c r="DS18" s="1378">
        <f>Model!DK13/'MS Revenue Analysis'!DS17*1000000</f>
        <v>13967.505399672826</v>
      </c>
      <c r="DT18" s="1378">
        <f>Model!DL13/'MS Revenue Analysis'!DT17*1000000</f>
        <v>14508.494829606589</v>
      </c>
      <c r="DU18" s="1378">
        <f>Model!DM13/'MS Revenue Analysis'!DU17*1000000</f>
        <v>14768.325428262266</v>
      </c>
      <c r="DV18" s="1378">
        <f>Model!DN13/'MS Revenue Analysis'!DV17*1000000</f>
        <v>15337.188114996647</v>
      </c>
      <c r="DW18" s="1379">
        <f>SUM(DS18:DV18)</f>
        <v>58581.513772538325</v>
      </c>
      <c r="EJ18" s="656"/>
      <c r="EK18" s="656"/>
      <c r="EL18" s="656"/>
    </row>
    <row r="19" spans="1:149" s="1356" customFormat="1">
      <c r="A19" s="1381" t="s">
        <v>877</v>
      </c>
      <c r="B19" s="1350"/>
      <c r="C19" s="1351" t="s">
        <v>88</v>
      </c>
      <c r="D19" s="1351" t="s">
        <v>88</v>
      </c>
      <c r="E19" s="1351" t="s">
        <v>88</v>
      </c>
      <c r="F19" s="1351" t="s">
        <v>88</v>
      </c>
      <c r="G19" s="1352"/>
      <c r="H19" s="1351"/>
      <c r="I19" s="1353"/>
      <c r="J19" s="1353"/>
      <c r="K19" s="1353"/>
      <c r="L19" s="1351"/>
      <c r="M19" s="1352"/>
      <c r="N19" s="1351"/>
      <c r="O19" s="1353"/>
      <c r="P19" s="1353"/>
      <c r="Q19" s="1353"/>
      <c r="R19" s="1351"/>
      <c r="S19" s="1352"/>
      <c r="T19" s="1351"/>
      <c r="U19" s="1351">
        <f>U18/O18-1</f>
        <v>0.24850170261066951</v>
      </c>
      <c r="V19" s="1351">
        <f>V18/P18-1</f>
        <v>0.20198322858143114</v>
      </c>
      <c r="W19" s="1351">
        <f>W18/Q18-1</f>
        <v>0.18207598413872805</v>
      </c>
      <c r="X19" s="1351">
        <f>X18/R18-1</f>
        <v>0.20610206102061013</v>
      </c>
      <c r="Y19" s="1352">
        <f>Y18/S18-1</f>
        <v>0.20845220903999606</v>
      </c>
      <c r="Z19" s="1351"/>
      <c r="AA19" s="1351">
        <f>AA18/U18-1</f>
        <v>0.19272848075590043</v>
      </c>
      <c r="AB19" s="1351">
        <f>AB18/V18-1</f>
        <v>0.16986061101006</v>
      </c>
      <c r="AC19" s="1351">
        <f>AC18/W18-1</f>
        <v>0.14892239429398635</v>
      </c>
      <c r="AD19" s="1351">
        <f>AD18/X18-1</f>
        <v>0.14449792304056897</v>
      </c>
      <c r="AE19" s="1352">
        <f>AE18/Y18-1</f>
        <v>0.16304346120092261</v>
      </c>
      <c r="AF19" s="1351"/>
      <c r="AG19" s="1351">
        <f>AG18/AA18-1</f>
        <v>0.17676296640265576</v>
      </c>
      <c r="AH19" s="1351">
        <f>AH18/AB18-1</f>
        <v>0.1755715836520273</v>
      </c>
      <c r="AI19" s="1351">
        <f>AI18/AC18-1</f>
        <v>0.1892455665194821</v>
      </c>
      <c r="AJ19" s="1351">
        <f>AJ18/AD18-1</f>
        <v>0.1241765585717467</v>
      </c>
      <c r="AK19" s="1352">
        <f>AK18/AE18-1</f>
        <v>0.16560362811127383</v>
      </c>
      <c r="AL19" s="1351"/>
      <c r="AM19" s="1351">
        <f>AM18/AG18-1</f>
        <v>0.10513380496839853</v>
      </c>
      <c r="AN19" s="1351">
        <f>AN18/AH18-1</f>
        <v>0.1084340425395427</v>
      </c>
      <c r="AO19" s="1351">
        <f>AO18/AI18-1</f>
        <v>9.2104419963833228E-2</v>
      </c>
      <c r="AP19" s="1351">
        <f>AP18/AJ18-1</f>
        <v>0.103881133884828</v>
      </c>
      <c r="AQ19" s="1354">
        <f>AQ18/AK18-1</f>
        <v>0.10230689979361118</v>
      </c>
      <c r="AR19" s="1351"/>
      <c r="AS19" s="1351">
        <f>AS18/AM18-1</f>
        <v>8.7285508611403717E-2</v>
      </c>
      <c r="AT19" s="1351">
        <f>AT18/AN18-1</f>
        <v>5.4017139753380183E-2</v>
      </c>
      <c r="AU19" s="1351">
        <f>AU18/AO18-1</f>
        <v>5.3023483701599927E-2</v>
      </c>
      <c r="AV19" s="1351">
        <f>AV18/AP18-1</f>
        <v>7.0356479233897984E-2</v>
      </c>
      <c r="AW19" s="1354">
        <f>AW18/AQ18-1</f>
        <v>6.6016688061028006E-2</v>
      </c>
      <c r="AX19" s="1351"/>
      <c r="AY19" s="1351">
        <f>AY18/AS18-1</f>
        <v>0.11998024902649762</v>
      </c>
      <c r="AZ19" s="1351">
        <f>AZ18/AT18-1</f>
        <v>0.10934245385624841</v>
      </c>
      <c r="BA19" s="1351">
        <f>BA18/AU18-1</f>
        <v>5.9852045185331493E-2</v>
      </c>
      <c r="BB19" s="1351">
        <f>BB18/AV18-1</f>
        <v>-8.2222008213317377E-4</v>
      </c>
      <c r="BC19" s="1354">
        <f>BC18/AW18-1</f>
        <v>7.1209100751146615E-2</v>
      </c>
      <c r="BD19" s="1351"/>
      <c r="BE19" s="1351">
        <f>BE18/AY18-1</f>
        <v>-7.7729330466580038E-2</v>
      </c>
      <c r="BF19" s="1351">
        <f>BF18/AZ18-1</f>
        <v>-8.7674668065123584E-2</v>
      </c>
      <c r="BG19" s="1351">
        <f>BG18/BA18-1</f>
        <v>-8.0899356314253157E-2</v>
      </c>
      <c r="BH19" s="1351">
        <f>BH18/BB18-1</f>
        <v>-6.0628891871611135E-2</v>
      </c>
      <c r="BI19" s="1354">
        <f>BI18/BC18-1</f>
        <v>-7.6928474793471757E-2</v>
      </c>
      <c r="BJ19" s="1350"/>
      <c r="BK19" s="1351">
        <f>BK18/BE18-1</f>
        <v>-4.6961245545909969E-2</v>
      </c>
      <c r="BL19" s="1351">
        <f>BL18/BF18-1</f>
        <v>-3.5548150276998314E-2</v>
      </c>
      <c r="BM19" s="1351">
        <f>BM18/BG18-1</f>
        <v>1.5012556789151033E-2</v>
      </c>
      <c r="BN19" s="1351">
        <f>BN18/BH18-1</f>
        <v>2.3804946509042857E-2</v>
      </c>
      <c r="BO19" s="1355">
        <f>BO18/BI18-1</f>
        <v>-1.1534990926609368E-2</v>
      </c>
      <c r="BP19" s="1350"/>
      <c r="BQ19" s="1351">
        <f>BQ18/BK18-1</f>
        <v>6.4464637951547665E-2</v>
      </c>
      <c r="BR19" s="1351">
        <f>BR18/BL18-1</f>
        <v>9.2914265324127943E-2</v>
      </c>
      <c r="BS19" s="1351">
        <f>BS18/BM18-1</f>
        <v>7.7620491754325505E-2</v>
      </c>
      <c r="BT19" s="1351">
        <f>BT18/BN18-1</f>
        <v>9.3664869543590212E-2</v>
      </c>
      <c r="BU19" s="1354">
        <f>BU18/BO18-1</f>
        <v>8.2170415852627743E-2</v>
      </c>
      <c r="BV19" s="1350"/>
      <c r="BW19" s="1351">
        <f>BW18/BQ18-1</f>
        <v>0.10234563143788433</v>
      </c>
      <c r="BX19" s="1351">
        <f>BX18/BR18-1</f>
        <v>9.9657007156776833E-2</v>
      </c>
      <c r="BY19" s="1351">
        <f>BY18/BS18-1</f>
        <v>0.12420314636119922</v>
      </c>
      <c r="BZ19" s="1351">
        <f>BZ18/BT18-1</f>
        <v>0.1246174132344875</v>
      </c>
      <c r="CA19" s="1354">
        <f>CA18/BU18-1</f>
        <v>0.11287967011772215</v>
      </c>
      <c r="CB19" s="1350"/>
      <c r="CC19" s="1351">
        <f>CC18/BW18-1</f>
        <v>0.10555146148641037</v>
      </c>
      <c r="CD19" s="1351">
        <f>CD18/BX18-1</f>
        <v>0.10753890128496235</v>
      </c>
      <c r="CE19" s="1351">
        <f>CE18/BY18-1</f>
        <v>0.12359914198935518</v>
      </c>
      <c r="CF19" s="1351">
        <f>CF18/BZ18-1</f>
        <v>0.13940093173982171</v>
      </c>
      <c r="CG19" s="1354">
        <f>CG18/CA18-1</f>
        <v>0.1193857825332425</v>
      </c>
      <c r="CH19" s="1350"/>
      <c r="CI19" s="1351">
        <f>CI18/CC18-1</f>
        <v>0.13779254235526728</v>
      </c>
      <c r="CJ19" s="1351">
        <f>CJ18/CD18-1</f>
        <v>0.16403414732678612</v>
      </c>
      <c r="CK19" s="1351">
        <f>CK18/CE18-1</f>
        <v>0.11909512812571643</v>
      </c>
      <c r="CL19" s="1351">
        <f>CL18/CF18-1</f>
        <v>9.4959074318921699E-2</v>
      </c>
      <c r="CM19" s="1354">
        <f>CM18/CG18-1</f>
        <v>0.12809519560243632</v>
      </c>
      <c r="CN19" s="1350"/>
      <c r="CO19" s="1351">
        <f>CO18/CI18-1</f>
        <v>7.4450480049883749E-2</v>
      </c>
      <c r="CP19" s="1351">
        <f>CP18/CJ18-1</f>
        <v>9.2395756477298141E-2</v>
      </c>
      <c r="CQ19" s="1351">
        <f>CQ18/CK18-1</f>
        <v>0.10297522210557375</v>
      </c>
      <c r="CR19" s="1351">
        <f>CR18/CL18-1</f>
        <v>0.12140226032733792</v>
      </c>
      <c r="CS19" s="1354">
        <f>CS18/CM18-1</f>
        <v>9.8160527225320982E-2</v>
      </c>
      <c r="CT19" s="1350"/>
      <c r="CU19" s="1351">
        <f>CU18/CO18-1</f>
        <v>0.14188591315409327</v>
      </c>
      <c r="CV19" s="1351">
        <f>CV18/CP18-1</f>
        <v>0.12419925029707257</v>
      </c>
      <c r="CW19" s="1351">
        <f>CW18/CQ18-1</f>
        <v>0.13240845514165311</v>
      </c>
      <c r="CX19" s="1351">
        <f>CX18/CR18-1</f>
        <v>0.1457701516100478</v>
      </c>
      <c r="CY19" s="1354">
        <f>CY18/CS18-1</f>
        <v>0.13609600236009545</v>
      </c>
      <c r="CZ19" s="1350"/>
      <c r="DA19" s="1351">
        <f>DA18/CU18-1</f>
        <v>0.13834319495731284</v>
      </c>
      <c r="DB19" s="1351">
        <f>DB18/CV18-1</f>
        <v>0.16125405194855102</v>
      </c>
      <c r="DC19" s="1351">
        <f>DC18/CW18-1</f>
        <v>0.16242433588866745</v>
      </c>
      <c r="DD19" s="1351">
        <f>DD18/CX18-1</f>
        <v>0.17173051809261808</v>
      </c>
      <c r="DE19" s="1354">
        <f>DE18/CY18-1</f>
        <v>0.15887299305000235</v>
      </c>
      <c r="DF19" s="1350"/>
      <c r="DG19" s="1351">
        <f>DG18/DA18-1</f>
        <v>0.15162678879982905</v>
      </c>
      <c r="DH19" s="1351">
        <f>DH18/DB18-1</f>
        <v>0.13613145615048028</v>
      </c>
      <c r="DI19" s="1351">
        <f>DI18/DC18-1</f>
        <v>0.12730272726654235</v>
      </c>
      <c r="DJ19" s="1351">
        <f>DJ18/DD18-1</f>
        <v>0.11951782543585399</v>
      </c>
      <c r="DK19" s="1354">
        <f>DK18/DE18-1</f>
        <v>0.13307669916268794</v>
      </c>
      <c r="DL19" s="1350"/>
      <c r="DM19" s="1351">
        <f>DM18/DG18-1</f>
        <v>0.1236209459729618</v>
      </c>
      <c r="DN19" s="1351">
        <f>DN18/DH18-1</f>
        <v>0.12213927772381861</v>
      </c>
      <c r="DO19" s="1351">
        <f>DO18/DI18-1</f>
        <v>0.12088426265740493</v>
      </c>
      <c r="DP19" s="1351">
        <f>DP18/DJ18-1</f>
        <v>0.11658618953728683</v>
      </c>
      <c r="DQ19" s="1354">
        <f>DQ18/DK18-1</f>
        <v>0.12071164167990145</v>
      </c>
      <c r="DR19" s="1350"/>
      <c r="DS19" s="1351">
        <f>DS18/DM18-1</f>
        <v>0.11826581623181021</v>
      </c>
      <c r="DT19" s="1351">
        <f>DT18/DN18-1</f>
        <v>0.11464006858987696</v>
      </c>
      <c r="DU19" s="1351">
        <f>DU18/DO18-1</f>
        <v>0.11212646901429113</v>
      </c>
      <c r="DV19" s="1351">
        <f>DV18/DP18-1</f>
        <v>0.11229876760802115</v>
      </c>
      <c r="DW19" s="1354">
        <f>DW18/DQ18-1</f>
        <v>0.11425250999923375</v>
      </c>
      <c r="EJ19" s="656"/>
      <c r="EK19" s="656"/>
      <c r="EL19" s="656"/>
    </row>
    <row r="20" spans="1:149" s="1356" customFormat="1">
      <c r="A20" s="1382" t="s">
        <v>878</v>
      </c>
      <c r="B20" s="1383"/>
      <c r="C20" s="1384"/>
      <c r="D20" s="1385"/>
      <c r="E20" s="1385"/>
      <c r="F20" s="1385"/>
      <c r="G20" s="1386"/>
      <c r="H20" s="1384"/>
      <c r="I20" s="1387"/>
      <c r="J20" s="1387"/>
      <c r="K20" s="1387"/>
      <c r="L20" s="1387"/>
      <c r="M20" s="1387"/>
      <c r="N20" s="1384"/>
      <c r="O20" s="1387"/>
      <c r="P20" s="1387"/>
      <c r="Q20" s="1387"/>
      <c r="R20" s="1387"/>
      <c r="S20" s="1387"/>
      <c r="T20" s="1384"/>
      <c r="U20" s="1387"/>
      <c r="V20" s="1387"/>
      <c r="W20" s="1387"/>
      <c r="X20" s="1387"/>
      <c r="Y20" s="1387"/>
      <c r="Z20" s="1384"/>
      <c r="AA20" s="1384">
        <f>AA18/X18-1</f>
        <v>2.9173700228099175E-2</v>
      </c>
      <c r="AB20" s="1384">
        <f>AB18/AA18-1</f>
        <v>2.4587882601360356E-2</v>
      </c>
      <c r="AC20" s="1384">
        <f>AC18/AB18-1</f>
        <v>1.9549737106253406E-2</v>
      </c>
      <c r="AD20" s="1384">
        <f>AD18/AC18-1</f>
        <v>6.4556453233650668E-2</v>
      </c>
      <c r="AE20" s="1387"/>
      <c r="AF20" s="1384"/>
      <c r="AG20" s="1384">
        <f>AG18/AD18-1</f>
        <v>5.8187587799655383E-2</v>
      </c>
      <c r="AH20" s="1384">
        <f>AH18/AG18-1</f>
        <v>2.3550565516539335E-2</v>
      </c>
      <c r="AI20" s="1384">
        <f>AI18/AH18-1</f>
        <v>3.1408909130809404E-2</v>
      </c>
      <c r="AJ20" s="1384">
        <f>AJ18/AI18-1</f>
        <v>6.3097510668290724E-3</v>
      </c>
      <c r="AK20" s="1387"/>
      <c r="AL20" s="1384"/>
      <c r="AM20" s="1384">
        <f>AM18/AJ18-1</f>
        <v>4.0262640559880714E-2</v>
      </c>
      <c r="AN20" s="1384">
        <f>AN18/AM18-1</f>
        <v>2.660717279531144E-2</v>
      </c>
      <c r="AO20" s="1384">
        <f>AO18/AN18-1</f>
        <v>1.6214032790903499E-2</v>
      </c>
      <c r="AP20" s="1384">
        <f>AP18/AO18-1</f>
        <v>1.7161297711621337E-2</v>
      </c>
      <c r="AQ20" s="1388"/>
      <c r="AR20" s="1384"/>
      <c r="AS20" s="1384">
        <f>AS18/AP18-1</f>
        <v>2.4623448586448715E-2</v>
      </c>
      <c r="AT20" s="1384">
        <f>AT18/AS18-1</f>
        <v>-4.8045822831365159E-3</v>
      </c>
      <c r="AU20" s="1384">
        <f>AU18/AT18-1</f>
        <v>1.5256014950868035E-2</v>
      </c>
      <c r="AV20" s="1384">
        <f>AV18/AU18-1</f>
        <v>3.3903993863930504E-2</v>
      </c>
      <c r="AW20" s="1388"/>
      <c r="AX20" s="1384"/>
      <c r="AY20" s="1384">
        <f>AY18/AV18-1</f>
        <v>7.2126947769399541E-2</v>
      </c>
      <c r="AZ20" s="1384">
        <f>AZ18/AY18-1</f>
        <v>-1.4257146305801105E-2</v>
      </c>
      <c r="BA20" s="1384">
        <f>BA18/AZ18-1</f>
        <v>-3.0036973621654139E-2</v>
      </c>
      <c r="BB20" s="1384">
        <f>BB18/BA18-1</f>
        <v>-2.5284800902061311E-2</v>
      </c>
      <c r="BC20" s="1389"/>
      <c r="BD20" s="1390"/>
      <c r="BE20" s="1384">
        <f>BE18/BB18-1</f>
        <v>-1.0395089024712423E-2</v>
      </c>
      <c r="BF20" s="1384">
        <f>BF18/BE18-1</f>
        <v>-2.488693839308509E-2</v>
      </c>
      <c r="BG20" s="1384">
        <f>BG18/BF18-1</f>
        <v>-2.2833620102363561E-2</v>
      </c>
      <c r="BH20" s="1384">
        <f>BH18/BG18-1</f>
        <v>-3.7877756080902936E-3</v>
      </c>
      <c r="BI20" s="1388"/>
      <c r="BJ20" s="1383"/>
      <c r="BK20" s="1384">
        <f>BK18/BH18-1</f>
        <v>4.0034482608717337E-3</v>
      </c>
      <c r="BL20" s="1384">
        <f>BL18/BK18-1</f>
        <v>-1.3209492729865824E-2</v>
      </c>
      <c r="BM20" s="1384">
        <f>BM18/BL18-1</f>
        <v>2.8393637228403046E-2</v>
      </c>
      <c r="BN20" s="1384">
        <f>BN18/BM18-1</f>
        <v>4.8417591321321396E-3</v>
      </c>
      <c r="BO20" s="1391"/>
      <c r="BP20" s="1383"/>
      <c r="BQ20" s="1384">
        <f>BQ18/BN18-1</f>
        <v>4.3876737164870283E-2</v>
      </c>
      <c r="BR20" s="1384">
        <f>BR18/BQ18-1</f>
        <v>1.316416142990029E-2</v>
      </c>
      <c r="BS20" s="1384">
        <f>BS18/BR18-1</f>
        <v>1.4002737660693487E-2</v>
      </c>
      <c r="BT20" s="1384">
        <f>BT18/BS18-1</f>
        <v>1.98025555584318E-2</v>
      </c>
      <c r="BU20" s="1388"/>
      <c r="BV20" s="1383"/>
      <c r="BW20" s="1384">
        <f>BW18/BT18-1</f>
        <v>5.2162315000155779E-2</v>
      </c>
      <c r="BX20" s="1384">
        <f>BX18/BW18-1</f>
        <v>1.0693051019987188E-2</v>
      </c>
      <c r="BY20" s="1384">
        <f>BY18/BX18-1</f>
        <v>3.6636933769386149E-2</v>
      </c>
      <c r="BZ20" s="1384">
        <f>BZ18/BY18-1</f>
        <v>2.0178350998455441E-2</v>
      </c>
      <c r="CA20" s="1388"/>
      <c r="CB20" s="1383"/>
      <c r="CC20" s="1384">
        <f>CC18/BZ18-1</f>
        <v>3.4324714681268187E-2</v>
      </c>
      <c r="CD20" s="1384">
        <f>CD18/CC18-1</f>
        <v>1.2509964717533517E-2</v>
      </c>
      <c r="CE20" s="1384">
        <f>CE18/CD18-1</f>
        <v>5.1669036623817943E-2</v>
      </c>
      <c r="CF20" s="1384">
        <f>CF18/CE18-1</f>
        <v>3.4525677556495937E-2</v>
      </c>
      <c r="CG20" s="1388"/>
      <c r="CH20" s="1383"/>
      <c r="CI20" s="1384">
        <f>CI18/CF18-1</f>
        <v>3.2864651901842956E-2</v>
      </c>
      <c r="CJ20" s="1384">
        <f>CJ18/CI18-1</f>
        <v>3.5862101011943981E-2</v>
      </c>
      <c r="CK20" s="1384">
        <f>CK18/CJ18-1</f>
        <v>1.1068015478052251E-2</v>
      </c>
      <c r="CL20" s="1384">
        <f>CL18/CK18-1</f>
        <v>1.2213573079878692E-2</v>
      </c>
      <c r="CM20" s="1388"/>
      <c r="CN20" s="1383"/>
      <c r="CO20" s="1384">
        <f>CO18/CL18-1</f>
        <v>1.3519086777537437E-2</v>
      </c>
      <c r="CP20" s="1384">
        <f>CP18/CO18-1</f>
        <v>5.3162881353610913E-2</v>
      </c>
      <c r="CQ20" s="1384">
        <f>CQ18/CP18-1</f>
        <v>2.0859850766842269E-2</v>
      </c>
      <c r="CR20" s="1384">
        <f>CR18/CQ18-1</f>
        <v>2.912428678034118E-2</v>
      </c>
      <c r="CS20" s="1388"/>
      <c r="CT20" s="1383"/>
      <c r="CU20" s="1384">
        <f>CU18/CR18-1</f>
        <v>3.2032134094546638E-2</v>
      </c>
      <c r="CV20" s="1384">
        <f>CV18/CU18-1</f>
        <v>3.6850448910531908E-2</v>
      </c>
      <c r="CW20" s="1384">
        <f>CW18/CV18-1</f>
        <v>2.8314443562859726E-2</v>
      </c>
      <c r="CX20" s="1384">
        <f>CX18/CW18-1</f>
        <v>4.1267296032680312E-2</v>
      </c>
      <c r="CY20" s="1388"/>
      <c r="CZ20" s="1383"/>
      <c r="DA20" s="1384">
        <f>DA18/CX18-1</f>
        <v>2.5342434669771929E-2</v>
      </c>
      <c r="DB20" s="1384">
        <f>DB18/DA18-1</f>
        <v>5.7718612801282765E-2</v>
      </c>
      <c r="DC20" s="1384">
        <f>DC18/DB18-1</f>
        <v>2.9350754158867565E-2</v>
      </c>
      <c r="DD20" s="1384">
        <f>DD18/DC18-1</f>
        <v>4.960351446920086E-2</v>
      </c>
      <c r="DE20" s="1388"/>
      <c r="DF20" s="1383"/>
      <c r="DG20" s="1384">
        <f>DG18/DD18-1</f>
        <v>7.7503293002154638E-3</v>
      </c>
      <c r="DH20" s="1384">
        <f>DH18/DG18-1</f>
        <v>4.3486830496319184E-2</v>
      </c>
      <c r="DI20" s="1384">
        <f>DI18/DH18-1</f>
        <v>2.1351804137945241E-2</v>
      </c>
      <c r="DJ20" s="1384">
        <f>DJ18/DI18-1</f>
        <v>4.2355186115466292E-2</v>
      </c>
      <c r="DK20" s="1388"/>
      <c r="DL20" s="1383"/>
      <c r="DM20" s="1384">
        <f>DM18/DJ18-1</f>
        <v>1.1443813207735243E-2</v>
      </c>
      <c r="DN20" s="1384">
        <f>DN18/DM18-1</f>
        <v>4.2110831489993394E-2</v>
      </c>
      <c r="DO20" s="1384">
        <f>DO18/DN18-1</f>
        <v>2.0209511084179121E-2</v>
      </c>
      <c r="DP20" s="1384">
        <f>DP18/DO18-1</f>
        <v>3.8358235710937549E-2</v>
      </c>
      <c r="DQ20" s="1388"/>
      <c r="DR20" s="1383"/>
      <c r="DS20" s="1384">
        <f>DS18/DP18-1</f>
        <v>1.296527930197211E-2</v>
      </c>
      <c r="DT20" s="1384">
        <f>DT18/DS18-1</f>
        <v>3.8732000772767616E-2</v>
      </c>
      <c r="DU20" s="1384">
        <f>DU18/DT18-1</f>
        <v>1.7908859720269232E-2</v>
      </c>
      <c r="DV20" s="1384">
        <f>DV18/DU18-1</f>
        <v>3.8519105601894754E-2</v>
      </c>
      <c r="DW20" s="1388"/>
      <c r="EJ20" s="656"/>
      <c r="EK20" s="656"/>
      <c r="EL20" s="656"/>
    </row>
    <row r="21" spans="1:149" s="1356" customFormat="1" ht="6" customHeight="1" thickBot="1">
      <c r="A21" s="1350"/>
      <c r="B21" s="1350"/>
      <c r="C21" s="1351"/>
      <c r="D21" s="1353"/>
      <c r="E21" s="1353"/>
      <c r="F21" s="1353"/>
      <c r="G21" s="1352"/>
      <c r="H21" s="1351"/>
      <c r="I21" s="1359"/>
      <c r="J21" s="1359"/>
      <c r="K21" s="1359"/>
      <c r="L21" s="1359"/>
      <c r="M21" s="1359"/>
      <c r="N21" s="1351"/>
      <c r="O21" s="1359"/>
      <c r="P21" s="1359"/>
      <c r="Q21" s="1359"/>
      <c r="R21" s="1359"/>
      <c r="S21" s="1359"/>
      <c r="T21" s="1351"/>
      <c r="U21" s="1359"/>
      <c r="V21" s="1359"/>
      <c r="W21" s="1359"/>
      <c r="X21" s="1359"/>
      <c r="Y21" s="1359"/>
      <c r="Z21" s="1351"/>
      <c r="AA21" s="1359"/>
      <c r="AB21" s="1359"/>
      <c r="AC21" s="1359"/>
      <c r="AD21" s="1359"/>
      <c r="AE21" s="1359"/>
      <c r="AF21" s="1351"/>
      <c r="AG21" s="1359"/>
      <c r="AH21" s="1359"/>
      <c r="AI21" s="1359"/>
      <c r="AJ21" s="1359"/>
      <c r="AK21" s="1359"/>
      <c r="AL21" s="1351"/>
      <c r="AM21" s="1351"/>
      <c r="AN21" s="1351"/>
      <c r="AO21" s="1351"/>
      <c r="AP21" s="1351"/>
      <c r="AQ21" s="1360"/>
      <c r="AR21" s="1351"/>
      <c r="AS21" s="1351"/>
      <c r="AT21" s="1351"/>
      <c r="AU21" s="1351"/>
      <c r="AV21" s="1351"/>
      <c r="AW21" s="1360"/>
      <c r="AX21" s="1351"/>
      <c r="AY21" s="1351"/>
      <c r="AZ21" s="1351"/>
      <c r="BA21" s="1351"/>
      <c r="BB21" s="1351"/>
      <c r="BC21" s="1360"/>
      <c r="BD21" s="1351"/>
      <c r="BE21" s="1351"/>
      <c r="BF21" s="1351"/>
      <c r="BG21" s="1351"/>
      <c r="BH21" s="1351"/>
      <c r="BI21" s="1360"/>
      <c r="BJ21" s="1350"/>
      <c r="BK21" s="1351"/>
      <c r="BL21" s="1351"/>
      <c r="BM21" s="1351"/>
      <c r="BN21" s="1351"/>
      <c r="BO21" s="1361"/>
      <c r="BP21" s="1350"/>
      <c r="BQ21" s="1351"/>
      <c r="BR21" s="1351"/>
      <c r="BS21" s="1351"/>
      <c r="BT21" s="1351"/>
      <c r="BU21" s="1360"/>
      <c r="BV21" s="1350"/>
      <c r="BW21" s="1351"/>
      <c r="BX21" s="1351"/>
      <c r="BY21" s="1351"/>
      <c r="BZ21" s="1351"/>
      <c r="CA21" s="1360"/>
      <c r="CB21" s="1350"/>
      <c r="CC21" s="1351"/>
      <c r="CD21" s="1351"/>
      <c r="CE21" s="1351"/>
      <c r="CF21" s="1351"/>
      <c r="CG21" s="1360"/>
      <c r="CH21" s="1350"/>
      <c r="CI21" s="1351"/>
      <c r="CJ21" s="1351"/>
      <c r="CK21" s="1351"/>
      <c r="CL21" s="1351"/>
      <c r="CM21" s="1360"/>
      <c r="CN21" s="1350"/>
      <c r="CO21" s="1351"/>
      <c r="CP21" s="1351"/>
      <c r="CQ21" s="1351"/>
      <c r="CR21" s="1351"/>
      <c r="CS21" s="1360"/>
      <c r="CT21" s="1350"/>
      <c r="CU21" s="1351"/>
      <c r="CV21" s="1351"/>
      <c r="CW21" s="1351"/>
      <c r="CX21" s="1351"/>
      <c r="CY21" s="1360"/>
      <c r="CZ21" s="1350"/>
      <c r="DA21" s="1351"/>
      <c r="DB21" s="1351"/>
      <c r="DC21" s="1351"/>
      <c r="DD21" s="1351"/>
      <c r="DE21" s="1360"/>
      <c r="DF21" s="1350"/>
      <c r="DG21" s="1351"/>
      <c r="DH21" s="1351"/>
      <c r="DI21" s="1351"/>
      <c r="DJ21" s="1351"/>
      <c r="DK21" s="1360"/>
      <c r="DL21" s="1350"/>
      <c r="DM21" s="1351"/>
      <c r="DN21" s="1351"/>
      <c r="DO21" s="1351"/>
      <c r="DP21" s="1351"/>
      <c r="DQ21" s="1360"/>
      <c r="DR21" s="1350"/>
      <c r="DS21" s="1351"/>
      <c r="DT21" s="1351"/>
      <c r="DU21" s="1351"/>
      <c r="DV21" s="1351"/>
      <c r="DW21" s="1360"/>
      <c r="EJ21" s="656"/>
      <c r="EK21" s="656"/>
      <c r="EL21" s="656"/>
    </row>
    <row r="22" spans="1:149" s="1401" customFormat="1" collapsed="1">
      <c r="A22" s="1392" t="s">
        <v>191</v>
      </c>
      <c r="B22" s="1393"/>
      <c r="C22" s="1394" t="s">
        <v>88</v>
      </c>
      <c r="D22" s="1394" t="s">
        <v>88</v>
      </c>
      <c r="E22" s="1394" t="s">
        <v>88</v>
      </c>
      <c r="F22" s="1394" t="s">
        <v>88</v>
      </c>
      <c r="G22" s="1394">
        <f>Model!D13</f>
        <v>5.0220000000000002</v>
      </c>
      <c r="H22" s="1394"/>
      <c r="I22" s="1394" t="s">
        <v>88</v>
      </c>
      <c r="J22" s="1394" t="s">
        <v>88</v>
      </c>
      <c r="K22" s="1394" t="s">
        <v>88</v>
      </c>
      <c r="L22" s="1394" t="s">
        <v>88</v>
      </c>
      <c r="M22" s="1394">
        <f>Model!E13</f>
        <v>21.513000000000002</v>
      </c>
      <c r="N22" s="1394"/>
      <c r="O22" s="1394">
        <f>Model!G13</f>
        <v>8.81</v>
      </c>
      <c r="P22" s="1394">
        <f>Model!H13</f>
        <v>11.275</v>
      </c>
      <c r="Q22" s="1394">
        <f>Model!I13</f>
        <v>12.936999999999999</v>
      </c>
      <c r="R22" s="1394">
        <f>Model!J13</f>
        <v>14.634</v>
      </c>
      <c r="S22" s="1394">
        <f>SUM(O22:R22)</f>
        <v>47.655999999999999</v>
      </c>
      <c r="T22" s="1394"/>
      <c r="U22" s="1394">
        <f>Model!M13</f>
        <v>16.922000000000001</v>
      </c>
      <c r="V22" s="1394">
        <f>Model!N13</f>
        <v>19.591999999999999</v>
      </c>
      <c r="W22" s="1394">
        <f>Model!O13</f>
        <v>22.48</v>
      </c>
      <c r="X22" s="1394">
        <f>Model!P13</f>
        <v>26.802</v>
      </c>
      <c r="Y22" s="1394">
        <f>SUM(U22:X22)</f>
        <v>85.795999999999992</v>
      </c>
      <c r="Z22" s="1394"/>
      <c r="AA22" s="1394">
        <f>Model!S13</f>
        <v>31.116</v>
      </c>
      <c r="AB22" s="1394">
        <f>Model!T13</f>
        <v>36.017000000000003</v>
      </c>
      <c r="AC22" s="1394">
        <f>Model!U13</f>
        <v>41.465000000000003</v>
      </c>
      <c r="AD22" s="1394">
        <f>Model!V13</f>
        <v>49.378999999999998</v>
      </c>
      <c r="AE22" s="1394">
        <f>SUM(AA22:AD22)</f>
        <v>157.977</v>
      </c>
      <c r="AF22" s="1394"/>
      <c r="AG22" s="1394">
        <f>Model!Y13</f>
        <v>58.19</v>
      </c>
      <c r="AH22" s="1394">
        <f>Model!Z13</f>
        <v>65.638000000000005</v>
      </c>
      <c r="AI22" s="1394">
        <f>Model!AA13</f>
        <v>74.385999999999996</v>
      </c>
      <c r="AJ22" s="1394">
        <f>Model!AB13</f>
        <v>82.424999999999997</v>
      </c>
      <c r="AK22" s="1394">
        <f>SUM(AG22:AJ22)</f>
        <v>280.63900000000001</v>
      </c>
      <c r="AL22" s="1394"/>
      <c r="AM22" s="1394">
        <f>Model!AE13</f>
        <v>94.492999999999995</v>
      </c>
      <c r="AN22" s="1394">
        <f>Model!AF13</f>
        <v>106.663</v>
      </c>
      <c r="AO22" s="1394">
        <f>Model!AG13</f>
        <v>118.43300000000001</v>
      </c>
      <c r="AP22" s="1394">
        <f>Model!AH13</f>
        <v>132.071</v>
      </c>
      <c r="AQ22" s="1395">
        <f>SUM(AM22:AP22)</f>
        <v>451.65999999999997</v>
      </c>
      <c r="AR22" s="1394"/>
      <c r="AS22" s="1394">
        <f>Model!AK13</f>
        <v>147.69</v>
      </c>
      <c r="AT22" s="1394">
        <f>Model!AL13</f>
        <v>159.99799999999999</v>
      </c>
      <c r="AU22" s="1394">
        <f>Model!AM13</f>
        <v>176.376</v>
      </c>
      <c r="AV22" s="1394">
        <f>Model!AN13</f>
        <v>196.517</v>
      </c>
      <c r="AW22" s="1395">
        <f>SUM(AS22:AV22)</f>
        <v>680.5809999999999</v>
      </c>
      <c r="AX22" s="1394"/>
      <c r="AY22" s="1394">
        <f>Model!AQ13</f>
        <v>225.34100000000001</v>
      </c>
      <c r="AZ22" s="1394">
        <f>Model!AR13</f>
        <v>239.72</v>
      </c>
      <c r="BA22" s="1396">
        <f>Model!AS13</f>
        <v>253.40299999999999</v>
      </c>
      <c r="BB22" s="1396">
        <f>Model!AT13</f>
        <v>266.11</v>
      </c>
      <c r="BC22" s="1395">
        <f>SUM(AY22:BB22)</f>
        <v>984.57400000000007</v>
      </c>
      <c r="BD22" s="1394"/>
      <c r="BE22" s="1396">
        <f>Model!AW13</f>
        <v>281.76799999999997</v>
      </c>
      <c r="BF22" s="1396">
        <f>Model!AX13</f>
        <v>293.44</v>
      </c>
      <c r="BG22" s="1396">
        <f>Model!AY13</f>
        <v>306.87</v>
      </c>
      <c r="BH22" s="1396">
        <f>Model!AZ13</f>
        <v>327.39400000000001</v>
      </c>
      <c r="BI22" s="1395">
        <f>SUM(BE22:BH22)</f>
        <v>1209.472</v>
      </c>
      <c r="BJ22" s="1397"/>
      <c r="BK22" s="1396">
        <f>Model!BC13</f>
        <v>350.71199999999999</v>
      </c>
      <c r="BL22" s="1396">
        <f>Model!BD13</f>
        <v>368.95100000000002</v>
      </c>
      <c r="BM22" s="1396">
        <f>Model!BE13</f>
        <v>402.94799999999998</v>
      </c>
      <c r="BN22" s="1396">
        <f>Model!BF13</f>
        <v>428.53399999999999</v>
      </c>
      <c r="BO22" s="1398">
        <f>SUM(BK22:BN22)</f>
        <v>1551.145</v>
      </c>
      <c r="BP22" s="1397"/>
      <c r="BQ22" s="1396">
        <f>Model!BI13</f>
        <v>473.50400000000002</v>
      </c>
      <c r="BR22" s="1396">
        <f>Model!BJ13</f>
        <v>509.279</v>
      </c>
      <c r="BS22" s="1396">
        <f>Model!BK13</f>
        <v>549.18200000000002</v>
      </c>
      <c r="BT22" s="1396">
        <f>Model!BL13</f>
        <v>594.26900000000001</v>
      </c>
      <c r="BU22" s="1395">
        <f>SUM(BQ22:BT22)</f>
        <v>2126.2340000000004</v>
      </c>
      <c r="BV22" s="1397"/>
      <c r="BW22" s="1396">
        <f>Model!BO13</f>
        <v>655.22</v>
      </c>
      <c r="BX22" s="1396">
        <f>Model!BP13</f>
        <v>687.49300000000005</v>
      </c>
      <c r="BY22" s="1396">
        <f>Model!BQ13</f>
        <v>740.6</v>
      </c>
      <c r="BZ22" s="1396">
        <f>Model!BR13</f>
        <v>785.495</v>
      </c>
      <c r="CA22" s="1395">
        <f>SUM(BW22:BZ22)</f>
        <v>2868.808</v>
      </c>
      <c r="CB22" s="1397"/>
      <c r="CC22" s="1396">
        <f>Model!BU13</f>
        <v>842.221</v>
      </c>
      <c r="CD22" s="1396">
        <f>Model!BV13</f>
        <v>902.84400000000005</v>
      </c>
      <c r="CE22" s="1396">
        <f>Model!BW13</f>
        <v>1004.476</v>
      </c>
      <c r="CF22" s="1396">
        <f>Model!BX13</f>
        <v>1075.001</v>
      </c>
      <c r="CG22" s="1395">
        <f>SUM(CC22:CF22)</f>
        <v>3824.5420000000004</v>
      </c>
      <c r="CH22" s="1397"/>
      <c r="CI22" s="1396">
        <f>Model!CA13</f>
        <v>1147.306</v>
      </c>
      <c r="CJ22" s="1396">
        <f>Model!CB13</f>
        <v>1232.587</v>
      </c>
      <c r="CK22" s="1396">
        <f>Model!CC13</f>
        <v>1288.5129999999999</v>
      </c>
      <c r="CL22" s="1396">
        <f>Model!CD13</f>
        <v>1345.3579999999999</v>
      </c>
      <c r="CM22" s="1395">
        <f>SUM(CI22:CL22)</f>
        <v>5013.7640000000001</v>
      </c>
      <c r="CN22" s="1397"/>
      <c r="CO22" s="1396">
        <f>Model!CG13</f>
        <v>1405.287</v>
      </c>
      <c r="CP22" s="1396">
        <f>Model!CH13</f>
        <v>1521.319</v>
      </c>
      <c r="CQ22" s="1396">
        <f>Model!CI13</f>
        <v>1596.3330000000001</v>
      </c>
      <c r="CR22" s="1396">
        <f>Model!CJ13</f>
        <v>1682.66</v>
      </c>
      <c r="CS22" s="1395">
        <f>SUM(CO22:CR22)</f>
        <v>6205.5990000000002</v>
      </c>
      <c r="CT22" s="1397"/>
      <c r="CU22" s="1396">
        <f>Model!CM13</f>
        <v>1775.4929999999999</v>
      </c>
      <c r="CV22" s="1396">
        <f>Model!CN13</f>
        <v>1886.08</v>
      </c>
      <c r="CW22" s="1396">
        <f>Model!CO13</f>
        <v>1983.981</v>
      </c>
      <c r="CX22" s="1396">
        <f>Model!CP13</f>
        <v>2110.6509999999998</v>
      </c>
      <c r="CY22" s="1395">
        <f>SUM(CU22:CX22)</f>
        <v>7756.2049999999999</v>
      </c>
      <c r="CZ22" s="1397"/>
      <c r="DA22" s="1396">
        <f>Model!CS13</f>
        <v>2200.9079999999999</v>
      </c>
      <c r="DB22" s="1396">
        <f>Model!CT13</f>
        <v>2368.4989999999998</v>
      </c>
      <c r="DC22" s="1396">
        <f>Model!CU13</f>
        <v>2486.1309999999999</v>
      </c>
      <c r="DD22" s="1396">
        <f>Model!CV13</f>
        <v>2655</v>
      </c>
      <c r="DE22" s="1395">
        <f>SUM(DA22:DD22)</f>
        <v>9710.5379999999986</v>
      </c>
      <c r="DF22" s="1397"/>
      <c r="DG22" s="1396">
        <f>Model!CY13</f>
        <v>2714.4341329999997</v>
      </c>
      <c r="DH22" s="1396">
        <f>Model!CZ13</f>
        <v>2881.4206221293507</v>
      </c>
      <c r="DI22" s="1396">
        <f>Model!DA13</f>
        <v>3001.3236358982986</v>
      </c>
      <c r="DJ22" s="1396">
        <f>Model!DB13</f>
        <v>3182.3742666162307</v>
      </c>
      <c r="DK22" s="1395">
        <f>SUM(DG22:DJ22)</f>
        <v>11779.552657643881</v>
      </c>
      <c r="DL22" s="1397"/>
      <c r="DM22" s="1396">
        <f>Model!DE13</f>
        <v>3266.4215505057318</v>
      </c>
      <c r="DN22" s="1396">
        <f>Model!DF13</f>
        <v>3467.5909166086994</v>
      </c>
      <c r="DO22" s="1396">
        <f>Model!DG13</f>
        <v>3611.4050863957277</v>
      </c>
      <c r="DP22" s="1396">
        <f>Model!DH13</f>
        <v>3810.6762624801022</v>
      </c>
      <c r="DQ22" s="1395">
        <f>SUM(DM22:DP22)</f>
        <v>14156.093815990262</v>
      </c>
      <c r="DR22" s="1397"/>
      <c r="DS22" s="1396">
        <f>Model!DK13</f>
        <v>3913.2871193794222</v>
      </c>
      <c r="DT22" s="1396">
        <f>Model!DL13</f>
        <v>4142.7695853623636</v>
      </c>
      <c r="DU22" s="1396">
        <f>Model!DM13</f>
        <v>4308.0032649533205</v>
      </c>
      <c r="DV22" s="1396">
        <f>Model!DN13</f>
        <v>4547.8810361409733</v>
      </c>
      <c r="DW22" s="1395">
        <f>SUM(DS22:DV22)</f>
        <v>16911.941005836081</v>
      </c>
      <c r="EJ22" s="656"/>
      <c r="EK22" s="656"/>
      <c r="EL22" s="656"/>
    </row>
    <row r="23" spans="1:149" s="1408" customFormat="1">
      <c r="A23" s="1402" t="s">
        <v>877</v>
      </c>
      <c r="B23" s="1403"/>
      <c r="C23" s="1404" t="s">
        <v>88</v>
      </c>
      <c r="D23" s="1404" t="s">
        <v>88</v>
      </c>
      <c r="E23" s="1404" t="s">
        <v>88</v>
      </c>
      <c r="F23" s="1404" t="s">
        <v>88</v>
      </c>
      <c r="G23" s="1405" t="s">
        <v>88</v>
      </c>
      <c r="H23" s="1350"/>
      <c r="I23" s="1404" t="s">
        <v>88</v>
      </c>
      <c r="J23" s="1404" t="s">
        <v>88</v>
      </c>
      <c r="K23" s="1404" t="s">
        <v>88</v>
      </c>
      <c r="L23" s="1404" t="s">
        <v>88</v>
      </c>
      <c r="M23" s="1352">
        <f>M22/G22-1</f>
        <v>3.2837514934289125</v>
      </c>
      <c r="N23" s="1350"/>
      <c r="O23" s="1404" t="s">
        <v>88</v>
      </c>
      <c r="P23" s="1404" t="s">
        <v>88</v>
      </c>
      <c r="Q23" s="1404" t="s">
        <v>88</v>
      </c>
      <c r="R23" s="1404" t="s">
        <v>88</v>
      </c>
      <c r="S23" s="1352">
        <f>S22/M22-1</f>
        <v>1.2152187049690881</v>
      </c>
      <c r="T23" s="1350"/>
      <c r="U23" s="1351">
        <f>U22/O22-1</f>
        <v>0.92077185017026109</v>
      </c>
      <c r="V23" s="1351">
        <f>V22/P22-1</f>
        <v>0.73764966740576488</v>
      </c>
      <c r="W23" s="1351">
        <f>W22/Q22-1</f>
        <v>0.73765169668392994</v>
      </c>
      <c r="X23" s="1351">
        <f>X22/R22-1</f>
        <v>0.83148831488314867</v>
      </c>
      <c r="Y23" s="1352">
        <f>Y22/S22-1</f>
        <v>0.80031895249286533</v>
      </c>
      <c r="Z23" s="1350"/>
      <c r="AA23" s="1351">
        <f>AA22/U22-1</f>
        <v>0.83878974116534688</v>
      </c>
      <c r="AB23" s="1351">
        <f>AB22/V22-1</f>
        <v>0.8383523887300941</v>
      </c>
      <c r="AC23" s="1351">
        <f>AC22/W22-1</f>
        <v>0.84452846975088969</v>
      </c>
      <c r="AD23" s="1351">
        <f>AD22/X22-1</f>
        <v>0.84236251026042819</v>
      </c>
      <c r="AE23" s="1352">
        <f>AE22/Y22-1</f>
        <v>0.84130961816401717</v>
      </c>
      <c r="AF23" s="1350"/>
      <c r="AG23" s="1351">
        <f>AG22/AA22-1</f>
        <v>0.87009898444530132</v>
      </c>
      <c r="AH23" s="1351">
        <f>AH22/AB22-1</f>
        <v>0.82241719188161144</v>
      </c>
      <c r="AI23" s="1351">
        <f>AI22/AC22-1</f>
        <v>0.79394670203786299</v>
      </c>
      <c r="AJ23" s="1351">
        <f>AJ22/AD22-1</f>
        <v>0.66923185969744226</v>
      </c>
      <c r="AK23" s="1352">
        <f>AK22/AE22-1</f>
        <v>0.77645480038233416</v>
      </c>
      <c r="AL23" s="1350"/>
      <c r="AM23" s="1351">
        <f>AM22/AG22-1</f>
        <v>0.62387008076989181</v>
      </c>
      <c r="AN23" s="1351">
        <f>AN22/AH22-1</f>
        <v>0.62501904384655216</v>
      </c>
      <c r="AO23" s="1406">
        <f>AO22/AI22-1</f>
        <v>0.59214099427311617</v>
      </c>
      <c r="AP23" s="1406">
        <f>AP22/AJ22-1</f>
        <v>0.60231725811343639</v>
      </c>
      <c r="AQ23" s="1354">
        <f>AQ22/AK22-1</f>
        <v>0.60939855116359443</v>
      </c>
      <c r="AR23" s="1350"/>
      <c r="AS23" s="1406">
        <f>AS22/AM22-1</f>
        <v>0.5629729186288932</v>
      </c>
      <c r="AT23" s="1406">
        <f>AT22/AN22-1</f>
        <v>0.50003281362796836</v>
      </c>
      <c r="AU23" s="1406">
        <f>AU22/AO22-1</f>
        <v>0.48924708484966173</v>
      </c>
      <c r="AV23" s="1406">
        <f>AV22/AP22-1</f>
        <v>0.487964806808459</v>
      </c>
      <c r="AW23" s="1354">
        <f>AW22/AQ22-1</f>
        <v>0.50684364344861166</v>
      </c>
      <c r="AX23" s="1350"/>
      <c r="AY23" s="1406">
        <f>AY22/AS22-1</f>
        <v>0.52577019432595318</v>
      </c>
      <c r="AZ23" s="1406">
        <f>AZ22/AT22-1</f>
        <v>0.49826872835910452</v>
      </c>
      <c r="BA23" s="1406">
        <f>BA22/AU22-1</f>
        <v>0.43672041547602847</v>
      </c>
      <c r="BB23" s="1406">
        <f>BB22/AV22-1</f>
        <v>0.35413221248034521</v>
      </c>
      <c r="BC23" s="1354">
        <f>BC22/AW22-1</f>
        <v>0.44666689196436615</v>
      </c>
      <c r="BD23" s="1350"/>
      <c r="BE23" s="1406">
        <f>BE22/AY22-1</f>
        <v>0.25040716070311198</v>
      </c>
      <c r="BF23" s="1406">
        <f>BF22/AZ22-1</f>
        <v>0.2240947772401134</v>
      </c>
      <c r="BG23" s="1406">
        <f>BG22/BA22-1</f>
        <v>0.21099592348946161</v>
      </c>
      <c r="BH23" s="1406">
        <f>BH22/BB22-1</f>
        <v>0.23029574236218098</v>
      </c>
      <c r="BI23" s="1354">
        <f>BI22/BC22-1</f>
        <v>0.22842163209672406</v>
      </c>
      <c r="BJ23" s="1407"/>
      <c r="BK23" s="1406">
        <f>BK22/BE22-1</f>
        <v>0.24468356946140091</v>
      </c>
      <c r="BL23" s="1406">
        <f>BL22/BF22-1</f>
        <v>0.25733028898582333</v>
      </c>
      <c r="BM23" s="1406">
        <f>BM22/BG22-1</f>
        <v>0.31309023364942812</v>
      </c>
      <c r="BN23" s="1406">
        <f>BN22/BH22-1</f>
        <v>0.30892441523057834</v>
      </c>
      <c r="BO23" s="1355">
        <f>BO22/BI22-1</f>
        <v>0.28249765186792253</v>
      </c>
      <c r="BP23" s="1407"/>
      <c r="BQ23" s="1406">
        <f>BQ22/BK22-1</f>
        <v>0.35012203745523407</v>
      </c>
      <c r="BR23" s="1406">
        <f>BR22/BL22-1</f>
        <v>0.38034318920398635</v>
      </c>
      <c r="BS23" s="1406">
        <f>BS22/BM22-1</f>
        <v>0.36291035071522892</v>
      </c>
      <c r="BT23" s="1406">
        <f>BT22/BN22-1</f>
        <v>0.38674877605977587</v>
      </c>
      <c r="BU23" s="1354">
        <f>BU22/BO22-1</f>
        <v>0.37075128372911648</v>
      </c>
      <c r="BV23" s="1407"/>
      <c r="BW23" s="1406">
        <f>BW22/BQ22-1</f>
        <v>0.3837686693248632</v>
      </c>
      <c r="BX23" s="1406">
        <f>BX22/BR22-1</f>
        <v>0.34993392619762465</v>
      </c>
      <c r="BY23" s="1406">
        <f>BY22/BS22-1</f>
        <v>0.34855111784435766</v>
      </c>
      <c r="BZ23" s="1406">
        <f>BZ22/BT22-1</f>
        <v>0.32178356939365838</v>
      </c>
      <c r="CA23" s="1354">
        <f>CA22/BU22-1</f>
        <v>0.34924378031768821</v>
      </c>
      <c r="CB23" s="1407"/>
      <c r="CC23" s="1406">
        <f>CC22/BW22-1</f>
        <v>0.28540184976038585</v>
      </c>
      <c r="CD23" s="1406">
        <f>CD22/BX22-1</f>
        <v>0.313241007544804</v>
      </c>
      <c r="CE23" s="1406">
        <f>CE22/BY22-1</f>
        <v>0.35630029705644062</v>
      </c>
      <c r="CF23" s="1406">
        <f>CF22/BZ22-1</f>
        <v>0.368565044971642</v>
      </c>
      <c r="CG23" s="1354">
        <f>CG22/CA22-1</f>
        <v>0.33314672853673044</v>
      </c>
      <c r="CH23" s="1407"/>
      <c r="CI23" s="1406">
        <f>CI22/CC22-1</f>
        <v>0.36223865232522101</v>
      </c>
      <c r="CJ23" s="1406">
        <f>CJ22/CD22-1</f>
        <v>0.36522699381066936</v>
      </c>
      <c r="CK23" s="1406">
        <f>CK22/CE22-1</f>
        <v>0.28277131559141266</v>
      </c>
      <c r="CL23" s="1406">
        <f>CL22/CF22-1</f>
        <v>0.25149464977241887</v>
      </c>
      <c r="CM23" s="1354">
        <f>CM22/CG22-1</f>
        <v>0.3109449445188468</v>
      </c>
      <c r="CN23" s="1407"/>
      <c r="CO23" s="1406">
        <f>CO22/CI22-1</f>
        <v>0.22485805879163889</v>
      </c>
      <c r="CP23" s="1406">
        <f>CP22/CJ22-1</f>
        <v>0.23424877919367959</v>
      </c>
      <c r="CQ23" s="1406">
        <f>CQ22/CK22-1</f>
        <v>0.23889553306796296</v>
      </c>
      <c r="CR23" s="1406">
        <f>CR22/CL22-1</f>
        <v>0.25071542295805282</v>
      </c>
      <c r="CS23" s="1354">
        <f>CS22/CM22-1</f>
        <v>0.23771262468676224</v>
      </c>
      <c r="CT23" s="1407"/>
      <c r="CU23" s="1406">
        <f>CU22/CO22-1</f>
        <v>0.26343800234400505</v>
      </c>
      <c r="CV23" s="1406">
        <f>CV22/CP22-1</f>
        <v>0.23976628175944681</v>
      </c>
      <c r="CW23" s="1406">
        <f>CW22/CQ22-1</f>
        <v>0.24283655102036983</v>
      </c>
      <c r="CX23" s="1406">
        <f>CX22/CR22-1</f>
        <v>0.25435382073621504</v>
      </c>
      <c r="CY23" s="1354">
        <f>CY22/CS22-1</f>
        <v>0.2498720913162451</v>
      </c>
      <c r="CZ23" s="1407"/>
      <c r="DA23" s="1406">
        <f>DA22/CU22-1</f>
        <v>0.23960387340304923</v>
      </c>
      <c r="DB23" s="1406">
        <f>DB22/CV22-1</f>
        <v>0.25577865201900241</v>
      </c>
      <c r="DC23" s="1406">
        <f>DC22/CW22-1</f>
        <v>0.25310222224910417</v>
      </c>
      <c r="DD23" s="1406">
        <f>DD22/CX22-1</f>
        <v>0.2579057361922934</v>
      </c>
      <c r="DE23" s="1354">
        <f>DE22/CY22-1</f>
        <v>0.25197026122955735</v>
      </c>
      <c r="DF23" s="1407"/>
      <c r="DG23" s="1406">
        <f>DG22/DA22-1</f>
        <v>0.2333246700907079</v>
      </c>
      <c r="DH23" s="1406">
        <f>DH22/DB22-1</f>
        <v>0.216559779898303</v>
      </c>
      <c r="DI23" s="1406">
        <f>DI22/DC22-1</f>
        <v>0.20722666500610742</v>
      </c>
      <c r="DJ23" s="1406">
        <f>DJ22/DD22-1</f>
        <v>0.19863437537334483</v>
      </c>
      <c r="DK23" s="1354">
        <f>DK22/DE22-1</f>
        <v>0.21306900376105653</v>
      </c>
      <c r="DL23" s="1407"/>
      <c r="DM23" s="1406">
        <f>DM22/DG22-1</f>
        <v>0.20335266595534374</v>
      </c>
      <c r="DN23" s="1406">
        <f>DN22/DH22-1</f>
        <v>0.20343100551774795</v>
      </c>
      <c r="DO23" s="1406">
        <f>DO22/DI22-1</f>
        <v>0.20327079799071091</v>
      </c>
      <c r="DP23" s="1406">
        <f>DP22/DJ22-1</f>
        <v>0.19743183649229779</v>
      </c>
      <c r="DQ23" s="1354">
        <f>DQ22/DK22-1</f>
        <v>0.20175139306365919</v>
      </c>
      <c r="DR23" s="1407"/>
      <c r="DS23" s="1406">
        <f>DS22/DM22-1</f>
        <v>0.19803493176609055</v>
      </c>
      <c r="DT23" s="1406">
        <f>DT22/DN22-1</f>
        <v>0.19471116547219136</v>
      </c>
      <c r="DU23" s="1406">
        <f>DU22/DO22-1</f>
        <v>0.19288840822141484</v>
      </c>
      <c r="DV23" s="1406">
        <f>DV22/DP22-1</f>
        <v>0.19345772846656772</v>
      </c>
      <c r="DW23" s="1354">
        <f>DW22/DQ22-1</f>
        <v>0.19467568000523583</v>
      </c>
      <c r="EJ23" s="656"/>
      <c r="EK23" s="656"/>
      <c r="EL23" s="656"/>
      <c r="ES23" s="656"/>
    </row>
    <row r="24" spans="1:149" s="1408" customFormat="1" ht="13.5" thickBot="1">
      <c r="A24" s="1409" t="s">
        <v>878</v>
      </c>
      <c r="B24" s="1410"/>
      <c r="C24" s="1411" t="s">
        <v>88</v>
      </c>
      <c r="D24" s="1411" t="s">
        <v>88</v>
      </c>
      <c r="E24" s="1411" t="s">
        <v>88</v>
      </c>
      <c r="F24" s="1411" t="s">
        <v>88</v>
      </c>
      <c r="G24" s="1412" t="s">
        <v>88</v>
      </c>
      <c r="H24" s="1413"/>
      <c r="I24" s="1411" t="s">
        <v>88</v>
      </c>
      <c r="J24" s="1411" t="s">
        <v>88</v>
      </c>
      <c r="K24" s="1411" t="s">
        <v>88</v>
      </c>
      <c r="L24" s="1411" t="s">
        <v>88</v>
      </c>
      <c r="M24" s="1412" t="s">
        <v>88</v>
      </c>
      <c r="N24" s="1413"/>
      <c r="O24" s="1411" t="s">
        <v>88</v>
      </c>
      <c r="P24" s="1414">
        <f>P22/O22-1</f>
        <v>0.27979568671963673</v>
      </c>
      <c r="Q24" s="1414">
        <f>Q22/P22-1</f>
        <v>0.1474057649667404</v>
      </c>
      <c r="R24" s="1414">
        <f>R22/Q22-1</f>
        <v>0.13117415165803514</v>
      </c>
      <c r="S24" s="1412" t="s">
        <v>88</v>
      </c>
      <c r="T24" s="1413"/>
      <c r="U24" s="1414">
        <f>U22/R22-1</f>
        <v>0.15634823014896826</v>
      </c>
      <c r="V24" s="1414">
        <f>V22/U22-1</f>
        <v>0.15778276799432689</v>
      </c>
      <c r="W24" s="1414">
        <f>W22/V22-1</f>
        <v>0.14740710494079234</v>
      </c>
      <c r="X24" s="1414">
        <f>X22/W22-1</f>
        <v>0.19225978647686826</v>
      </c>
      <c r="Y24" s="1412" t="s">
        <v>88</v>
      </c>
      <c r="Z24" s="1413"/>
      <c r="AA24" s="1414">
        <f>AA22/X22-1</f>
        <v>0.16095813745242893</v>
      </c>
      <c r="AB24" s="1414">
        <f>AB22/AA22-1</f>
        <v>0.15750739169559069</v>
      </c>
      <c r="AC24" s="1414">
        <f>AC22/AB22-1</f>
        <v>0.15126190410084117</v>
      </c>
      <c r="AD24" s="1414">
        <f>AD22/AC22-1</f>
        <v>0.19085976124442294</v>
      </c>
      <c r="AE24" s="1412" t="s">
        <v>88</v>
      </c>
      <c r="AF24" s="1413"/>
      <c r="AG24" s="1414">
        <f>AG22/AD22-1</f>
        <v>0.17843617732234351</v>
      </c>
      <c r="AH24" s="1414">
        <f>AH22/AG22-1</f>
        <v>0.12799450077332897</v>
      </c>
      <c r="AI24" s="1414">
        <f>AI22/AH22-1</f>
        <v>0.13327645571163038</v>
      </c>
      <c r="AJ24" s="1414">
        <f>AJ22/AI22-1</f>
        <v>0.10807141128707021</v>
      </c>
      <c r="AK24" s="1412" t="s">
        <v>88</v>
      </c>
      <c r="AL24" s="1413"/>
      <c r="AM24" s="1414">
        <f>AM22/AJ22-1</f>
        <v>0.1464118895966029</v>
      </c>
      <c r="AN24" s="1414">
        <f>AN22/AM22-1</f>
        <v>0.12879260897632627</v>
      </c>
      <c r="AO24" s="1414">
        <f>AO22/AN22-1</f>
        <v>0.11034754319679752</v>
      </c>
      <c r="AP24" s="1414">
        <f>AP22/AO22-1</f>
        <v>0.11515371560291454</v>
      </c>
      <c r="AQ24" s="1415" t="s">
        <v>88</v>
      </c>
      <c r="AR24" s="1413"/>
      <c r="AS24" s="1414">
        <f>AS22/AP22-1</f>
        <v>0.11826214687554426</v>
      </c>
      <c r="AT24" s="1414">
        <f>AT22/AS22-1</f>
        <v>8.3336718802897947E-2</v>
      </c>
      <c r="AU24" s="1414">
        <f>AU22/AT22-1</f>
        <v>0.10236377954724452</v>
      </c>
      <c r="AV24" s="1414">
        <f>AV22/AU22-1</f>
        <v>0.11419354107134749</v>
      </c>
      <c r="AW24" s="1415" t="s">
        <v>88</v>
      </c>
      <c r="AX24" s="1413"/>
      <c r="AY24" s="1414">
        <f>AY22/AV22-1</f>
        <v>0.1466743335182199</v>
      </c>
      <c r="AZ24" s="1414">
        <f>AZ22/AY22-1</f>
        <v>6.3809959128609428E-2</v>
      </c>
      <c r="BA24" s="1414">
        <f>BA22/AZ22-1</f>
        <v>5.7079092274320065E-2</v>
      </c>
      <c r="BB24" s="1414">
        <f>BB22/BA22-1</f>
        <v>5.0145420535668617E-2</v>
      </c>
      <c r="BC24" s="1415" t="s">
        <v>88</v>
      </c>
      <c r="BD24" s="1413"/>
      <c r="BE24" s="1414">
        <f>BE22/BB22-1</f>
        <v>5.8840329187178186E-2</v>
      </c>
      <c r="BF24" s="1414">
        <f>BF22/BE22-1</f>
        <v>4.1424150364839152E-2</v>
      </c>
      <c r="BG24" s="1414">
        <f>BG22/BF22-1</f>
        <v>4.5767448200654259E-2</v>
      </c>
      <c r="BH24" s="1414">
        <f>BH22/BG22-1</f>
        <v>6.6881741454035915E-2</v>
      </c>
      <c r="BI24" s="1415" t="s">
        <v>88</v>
      </c>
      <c r="BJ24" s="1416"/>
      <c r="BK24" s="1414">
        <f>BK22/BH22-1</f>
        <v>7.1223052346713667E-2</v>
      </c>
      <c r="BL24" s="1414">
        <f>BL22/BK22-1</f>
        <v>5.2005634252606292E-2</v>
      </c>
      <c r="BM24" s="1414">
        <f>BM22/BL22-1</f>
        <v>9.2145027388460754E-2</v>
      </c>
      <c r="BN24" s="1414">
        <f>BN22/BM22-1</f>
        <v>6.3497026911661036E-2</v>
      </c>
      <c r="BO24" s="1417" t="s">
        <v>88</v>
      </c>
      <c r="BP24" s="1416"/>
      <c r="BQ24" s="1414">
        <f>BQ22/BN22-1</f>
        <v>0.10493916468704945</v>
      </c>
      <c r="BR24" s="1414">
        <f>BR22/BQ22-1</f>
        <v>7.5553744002162526E-2</v>
      </c>
      <c r="BS24" s="1414">
        <f>BS22/BR22-1</f>
        <v>7.8351944611892543E-2</v>
      </c>
      <c r="BT24" s="1414">
        <f>BT22/BS22-1</f>
        <v>8.209846644646035E-2</v>
      </c>
      <c r="BU24" s="1415" t="s">
        <v>88</v>
      </c>
      <c r="BV24" s="1416"/>
      <c r="BW24" s="1414">
        <f>BW22/BT22-1</f>
        <v>0.10256466347731408</v>
      </c>
      <c r="BX24" s="1414">
        <f>BX22/BW22-1</f>
        <v>4.9255211989865932E-2</v>
      </c>
      <c r="BY24" s="1414">
        <f>BY22/BX22-1</f>
        <v>7.7247331972834621E-2</v>
      </c>
      <c r="BZ24" s="1414">
        <f>BZ22/BY22-1</f>
        <v>6.0619767755873522E-2</v>
      </c>
      <c r="CA24" s="1415" t="s">
        <v>88</v>
      </c>
      <c r="CB24" s="1416"/>
      <c r="CC24" s="1414">
        <f>CC22/BZ22-1</f>
        <v>7.2216882348073552E-2</v>
      </c>
      <c r="CD24" s="1414">
        <f>CD22/CC22-1</f>
        <v>7.1979919759778133E-2</v>
      </c>
      <c r="CE24" s="1414">
        <f>CE22/CD22-1</f>
        <v>0.11256872726628298</v>
      </c>
      <c r="CF24" s="1414">
        <f>CF22/CE22-1</f>
        <v>7.021073674234124E-2</v>
      </c>
      <c r="CG24" s="1415" t="s">
        <v>88</v>
      </c>
      <c r="CH24" s="1416"/>
      <c r="CI24" s="1414">
        <f>CI22/CF22-1</f>
        <v>6.7260402548462883E-2</v>
      </c>
      <c r="CJ24" s="1414">
        <f>CJ22/CI22-1</f>
        <v>7.433152097173723E-2</v>
      </c>
      <c r="CK24" s="1414">
        <f>CK22/CJ22-1</f>
        <v>4.5372862118454815E-2</v>
      </c>
      <c r="CL24" s="1414">
        <f>CL22/CK22-1</f>
        <v>4.4116745426705073E-2</v>
      </c>
      <c r="CM24" s="1415" t="s">
        <v>88</v>
      </c>
      <c r="CN24" s="1416"/>
      <c r="CO24" s="1414">
        <f>CO22/CL22-1</f>
        <v>4.4545020730541784E-2</v>
      </c>
      <c r="CP24" s="1414">
        <f>CP22/CO22-1</f>
        <v>8.2568187138997162E-2</v>
      </c>
      <c r="CQ24" s="1414">
        <f>CQ22/CP22-1</f>
        <v>4.930852766579541E-2</v>
      </c>
      <c r="CR24" s="1414">
        <f>CR22/CQ22-1</f>
        <v>5.4078315739886307E-2</v>
      </c>
      <c r="CS24" s="1415" t="s">
        <v>88</v>
      </c>
      <c r="CT24" s="1416"/>
      <c r="CU24" s="1414">
        <f>CU22/CR22-1</f>
        <v>5.5170384985677279E-2</v>
      </c>
      <c r="CV24" s="1414">
        <f>CV22/CU22-1</f>
        <v>6.228523570636435E-2</v>
      </c>
      <c r="CW24" s="1414">
        <f>CW22/CV22-1</f>
        <v>5.1907130132337942E-2</v>
      </c>
      <c r="CX24" s="1414">
        <f>CX22/CW22-1</f>
        <v>6.3846377561075363E-2</v>
      </c>
      <c r="CY24" s="1415" t="s">
        <v>88</v>
      </c>
      <c r="CZ24" s="1416"/>
      <c r="DA24" s="1414">
        <f>DA22/CX22-1</f>
        <v>4.2762635793411663E-2</v>
      </c>
      <c r="DB24" s="1414">
        <f>DB22/DA22-1</f>
        <v>7.6146299618157443E-2</v>
      </c>
      <c r="DC24" s="1414">
        <f>DC22/DB22-1</f>
        <v>4.9665209907202801E-2</v>
      </c>
      <c r="DD24" s="1414">
        <f>DD22/DC22-1</f>
        <v>6.7924417498514744E-2</v>
      </c>
      <c r="DE24" s="1415" t="s">
        <v>88</v>
      </c>
      <c r="DF24" s="1416"/>
      <c r="DG24" s="1414">
        <f>DG22/DD22-1</f>
        <v>2.2385737476459333E-2</v>
      </c>
      <c r="DH24" s="1414">
        <f>DH22/DG22-1</f>
        <v>6.1517974261838804E-2</v>
      </c>
      <c r="DI24" s="1414">
        <f>DI22/DH22-1</f>
        <v>4.1612464646116232E-2</v>
      </c>
      <c r="DJ24" s="1414">
        <f>DJ22/DI22-1</f>
        <v>6.0323594747470066E-2</v>
      </c>
      <c r="DK24" s="1415" t="s">
        <v>88</v>
      </c>
      <c r="DL24" s="1416"/>
      <c r="DM24" s="1414">
        <f>DM22/DJ22-1</f>
        <v>2.641024494547195E-2</v>
      </c>
      <c r="DN24" s="1414">
        <f>DN22/DM22-1</f>
        <v>6.1587080232133884E-2</v>
      </c>
      <c r="DO24" s="1414">
        <f>DO22/DN22-1</f>
        <v>4.1473799316465554E-2</v>
      </c>
      <c r="DP24" s="1414">
        <f>DP22/DO22-1</f>
        <v>5.5178295238890618E-2</v>
      </c>
      <c r="DQ24" s="1415" t="s">
        <v>88</v>
      </c>
      <c r="DR24" s="1416"/>
      <c r="DS24" s="1414">
        <f>DS22/DP22-1</f>
        <v>2.692720394792536E-2</v>
      </c>
      <c r="DT24" s="1414">
        <f>DT22/DS22-1</f>
        <v>5.864186781657188E-2</v>
      </c>
      <c r="DU24" s="1414">
        <f>DU22/DT22-1</f>
        <v>3.9884834574140049E-2</v>
      </c>
      <c r="DV24" s="1414">
        <f>DV22/DU22-1</f>
        <v>5.568189168729698E-2</v>
      </c>
      <c r="DW24" s="1415" t="s">
        <v>88</v>
      </c>
      <c r="EJ24" s="656"/>
      <c r="EK24" s="656"/>
      <c r="EL24" s="656"/>
    </row>
    <row r="25" spans="1:149" ht="8.1" customHeight="1">
      <c r="A25" s="1340"/>
      <c r="B25" s="1340"/>
      <c r="C25" s="1340"/>
      <c r="D25" s="1340"/>
      <c r="E25" s="1340"/>
      <c r="F25" s="1340"/>
      <c r="G25" s="853"/>
      <c r="H25" s="1340"/>
      <c r="I25" s="1340"/>
      <c r="J25" s="1340"/>
      <c r="K25" s="1340"/>
      <c r="L25" s="500"/>
      <c r="M25" s="853"/>
      <c r="N25" s="1340"/>
      <c r="O25" s="1340"/>
      <c r="P25" s="1340"/>
      <c r="Q25" s="1340"/>
      <c r="R25" s="1340"/>
      <c r="S25" s="853"/>
      <c r="T25" s="1340"/>
      <c r="U25" s="1340"/>
      <c r="V25" s="1340"/>
      <c r="W25" s="1340"/>
      <c r="X25" s="1340"/>
      <c r="Y25" s="853"/>
      <c r="Z25" s="1340"/>
      <c r="AA25" s="1340"/>
      <c r="AB25" s="1340"/>
      <c r="AC25" s="1340"/>
      <c r="AD25" s="1340"/>
      <c r="AE25" s="853"/>
      <c r="AF25" s="1340"/>
      <c r="AG25" s="1340"/>
      <c r="AH25" s="1340"/>
      <c r="AI25" s="1340"/>
      <c r="AJ25" s="1340"/>
      <c r="AK25" s="853"/>
      <c r="AL25" s="1340"/>
      <c r="AM25" s="1340"/>
      <c r="AN25" s="1340"/>
      <c r="AO25" s="1340"/>
      <c r="AP25" s="1340"/>
      <c r="AQ25" s="1341"/>
      <c r="AR25" s="1340"/>
      <c r="AS25" s="1340"/>
      <c r="AT25" s="1340"/>
      <c r="AU25" s="1340"/>
      <c r="AV25" s="1340"/>
      <c r="AW25" s="1341"/>
      <c r="AX25" s="1340"/>
      <c r="AY25" s="1340"/>
      <c r="AZ25" s="1340"/>
      <c r="BA25" s="1340"/>
      <c r="BB25" s="1340"/>
      <c r="BC25" s="1341"/>
      <c r="BD25" s="1340"/>
      <c r="BE25" s="1340"/>
      <c r="BF25" s="1340"/>
      <c r="BG25" s="1340"/>
      <c r="BH25" s="1340"/>
      <c r="BI25" s="1341"/>
      <c r="BJ25" s="1340"/>
      <c r="BK25" s="1340"/>
      <c r="BL25" s="1340"/>
      <c r="BM25" s="1340"/>
      <c r="BN25" s="1340"/>
      <c r="BO25" s="1418"/>
      <c r="BP25" s="1340"/>
      <c r="BQ25" s="1340"/>
      <c r="BR25" s="1340"/>
      <c r="BS25" s="1340"/>
      <c r="BT25" s="1340"/>
      <c r="BU25" s="1341"/>
      <c r="BV25" s="1340"/>
      <c r="BW25" s="1340"/>
      <c r="BX25" s="1340"/>
      <c r="BY25" s="1340"/>
      <c r="BZ25" s="1340"/>
      <c r="CA25" s="1341"/>
      <c r="CB25" s="1340"/>
      <c r="CC25" s="1340"/>
      <c r="CD25" s="1340"/>
      <c r="CE25" s="1340"/>
      <c r="CF25" s="1340"/>
      <c r="CG25" s="1341"/>
      <c r="CH25" s="1340"/>
      <c r="CI25" s="1340"/>
      <c r="CJ25" s="1340"/>
      <c r="CK25" s="1340"/>
      <c r="CL25" s="1340"/>
      <c r="CM25" s="1341"/>
      <c r="CN25" s="1340"/>
      <c r="CO25" s="1340"/>
      <c r="CP25" s="1340"/>
      <c r="CQ25" s="1340"/>
      <c r="CR25" s="1340"/>
      <c r="CS25" s="1341"/>
      <c r="CT25" s="1340"/>
      <c r="CU25" s="1340"/>
      <c r="CV25" s="1340"/>
      <c r="CW25" s="1340"/>
      <c r="CX25" s="1340"/>
      <c r="CY25" s="1341"/>
      <c r="CZ25" s="1340"/>
      <c r="DA25" s="1340"/>
      <c r="DB25" s="1340"/>
      <c r="DC25" s="1340"/>
      <c r="DD25" s="1340"/>
      <c r="DE25" s="1341"/>
      <c r="DF25" s="1340"/>
      <c r="DG25" s="1340"/>
      <c r="DH25" s="1340"/>
      <c r="DI25" s="1340"/>
      <c r="DJ25" s="1340"/>
      <c r="DK25" s="1341"/>
      <c r="DL25" s="1340"/>
      <c r="DM25" s="1340"/>
      <c r="DN25" s="1340"/>
      <c r="DO25" s="1340"/>
      <c r="DP25" s="1340"/>
      <c r="DQ25" s="1341"/>
      <c r="DR25" s="1340"/>
      <c r="DS25" s="1340"/>
      <c r="DT25" s="1340"/>
      <c r="DU25" s="1340"/>
      <c r="DV25" s="1340"/>
      <c r="DW25" s="1341"/>
      <c r="DX25" s="500"/>
      <c r="DY25" s="500"/>
      <c r="DZ25" s="500"/>
      <c r="EA25" s="500"/>
      <c r="EB25" s="500"/>
      <c r="EC25" s="500"/>
      <c r="ED25" s="500"/>
      <c r="EE25" s="500"/>
      <c r="EF25" s="500"/>
      <c r="EG25" s="500"/>
      <c r="EH25" s="500"/>
      <c r="EI25" s="500"/>
    </row>
    <row r="26" spans="1:149" ht="10.5" hidden="1" customHeight="1" outlineLevel="1">
      <c r="A26" s="82" t="s">
        <v>822</v>
      </c>
      <c r="B26" s="82"/>
      <c r="C26" s="82"/>
      <c r="D26" s="82"/>
      <c r="E26" s="82"/>
      <c r="F26" s="82"/>
      <c r="G26" s="83"/>
      <c r="H26" s="82"/>
      <c r="I26" s="82"/>
      <c r="J26" s="82"/>
      <c r="K26" s="82"/>
      <c r="L26" s="84"/>
      <c r="M26" s="83"/>
      <c r="N26" s="82"/>
      <c r="O26" s="85">
        <f>((O18*O8)-(N8*N18))/(O8-N8)</f>
        <v>2258.9743589743593</v>
      </c>
      <c r="P26" s="85">
        <f>((P18*P8)-(O8*O18))/(P8-O8)</f>
        <v>3827.8939056112958</v>
      </c>
      <c r="Q26" s="85">
        <f>((Q18*Q8)-(P8*P18))/(Q8-P8)</f>
        <v>5927.0695652173736</v>
      </c>
      <c r="R26" s="85">
        <f>((R18*R8)-(Q8*Q18))/(R8-Q8)</f>
        <v>3752.1000000000031</v>
      </c>
      <c r="S26" s="86"/>
      <c r="T26" s="87"/>
      <c r="U26" s="85">
        <f>((U18*U8)-(T8*T18))/(U8-T8)</f>
        <v>2820.3333333333335</v>
      </c>
      <c r="V26" s="85">
        <f>((V18*V8)-(U8*U18))/(V8-U8)</f>
        <v>4078.6541353383445</v>
      </c>
      <c r="W26" s="85">
        <f>((W18*W8)-(V8*V18))/(W8-V8)</f>
        <v>4181.8832796276465</v>
      </c>
      <c r="X26" s="85">
        <f>((X18*X8)-(W8*W18))/(X8-W8)</f>
        <v>4885.792102206733</v>
      </c>
      <c r="Y26" s="86"/>
      <c r="Z26" s="87"/>
      <c r="AA26" s="85">
        <f>((AA18*AA8)-(Z8*Z18))/(AA8-Z8)</f>
        <v>3363.8918918918916</v>
      </c>
      <c r="AB26" s="85">
        <f>((AB18*AB8)-(AA8*AA18))/(AB8-AA8)</f>
        <v>4070.116404221671</v>
      </c>
      <c r="AC26" s="85">
        <f>((AC18*AC8)-(AB8*AB18))/(AC8-AB8)</f>
        <v>4048.2116211175066</v>
      </c>
      <c r="AD26" s="85">
        <f>((AD18*AD8)-(AC8*AC18))/(AD8-AC8)</f>
        <v>5766.282284100077</v>
      </c>
      <c r="AE26" s="86"/>
      <c r="AF26" s="87"/>
      <c r="AG26" s="85">
        <f>((AG18*AG8)-(AF8*AF18))/(AG8-AF8)</f>
        <v>3958.5034013605441</v>
      </c>
      <c r="AH26" s="85">
        <f>((AH18*AH8)-(AG8*AG18))/(AH8-AG8)</f>
        <v>5083.86225389628</v>
      </c>
      <c r="AI26" s="85">
        <f>((AI18*AI8)-(AH8*AH18))/(AI8-AH8)</f>
        <v>5373.8222283873456</v>
      </c>
      <c r="AJ26" s="85">
        <f>((AJ18*AJ8)-(AI8*AI18))/(AJ8-AI8)</f>
        <v>4479.2953005172067</v>
      </c>
      <c r="AK26" s="86"/>
      <c r="AL26" s="87"/>
      <c r="AM26" s="85">
        <f>((AM18*AM8)-(AL8*AL18))/(AM8-AL8)</f>
        <v>4374.6759259259261</v>
      </c>
      <c r="AN26" s="85">
        <f>((AN18*AN8)-(AM8*AM18))/(AN8-AM8)</f>
        <v>5749.2780237631077</v>
      </c>
      <c r="AO26" s="85">
        <f>((AO18*AO8)-(AN8*AN18))/(AO8-AN8)</f>
        <v>5349.0645855654584</v>
      </c>
      <c r="AP26" s="85">
        <f>((AP18*AP8)-(AO8*AO18))/(AP8-AO8)</f>
        <v>5428.3383481344135</v>
      </c>
      <c r="AQ26" s="88"/>
      <c r="AR26" s="87"/>
      <c r="AS26" s="85">
        <f>((AS18*AS8)-(AR8*AR18))/(AS8-AR8)</f>
        <v>4756.5217391304341</v>
      </c>
      <c r="AT26" s="85">
        <f>((AT18*AT8)-(AS8*AS18))/(AT8-AS8)</f>
        <v>4487.6169282222791</v>
      </c>
      <c r="AU26" s="85">
        <f>((AU18*AU8)-(AT8*AT18))/(AU8-AT8)</f>
        <v>5716.3345797987386</v>
      </c>
      <c r="AV26" s="85">
        <f>((AV18*AV8)-(AU8*AU18))/(AV8-AU8)</f>
        <v>7109.5018668752191</v>
      </c>
      <c r="AW26" s="88"/>
      <c r="AX26" s="87"/>
      <c r="AY26" s="85">
        <f>((AY18*AY8)-(AX8*AX18))/(AY8-AX8)</f>
        <v>5327.2104018912532</v>
      </c>
      <c r="AZ26" s="85">
        <f>((AZ18*AZ8)-(AY8*AY18))/(AZ8-AY8)</f>
        <v>4443.5874693439646</v>
      </c>
      <c r="BA26" s="85">
        <f>((BA18*BA8)-(AZ8*AZ18))/(BA8-AZ8)</f>
        <v>3258.4511003713492</v>
      </c>
      <c r="BB26" s="85">
        <f>((BB18*BB8)-(BA8*BA18))/(BB8-BA8)</f>
        <v>3111.6106090152348</v>
      </c>
      <c r="BC26" s="88"/>
      <c r="BD26" s="87"/>
      <c r="BE26" s="85">
        <f>((BE18*BE8)-(BD8*BD18))/(BE8-BD8)</f>
        <v>4913.1299040976455</v>
      </c>
      <c r="BF26" s="85">
        <f>((BF18*BF8)-(BE8*BE18))/(BF8-BE8)</f>
        <v>2931.6841322002806</v>
      </c>
      <c r="BG26" s="85">
        <f>((BG18*BG8)-(BF8*BF18))/(BG8-BF8)</f>
        <v>3210.4830253246364</v>
      </c>
      <c r="BH26" s="85">
        <f>((BH18*BH8)-(BG8*BG18))/(BH8-BG8)</f>
        <v>4401.9874778232233</v>
      </c>
      <c r="BI26" s="89"/>
      <c r="BJ26" s="82"/>
      <c r="BK26" s="85">
        <f>((BK18*BK8)-(BH8*BH18))/(BK8-BH8)</f>
        <v>4964.4132593061649</v>
      </c>
      <c r="BL26" s="85">
        <f>((BL18*BL8)-(BK8*BK18))/(BL8-BK8)</f>
        <v>3683.0661655634876</v>
      </c>
      <c r="BM26" s="85">
        <f>((BM18*BM8)-(BL8*BL18))/(BM8-BL8)</f>
        <v>7003.9132384620361</v>
      </c>
      <c r="BN26" s="85">
        <f>((BN18*BN8)-(BM8*BM18))/(BN8-BM8)</f>
        <v>5168.1233623632961</v>
      </c>
      <c r="BO26" s="97"/>
      <c r="BP26" s="82"/>
      <c r="BQ26" s="85">
        <f>((BQ18*BQ8)-(BN8*BN18))/(BQ8-BN8)</f>
        <v>8565.1600514750244</v>
      </c>
      <c r="BR26" s="85">
        <f>((BR18*BR8)-(BQ8*BQ18))/(BR8-BQ8)</f>
        <v>6067.396226808959</v>
      </c>
      <c r="BS26" s="85">
        <f>((BS18*BS8)-(BR8*BR18))/(BS8-BR8)</f>
        <v>6251.9693005721756</v>
      </c>
      <c r="BT26" s="85">
        <f>((BT18*BT8)-(BS8*BS18))/(BT8-BS8)</f>
        <v>6918.8980203328956</v>
      </c>
      <c r="BU26" s="89"/>
      <c r="BV26" s="82"/>
      <c r="BW26" s="85">
        <f>((BW18*BW8)-(BT8*BT18))/(BW8-BT8)</f>
        <v>12912.449111588721</v>
      </c>
      <c r="BX26" s="85">
        <f>((BX18*BX8)-(BW8*BW18))/(BX8-BW8)</f>
        <v>7039.0825093399981</v>
      </c>
      <c r="BY26" s="85">
        <f>((BY18*BY8)-(BX8*BX18))/(BY8-BX8)</f>
        <v>10996.552419428679</v>
      </c>
      <c r="BZ26" s="85">
        <f>((BZ18*BZ8)-(BY8*BY18))/(BZ8-BY8)</f>
        <v>8746.0628185104197</v>
      </c>
      <c r="CA26" s="89"/>
      <c r="CB26" s="82"/>
      <c r="CC26" s="85">
        <f>((CC18*CC8)-(BZ8*BZ18))/(CC8-BZ8)</f>
        <v>12184.547361274985</v>
      </c>
      <c r="CD26" s="85">
        <f>((CD18*CD8)-(CC8*CC18))/(CD8-CC8)</f>
        <v>7058.63432283362</v>
      </c>
      <c r="CE26" s="85">
        <f>((CE18*CE8)-(CD8*CD18))/(CE8-CD8)</f>
        <v>15774.712592012715</v>
      </c>
      <c r="CF26" s="85">
        <f>((CF18*CF8)-(CE8*CE18))/(CF8-CE8)</f>
        <v>13102.730516313792</v>
      </c>
      <c r="CG26" s="89"/>
      <c r="CH26" s="82"/>
      <c r="CI26" s="85">
        <f>((CI18*CI8)-(CF8*CF18))/(CI8-CF8)</f>
        <v>13821.741905431334</v>
      </c>
      <c r="CJ26" s="85">
        <f>((CJ18*CJ8)-(CI8*CI18))/(CJ8-CI8)</f>
        <v>13020.197110120276</v>
      </c>
      <c r="CK26" s="85">
        <f>((CK18*CK8)-(CJ8*CJ18))/(CK8-CJ8)</f>
        <v>10296.649734968491</v>
      </c>
      <c r="CL26" s="85">
        <f>((CL18*CL8)-(CK8*CK18))/(CL8-CK8)</f>
        <v>9717.1141410491819</v>
      </c>
      <c r="CM26" s="89"/>
      <c r="CN26" s="82"/>
      <c r="CO26" s="85">
        <f>((CO18*CO8)-(CL8*CL18))/(CO8-CL8)</f>
        <v>11474.376115853478</v>
      </c>
      <c r="CP26" s="85">
        <f>((CP18*CP8)-(CO8*CO18))/(CP8-CO8)</f>
        <v>20436.111256672393</v>
      </c>
      <c r="CQ26" s="85">
        <f>((CQ18*CQ8)-(CP8*CP18))/(CQ8-CP8)</f>
        <v>14630.110212024634</v>
      </c>
      <c r="CR26" s="85">
        <f>((CR18*CR8)-(CQ8*CQ18))/(CR8-CQ8)</f>
        <v>17921.928319828283</v>
      </c>
      <c r="CS26" s="89"/>
      <c r="CT26" s="82"/>
      <c r="CU26" s="85">
        <f>((CU18*CU8)-(CR8*CR18))/(CU8-CR8)</f>
        <v>21060.774289429311</v>
      </c>
      <c r="CV26" s="85">
        <f>((CV18*CV8)-(CU8*CU18))/(CV8-CU8)</f>
        <v>19924.307051939966</v>
      </c>
      <c r="CW26" s="85">
        <f>((CW18*CW8)-(CV8*CV18))/(CW8-CV8)</f>
        <v>22903.776589709993</v>
      </c>
      <c r="CX26" s="85">
        <f>((CX18*CX8)-(CW8*CW18))/(CX8-CW8)</f>
        <v>24134.272941593183</v>
      </c>
      <c r="CY26" s="89"/>
      <c r="CZ26" s="82"/>
      <c r="DA26" s="85">
        <f>((DA18*DA8)-(CX8*CX18))/(DA8-CX8)</f>
        <v>36639.411959655896</v>
      </c>
      <c r="DB26" s="85">
        <f>((DB18*DB8)-(DA8*DA18))/(DB8-DA8)</f>
        <v>31696.790855669551</v>
      </c>
      <c r="DC26" s="85">
        <f>((DC18*DC8)-(DB8*DB18))/(DC8-DB8)</f>
        <v>32385.217904742731</v>
      </c>
      <c r="DD26" s="85">
        <f>((DD18*DD8)-(DC8*DC18))/(DD8-DC8)</f>
        <v>35665.515281926826</v>
      </c>
      <c r="DE26" s="89"/>
      <c r="DF26" s="82"/>
      <c r="DG26" s="85">
        <f>((DG18*DG8)-(DD8*DD18))/(DG8-DD8)</f>
        <v>21772.990922671219</v>
      </c>
      <c r="DH26" s="85">
        <f>((DH18*DH8)-(DG8*DG18))/(DH8-DG8)</f>
        <v>29866.388526993549</v>
      </c>
      <c r="DI26" s="85">
        <f>((DI18*DI8)-(DH8*DH18))/(DI8-DH8)</f>
        <v>30355.712598402166</v>
      </c>
      <c r="DJ26" s="85">
        <f>((DJ18*DJ8)-(DI8*DI18))/(DJ8-DI8)</f>
        <v>36193.697627737514</v>
      </c>
      <c r="DK26" s="89"/>
      <c r="DL26" s="82"/>
      <c r="DM26" s="85">
        <f>((DM18*DM8)-(DJ8*DJ18))/(DM8-DJ8)</f>
        <v>28773.641340131933</v>
      </c>
      <c r="DN26" s="85">
        <f>((DN18*DN8)-(DM8*DM18))/(DN8-DM8)</f>
        <v>31398.454139615103</v>
      </c>
      <c r="DO26" s="85">
        <f>((DO18*DO8)-(DN8*DN18))/(DO8-DN8)</f>
        <v>33074.52983555715</v>
      </c>
      <c r="DP26" s="85">
        <f>((DP18*DP8)-(DO8*DO18))/(DP8-DO8)</f>
        <v>40498.720148719767</v>
      </c>
      <c r="DQ26" s="89"/>
      <c r="DR26" s="82"/>
      <c r="DS26" s="85">
        <f>((DS18*DS8)-(DP8*DP18))/(DS8-DP8)</f>
        <v>34767.623189101083</v>
      </c>
      <c r="DT26" s="85">
        <f>((DT18*DT8)-(DS8*DS18))/(DT8-DS8)</f>
        <v>32754.369793154558</v>
      </c>
      <c r="DU26" s="85">
        <f>((DU18*DU8)-(DT8*DT18))/(DU8-DT8)</f>
        <v>33650.230011654108</v>
      </c>
      <c r="DV26" s="85">
        <f>((DV18*DV8)-(DU8*DU18))/(DV8-DU8)</f>
        <v>44882.266361529066</v>
      </c>
      <c r="DW26" s="89"/>
      <c r="DX26" s="500"/>
      <c r="DY26" s="500"/>
      <c r="DZ26" s="500"/>
      <c r="EA26" s="500"/>
      <c r="EB26" s="500"/>
      <c r="EC26" s="500"/>
      <c r="ED26" s="500"/>
      <c r="EE26" s="500"/>
      <c r="EF26" s="500"/>
      <c r="EG26" s="500"/>
      <c r="EH26" s="500"/>
      <c r="EI26" s="500"/>
    </row>
    <row r="27" spans="1:149" ht="10.5" hidden="1" customHeight="1" outlineLevel="1">
      <c r="A27" s="82" t="s">
        <v>858</v>
      </c>
      <c r="B27" s="82"/>
      <c r="C27" s="82"/>
      <c r="D27" s="82"/>
      <c r="E27" s="82"/>
      <c r="F27" s="82"/>
      <c r="G27" s="83"/>
      <c r="H27" s="82"/>
      <c r="I27" s="82"/>
      <c r="J27" s="82"/>
      <c r="K27" s="82"/>
      <c r="L27" s="84"/>
      <c r="M27" s="83"/>
      <c r="N27" s="82"/>
      <c r="O27" s="82"/>
      <c r="P27" s="82"/>
      <c r="Q27" s="82"/>
      <c r="R27" s="85">
        <f>R26+Q26+P26+O26</f>
        <v>15766.037829803032</v>
      </c>
      <c r="S27" s="83"/>
      <c r="T27" s="82"/>
      <c r="U27" s="85">
        <f>U26+R26+Q26+P26</f>
        <v>16327.396804162005</v>
      </c>
      <c r="V27" s="85">
        <f>V26+U26+R26+Q26</f>
        <v>16578.157033889056</v>
      </c>
      <c r="W27" s="85">
        <f>W26+V26+U26+R26</f>
        <v>14832.970748299329</v>
      </c>
      <c r="X27" s="85">
        <f>X26+W26+V26+U26</f>
        <v>15966.662850506056</v>
      </c>
      <c r="Y27" s="83"/>
      <c r="Z27" s="82"/>
      <c r="AA27" s="85">
        <f>AA26+X26+W26+V26</f>
        <v>16510.221409064616</v>
      </c>
      <c r="AB27" s="85">
        <f>AB26+AA26+X26+W26</f>
        <v>16501.683677947942</v>
      </c>
      <c r="AC27" s="85">
        <f>AC26+AB26+AA26+X26</f>
        <v>16368.012019437801</v>
      </c>
      <c r="AD27" s="85">
        <f>AD26+AC26+AB26+AA26</f>
        <v>17248.502201331146</v>
      </c>
      <c r="AE27" s="83"/>
      <c r="AF27" s="82"/>
      <c r="AG27" s="85">
        <f>AG26+AD26+AC26+AB26</f>
        <v>17843.1137107998</v>
      </c>
      <c r="AH27" s="85">
        <f>AH26+AG26+AD26+AC26</f>
        <v>18856.859560474408</v>
      </c>
      <c r="AI27" s="85">
        <f>AI26+AH26+AG26+AD26</f>
        <v>20182.470167744246</v>
      </c>
      <c r="AJ27" s="85">
        <f>AJ26+AI26+AH26+AG26</f>
        <v>18895.483184161378</v>
      </c>
      <c r="AK27" s="83"/>
      <c r="AL27" s="82"/>
      <c r="AM27" s="85">
        <f>AM26+AJ26+AI26+AH26</f>
        <v>19311.655708726757</v>
      </c>
      <c r="AN27" s="85">
        <f>AN26+AM26+AJ26+AI26</f>
        <v>19977.071478593585</v>
      </c>
      <c r="AO27" s="85">
        <f>AO26+AN26+AM26+AJ26</f>
        <v>19952.3138357717</v>
      </c>
      <c r="AP27" s="85">
        <f>AP26+AO26+AN26+AM26</f>
        <v>20901.356883388908</v>
      </c>
      <c r="AQ27" s="89"/>
      <c r="AR27" s="82"/>
      <c r="AS27" s="85">
        <f>AS26+AP26+AO26+AN26</f>
        <v>21283.202696593413</v>
      </c>
      <c r="AT27" s="85">
        <f>AT26+AS26+AP26+AO26</f>
        <v>20021.541601052584</v>
      </c>
      <c r="AU27" s="85">
        <f>AU26+AT26+AS26+AP26</f>
        <v>20388.811595285864</v>
      </c>
      <c r="AV27" s="85">
        <f>AV26+AU26+AT26+AS26</f>
        <v>22069.975114026674</v>
      </c>
      <c r="AW27" s="89"/>
      <c r="AX27" s="82"/>
      <c r="AY27" s="85">
        <f>AY26+AV26+AU26+AT26</f>
        <v>22640.663776787489</v>
      </c>
      <c r="AZ27" s="85">
        <f>AZ26+AY26+AV26+AU26</f>
        <v>22596.634317909175</v>
      </c>
      <c r="BA27" s="85">
        <f>BA26+AZ26+AY26+AV26</f>
        <v>20138.750838481788</v>
      </c>
      <c r="BB27" s="85">
        <f>BB26+BA26+AZ26+AY26</f>
        <v>16140.859580621804</v>
      </c>
      <c r="BC27" s="89"/>
      <c r="BD27" s="82"/>
      <c r="BE27" s="85">
        <f>BE26+BB26+BA26+AZ26</f>
        <v>15726.779082828194</v>
      </c>
      <c r="BF27" s="85">
        <f>BF26+BE26+BB26+BA26</f>
        <v>14214.875745684511</v>
      </c>
      <c r="BG27" s="85">
        <f>BG26+BF26+BE26+BB26</f>
        <v>14166.907670637796</v>
      </c>
      <c r="BH27" s="85">
        <f>BH26+BG26+BF26+BE26</f>
        <v>15457.284539445787</v>
      </c>
      <c r="BI27" s="89"/>
      <c r="BJ27" s="82"/>
      <c r="BK27" s="85">
        <f>BK26+BH26+BG26+BF26</f>
        <v>15508.567894654305</v>
      </c>
      <c r="BL27" s="85">
        <f>BL26+BK26+BH26+BG26</f>
        <v>16259.949928017511</v>
      </c>
      <c r="BM27" s="85">
        <f>BM26+BL26+BI26+BH26</f>
        <v>15088.966881848748</v>
      </c>
      <c r="BN27" s="85">
        <f>BN26+BM26+BJ26+BI26</f>
        <v>12172.036600825333</v>
      </c>
      <c r="BO27" s="97"/>
      <c r="BP27" s="82"/>
      <c r="BQ27" s="85">
        <f>BQ26+BN26+BM26+BL26</f>
        <v>24420.262817863844</v>
      </c>
      <c r="BR27" s="85">
        <f>BR26+BQ26+BN26+BM26</f>
        <v>26804.592879109314</v>
      </c>
      <c r="BS27" s="85">
        <f>BS26+BR26+BQ26+BN26</f>
        <v>26052.648941219457</v>
      </c>
      <c r="BT27" s="85">
        <f>BT26+BS26+BR26+BQ26</f>
        <v>27803.423599189056</v>
      </c>
      <c r="BU27" s="89"/>
      <c r="BV27" s="82"/>
      <c r="BW27" s="85">
        <f>BW26+BT26+BS26+BR26</f>
        <v>32150.712659302753</v>
      </c>
      <c r="BX27" s="85">
        <f>BX26+BW26+BT26+BS26</f>
        <v>33122.398941833795</v>
      </c>
      <c r="BY27" s="85">
        <f>BY26+BX26+BW26+BT26</f>
        <v>37866.982060690294</v>
      </c>
      <c r="BZ27" s="85">
        <f>BZ26+BY26+BX26+BW26</f>
        <v>39694.146858867818</v>
      </c>
      <c r="CA27" s="89"/>
      <c r="CB27" s="82"/>
      <c r="CC27" s="85">
        <f>CC26+BZ26+BY26+BX26</f>
        <v>38966.245108554082</v>
      </c>
      <c r="CD27" s="85">
        <f>CD26+CC26+BZ26+BY26</f>
        <v>38985.796922047703</v>
      </c>
      <c r="CE27" s="85">
        <f>CE26+CD26+CC26+BZ26</f>
        <v>43763.95709463174</v>
      </c>
      <c r="CF27" s="85">
        <f>CF26+CE26+CD26+CC26</f>
        <v>48120.624792435112</v>
      </c>
      <c r="CG27" s="89"/>
      <c r="CH27" s="82"/>
      <c r="CI27" s="85">
        <f>CI26+CF26+CE26+CD26</f>
        <v>49757.819336591463</v>
      </c>
      <c r="CJ27" s="85">
        <f>CJ26+CI26+CF26+CE26</f>
        <v>55719.382123878117</v>
      </c>
      <c r="CK27" s="85">
        <f>CK26+CJ26+CI26+CF26</f>
        <v>50241.319266833896</v>
      </c>
      <c r="CL27" s="85">
        <f>CL26+CK26+CJ26+CI26</f>
        <v>46855.702891569279</v>
      </c>
      <c r="CM27" s="89"/>
      <c r="CN27" s="82"/>
      <c r="CO27" s="85">
        <f>CO26+CL26+CK26+CJ26</f>
        <v>44508.337101991427</v>
      </c>
      <c r="CP27" s="85">
        <f>CP26+CO26+CL26+CK26</f>
        <v>51924.251248543544</v>
      </c>
      <c r="CQ27" s="85">
        <f>CQ26+CP26+CM26+CL26</f>
        <v>44783.335609746209</v>
      </c>
      <c r="CR27" s="85">
        <f>CR26+CQ26+CN26+CM26</f>
        <v>32552.038531852915</v>
      </c>
      <c r="CS27" s="89"/>
      <c r="CT27" s="82"/>
      <c r="CU27" s="85">
        <f>CU26+CR26+CQ26+CP26</f>
        <v>74048.924077954623</v>
      </c>
      <c r="CV27" s="85">
        <f>CV26+CU26+CR26+CQ26</f>
        <v>73537.119873222196</v>
      </c>
      <c r="CW27" s="85">
        <f>CW26+CV26+CU26+CR26</f>
        <v>81810.786250907549</v>
      </c>
      <c r="CX27" s="85">
        <f>CX26+CW26+CT26+CS26</f>
        <v>47038.049531303172</v>
      </c>
      <c r="CY27" s="89"/>
      <c r="CZ27" s="82"/>
      <c r="DA27" s="85">
        <f>DA26+CX26+CW26+CV26</f>
        <v>103601.76854289904</v>
      </c>
      <c r="DB27" s="85">
        <f>DB26+DA26+CX26+CW26</f>
        <v>115374.25234662862</v>
      </c>
      <c r="DC27" s="85">
        <f>DC26+DB26+DA26+CX26</f>
        <v>124855.69366166137</v>
      </c>
      <c r="DD27" s="85">
        <f>DD26+DC26+CZ26+CY26</f>
        <v>68050.73318666956</v>
      </c>
      <c r="DE27" s="89"/>
      <c r="DF27" s="82"/>
      <c r="DG27" s="85">
        <f>DG26+DD26+DC26+DB26</f>
        <v>121520.51496501033</v>
      </c>
      <c r="DH27" s="85">
        <f>DH26+DG26+DD26+DC26</f>
        <v>119690.11263633434</v>
      </c>
      <c r="DI27" s="85">
        <f>DI26+DH26+DG26+DD26</f>
        <v>117660.60732999376</v>
      </c>
      <c r="DJ27" s="85">
        <f>DJ26+DI26+DH26+DG26</f>
        <v>118188.78967580444</v>
      </c>
      <c r="DK27" s="89"/>
      <c r="DL27" s="82"/>
      <c r="DM27" s="85">
        <f>DM26+DJ26+DI26+DH26</f>
        <v>125189.44009326518</v>
      </c>
      <c r="DN27" s="85">
        <f>DN26+DM26+DJ26+DI26</f>
        <v>126721.50570588672</v>
      </c>
      <c r="DO27" s="85">
        <f>DO26+DN26+DM26+DJ26</f>
        <v>129440.32294304171</v>
      </c>
      <c r="DP27" s="85">
        <f>DP26+DO26+DN26+DM26</f>
        <v>133745.34546402397</v>
      </c>
      <c r="DQ27" s="89"/>
      <c r="DR27" s="82"/>
      <c r="DS27" s="85">
        <f>DS26+DP26+DO26+DN26</f>
        <v>139739.32731299312</v>
      </c>
      <c r="DT27" s="85">
        <f>DT26+DS26+DP26+DO26</f>
        <v>141095.24296653256</v>
      </c>
      <c r="DU27" s="85">
        <f>DU26+DT26+DS26+DP26</f>
        <v>141670.94314262952</v>
      </c>
      <c r="DV27" s="85">
        <f>DV26+DU26+DT26+DS26</f>
        <v>146054.48935543883</v>
      </c>
      <c r="DW27" s="89"/>
      <c r="DX27" s="500"/>
      <c r="DY27" s="500"/>
      <c r="DZ27" s="500"/>
      <c r="EA27" s="500"/>
      <c r="EB27" s="500"/>
      <c r="EC27" s="500"/>
      <c r="ED27" s="500"/>
      <c r="EE27" s="500"/>
      <c r="EF27" s="500"/>
      <c r="EG27" s="500"/>
      <c r="EH27" s="500"/>
      <c r="EI27" s="500"/>
    </row>
    <row r="28" spans="1:149" ht="10.5" hidden="1" customHeight="1" outlineLevel="1">
      <c r="A28" s="82" t="s">
        <v>402</v>
      </c>
      <c r="B28" s="56"/>
      <c r="C28" s="56"/>
      <c r="D28" s="56"/>
      <c r="E28" s="56"/>
      <c r="F28" s="56"/>
      <c r="G28" s="90"/>
      <c r="H28" s="56"/>
      <c r="I28" s="56"/>
      <c r="J28" s="56"/>
      <c r="K28" s="56"/>
      <c r="L28" s="91"/>
      <c r="M28" s="90"/>
      <c r="N28" s="56"/>
      <c r="O28" s="56"/>
      <c r="P28" s="56"/>
      <c r="Q28" s="56"/>
      <c r="R28" s="92"/>
      <c r="S28" s="90"/>
      <c r="T28" s="56"/>
      <c r="U28" s="56"/>
      <c r="V28" s="56"/>
      <c r="W28" s="56"/>
      <c r="X28" s="56"/>
      <c r="Y28" s="90"/>
      <c r="Z28" s="56"/>
      <c r="AA28" s="71">
        <f>AA27/U27-1</f>
        <v>1.1197412979882193E-2</v>
      </c>
      <c r="AB28" s="71">
        <f>AB27/V27-1</f>
        <v>-4.612898513675967E-3</v>
      </c>
      <c r="AC28" s="71">
        <f>AC27/W27-1</f>
        <v>0.10348845805648699</v>
      </c>
      <c r="AD28" s="71">
        <f>AD27/X27-1</f>
        <v>8.0282233227243482E-2</v>
      </c>
      <c r="AE28" s="90"/>
      <c r="AF28" s="56"/>
      <c r="AG28" s="71">
        <f>AG27/AA27-1</f>
        <v>8.0731340223177517E-2</v>
      </c>
      <c r="AH28" s="71">
        <f>AH27/AB27-1</f>
        <v>0.14272336862654877</v>
      </c>
      <c r="AI28" s="71">
        <f>AI27/AC27-1</f>
        <v>0.23304345963190842</v>
      </c>
      <c r="AJ28" s="71">
        <f>AJ27/AD27-1</f>
        <v>9.5485449322267879E-2</v>
      </c>
      <c r="AK28" s="90"/>
      <c r="AL28" s="56"/>
      <c r="AM28" s="71">
        <f>AM27/AG27-1</f>
        <v>8.2303011779726543E-2</v>
      </c>
      <c r="AN28" s="71">
        <f>AN27/AH27-1</f>
        <v>5.9406069951713381E-2</v>
      </c>
      <c r="AO28" s="71">
        <f>AO27/AI27-1</f>
        <v>-1.1403774169347458E-2</v>
      </c>
      <c r="AP28" s="71">
        <f>AP27/AJ27-1</f>
        <v>0.10615625330549361</v>
      </c>
      <c r="AQ28" s="93"/>
      <c r="AR28" s="56"/>
      <c r="AS28" s="71">
        <f>AS27/AM27-1</f>
        <v>0.10209103857292412</v>
      </c>
      <c r="AT28" s="71">
        <f>AT27/AN27-1</f>
        <v>2.2260581340287633E-3</v>
      </c>
      <c r="AU28" s="71">
        <f>AU27/AO27-1</f>
        <v>2.1877049604722254E-2</v>
      </c>
      <c r="AV28" s="71">
        <f>AV27/AP27-1</f>
        <v>5.5911117979450919E-2</v>
      </c>
      <c r="AW28" s="93"/>
      <c r="AX28" s="56"/>
      <c r="AY28" s="71">
        <f>AY27/AS27-1</f>
        <v>6.3780865105013129E-2</v>
      </c>
      <c r="AZ28" s="71">
        <f>AZ27/AT27-1</f>
        <v>0.12861610600060946</v>
      </c>
      <c r="BA28" s="71">
        <f>BA27/AU27-1</f>
        <v>-1.226460677393737E-2</v>
      </c>
      <c r="BB28" s="71">
        <f>BB27/AV27-1</f>
        <v>-0.26865075754601075</v>
      </c>
      <c r="BC28" s="93"/>
      <c r="BD28" s="56"/>
      <c r="BE28" s="71">
        <f>BE27/AY27-1</f>
        <v>-0.30537464634971556</v>
      </c>
      <c r="BF28" s="71">
        <f>BF27/AZ27-1</f>
        <v>-0.37092951340906655</v>
      </c>
      <c r="BG28" s="71">
        <f>BG27/BA27-1</f>
        <v>-0.29653493484972249</v>
      </c>
      <c r="BH28" s="71">
        <f>BH27/BB27-1</f>
        <v>-4.2350597114214072E-2</v>
      </c>
      <c r="BI28" s="93"/>
      <c r="BJ28" s="56"/>
      <c r="BK28" s="71">
        <f>BK27/BE27-1</f>
        <v>-1.3875135336017475E-2</v>
      </c>
      <c r="BL28" s="71">
        <f>BL27/BF27-1</f>
        <v>0.14386859364239357</v>
      </c>
      <c r="BM28" s="71">
        <f>BM27/BG27-1</f>
        <v>6.5085425319881374E-2</v>
      </c>
      <c r="BN28" s="71">
        <f>BN27/BH27-1</f>
        <v>-0.21253719760652379</v>
      </c>
      <c r="BO28" s="98"/>
      <c r="BP28" s="56"/>
      <c r="BQ28" s="71">
        <f>BQ27/BK27-1</f>
        <v>0.57463042259893893</v>
      </c>
      <c r="BR28" s="71">
        <f>BR27/BL27-1</f>
        <v>0.64850402355313119</v>
      </c>
      <c r="BS28" s="71">
        <f>BS27/BM27-1</f>
        <v>0.72660256631349984</v>
      </c>
      <c r="BT28" s="71">
        <f>BT27/BN27-1</f>
        <v>1.2842047317951564</v>
      </c>
      <c r="BU28" s="93"/>
      <c r="BV28" s="56"/>
      <c r="BW28" s="71">
        <f>BW27/BQ27-1</f>
        <v>0.31655883063567813</v>
      </c>
      <c r="BX28" s="71">
        <f>BX27/BR27-1</f>
        <v>0.23569863908093103</v>
      </c>
      <c r="BY28" s="71">
        <f>BY27/BS27-1</f>
        <v>0.45347915085819435</v>
      </c>
      <c r="BZ28" s="71">
        <f>BZ27/BT27-1</f>
        <v>0.42767119010572419</v>
      </c>
      <c r="CA28" s="93"/>
      <c r="CB28" s="56"/>
      <c r="CC28" s="71">
        <f>CC27/BW27-1</f>
        <v>0.21198697899715957</v>
      </c>
      <c r="CD28" s="71">
        <f>CD27/BX27-1</f>
        <v>0.17702214113508541</v>
      </c>
      <c r="CE28" s="71">
        <f>CE27/BY27-1</f>
        <v>0.1557286774132205</v>
      </c>
      <c r="CF28" s="71">
        <f>CF27/BZ27-1</f>
        <v>0.21228515034036533</v>
      </c>
      <c r="CG28" s="93"/>
      <c r="CH28" s="56"/>
      <c r="CI28" s="71">
        <f>CI27/CC27-1</f>
        <v>0.27694673166412831</v>
      </c>
      <c r="CJ28" s="71">
        <f>CJ27/CD27-1</f>
        <v>0.42922260215147845</v>
      </c>
      <c r="CK28" s="71">
        <f>CK27/CE27-1</f>
        <v>0.14800677548869756</v>
      </c>
      <c r="CL28" s="71">
        <f>CL27/CF27-1</f>
        <v>-2.6286481240050064E-2</v>
      </c>
      <c r="CM28" s="93"/>
      <c r="CN28" s="56"/>
      <c r="CO28" s="71">
        <f>CO27/CI27-1</f>
        <v>-0.10550064903546952</v>
      </c>
      <c r="CP28" s="71">
        <f>CP27/CJ27-1</f>
        <v>-6.8111503226957026E-2</v>
      </c>
      <c r="CQ28" s="71">
        <f>CQ27/CK27-1</f>
        <v>-0.10863535704745508</v>
      </c>
      <c r="CR28" s="71">
        <f>CR27/CL27-1</f>
        <v>-0.30527051088780088</v>
      </c>
      <c r="CS28" s="93"/>
      <c r="CT28" s="56"/>
      <c r="CU28" s="71">
        <f>CU27/CO27-1</f>
        <v>0.66370906889355497</v>
      </c>
      <c r="CV28" s="71">
        <f>CV27/CP27-1</f>
        <v>0.41623842626493124</v>
      </c>
      <c r="CW28" s="71">
        <f>CW27/CQ27-1</f>
        <v>0.82681314683274842</v>
      </c>
      <c r="CX28" s="71">
        <f>CX27/CR27-1</f>
        <v>0.44501087037223064</v>
      </c>
      <c r="CY28" s="93"/>
      <c r="CZ28" s="56"/>
      <c r="DA28" s="71">
        <f>DA27/CU27-1</f>
        <v>0.39909890431132822</v>
      </c>
      <c r="DB28" s="71">
        <f>DB27/CV27-1</f>
        <v>0.56892536103580804</v>
      </c>
      <c r="DC28" s="71">
        <f>DC27/CW27-1</f>
        <v>0.52615198292726717</v>
      </c>
      <c r="DD28" s="71">
        <f>DD27/CX27-1</f>
        <v>0.44671672964208975</v>
      </c>
      <c r="DE28" s="93"/>
      <c r="DF28" s="56"/>
      <c r="DG28" s="71">
        <f>DG27/DA27-1</f>
        <v>0.1729579202568492</v>
      </c>
      <c r="DH28" s="71">
        <f>DH27/DB27-1</f>
        <v>3.7407482188826835E-2</v>
      </c>
      <c r="DI28" s="71">
        <f>DI27/DC27-1</f>
        <v>-5.7627218436390404E-2</v>
      </c>
      <c r="DJ28" s="71">
        <f>DJ27/DD27-1</f>
        <v>0.7367746700333333</v>
      </c>
      <c r="DK28" s="93"/>
      <c r="DL28" s="56"/>
      <c r="DM28" s="71">
        <f>DM27/DG27-1</f>
        <v>3.0191816824601592E-2</v>
      </c>
      <c r="DN28" s="71">
        <f>DN27/DH27-1</f>
        <v>5.8746649281854468E-2</v>
      </c>
      <c r="DO28" s="71">
        <f>DO27/DI27-1</f>
        <v>0.10011605311546856</v>
      </c>
      <c r="DP28" s="71">
        <f>DP27/DJ27-1</f>
        <v>0.1316246306514488</v>
      </c>
      <c r="DQ28" s="93"/>
      <c r="DR28" s="56"/>
      <c r="DS28" s="71">
        <f>DS27/DM27-1</f>
        <v>0.11622295945159911</v>
      </c>
      <c r="DT28" s="71">
        <f>DT27/DN27-1</f>
        <v>0.1134277657180498</v>
      </c>
      <c r="DU28" s="71">
        <f>DU27/DO27-1</f>
        <v>9.4488486443051523E-2</v>
      </c>
      <c r="DV28" s="71">
        <f>DV27/DP27-1</f>
        <v>9.2034185180118078E-2</v>
      </c>
      <c r="DW28" s="93"/>
      <c r="DX28" s="500"/>
      <c r="DY28" s="500"/>
      <c r="DZ28" s="500"/>
      <c r="EA28" s="500"/>
      <c r="EB28" s="500"/>
      <c r="EC28" s="500"/>
      <c r="ED28" s="500"/>
      <c r="EE28" s="500"/>
      <c r="EF28" s="500"/>
      <c r="EG28" s="500"/>
      <c r="EH28" s="500"/>
      <c r="EI28" s="500"/>
    </row>
    <row r="29" spans="1:149" ht="5.25" hidden="1" customHeight="1" outlineLevel="1">
      <c r="A29" s="1340"/>
      <c r="B29" s="1340"/>
      <c r="C29" s="1340"/>
      <c r="D29" s="1340"/>
      <c r="E29" s="1340"/>
      <c r="F29" s="1340"/>
      <c r="G29" s="853"/>
      <c r="H29" s="1340"/>
      <c r="I29" s="1340"/>
      <c r="J29" s="1340"/>
      <c r="K29" s="1340"/>
      <c r="L29" s="500"/>
      <c r="M29" s="853"/>
      <c r="N29" s="1340"/>
      <c r="O29" s="1340"/>
      <c r="P29" s="1340"/>
      <c r="Q29" s="1340"/>
      <c r="R29" s="1340"/>
      <c r="S29" s="853"/>
      <c r="T29" s="1340"/>
      <c r="U29" s="1340"/>
      <c r="V29" s="1340"/>
      <c r="W29" s="1340"/>
      <c r="X29" s="1340"/>
      <c r="Y29" s="853"/>
      <c r="Z29" s="1340"/>
      <c r="AA29" s="1340"/>
      <c r="AB29" s="1340"/>
      <c r="AC29" s="1340"/>
      <c r="AD29" s="1340"/>
      <c r="AE29" s="853"/>
      <c r="AF29" s="1340"/>
      <c r="AG29" s="1340"/>
      <c r="AH29" s="1340"/>
      <c r="AI29" s="1340"/>
      <c r="AJ29" s="1340"/>
      <c r="AK29" s="853"/>
      <c r="AL29" s="1340"/>
      <c r="AM29" s="1340"/>
      <c r="AN29" s="1340"/>
      <c r="AO29" s="1340"/>
      <c r="AP29" s="1340"/>
      <c r="AQ29" s="1341"/>
      <c r="AR29" s="1340"/>
      <c r="AS29" s="1340"/>
      <c r="AT29" s="1340"/>
      <c r="AU29" s="1340"/>
      <c r="AV29" s="1340"/>
      <c r="AW29" s="1341"/>
      <c r="AX29" s="1340"/>
      <c r="AY29" s="1340"/>
      <c r="AZ29" s="1340"/>
      <c r="BA29" s="1340"/>
      <c r="BB29" s="1340"/>
      <c r="BC29" s="1341"/>
      <c r="BD29" s="1340"/>
      <c r="BE29" s="1340"/>
      <c r="BF29" s="1340"/>
      <c r="BG29" s="1340"/>
      <c r="BH29" s="1340"/>
      <c r="BI29" s="1341"/>
      <c r="BJ29" s="1340"/>
      <c r="BK29" s="1340"/>
      <c r="BL29" s="1340"/>
      <c r="BM29" s="1340"/>
      <c r="BN29" s="1340"/>
      <c r="BO29" s="1418"/>
      <c r="BP29" s="1340"/>
      <c r="BQ29" s="1340"/>
      <c r="BR29" s="1340"/>
      <c r="BS29" s="1340"/>
      <c r="BT29" s="1340"/>
      <c r="BU29" s="1341"/>
      <c r="BV29" s="1340"/>
      <c r="BW29" s="1340"/>
      <c r="BX29" s="1340"/>
      <c r="BY29" s="1340"/>
      <c r="BZ29" s="1340"/>
      <c r="CA29" s="1341"/>
      <c r="CB29" s="1340"/>
      <c r="CC29" s="1340"/>
      <c r="CD29" s="1340"/>
      <c r="CE29" s="1340"/>
      <c r="CF29" s="1340"/>
      <c r="CG29" s="1341"/>
      <c r="CH29" s="1340"/>
      <c r="CI29" s="1340"/>
      <c r="CJ29" s="1340"/>
      <c r="CK29" s="1340"/>
      <c r="CL29" s="1340"/>
      <c r="CM29" s="1341"/>
      <c r="CN29" s="1340"/>
      <c r="CO29" s="1340"/>
      <c r="CP29" s="1340"/>
      <c r="CQ29" s="1340"/>
      <c r="CR29" s="1340"/>
      <c r="CS29" s="1341"/>
      <c r="CT29" s="1340"/>
      <c r="CU29" s="1340"/>
      <c r="CV29" s="1340"/>
      <c r="CW29" s="1340"/>
      <c r="CX29" s="1340"/>
      <c r="CY29" s="1341"/>
      <c r="CZ29" s="1340"/>
      <c r="DA29" s="1340"/>
      <c r="DB29" s="1340"/>
      <c r="DC29" s="1340"/>
      <c r="DD29" s="1340"/>
      <c r="DE29" s="1341"/>
      <c r="DF29" s="1340"/>
      <c r="DG29" s="1340"/>
      <c r="DH29" s="1340"/>
      <c r="DI29" s="1340"/>
      <c r="DJ29" s="1340"/>
      <c r="DK29" s="1341"/>
      <c r="DL29" s="1340"/>
      <c r="DM29" s="1340"/>
      <c r="DN29" s="1340"/>
      <c r="DO29" s="1340"/>
      <c r="DP29" s="1340"/>
      <c r="DQ29" s="1341"/>
      <c r="DR29" s="1340"/>
      <c r="DS29" s="1340"/>
      <c r="DT29" s="1340"/>
      <c r="DU29" s="1340"/>
      <c r="DV29" s="1340"/>
      <c r="DW29" s="1341"/>
      <c r="DX29" s="500"/>
      <c r="DY29" s="500"/>
      <c r="DZ29" s="500"/>
      <c r="EA29" s="500"/>
      <c r="EB29" s="500"/>
      <c r="EC29" s="500"/>
      <c r="ED29" s="500"/>
      <c r="EE29" s="500"/>
      <c r="EF29" s="500"/>
      <c r="EG29" s="500"/>
      <c r="EH29" s="500"/>
      <c r="EI29" s="500"/>
    </row>
    <row r="30" spans="1:149" s="475" customFormat="1" ht="15" collapsed="1">
      <c r="A30" s="425" t="s">
        <v>857</v>
      </c>
      <c r="B30" s="425"/>
      <c r="C30" s="425"/>
      <c r="D30" s="425"/>
      <c r="E30" s="425"/>
      <c r="F30" s="425"/>
      <c r="G30" s="425"/>
      <c r="H30" s="425"/>
      <c r="I30" s="426"/>
      <c r="J30" s="426"/>
      <c r="K30" s="426"/>
      <c r="L30" s="426"/>
      <c r="M30" s="425"/>
      <c r="N30" s="425"/>
      <c r="O30" s="426"/>
      <c r="P30" s="426"/>
      <c r="Q30" s="426"/>
      <c r="R30" s="426"/>
      <c r="S30" s="425"/>
      <c r="T30" s="426"/>
      <c r="U30" s="426"/>
      <c r="V30" s="426"/>
      <c r="W30" s="426"/>
      <c r="X30" s="426"/>
      <c r="Y30" s="425"/>
      <c r="Z30" s="426"/>
      <c r="AA30" s="426"/>
      <c r="AB30" s="426"/>
      <c r="AC30" s="426"/>
      <c r="AD30" s="426"/>
      <c r="AE30" s="425"/>
      <c r="AF30" s="426"/>
      <c r="AG30" s="426"/>
      <c r="AH30" s="426"/>
      <c r="AI30" s="426"/>
      <c r="AJ30" s="426"/>
      <c r="AK30" s="425"/>
      <c r="AL30" s="426"/>
      <c r="AM30" s="426"/>
      <c r="AN30" s="426"/>
      <c r="AO30" s="426"/>
      <c r="AP30" s="426"/>
      <c r="AQ30" s="427"/>
      <c r="AR30" s="426"/>
      <c r="AS30" s="426"/>
      <c r="AT30" s="426"/>
      <c r="AU30" s="426"/>
      <c r="AV30" s="426"/>
      <c r="AW30" s="427"/>
      <c r="AX30" s="426"/>
      <c r="AY30" s="426"/>
      <c r="AZ30" s="426"/>
      <c r="BA30" s="426"/>
      <c r="BB30" s="426"/>
      <c r="BC30" s="427"/>
      <c r="BD30" s="426"/>
      <c r="BE30" s="426"/>
      <c r="BF30" s="426"/>
      <c r="BG30" s="426"/>
      <c r="BH30" s="426"/>
      <c r="BI30" s="427"/>
      <c r="BJ30" s="426"/>
      <c r="BK30" s="426"/>
      <c r="BL30" s="426"/>
      <c r="BM30" s="426"/>
      <c r="BN30" s="426"/>
      <c r="BO30" s="428"/>
      <c r="BP30" s="426"/>
      <c r="BQ30" s="426"/>
      <c r="BR30" s="426"/>
      <c r="BS30" s="426"/>
      <c r="BT30" s="426"/>
      <c r="BU30" s="429"/>
      <c r="BV30" s="426"/>
      <c r="BW30" s="426"/>
      <c r="BX30" s="426"/>
      <c r="BY30" s="426"/>
      <c r="BZ30" s="426"/>
      <c r="CA30" s="429"/>
      <c r="CB30" s="426"/>
      <c r="CC30" s="426"/>
      <c r="CD30" s="426"/>
      <c r="CE30" s="426"/>
      <c r="CF30" s="426"/>
      <c r="CG30" s="429"/>
      <c r="CH30" s="426"/>
      <c r="CI30" s="426"/>
      <c r="CJ30" s="426"/>
      <c r="CK30" s="426"/>
      <c r="CL30" s="426"/>
      <c r="CM30" s="429"/>
      <c r="CN30" s="426"/>
      <c r="CO30" s="426"/>
      <c r="CP30" s="426"/>
      <c r="CQ30" s="426"/>
      <c r="CR30" s="426"/>
      <c r="CS30" s="429"/>
      <c r="CT30" s="426"/>
      <c r="CU30" s="426"/>
      <c r="CV30" s="426"/>
      <c r="CW30" s="426"/>
      <c r="CX30" s="426"/>
      <c r="CY30" s="429"/>
      <c r="CZ30" s="426"/>
      <c r="DA30" s="426"/>
      <c r="DB30" s="426"/>
      <c r="DC30" s="426"/>
      <c r="DD30" s="426"/>
      <c r="DE30" s="429"/>
      <c r="DF30" s="426"/>
      <c r="DG30" s="426"/>
      <c r="DH30" s="426"/>
      <c r="DI30" s="426"/>
      <c r="DJ30" s="426"/>
      <c r="DK30" s="429"/>
      <c r="DL30" s="426"/>
      <c r="DM30" s="426"/>
      <c r="DN30" s="426"/>
      <c r="DO30" s="426"/>
      <c r="DP30" s="426"/>
      <c r="DQ30" s="429"/>
      <c r="DR30" s="426"/>
      <c r="DS30" s="426"/>
      <c r="DT30" s="426"/>
      <c r="DU30" s="426"/>
      <c r="DV30" s="426"/>
      <c r="DW30" s="429"/>
      <c r="EJ30" s="656"/>
      <c r="EK30" s="656"/>
      <c r="EL30" s="656"/>
    </row>
    <row r="31" spans="1:149" ht="5.25" customHeight="1">
      <c r="A31" s="1340"/>
      <c r="B31" s="1340"/>
      <c r="C31" s="1340"/>
      <c r="D31" s="1340"/>
      <c r="E31" s="1340"/>
      <c r="F31" s="1340"/>
      <c r="G31" s="853"/>
      <c r="H31" s="1340"/>
      <c r="I31" s="1340"/>
      <c r="J31" s="1340"/>
      <c r="K31" s="1340"/>
      <c r="L31" s="500"/>
      <c r="M31" s="853"/>
      <c r="N31" s="1340"/>
      <c r="O31" s="1340"/>
      <c r="P31" s="1340"/>
      <c r="Q31" s="1340"/>
      <c r="R31" s="1340"/>
      <c r="S31" s="853"/>
      <c r="T31" s="1340"/>
      <c r="U31" s="1340"/>
      <c r="V31" s="1340"/>
      <c r="W31" s="1340"/>
      <c r="X31" s="1340"/>
      <c r="Y31" s="853"/>
      <c r="Z31" s="1340"/>
      <c r="AA31" s="1340"/>
      <c r="AB31" s="1340"/>
      <c r="AC31" s="1340"/>
      <c r="AD31" s="1340"/>
      <c r="AE31" s="853"/>
      <c r="AF31" s="1340"/>
      <c r="AG31" s="1340"/>
      <c r="AH31" s="1340"/>
      <c r="AI31" s="1340"/>
      <c r="AJ31" s="1340"/>
      <c r="AK31" s="853"/>
      <c r="AL31" s="1340"/>
      <c r="AM31" s="1340"/>
      <c r="AN31" s="1340"/>
      <c r="AO31" s="1340"/>
      <c r="AP31" s="1340"/>
      <c r="AQ31" s="1341"/>
      <c r="AR31" s="1340"/>
      <c r="AS31" s="1340"/>
      <c r="AT31" s="1340"/>
      <c r="AU31" s="1340"/>
      <c r="AV31" s="1340"/>
      <c r="AW31" s="1341"/>
      <c r="AX31" s="1340"/>
      <c r="AY31" s="1340"/>
      <c r="AZ31" s="1340"/>
      <c r="BA31" s="1340"/>
      <c r="BB31" s="1340"/>
      <c r="BC31" s="1341"/>
      <c r="BD31" s="1340"/>
      <c r="BE31" s="1340"/>
      <c r="BF31" s="1340"/>
      <c r="BG31" s="1340"/>
      <c r="BH31" s="1340"/>
      <c r="BI31" s="1341"/>
      <c r="BJ31" s="1340"/>
      <c r="BK31" s="1340"/>
      <c r="BL31" s="1340"/>
      <c r="BM31" s="1340"/>
      <c r="BN31" s="1340"/>
      <c r="BO31" s="1418"/>
      <c r="BP31" s="1340"/>
      <c r="BQ31" s="1340"/>
      <c r="BR31" s="1340"/>
      <c r="BS31" s="1340"/>
      <c r="BT31" s="1340"/>
      <c r="BU31" s="1341"/>
      <c r="BV31" s="1340"/>
      <c r="BW31" s="1340"/>
      <c r="BX31" s="1340"/>
      <c r="BY31" s="1340"/>
      <c r="BZ31" s="1340"/>
      <c r="CA31" s="1341"/>
      <c r="CB31" s="1340"/>
      <c r="CC31" s="1340"/>
      <c r="CD31" s="1340"/>
      <c r="CE31" s="1340"/>
      <c r="CF31" s="1340"/>
      <c r="CG31" s="1341"/>
      <c r="CH31" s="1340"/>
      <c r="CI31" s="1340"/>
      <c r="CJ31" s="1340"/>
      <c r="CK31" s="1340"/>
      <c r="CL31" s="1340"/>
      <c r="CM31" s="1341"/>
      <c r="CN31" s="1340"/>
      <c r="CO31" s="1340"/>
      <c r="CP31" s="1340"/>
      <c r="CQ31" s="1340"/>
      <c r="CR31" s="1340"/>
      <c r="CS31" s="1341"/>
      <c r="CT31" s="1340"/>
      <c r="CU31" s="1340"/>
      <c r="CV31" s="1340"/>
      <c r="CW31" s="1340"/>
      <c r="CX31" s="1340"/>
      <c r="CY31" s="1341"/>
      <c r="CZ31" s="1340"/>
      <c r="DA31" s="1340"/>
      <c r="DB31" s="1340"/>
      <c r="DC31" s="1340"/>
      <c r="DD31" s="1340"/>
      <c r="DE31" s="1341"/>
      <c r="DF31" s="1340"/>
      <c r="DG31" s="1340"/>
      <c r="DH31" s="1340"/>
      <c r="DI31" s="1340"/>
      <c r="DJ31" s="1340"/>
      <c r="DK31" s="1341"/>
      <c r="DL31" s="1340"/>
      <c r="DM31" s="1340"/>
      <c r="DN31" s="1340"/>
      <c r="DO31" s="1340"/>
      <c r="DP31" s="1340"/>
      <c r="DQ31" s="1341"/>
      <c r="DR31" s="1340"/>
      <c r="DS31" s="1340"/>
      <c r="DT31" s="1340"/>
      <c r="DU31" s="1340"/>
      <c r="DV31" s="1340"/>
      <c r="DW31" s="1341"/>
      <c r="DX31" s="500"/>
      <c r="DY31" s="500"/>
      <c r="DZ31" s="500"/>
      <c r="EA31" s="500"/>
      <c r="EB31" s="500"/>
      <c r="EC31" s="500"/>
      <c r="ED31" s="500"/>
      <c r="EE31" s="500"/>
      <c r="EF31" s="500"/>
      <c r="EG31" s="500"/>
      <c r="EH31" s="500"/>
      <c r="EI31" s="500"/>
    </row>
    <row r="32" spans="1:149">
      <c r="A32" s="853" t="s">
        <v>656</v>
      </c>
      <c r="B32" s="853"/>
      <c r="C32" s="1429">
        <v>20</v>
      </c>
      <c r="D32" s="1429">
        <v>20</v>
      </c>
      <c r="E32" s="1429">
        <v>20</v>
      </c>
      <c r="F32" s="1429">
        <v>20</v>
      </c>
      <c r="G32" s="1430">
        <v>20</v>
      </c>
      <c r="H32" s="1430"/>
      <c r="I32" s="1429">
        <v>18.8</v>
      </c>
      <c r="J32" s="1429">
        <v>17.600000000000001</v>
      </c>
      <c r="K32" s="1429">
        <v>16.399999999999999</v>
      </c>
      <c r="L32" s="1429">
        <v>15.142857142857142</v>
      </c>
      <c r="M32" s="1430">
        <v>15.142857142857142</v>
      </c>
      <c r="N32" s="1430"/>
      <c r="O32" s="1429">
        <v>13.953488372093023</v>
      </c>
      <c r="P32" s="1429">
        <v>13.26530612244898</v>
      </c>
      <c r="Q32" s="1429">
        <v>13.529411764705882</v>
      </c>
      <c r="R32" s="1429">
        <v>13.333333333333334</v>
      </c>
      <c r="S32" s="1430">
        <v>13.333333333333334</v>
      </c>
      <c r="T32" s="1429"/>
      <c r="U32" s="1429">
        <v>13.492063492063492</v>
      </c>
      <c r="V32" s="1429">
        <v>13.714285714285714</v>
      </c>
      <c r="W32" s="1429">
        <v>13.896103896103897</v>
      </c>
      <c r="X32" s="1429">
        <v>14.597701149425287</v>
      </c>
      <c r="Y32" s="1430">
        <v>14.597701149425287</v>
      </c>
      <c r="Z32" s="1429"/>
      <c r="AA32" s="1429">
        <v>15</v>
      </c>
      <c r="AB32" s="1429">
        <v>15.135135135135135</v>
      </c>
      <c r="AC32" s="1429">
        <v>15.6</v>
      </c>
      <c r="AD32" s="1429">
        <v>16.330935251798561</v>
      </c>
      <c r="AE32" s="1430">
        <v>16.330935251798561</v>
      </c>
      <c r="AF32" s="1429"/>
      <c r="AG32" s="1429">
        <f>AG36/AG8</f>
        <v>17.225806451612904</v>
      </c>
      <c r="AH32" s="1429">
        <f>AH36/AH8</f>
        <v>18.165680473372781</v>
      </c>
      <c r="AI32" s="1429">
        <f>AI36/AI8</f>
        <v>18.609625668449198</v>
      </c>
      <c r="AJ32" s="1429">
        <f>AJ36/AJ8</f>
        <v>19.170731707317074</v>
      </c>
      <c r="AK32" s="1430">
        <f>AJ32</f>
        <v>19.170731707317074</v>
      </c>
      <c r="AL32" s="1429"/>
      <c r="AM32" s="1429">
        <f>AM36/AM8</f>
        <v>19.295154185022028</v>
      </c>
      <c r="AN32" s="1429">
        <f>AN36/AN8</f>
        <v>19.95967741935484</v>
      </c>
      <c r="AO32" s="1429">
        <f>AO36/AO8</f>
        <v>20.516605166051662</v>
      </c>
      <c r="AP32" s="1429">
        <f>AP36/AP8</f>
        <v>20.268456375838927</v>
      </c>
      <c r="AQ32" s="1431">
        <f>AP32</f>
        <v>20.268456375838927</v>
      </c>
      <c r="AR32" s="1429"/>
      <c r="AS32" s="1429">
        <f>AS36/AS8</f>
        <v>21.08359133126935</v>
      </c>
      <c r="AT32" s="1429">
        <f>AT36/AT8</f>
        <v>22.039660056657222</v>
      </c>
      <c r="AU32" s="1429">
        <f>AU36/AU8</f>
        <v>24.094488188976378</v>
      </c>
      <c r="AV32" s="1429">
        <f>AV36/AV8</f>
        <v>25.804878048780488</v>
      </c>
      <c r="AW32" s="1431">
        <f>AV32</f>
        <v>25.804878048780488</v>
      </c>
      <c r="AX32" s="1429"/>
      <c r="AY32" s="1429">
        <f>AY36/AY8</f>
        <v>26.788990825688074</v>
      </c>
      <c r="AZ32" s="1429">
        <f>AZ36/AZ8</f>
        <v>26.687631027253669</v>
      </c>
      <c r="BA32" s="1429">
        <f>AZ32*(1+BA34)</f>
        <v>26.954507337526206</v>
      </c>
      <c r="BB32" s="1429">
        <f>BB36/BB8</f>
        <v>27.075812274368232</v>
      </c>
      <c r="BC32" s="1431">
        <f>BB32</f>
        <v>27.075812274368232</v>
      </c>
      <c r="BD32" s="1429"/>
      <c r="BE32" s="1429">
        <f>BB32*(1+BE34)</f>
        <v>27.679246559570526</v>
      </c>
      <c r="BF32" s="1429">
        <f>BE32*(1+BF34)</f>
        <v>27.487349514056394</v>
      </c>
      <c r="BG32" s="1429">
        <f>BF32*(1+BG34)</f>
        <v>28.3253304503835</v>
      </c>
      <c r="BH32" s="1429">
        <f>BG32*(1+BH34)</f>
        <v>29.498296163838187</v>
      </c>
      <c r="BI32" s="1431">
        <f>BH32</f>
        <v>29.498296163838187</v>
      </c>
      <c r="BJ32" s="1340"/>
      <c r="BK32" s="1429">
        <f>BH32*(1+BK34)</f>
        <v>30.221004419852221</v>
      </c>
      <c r="BL32" s="1429">
        <f>BK32*(1+BL34)</f>
        <v>30.9614190281386</v>
      </c>
      <c r="BM32" s="1429">
        <f>BL32*(1+BM34)</f>
        <v>31.719973794327995</v>
      </c>
      <c r="BN32" s="1429">
        <f>BM32*(1+BN34)</f>
        <v>32.497113152289032</v>
      </c>
      <c r="BO32" s="1432">
        <f>BN32</f>
        <v>32.497113152289032</v>
      </c>
      <c r="BP32" s="1340"/>
      <c r="BQ32" s="1429">
        <f>BN32*(1+BQ34)</f>
        <v>33.147055415334812</v>
      </c>
      <c r="BR32" s="1429">
        <f>BQ32*(1+BR34)</f>
        <v>33.809996523641509</v>
      </c>
      <c r="BS32" s="1429">
        <f>BR32*(1+BS34)</f>
        <v>34.486196454114342</v>
      </c>
      <c r="BT32" s="1429">
        <f>BS32*(1+BT34)</f>
        <v>35.175920383196633</v>
      </c>
      <c r="BU32" s="1431">
        <f>BT32</f>
        <v>35.175920383196633</v>
      </c>
      <c r="BV32" s="1340"/>
      <c r="BW32" s="1429">
        <f>BT32*(1+BW34)</f>
        <v>35.879438790860569</v>
      </c>
      <c r="BX32" s="1429">
        <f>BW32*(1+BX34)</f>
        <v>36.597027566677781</v>
      </c>
      <c r="BY32" s="1429">
        <f>BX32*(1+BY34)</f>
        <v>37.328968118011339</v>
      </c>
      <c r="BZ32" s="1429">
        <f>BY32*(1+BZ34)</f>
        <v>38.262192320961617</v>
      </c>
      <c r="CA32" s="1431">
        <f>BZ32</f>
        <v>38.262192320961617</v>
      </c>
      <c r="CB32" s="1340"/>
      <c r="CC32" s="1429">
        <f>BZ32*(1+CC34)</f>
        <v>38.836125205776035</v>
      </c>
      <c r="CD32" s="1429">
        <f>CC32*(1+CD34)</f>
        <v>39.418667083862672</v>
      </c>
      <c r="CE32" s="1429">
        <f>CD32*(1+CE34)</f>
        <v>40.009947090120612</v>
      </c>
      <c r="CF32" s="1429">
        <f>CE32*(1+CF34)</f>
        <v>41.010195767373624</v>
      </c>
      <c r="CG32" s="1431">
        <f>CF32</f>
        <v>41.010195767373624</v>
      </c>
      <c r="CH32" s="1340"/>
      <c r="CI32" s="1429">
        <f>CF32*(1+CI34)</f>
        <v>41.625348703884221</v>
      </c>
      <c r="CJ32" s="1429">
        <f>CI32*(1+CJ34)</f>
        <v>42.24972893444248</v>
      </c>
      <c r="CK32" s="1429">
        <f>CJ32*(1+CK34)</f>
        <v>42.88347486845911</v>
      </c>
      <c r="CL32" s="1429">
        <f>CK32*(1+CL34)</f>
        <v>43.955561740170587</v>
      </c>
      <c r="CM32" s="1431">
        <f>CL32</f>
        <v>43.955561740170587</v>
      </c>
      <c r="CN32" s="1340"/>
      <c r="CO32" s="1429">
        <f>CL32*(1+CO34)</f>
        <v>44.614895166273143</v>
      </c>
      <c r="CP32" s="1429">
        <f>CO32*(1+CP34)</f>
        <v>45.284118593767239</v>
      </c>
      <c r="CQ32" s="1429">
        <f>CP32*(1+CQ34)</f>
        <v>45.963380372673747</v>
      </c>
      <c r="CR32" s="1429">
        <f>CQ32*(1+CR34)</f>
        <v>47.11246488199059</v>
      </c>
      <c r="CS32" s="1431">
        <f>CR32</f>
        <v>47.11246488199059</v>
      </c>
      <c r="CT32" s="1340"/>
      <c r="CU32" s="1429">
        <f>CR32*(1+CU34)</f>
        <v>47.819151855220447</v>
      </c>
      <c r="CV32" s="1429">
        <f>CU32*(1+CV34)</f>
        <v>48.536439133048752</v>
      </c>
      <c r="CW32" s="1429">
        <f>CV32*(1+CW34)</f>
        <v>49.264485720044476</v>
      </c>
      <c r="CX32" s="1429">
        <f>CW32*(1+CX34)</f>
        <v>50.496097863045584</v>
      </c>
      <c r="CY32" s="1431">
        <f>CX32</f>
        <v>50.496097863045584</v>
      </c>
      <c r="CZ32" s="1340"/>
      <c r="DA32" s="1429">
        <f>CX32*(1+DA34)</f>
        <v>51.253539330991266</v>
      </c>
      <c r="DB32" s="1429">
        <f>DA32*(1+DB34)</f>
        <v>52.022342420956129</v>
      </c>
      <c r="DC32" s="1429">
        <f>DB32*(1+DC34)</f>
        <v>52.802677557270464</v>
      </c>
      <c r="DD32" s="1429">
        <f>DC32*(1+DD34)</f>
        <v>54.122744496202223</v>
      </c>
      <c r="DE32" s="1431">
        <f>DD32</f>
        <v>54.122744496202223</v>
      </c>
      <c r="DF32" s="1340"/>
      <c r="DG32" s="1429">
        <f>DD32*(1+DG34)</f>
        <v>54.934585663645251</v>
      </c>
      <c r="DH32" s="1429">
        <f>DG32*(1+DH34)</f>
        <v>55.758604448599925</v>
      </c>
      <c r="DI32" s="1429">
        <f>DH32*(1+DI34)</f>
        <v>56.59498351532892</v>
      </c>
      <c r="DJ32" s="1429">
        <f>DI32*(1+DJ34)</f>
        <v>58.009858103212139</v>
      </c>
      <c r="DK32" s="1431">
        <f>DJ32</f>
        <v>58.009858103212139</v>
      </c>
      <c r="DL32" s="1340"/>
      <c r="DM32" s="1429">
        <f>DJ32*(1+DM34)</f>
        <v>58.880005974760316</v>
      </c>
      <c r="DN32" s="1429">
        <f>DM32*(1+DN34)</f>
        <v>59.763206064381713</v>
      </c>
      <c r="DO32" s="1429">
        <f>DN32*(1+DO34)</f>
        <v>60.659654155347432</v>
      </c>
      <c r="DP32" s="1429">
        <f>DO32*(1+DP34)</f>
        <v>62.176145509231112</v>
      </c>
      <c r="DQ32" s="1431">
        <f>DP32</f>
        <v>62.176145509231112</v>
      </c>
      <c r="DR32" s="1340"/>
      <c r="DS32" s="1429">
        <f>DP32*(1+DS34)</f>
        <v>63.108787691869573</v>
      </c>
      <c r="DT32" s="1429">
        <f>DS32*(1+DT34)</f>
        <v>64.055419507247606</v>
      </c>
      <c r="DU32" s="1429">
        <f>DT32*(1+DU34)</f>
        <v>65.016250799856309</v>
      </c>
      <c r="DV32" s="1429">
        <f>DU32*(1+DV34)</f>
        <v>66.641657069852712</v>
      </c>
      <c r="DW32" s="1431">
        <f>DV32</f>
        <v>66.641657069852712</v>
      </c>
      <c r="DX32" s="500"/>
      <c r="DY32" s="500"/>
      <c r="DZ32" s="500"/>
      <c r="EA32" s="500"/>
      <c r="EB32" s="500"/>
      <c r="EC32" s="500"/>
      <c r="ED32" s="500"/>
      <c r="EE32" s="500"/>
      <c r="EF32" s="500"/>
      <c r="EG32" s="500"/>
      <c r="EH32" s="500"/>
      <c r="EI32" s="500"/>
    </row>
    <row r="33" spans="1:142" s="1356" customFormat="1">
      <c r="A33" s="1350" t="s">
        <v>877</v>
      </c>
      <c r="B33" s="1350"/>
      <c r="C33" s="1351" t="s">
        <v>88</v>
      </c>
      <c r="D33" s="1351" t="s">
        <v>88</v>
      </c>
      <c r="E33" s="1351" t="s">
        <v>88</v>
      </c>
      <c r="F33" s="1351" t="s">
        <v>88</v>
      </c>
      <c r="G33" s="1352" t="s">
        <v>88</v>
      </c>
      <c r="H33" s="1351"/>
      <c r="I33" s="1353">
        <f>I32/C32-1</f>
        <v>-5.9999999999999942E-2</v>
      </c>
      <c r="J33" s="1353">
        <f>J32/D32-1</f>
        <v>-0.11999999999999988</v>
      </c>
      <c r="K33" s="1353">
        <f>K32/E32-1</f>
        <v>-0.18000000000000005</v>
      </c>
      <c r="L33" s="1351">
        <f>L32/F32-1</f>
        <v>-0.24285714285714288</v>
      </c>
      <c r="M33" s="1352">
        <f>M32/G32-1</f>
        <v>-0.24285714285714288</v>
      </c>
      <c r="N33" s="1351"/>
      <c r="O33" s="1353">
        <f>O32/I32-1</f>
        <v>-0.25779317169717963</v>
      </c>
      <c r="P33" s="1353">
        <f>P32/J32-1</f>
        <v>-0.24628942486085348</v>
      </c>
      <c r="Q33" s="1353">
        <f>Q32/K32-1</f>
        <v>-0.17503586800573878</v>
      </c>
      <c r="R33" s="1351">
        <f>R32/L32-1</f>
        <v>-0.11949685534591192</v>
      </c>
      <c r="S33" s="1352">
        <f>S32/M32-1</f>
        <v>-0.11949685534591192</v>
      </c>
      <c r="T33" s="1351"/>
      <c r="U33" s="1351">
        <f>U32/O32-1</f>
        <v>-3.3068783068783025E-2</v>
      </c>
      <c r="V33" s="1351">
        <f>V32/P32-1</f>
        <v>3.3846153846153859E-2</v>
      </c>
      <c r="W33" s="1351">
        <f>W32/Q32-1</f>
        <v>2.7103331451157509E-2</v>
      </c>
      <c r="X33" s="1351">
        <f>X32/R32-1</f>
        <v>9.4827586206896575E-2</v>
      </c>
      <c r="Y33" s="1352">
        <f>Y32/S32-1</f>
        <v>9.4827586206896575E-2</v>
      </c>
      <c r="Z33" s="1351"/>
      <c r="AA33" s="1351">
        <f>AA32/U32-1</f>
        <v>0.11176470588235299</v>
      </c>
      <c r="AB33" s="1351">
        <f>AB32/V32-1</f>
        <v>0.10360360360360366</v>
      </c>
      <c r="AC33" s="1351">
        <f>AC32/W32-1</f>
        <v>0.12261682242990646</v>
      </c>
      <c r="AD33" s="1351">
        <f>AD32/X32-1</f>
        <v>0.11873335976887778</v>
      </c>
      <c r="AE33" s="1352">
        <f>AE32/Y32-1</f>
        <v>0.11873335976887778</v>
      </c>
      <c r="AF33" s="1351"/>
      <c r="AG33" s="1351">
        <f>AG32/AA32-1</f>
        <v>0.14838709677419359</v>
      </c>
      <c r="AH33" s="1351">
        <f>AH32/AB32-1</f>
        <v>0.20023245984784444</v>
      </c>
      <c r="AI33" s="1351">
        <f>AI32/AC32-1</f>
        <v>0.19292472233648716</v>
      </c>
      <c r="AJ33" s="1351">
        <f>AJ32/AD32-1</f>
        <v>0.17389061996346844</v>
      </c>
      <c r="AK33" s="1352">
        <f>AK32/AE32-1</f>
        <v>0.17389061996346844</v>
      </c>
      <c r="AL33" s="1351"/>
      <c r="AM33" s="1351">
        <f>AM32/AG32-1</f>
        <v>0.12013067366232733</v>
      </c>
      <c r="AN33" s="1351">
        <f>AN32/AH32-1</f>
        <v>9.8757486602921052E-2</v>
      </c>
      <c r="AO33" s="1351">
        <f>AO32/AI32-1</f>
        <v>0.10247274886541979</v>
      </c>
      <c r="AP33" s="1351">
        <f>AP32/AJ32-1</f>
        <v>5.7260447085745403E-2</v>
      </c>
      <c r="AQ33" s="1354">
        <f>AQ32/AK32-1</f>
        <v>5.7260447085745403E-2</v>
      </c>
      <c r="AR33" s="1351"/>
      <c r="AS33" s="1351">
        <f>AS32/AM32-1</f>
        <v>9.2688409177658082E-2</v>
      </c>
      <c r="AT33" s="1351">
        <f>AT32/AN32-1</f>
        <v>0.10420923112141223</v>
      </c>
      <c r="AU33" s="1351">
        <f>AU32/AO32-1</f>
        <v>0.17438962216053921</v>
      </c>
      <c r="AV33" s="1351">
        <f>AV32/AP32-1</f>
        <v>0.27315457922791153</v>
      </c>
      <c r="AW33" s="1354">
        <f>AW32/AQ32-1</f>
        <v>0.27315457922791153</v>
      </c>
      <c r="AX33" s="1351"/>
      <c r="AY33" s="1351">
        <f>AY32/AT32-1</f>
        <v>0.21549020070281366</v>
      </c>
      <c r="AZ33" s="1351">
        <f>AZ32/AU32-1</f>
        <v>0.10762390211150841</v>
      </c>
      <c r="BA33" s="1351">
        <f>BA32/AV32-1</f>
        <v>4.4550851454229212E-2</v>
      </c>
      <c r="BB33" s="1351">
        <f>BB32/AW32-1</f>
        <v>4.9251704394231988E-2</v>
      </c>
      <c r="BC33" s="1354">
        <f>BC32/AW32-1</f>
        <v>4.9251704394231988E-2</v>
      </c>
      <c r="BD33" s="1351"/>
      <c r="BE33" s="1351">
        <f>BE32/AZ32-1</f>
        <v>3.715637147801587E-2</v>
      </c>
      <c r="BF33" s="1351">
        <f>BF32/BA32-1</f>
        <v>1.9768203137898288E-2</v>
      </c>
      <c r="BG33" s="1351">
        <f>BG32/BB32-1</f>
        <v>4.6148871300830674E-2</v>
      </c>
      <c r="BH33" s="1351">
        <f>BH32/BC32-1</f>
        <v>8.9470404984423713E-2</v>
      </c>
      <c r="BI33" s="1354">
        <f>BI32/BC32-1</f>
        <v>8.9470404984423713E-2</v>
      </c>
      <c r="BJ33" s="1351"/>
      <c r="BK33" s="1351">
        <f>BK32/BF32-1</f>
        <v>9.9451382331275706E-2</v>
      </c>
      <c r="BL33" s="1351">
        <f>BL32/BG32-1</f>
        <v>9.3064706954527621E-2</v>
      </c>
      <c r="BM33" s="1351">
        <f>BM32/BH32-1</f>
        <v>7.5315456124999791E-2</v>
      </c>
      <c r="BN33" s="1351">
        <f>BN32/BI32-1</f>
        <v>0.10166068480006252</v>
      </c>
      <c r="BO33" s="1355">
        <f>BO32/BI32-1</f>
        <v>0.10166068480006252</v>
      </c>
      <c r="BP33" s="1351"/>
      <c r="BQ33" s="1351">
        <f>BQ32/BL32-1</f>
        <v>7.0592254999999993E-2</v>
      </c>
      <c r="BR33" s="1351">
        <f>BR32/BM32-1</f>
        <v>6.5889800000000109E-2</v>
      </c>
      <c r="BS33" s="1351">
        <f>BS32/BN32-1</f>
        <v>6.1208000000000151E-2</v>
      </c>
      <c r="BT33" s="1351">
        <f>BT32/BO32-1</f>
        <v>8.2432160000000199E-2</v>
      </c>
      <c r="BU33" s="1354">
        <f>BU32/BO32-1</f>
        <v>8.2432160000000199E-2</v>
      </c>
      <c r="BV33" s="1351"/>
      <c r="BW33" s="1351">
        <f>BW32/BR32-1</f>
        <v>6.1208000000000373E-2</v>
      </c>
      <c r="BX33" s="1351">
        <f>BX32/BS32-1</f>
        <v>6.1208000000000151E-2</v>
      </c>
      <c r="BY33" s="1351">
        <f>BY32/BT32-1</f>
        <v>6.1208000000000151E-2</v>
      </c>
      <c r="BZ33" s="1351">
        <f>BZ32/BU32-1</f>
        <v>8.7738199999999988E-2</v>
      </c>
      <c r="CA33" s="1354">
        <f>CA32/BU32-1</f>
        <v>8.7738199999999988E-2</v>
      </c>
      <c r="CB33" s="1351"/>
      <c r="CC33" s="1351">
        <f>CC32/BX32-1</f>
        <v>6.1182499999999695E-2</v>
      </c>
      <c r="CD33" s="1351">
        <f>CD32/BY32-1</f>
        <v>5.5980624999999673E-2</v>
      </c>
      <c r="CE33" s="1351">
        <f>CE32/BZ32-1</f>
        <v>4.5678374999999827E-2</v>
      </c>
      <c r="CF33" s="1351">
        <f>CF32/CA32-1</f>
        <v>7.1820334374999684E-2</v>
      </c>
      <c r="CG33" s="1354">
        <f>CG32/CA32-1</f>
        <v>7.1820334374999684E-2</v>
      </c>
      <c r="CH33" s="1351"/>
      <c r="CI33" s="1351">
        <f>CI32/CD32-1</f>
        <v>5.5980624999999673E-2</v>
      </c>
      <c r="CJ33" s="1351">
        <f>CJ32/CE32-1</f>
        <v>5.5980624999999673E-2</v>
      </c>
      <c r="CK33" s="1351">
        <f>CK32/CF32-1</f>
        <v>4.5678374999999605E-2</v>
      </c>
      <c r="CL33" s="1351">
        <f>CL32/CG32-1</f>
        <v>7.1820334374999462E-2</v>
      </c>
      <c r="CM33" s="1354">
        <f>CM32/CG32-1</f>
        <v>7.1820334374999462E-2</v>
      </c>
      <c r="CN33" s="1351"/>
      <c r="CO33" s="1351">
        <f>CO32/CJ32-1</f>
        <v>5.5980624999999673E-2</v>
      </c>
      <c r="CP33" s="1351">
        <f>CP32/CK32-1</f>
        <v>5.5980624999999895E-2</v>
      </c>
      <c r="CQ33" s="1351">
        <f>CQ32/CL32-1</f>
        <v>4.5678374999999827E-2</v>
      </c>
      <c r="CR33" s="1351">
        <f>CR32/CM32-1</f>
        <v>7.1820334374999906E-2</v>
      </c>
      <c r="CS33" s="1354">
        <f>CS32/CM32-1</f>
        <v>7.1820334374999906E-2</v>
      </c>
      <c r="CT33" s="1351"/>
      <c r="CU33" s="1351">
        <f>CU32/CP32-1</f>
        <v>5.5980624999999895E-2</v>
      </c>
      <c r="CV33" s="1351">
        <f>CV32/CQ32-1</f>
        <v>5.5980624999999895E-2</v>
      </c>
      <c r="CW33" s="1351">
        <f>CW32/CR32-1</f>
        <v>4.5678374999999827E-2</v>
      </c>
      <c r="CX33" s="1351">
        <f>CX32/CS32-1</f>
        <v>7.1820334374999684E-2</v>
      </c>
      <c r="CY33" s="1354">
        <f>CY32/CS32-1</f>
        <v>7.1820334374999684E-2</v>
      </c>
      <c r="CZ33" s="1351"/>
      <c r="DA33" s="1351">
        <f>DA32/CV32-1</f>
        <v>5.5980624999999673E-2</v>
      </c>
      <c r="DB33" s="1351">
        <f>DB32/CW32-1</f>
        <v>5.5980624999999673E-2</v>
      </c>
      <c r="DC33" s="1351">
        <f>DC32/CX32-1</f>
        <v>4.5678374999999605E-2</v>
      </c>
      <c r="DD33" s="1351">
        <f>DD32/CY32-1</f>
        <v>7.1820334374999684E-2</v>
      </c>
      <c r="DE33" s="1354">
        <f>DE32/CY32-1</f>
        <v>7.1820334374999684E-2</v>
      </c>
      <c r="DF33" s="1351"/>
      <c r="DG33" s="1351">
        <f>DG32/DB32-1</f>
        <v>5.5980624999999673E-2</v>
      </c>
      <c r="DH33" s="1351">
        <f>DH32/DC32-1</f>
        <v>5.5980624999999673E-2</v>
      </c>
      <c r="DI33" s="1351">
        <f>DI32/DD32-1</f>
        <v>4.5678374999999827E-2</v>
      </c>
      <c r="DJ33" s="1351">
        <f>DJ32/DE32-1</f>
        <v>7.1820334374999684E-2</v>
      </c>
      <c r="DK33" s="1354">
        <f>DK32/DE32-1</f>
        <v>7.1820334374999684E-2</v>
      </c>
      <c r="DL33" s="1351"/>
      <c r="DM33" s="1351">
        <f>DM32/DH32-1</f>
        <v>5.5980624999999673E-2</v>
      </c>
      <c r="DN33" s="1351">
        <f>DN32/DI32-1</f>
        <v>5.5980624999999673E-2</v>
      </c>
      <c r="DO33" s="1351">
        <f>DO32/DJ32-1</f>
        <v>4.5678374999999605E-2</v>
      </c>
      <c r="DP33" s="1351">
        <f>DP32/DK32-1</f>
        <v>7.1820334374999462E-2</v>
      </c>
      <c r="DQ33" s="1354">
        <f>DQ32/DK32-1</f>
        <v>7.1820334374999462E-2</v>
      </c>
      <c r="DR33" s="1351"/>
      <c r="DS33" s="1351">
        <f>DS32/DN32-1</f>
        <v>5.5980624999999673E-2</v>
      </c>
      <c r="DT33" s="1351">
        <f>DT32/DO32-1</f>
        <v>5.5980624999999673E-2</v>
      </c>
      <c r="DU33" s="1351">
        <f>DU32/DP32-1</f>
        <v>4.5678374999999605E-2</v>
      </c>
      <c r="DV33" s="1351">
        <f>DV32/DQ32-1</f>
        <v>7.1820334374999462E-2</v>
      </c>
      <c r="DW33" s="1354">
        <f>DW32/DQ32-1</f>
        <v>7.1820334374999462E-2</v>
      </c>
      <c r="EJ33" s="656"/>
      <c r="EK33" s="656"/>
      <c r="EL33" s="656"/>
    </row>
    <row r="34" spans="1:142" s="1356" customFormat="1">
      <c r="A34" s="1350" t="s">
        <v>878</v>
      </c>
      <c r="B34" s="1350"/>
      <c r="C34" s="1351" t="s">
        <v>88</v>
      </c>
      <c r="D34" s="1353">
        <f>D32/C32-1</f>
        <v>0</v>
      </c>
      <c r="E34" s="1353">
        <f>E32/D32-1</f>
        <v>0</v>
      </c>
      <c r="F34" s="1353">
        <f>F32/E32-1</f>
        <v>0</v>
      </c>
      <c r="G34" s="1352" t="s">
        <v>88</v>
      </c>
      <c r="H34" s="1351"/>
      <c r="I34" s="1353">
        <f>I32/F32-1</f>
        <v>-5.9999999999999942E-2</v>
      </c>
      <c r="J34" s="1353">
        <f>J32/I32-1</f>
        <v>-6.3829787234042534E-2</v>
      </c>
      <c r="K34" s="1353">
        <f>K32/J32-1</f>
        <v>-6.8181818181818343E-2</v>
      </c>
      <c r="L34" s="1353">
        <f>L32/K32-1</f>
        <v>-7.6655052264808288E-2</v>
      </c>
      <c r="M34" s="1352" t="s">
        <v>88</v>
      </c>
      <c r="N34" s="1351"/>
      <c r="O34" s="1351">
        <f>O32/L32-1</f>
        <v>-7.854322071083808E-2</v>
      </c>
      <c r="P34" s="1351">
        <f>P32/O32-1</f>
        <v>-4.9319727891156462E-2</v>
      </c>
      <c r="Q34" s="1351">
        <f>Q32/P32-1</f>
        <v>1.9909502262443368E-2</v>
      </c>
      <c r="R34" s="1351">
        <f>R32/Q32-1</f>
        <v>-1.4492753623188359E-2</v>
      </c>
      <c r="S34" s="1352" t="s">
        <v>88</v>
      </c>
      <c r="T34" s="1351"/>
      <c r="U34" s="1351">
        <f>U32/R32-1</f>
        <v>1.1904761904761862E-2</v>
      </c>
      <c r="V34" s="1351">
        <f>V32/U32-1</f>
        <v>1.6470588235294015E-2</v>
      </c>
      <c r="W34" s="1351">
        <f>W32/V32-1</f>
        <v>1.3257575757575912E-2</v>
      </c>
      <c r="X34" s="1351">
        <f>X32/W32-1</f>
        <v>5.0488774304436435E-2</v>
      </c>
      <c r="Y34" s="1352" t="s">
        <v>88</v>
      </c>
      <c r="Z34" s="1351"/>
      <c r="AA34" s="1351">
        <f>AA32/X32-1</f>
        <v>2.7559055118110187E-2</v>
      </c>
      <c r="AB34" s="1351">
        <f>AB32/AA32-1</f>
        <v>9.009009009008917E-3</v>
      </c>
      <c r="AC34" s="1351">
        <f>AC32/AB32-1</f>
        <v>3.0714285714285694E-2</v>
      </c>
      <c r="AD34" s="1351">
        <f>AD32/AC32-1</f>
        <v>4.6854823833241133E-2</v>
      </c>
      <c r="AE34" s="1352" t="s">
        <v>88</v>
      </c>
      <c r="AF34" s="1351"/>
      <c r="AG34" s="1351">
        <f>AG32/AD32-1</f>
        <v>5.4796077874094129E-2</v>
      </c>
      <c r="AH34" s="1351">
        <f>AH32/AG32-1</f>
        <v>5.4561975045985367E-2</v>
      </c>
      <c r="AI34" s="1351">
        <f>AI32/AH32-1</f>
        <v>2.4438676862512887E-2</v>
      </c>
      <c r="AJ34" s="1351">
        <f>AJ32/AI32-1</f>
        <v>3.0151387720773748E-2</v>
      </c>
      <c r="AK34" s="1352" t="s">
        <v>88</v>
      </c>
      <c r="AL34" s="1351"/>
      <c r="AM34" s="1351">
        <f>AM32/AJ32-1</f>
        <v>6.4902310253220907E-3</v>
      </c>
      <c r="AN34" s="1351">
        <f>AN32/AM32-1</f>
        <v>3.4439902783915066E-2</v>
      </c>
      <c r="AO34" s="1351">
        <f>AO32/AN32-1</f>
        <v>2.7902642662790189E-2</v>
      </c>
      <c r="AP34" s="1351">
        <f>AP32/AO32-1</f>
        <v>-1.2095021969002029E-2</v>
      </c>
      <c r="AQ34" s="1354" t="s">
        <v>88</v>
      </c>
      <c r="AR34" s="1351"/>
      <c r="AS34" s="1351">
        <f>AS32/AP32-1</f>
        <v>4.0216923297726082E-2</v>
      </c>
      <c r="AT34" s="1351">
        <f>AT32/AS32-1</f>
        <v>4.5346578311348473E-2</v>
      </c>
      <c r="AU34" s="1351">
        <f>AU32/AT32-1</f>
        <v>9.3233204461267594E-2</v>
      </c>
      <c r="AV34" s="1351">
        <f>AV32/AU32-1</f>
        <v>7.0986768691216229E-2</v>
      </c>
      <c r="AW34" s="1354" t="s">
        <v>88</v>
      </c>
      <c r="AX34" s="1351"/>
      <c r="AY34" s="1351">
        <f>AY32/AW32-1</f>
        <v>3.8136695513431906E-2</v>
      </c>
      <c r="AZ34" s="1351">
        <f>AZ32/AY32-1</f>
        <v>-3.7836363114213123E-3</v>
      </c>
      <c r="BA34" s="1433">
        <v>0.01</v>
      </c>
      <c r="BB34" s="1351">
        <f>BB32/BA32-1</f>
        <v>4.5003581524618586E-3</v>
      </c>
      <c r="BC34" s="1354" t="s">
        <v>88</v>
      </c>
      <c r="BD34" s="1351"/>
      <c r="BE34" s="1433">
        <v>2.2286839600138109E-2</v>
      </c>
      <c r="BF34" s="1433">
        <v>-6.9328854418466701E-3</v>
      </c>
      <c r="BG34" s="1433">
        <v>3.0486058173727626E-2</v>
      </c>
      <c r="BH34" s="1433">
        <v>4.1410486472852615E-2</v>
      </c>
      <c r="BI34" s="1354" t="s">
        <v>88</v>
      </c>
      <c r="BJ34" s="1351"/>
      <c r="BK34" s="1433">
        <v>2.4500000000000001E-2</v>
      </c>
      <c r="BL34" s="1433">
        <v>2.4500000000000001E-2</v>
      </c>
      <c r="BM34" s="1433">
        <v>2.4500000000000001E-2</v>
      </c>
      <c r="BN34" s="1433">
        <v>2.4500000000000001E-2</v>
      </c>
      <c r="BO34" s="1355" t="s">
        <v>88</v>
      </c>
      <c r="BP34" s="1351"/>
      <c r="BQ34" s="1433">
        <v>0.02</v>
      </c>
      <c r="BR34" s="1433">
        <v>0.02</v>
      </c>
      <c r="BS34" s="1433">
        <v>0.02</v>
      </c>
      <c r="BT34" s="1433">
        <v>0.02</v>
      </c>
      <c r="BU34" s="1354" t="s">
        <v>88</v>
      </c>
      <c r="BV34" s="1351"/>
      <c r="BW34" s="1433">
        <v>0.02</v>
      </c>
      <c r="BX34" s="1433">
        <v>0.02</v>
      </c>
      <c r="BY34" s="1433">
        <v>0.02</v>
      </c>
      <c r="BZ34" s="1433">
        <v>2.5000000000000001E-2</v>
      </c>
      <c r="CA34" s="1354" t="s">
        <v>88</v>
      </c>
      <c r="CB34" s="1351"/>
      <c r="CC34" s="1433">
        <v>1.4999999999999999E-2</v>
      </c>
      <c r="CD34" s="1433">
        <v>1.4999999999999999E-2</v>
      </c>
      <c r="CE34" s="1433">
        <v>1.4999999999999999E-2</v>
      </c>
      <c r="CF34" s="1433">
        <v>2.5000000000000001E-2</v>
      </c>
      <c r="CG34" s="1354" t="s">
        <v>88</v>
      </c>
      <c r="CH34" s="1351"/>
      <c r="CI34" s="1433">
        <v>1.4999999999999999E-2</v>
      </c>
      <c r="CJ34" s="1433">
        <v>1.4999999999999999E-2</v>
      </c>
      <c r="CK34" s="1433">
        <v>1.4999999999999999E-2</v>
      </c>
      <c r="CL34" s="1433">
        <v>2.5000000000000001E-2</v>
      </c>
      <c r="CM34" s="1354" t="s">
        <v>88</v>
      </c>
      <c r="CN34" s="1351"/>
      <c r="CO34" s="1433">
        <v>1.4999999999999999E-2</v>
      </c>
      <c r="CP34" s="1433">
        <v>1.4999999999999999E-2</v>
      </c>
      <c r="CQ34" s="1433">
        <v>1.4999999999999999E-2</v>
      </c>
      <c r="CR34" s="1433">
        <v>2.5000000000000001E-2</v>
      </c>
      <c r="CS34" s="1354" t="s">
        <v>88</v>
      </c>
      <c r="CT34" s="1351"/>
      <c r="CU34" s="1433">
        <v>1.4999999999999999E-2</v>
      </c>
      <c r="CV34" s="1433">
        <v>1.4999999999999999E-2</v>
      </c>
      <c r="CW34" s="1433">
        <v>1.4999999999999999E-2</v>
      </c>
      <c r="CX34" s="1433">
        <v>2.5000000000000001E-2</v>
      </c>
      <c r="CY34" s="1354" t="s">
        <v>88</v>
      </c>
      <c r="CZ34" s="1351"/>
      <c r="DA34" s="1433">
        <v>1.4999999999999999E-2</v>
      </c>
      <c r="DB34" s="1433">
        <v>1.4999999999999999E-2</v>
      </c>
      <c r="DC34" s="1433">
        <v>1.4999999999999999E-2</v>
      </c>
      <c r="DD34" s="1433">
        <v>2.5000000000000001E-2</v>
      </c>
      <c r="DE34" s="1354" t="s">
        <v>88</v>
      </c>
      <c r="DF34" s="1351"/>
      <c r="DG34" s="1433">
        <v>1.4999999999999999E-2</v>
      </c>
      <c r="DH34" s="1433">
        <v>1.4999999999999999E-2</v>
      </c>
      <c r="DI34" s="1433">
        <v>1.4999999999999999E-2</v>
      </c>
      <c r="DJ34" s="1433">
        <v>2.5000000000000001E-2</v>
      </c>
      <c r="DK34" s="1354" t="s">
        <v>88</v>
      </c>
      <c r="DL34" s="1351"/>
      <c r="DM34" s="1433">
        <v>1.4999999999999999E-2</v>
      </c>
      <c r="DN34" s="1433">
        <v>1.4999999999999999E-2</v>
      </c>
      <c r="DO34" s="1433">
        <v>1.4999999999999999E-2</v>
      </c>
      <c r="DP34" s="1433">
        <v>2.5000000000000001E-2</v>
      </c>
      <c r="DQ34" s="1354" t="s">
        <v>88</v>
      </c>
      <c r="DR34" s="1351"/>
      <c r="DS34" s="1433">
        <v>1.4999999999999999E-2</v>
      </c>
      <c r="DT34" s="1433">
        <v>1.4999999999999999E-2</v>
      </c>
      <c r="DU34" s="1433">
        <v>1.4999999999999999E-2</v>
      </c>
      <c r="DV34" s="1433">
        <v>2.5000000000000001E-2</v>
      </c>
      <c r="DW34" s="1354" t="s">
        <v>88</v>
      </c>
      <c r="EJ34" s="656"/>
      <c r="EK34" s="656"/>
      <c r="EL34" s="656"/>
    </row>
    <row r="35" spans="1:142" ht="5.25" customHeight="1">
      <c r="A35" s="1340"/>
      <c r="B35" s="1340"/>
      <c r="C35" s="1340"/>
      <c r="D35" s="1340"/>
      <c r="E35" s="1340"/>
      <c r="F35" s="1340"/>
      <c r="G35" s="853"/>
      <c r="H35" s="1340"/>
      <c r="I35" s="1340"/>
      <c r="J35" s="1340"/>
      <c r="K35" s="1340"/>
      <c r="L35" s="500"/>
      <c r="M35" s="853"/>
      <c r="N35" s="1340"/>
      <c r="O35" s="1340"/>
      <c r="P35" s="1340"/>
      <c r="Q35" s="1340"/>
      <c r="R35" s="1340"/>
      <c r="S35" s="853"/>
      <c r="T35" s="1340"/>
      <c r="U35" s="1340"/>
      <c r="V35" s="1340"/>
      <c r="W35" s="1340"/>
      <c r="X35" s="1340"/>
      <c r="Y35" s="853"/>
      <c r="Z35" s="1340"/>
      <c r="AA35" s="1340"/>
      <c r="AB35" s="1340"/>
      <c r="AC35" s="1340"/>
      <c r="AD35" s="1340"/>
      <c r="AE35" s="853"/>
      <c r="AF35" s="1340"/>
      <c r="AG35" s="1340"/>
      <c r="AH35" s="1340"/>
      <c r="AI35" s="1340"/>
      <c r="AJ35" s="1340"/>
      <c r="AK35" s="853"/>
      <c r="AL35" s="1340"/>
      <c r="AM35" s="1340"/>
      <c r="AN35" s="1340"/>
      <c r="AO35" s="1340"/>
      <c r="AP35" s="1340"/>
      <c r="AQ35" s="1341"/>
      <c r="AR35" s="1340"/>
      <c r="AS35" s="1340"/>
      <c r="AT35" s="1340"/>
      <c r="AU35" s="1340"/>
      <c r="AV35" s="1340"/>
      <c r="AW35" s="1341"/>
      <c r="AX35" s="1340"/>
      <c r="AY35" s="1340"/>
      <c r="AZ35" s="1340"/>
      <c r="BA35" s="1340"/>
      <c r="BB35" s="1340"/>
      <c r="BC35" s="1341"/>
      <c r="BD35" s="1340"/>
      <c r="BE35" s="1340"/>
      <c r="BF35" s="1340"/>
      <c r="BG35" s="1340"/>
      <c r="BH35" s="1340"/>
      <c r="BI35" s="1341"/>
      <c r="BJ35" s="1340"/>
      <c r="BK35" s="1340"/>
      <c r="BL35" s="1340"/>
      <c r="BM35" s="1340"/>
      <c r="BN35" s="1340"/>
      <c r="BO35" s="1418"/>
      <c r="BP35" s="1340"/>
      <c r="BQ35" s="1340"/>
      <c r="BR35" s="1340"/>
      <c r="BS35" s="1340"/>
      <c r="BT35" s="1340"/>
      <c r="BU35" s="1341"/>
      <c r="BV35" s="1340"/>
      <c r="BW35" s="1340"/>
      <c r="BX35" s="1340"/>
      <c r="BY35" s="1340"/>
      <c r="BZ35" s="1340"/>
      <c r="CA35" s="1341"/>
      <c r="CB35" s="1340"/>
      <c r="CC35" s="1340"/>
      <c r="CD35" s="1340"/>
      <c r="CE35" s="1340"/>
      <c r="CF35" s="1340"/>
      <c r="CG35" s="1341"/>
      <c r="CH35" s="1340"/>
      <c r="CI35" s="1340"/>
      <c r="CJ35" s="1340"/>
      <c r="CK35" s="1340"/>
      <c r="CL35" s="1340"/>
      <c r="CM35" s="1341"/>
      <c r="CN35" s="1340"/>
      <c r="CO35" s="1340"/>
      <c r="CP35" s="1340"/>
      <c r="CQ35" s="1340"/>
      <c r="CR35" s="1340"/>
      <c r="CS35" s="1341"/>
      <c r="CT35" s="1340"/>
      <c r="CU35" s="1340"/>
      <c r="CV35" s="1340"/>
      <c r="CW35" s="1340"/>
      <c r="CX35" s="1340"/>
      <c r="CY35" s="1341"/>
      <c r="CZ35" s="1340"/>
      <c r="DA35" s="1340"/>
      <c r="DB35" s="1340"/>
      <c r="DC35" s="1340"/>
      <c r="DD35" s="1340"/>
      <c r="DE35" s="1341"/>
      <c r="DF35" s="1340"/>
      <c r="DG35" s="1340"/>
      <c r="DH35" s="1340"/>
      <c r="DI35" s="1340"/>
      <c r="DJ35" s="1340"/>
      <c r="DK35" s="1341"/>
      <c r="DL35" s="1340"/>
      <c r="DM35" s="1340"/>
      <c r="DN35" s="1340"/>
      <c r="DO35" s="1340"/>
      <c r="DP35" s="1340"/>
      <c r="DQ35" s="1341"/>
      <c r="DR35" s="1340"/>
      <c r="DS35" s="1340"/>
      <c r="DT35" s="1340"/>
      <c r="DU35" s="1340"/>
      <c r="DV35" s="1340"/>
      <c r="DW35" s="1341"/>
      <c r="DX35" s="500"/>
      <c r="DY35" s="500"/>
      <c r="DZ35" s="500"/>
      <c r="EA35" s="500"/>
      <c r="EB35" s="500"/>
      <c r="EC35" s="500"/>
      <c r="ED35" s="500"/>
      <c r="EE35" s="500"/>
      <c r="EF35" s="500"/>
      <c r="EG35" s="500"/>
      <c r="EH35" s="500"/>
      <c r="EI35" s="500"/>
    </row>
    <row r="36" spans="1:142" s="1421" customFormat="1">
      <c r="A36" s="853" t="s">
        <v>378</v>
      </c>
      <c r="B36" s="853"/>
      <c r="C36" s="1434">
        <v>4200</v>
      </c>
      <c r="D36" s="1434">
        <v>11400</v>
      </c>
      <c r="E36" s="1434">
        <v>19800</v>
      </c>
      <c r="F36" s="1424">
        <v>30000</v>
      </c>
      <c r="G36" s="1435">
        <v>30000</v>
      </c>
      <c r="H36" s="1435"/>
      <c r="I36" s="1434">
        <v>35745</v>
      </c>
      <c r="J36" s="1434">
        <v>41490</v>
      </c>
      <c r="K36" s="1434">
        <v>47235</v>
      </c>
      <c r="L36" s="1424">
        <v>53000</v>
      </c>
      <c r="M36" s="1435">
        <v>53000</v>
      </c>
      <c r="N36" s="1435"/>
      <c r="O36" s="1424">
        <v>60000</v>
      </c>
      <c r="P36" s="1424">
        <v>65000</v>
      </c>
      <c r="Q36" s="1424">
        <v>69000</v>
      </c>
      <c r="R36" s="1424">
        <v>76000</v>
      </c>
      <c r="S36" s="1435">
        <v>76000</v>
      </c>
      <c r="T36" s="1424"/>
      <c r="U36" s="1424">
        <v>85000</v>
      </c>
      <c r="V36" s="1424">
        <v>96000</v>
      </c>
      <c r="W36" s="1424">
        <v>107000</v>
      </c>
      <c r="X36" s="1424">
        <v>127000</v>
      </c>
      <c r="Y36" s="1435">
        <v>127000</v>
      </c>
      <c r="Z36" s="1424"/>
      <c r="AA36" s="1424">
        <v>147000</v>
      </c>
      <c r="AB36" s="1424">
        <v>168000</v>
      </c>
      <c r="AC36" s="1424">
        <v>195000</v>
      </c>
      <c r="AD36" s="1424">
        <v>227000</v>
      </c>
      <c r="AE36" s="1435">
        <v>227000</v>
      </c>
      <c r="AF36" s="1424"/>
      <c r="AG36" s="1424">
        <v>267000</v>
      </c>
      <c r="AH36" s="1424">
        <v>307000</v>
      </c>
      <c r="AI36" s="1424">
        <v>348000</v>
      </c>
      <c r="AJ36" s="1424">
        <v>393000</v>
      </c>
      <c r="AK36" s="1435">
        <v>393000</v>
      </c>
      <c r="AL36" s="1424"/>
      <c r="AM36" s="1424">
        <v>438000</v>
      </c>
      <c r="AN36" s="1424">
        <v>495000</v>
      </c>
      <c r="AO36" s="1424">
        <v>556000</v>
      </c>
      <c r="AP36" s="1424">
        <f>AO36+AP50</f>
        <v>604000</v>
      </c>
      <c r="AQ36" s="1436">
        <f>AP36</f>
        <v>604000</v>
      </c>
      <c r="AR36" s="1424"/>
      <c r="AS36" s="1424">
        <f>AP36+AS50</f>
        <v>681000</v>
      </c>
      <c r="AT36" s="1424">
        <f>AS36+AT50</f>
        <v>778000</v>
      </c>
      <c r="AU36" s="1424">
        <f>AT36+AU50</f>
        <v>918000</v>
      </c>
      <c r="AV36" s="1424">
        <f>AU36+AV50</f>
        <v>1058000</v>
      </c>
      <c r="AW36" s="1436">
        <f>AV36</f>
        <v>1058000</v>
      </c>
      <c r="AX36" s="1424"/>
      <c r="AY36" s="1437">
        <f>AV36+AY50</f>
        <v>1168000</v>
      </c>
      <c r="AZ36" s="1437">
        <f>AY36+AZ50</f>
        <v>1273000</v>
      </c>
      <c r="BA36" s="1424">
        <f>BA8*BA32</f>
        <v>1396243.4800838574</v>
      </c>
      <c r="BB36" s="1438">
        <v>1500000</v>
      </c>
      <c r="BC36" s="1436">
        <f>BB36</f>
        <v>1500000</v>
      </c>
      <c r="BD36" s="1424"/>
      <c r="BE36" s="1424">
        <f>BE8*BE32</f>
        <v>1641379.3209825321</v>
      </c>
      <c r="BF36" s="1424">
        <f>BF8*BF32</f>
        <v>1737200.4892883641</v>
      </c>
      <c r="BG36" s="1424">
        <f>BG8*BG32</f>
        <v>1923289.9375810397</v>
      </c>
      <c r="BH36" s="1424">
        <f>BH8*BH32</f>
        <v>2138626.4718782688</v>
      </c>
      <c r="BI36" s="1436">
        <f>BH36</f>
        <v>2138626.4718782688</v>
      </c>
      <c r="BJ36" s="1340"/>
      <c r="BK36" s="1424">
        <f>BK8*BK32</f>
        <v>2336083.6416545766</v>
      </c>
      <c r="BL36" s="1424">
        <f>BL8*BL32</f>
        <v>2551220.9279186209</v>
      </c>
      <c r="BM36" s="1424">
        <f>BM8*BM32</f>
        <v>2765981.7148654014</v>
      </c>
      <c r="BN36" s="1424">
        <f>BN8*BN32</f>
        <v>2999483.5439562774</v>
      </c>
      <c r="BO36" s="1439">
        <f>BN36</f>
        <v>2999483.5439562774</v>
      </c>
      <c r="BP36" s="1340"/>
      <c r="BQ36" s="1424">
        <f>BQ8*BQ32</f>
        <v>3238467.3140782113</v>
      </c>
      <c r="BR36" s="1424">
        <f>BR8*BR32</f>
        <v>3516239.6384587167</v>
      </c>
      <c r="BS36" s="1424">
        <f>BS8*BS32</f>
        <v>3810724.708179635</v>
      </c>
      <c r="BT36" s="1424">
        <f>BT8*BT32</f>
        <v>4119205.8046334754</v>
      </c>
      <c r="BU36" s="1436">
        <f>BT36</f>
        <v>4119205.8046334754</v>
      </c>
      <c r="BV36" s="1340"/>
      <c r="BW36" s="1424">
        <f>BW8*BW32</f>
        <v>4355871.5075268457</v>
      </c>
      <c r="BX36" s="1424">
        <f>BX8*BX32</f>
        <v>4618654.669997436</v>
      </c>
      <c r="BY36" s="1424">
        <f>BY8*BY32</f>
        <v>4893939.7071756404</v>
      </c>
      <c r="BZ36" s="1424">
        <f>BZ8*BZ32</f>
        <v>5219077.8191561271</v>
      </c>
      <c r="CA36" s="1436">
        <f>BZ36</f>
        <v>5219077.8191561271</v>
      </c>
      <c r="CB36" s="1340"/>
      <c r="CC36" s="1424">
        <f>CC8*CC32</f>
        <v>5472126.549869461</v>
      </c>
      <c r="CD36" s="1424">
        <f>CD8*CD32</f>
        <v>6018860.6310139652</v>
      </c>
      <c r="CE36" s="1424">
        <f>CE8*CE32</f>
        <v>6317743.4380787481</v>
      </c>
      <c r="CF36" s="1424">
        <f>CF8*CF32</f>
        <v>6701243.1007512705</v>
      </c>
      <c r="CG36" s="1436">
        <f>CF36</f>
        <v>6701243.1007512705</v>
      </c>
      <c r="CH36" s="1340"/>
      <c r="CI36" s="1424">
        <f>CI8*CI32</f>
        <v>7018213.560522737</v>
      </c>
      <c r="CJ36" s="1424">
        <f>CJ8*CJ32</f>
        <v>7424727.3312331522</v>
      </c>
      <c r="CK36" s="1424">
        <f>CK8*CK32</f>
        <v>7731354.1894692108</v>
      </c>
      <c r="CL36" s="1424">
        <f>CL8*CL32</f>
        <v>8217733.7298893984</v>
      </c>
      <c r="CM36" s="1436">
        <f>CL36</f>
        <v>8217733.7298893984</v>
      </c>
      <c r="CN36" s="1340"/>
      <c r="CO36" s="1424">
        <f>CO8*CO32</f>
        <v>8545071.5711353216</v>
      </c>
      <c r="CP36" s="1424">
        <f>CP8*CP32</f>
        <v>8944661.9733067974</v>
      </c>
      <c r="CQ36" s="1424">
        <f>CQ8*CQ32</f>
        <v>9301675.5974665601</v>
      </c>
      <c r="CR36" s="1424">
        <f>CR8*CR32</f>
        <v>9762632.2743273899</v>
      </c>
      <c r="CS36" s="1436">
        <f>CR36</f>
        <v>9762632.2743273899</v>
      </c>
      <c r="CT36" s="1340"/>
      <c r="CU36" s="1424">
        <f>CU8*CU32</f>
        <v>10116357.36844201</v>
      </c>
      <c r="CV36" s="1424">
        <f>CV8*CV32</f>
        <v>10556316.538403559</v>
      </c>
      <c r="CW36" s="1424">
        <f>CW8*CW32</f>
        <v>10907066.944626505</v>
      </c>
      <c r="CX36" s="1424">
        <f>CX8*CX32</f>
        <v>11463099.652151022</v>
      </c>
      <c r="CY36" s="1436">
        <f>CX36</f>
        <v>11463099.652151022</v>
      </c>
      <c r="CZ36" s="1340"/>
      <c r="DA36" s="1424">
        <f>DA8*DA32</f>
        <v>11737903.985739311</v>
      </c>
      <c r="DB36" s="1424">
        <f>DB8*DB32</f>
        <v>12222885.967125429</v>
      </c>
      <c r="DC36" s="1424">
        <f>DC8*DC32</f>
        <v>12576173.353111079</v>
      </c>
      <c r="DD36" s="1424">
        <f>DD8*DD32</f>
        <v>13163356.319199715</v>
      </c>
      <c r="DE36" s="1436">
        <f>DD36</f>
        <v>13163356.319199715</v>
      </c>
      <c r="DF36" s="1340"/>
      <c r="DG36" s="1424">
        <f>DG8*DG32</f>
        <v>13467989.422637036</v>
      </c>
      <c r="DH36" s="1424">
        <f>DH8*DH32</f>
        <v>14031766.329219252</v>
      </c>
      <c r="DI36" s="1424">
        <f>DI8*DI32</f>
        <v>14432825.211466445</v>
      </c>
      <c r="DJ36" s="1424">
        <f>DJ8*DJ32</f>
        <v>15104965.413573675</v>
      </c>
      <c r="DK36" s="1436">
        <f>DJ36</f>
        <v>15104965.413573675</v>
      </c>
      <c r="DL36" s="1340"/>
      <c r="DM36" s="1424">
        <f>DM8*DM32</f>
        <v>15464599.355761202</v>
      </c>
      <c r="DN36" s="1424">
        <f>DN8*DN32</f>
        <v>16145702.456517112</v>
      </c>
      <c r="DO36" s="1424">
        <f>DO8*DO32</f>
        <v>16605662.593285657</v>
      </c>
      <c r="DP36" s="1424">
        <f>DP8*DP32</f>
        <v>17345399.331389148</v>
      </c>
      <c r="DQ36" s="1436">
        <f>DP36</f>
        <v>17345399.331389148</v>
      </c>
      <c r="DR36" s="1340"/>
      <c r="DS36" s="1424">
        <f>DS8*DS32</f>
        <v>17756898.364351302</v>
      </c>
      <c r="DT36" s="1424">
        <f>DT8*DT32</f>
        <v>18557640.503438052</v>
      </c>
      <c r="DU36" s="1424">
        <f>DU8*DU32</f>
        <v>19095204.095003903</v>
      </c>
      <c r="DV36" s="1424">
        <f>DV8*DV32</f>
        <v>19949435.892945677</v>
      </c>
      <c r="DW36" s="1436">
        <f>DV36</f>
        <v>19949435.892945677</v>
      </c>
      <c r="EJ36" s="656"/>
      <c r="EK36" s="656"/>
      <c r="EL36" s="656"/>
    </row>
    <row r="37" spans="1:142" s="1356" customFormat="1">
      <c r="A37" s="1350" t="s">
        <v>877</v>
      </c>
      <c r="B37" s="1350"/>
      <c r="C37" s="1351" t="s">
        <v>88</v>
      </c>
      <c r="D37" s="1351" t="s">
        <v>88</v>
      </c>
      <c r="E37" s="1351" t="s">
        <v>88</v>
      </c>
      <c r="F37" s="1351" t="s">
        <v>88</v>
      </c>
      <c r="G37" s="1352" t="s">
        <v>88</v>
      </c>
      <c r="H37" s="1351"/>
      <c r="I37" s="1353">
        <f>I36/C36-1</f>
        <v>7.5107142857142861</v>
      </c>
      <c r="J37" s="1353">
        <f>J36/D36-1</f>
        <v>2.6394736842105262</v>
      </c>
      <c r="K37" s="1353">
        <f>K36/E36-1</f>
        <v>1.3856060606060607</v>
      </c>
      <c r="L37" s="1351">
        <f>L36/F36-1</f>
        <v>0.76666666666666661</v>
      </c>
      <c r="M37" s="1352">
        <f>M36/G36-1</f>
        <v>0.76666666666666661</v>
      </c>
      <c r="N37" s="1351"/>
      <c r="O37" s="1353">
        <f>O36/I36-1</f>
        <v>0.678556441460344</v>
      </c>
      <c r="P37" s="1353">
        <f>P36/J36-1</f>
        <v>0.56664256447336703</v>
      </c>
      <c r="Q37" s="1353">
        <f>Q36/K36-1</f>
        <v>0.4607812003810734</v>
      </c>
      <c r="R37" s="1351">
        <f>R36/L36-1</f>
        <v>0.4339622641509433</v>
      </c>
      <c r="S37" s="1352">
        <f>S36/M36-1</f>
        <v>0.4339622641509433</v>
      </c>
      <c r="T37" s="1351"/>
      <c r="U37" s="1351">
        <f>U36/O36-1</f>
        <v>0.41666666666666674</v>
      </c>
      <c r="V37" s="1351">
        <f>V36/P36-1</f>
        <v>0.47692307692307701</v>
      </c>
      <c r="W37" s="1351">
        <f>W36/Q36-1</f>
        <v>0.55072463768115942</v>
      </c>
      <c r="X37" s="1351">
        <f>X36/R36-1</f>
        <v>0.67105263157894735</v>
      </c>
      <c r="Y37" s="1352">
        <f>Y36/S36-1</f>
        <v>0.67105263157894735</v>
      </c>
      <c r="Z37" s="1351"/>
      <c r="AA37" s="1351">
        <f>AA36/U36-1</f>
        <v>0.72941176470588243</v>
      </c>
      <c r="AB37" s="1351">
        <f>AB36/V36-1</f>
        <v>0.75</v>
      </c>
      <c r="AC37" s="1351">
        <f>AC36/W36-1</f>
        <v>0.82242990654205617</v>
      </c>
      <c r="AD37" s="1351">
        <f>AD36/X36-1</f>
        <v>0.78740157480314954</v>
      </c>
      <c r="AE37" s="1352">
        <f>AE36/Y36-1</f>
        <v>0.78740157480314954</v>
      </c>
      <c r="AF37" s="1351"/>
      <c r="AG37" s="1351">
        <f>AG36/AA36-1</f>
        <v>0.81632653061224492</v>
      </c>
      <c r="AH37" s="1351">
        <f>AH36/AB36-1</f>
        <v>0.82738095238095233</v>
      </c>
      <c r="AI37" s="1351">
        <f>AI36/AC36-1</f>
        <v>0.78461538461538471</v>
      </c>
      <c r="AJ37" s="1351">
        <f>AJ36/AD36-1</f>
        <v>0.73127753303964749</v>
      </c>
      <c r="AK37" s="1352">
        <f>AK36/AE36-1</f>
        <v>0.73127753303964749</v>
      </c>
      <c r="AL37" s="1351"/>
      <c r="AM37" s="1351">
        <f>AM36/AG36-1</f>
        <v>0.6404494382022472</v>
      </c>
      <c r="AN37" s="1351">
        <f>AN36/AH36-1</f>
        <v>0.6123778501628665</v>
      </c>
      <c r="AO37" s="1351">
        <f>AO36/AI36-1</f>
        <v>0.59770114942528729</v>
      </c>
      <c r="AP37" s="1351">
        <f>AP36/AJ36-1</f>
        <v>0.53689567430025442</v>
      </c>
      <c r="AQ37" s="1354">
        <f>AQ36/AK36-1</f>
        <v>0.53689567430025442</v>
      </c>
      <c r="AR37" s="1351"/>
      <c r="AS37" s="1351">
        <f>AS36/AM36-1</f>
        <v>0.5547945205479452</v>
      </c>
      <c r="AT37" s="1351">
        <f>AT36/AN36-1</f>
        <v>0.57171717171717162</v>
      </c>
      <c r="AU37" s="1351">
        <f>AU36/AO36-1</f>
        <v>0.65107913669064743</v>
      </c>
      <c r="AV37" s="1351">
        <f>AV36/AP36-1</f>
        <v>0.7516556291390728</v>
      </c>
      <c r="AW37" s="1354">
        <f>AW36/AQ36-1</f>
        <v>0.7516556291390728</v>
      </c>
      <c r="AX37" s="1351"/>
      <c r="AY37" s="1351">
        <f>AY36/AT36-1</f>
        <v>0.50128534704370176</v>
      </c>
      <c r="AZ37" s="1351">
        <f>AZ36/AU36-1</f>
        <v>0.38671023965141615</v>
      </c>
      <c r="BA37" s="1351">
        <f>BA36/AV36-1</f>
        <v>0.31970083183729425</v>
      </c>
      <c r="BB37" s="1351">
        <f>BB36/AW36-1</f>
        <v>0.41776937618147447</v>
      </c>
      <c r="BC37" s="1354">
        <f>BC36/AW36-1</f>
        <v>0.41776937618147447</v>
      </c>
      <c r="BD37" s="1351"/>
      <c r="BE37" s="1351">
        <f>BE36/AY36-1</f>
        <v>0.40529051453983911</v>
      </c>
      <c r="BF37" s="1351">
        <f>BF36/AZ36-1</f>
        <v>0.36465081640876984</v>
      </c>
      <c r="BG37" s="1351">
        <f>BG36/BA36-1</f>
        <v>0.37747460598027516</v>
      </c>
      <c r="BH37" s="1351">
        <f>BH36/BB36-1</f>
        <v>0.42575098125217914</v>
      </c>
      <c r="BI37" s="1354">
        <f>BI36/BC36-1</f>
        <v>0.42575098125217914</v>
      </c>
      <c r="BJ37" s="1350"/>
      <c r="BK37" s="1351">
        <f>BK36/BE36-1</f>
        <v>0.42324422623784086</v>
      </c>
      <c r="BL37" s="1351">
        <f>BL36/BF36-1</f>
        <v>0.4685817461194226</v>
      </c>
      <c r="BM37" s="1351">
        <f>BM36/BG36-1</f>
        <v>0.43815119125732638</v>
      </c>
      <c r="BN37" s="1351">
        <f>BN36/BH36-1</f>
        <v>0.40252801664890692</v>
      </c>
      <c r="BO37" s="1355">
        <f>BO36/BI36-1</f>
        <v>0.40252801664890692</v>
      </c>
      <c r="BP37" s="1350"/>
      <c r="BQ37" s="1351">
        <f>BQ36/BK36-1</f>
        <v>0.38628054934903955</v>
      </c>
      <c r="BR37" s="1351">
        <f>BR36/BL36-1</f>
        <v>0.37825760206796089</v>
      </c>
      <c r="BS37" s="1351">
        <f>BS36/BM36-1</f>
        <v>0.37771146052752314</v>
      </c>
      <c r="BT37" s="1351">
        <f>BT36/BN36-1</f>
        <v>0.37330501877009792</v>
      </c>
      <c r="BU37" s="1354">
        <f>BU36/BO36-1</f>
        <v>0.37330501877009792</v>
      </c>
      <c r="BV37" s="1350"/>
      <c r="BW37" s="1351">
        <f>BW36/BQ36-1</f>
        <v>0.34504105957502595</v>
      </c>
      <c r="BX37" s="1351">
        <f>BX36/BR36-1</f>
        <v>0.31352101815846201</v>
      </c>
      <c r="BY37" s="1351">
        <f>BY36/BS36-1</f>
        <v>0.28425433006769252</v>
      </c>
      <c r="BZ37" s="1351">
        <f>BZ36/BT36-1</f>
        <v>0.26701069737410643</v>
      </c>
      <c r="CA37" s="1354">
        <f>CA36/BU36-1</f>
        <v>0.26701069737410643</v>
      </c>
      <c r="CB37" s="1350"/>
      <c r="CC37" s="1351">
        <f>CC36/BW36-1</f>
        <v>0.2562644560138545</v>
      </c>
      <c r="CD37" s="1351">
        <f>CD36/BX36-1</f>
        <v>0.30316316353162343</v>
      </c>
      <c r="CE37" s="1351">
        <f>CE36/BY36-1</f>
        <v>0.29093201308048067</v>
      </c>
      <c r="CF37" s="1351">
        <f>CF36/BZ36-1</f>
        <v>0.28398987962106981</v>
      </c>
      <c r="CG37" s="1354">
        <f>CG36/CA36-1</f>
        <v>0.28398987962106981</v>
      </c>
      <c r="CH37" s="1350"/>
      <c r="CI37" s="1351">
        <f>CI36/CC36-1</f>
        <v>0.28253860662088637</v>
      </c>
      <c r="CJ37" s="1351">
        <f>CJ36/CD36-1</f>
        <v>0.2335768821386297</v>
      </c>
      <c r="CK37" s="1351">
        <f>CK36/CE36-1</f>
        <v>0.22375247827733058</v>
      </c>
      <c r="CL37" s="1351">
        <f>CL36/CF36-1</f>
        <v>0.22629989784553795</v>
      </c>
      <c r="CM37" s="1354">
        <f>CM36/CG36-1</f>
        <v>0.22629989784553795</v>
      </c>
      <c r="CN37" s="1350"/>
      <c r="CO37" s="1351">
        <f>CO36/CI36-1</f>
        <v>0.21755650457847553</v>
      </c>
      <c r="CP37" s="1351">
        <f>CP36/CJ36-1</f>
        <v>0.20471251997091233</v>
      </c>
      <c r="CQ37" s="1351">
        <f>CQ36/CK36-1</f>
        <v>0.20311078363687773</v>
      </c>
      <c r="CR37" s="1351">
        <f>CR36/CL36-1</f>
        <v>0.18799569263468752</v>
      </c>
      <c r="CS37" s="1354">
        <f>CS36/CM36-1</f>
        <v>0.18799569263468752</v>
      </c>
      <c r="CT37" s="1350"/>
      <c r="CU37" s="1351">
        <f>CU36/CO36-1</f>
        <v>0.18388211078469907</v>
      </c>
      <c r="CV37" s="1351">
        <f>CV36/CP36-1</f>
        <v>0.18018060044151007</v>
      </c>
      <c r="CW37" s="1351">
        <f>CW36/CQ36-1</f>
        <v>0.17259162936161676</v>
      </c>
      <c r="CX37" s="1351">
        <f>CX36/CR36-1</f>
        <v>0.17418123821946252</v>
      </c>
      <c r="CY37" s="1354">
        <f>CY36/CS36-1</f>
        <v>0.17418123821946252</v>
      </c>
      <c r="CZ37" s="1350"/>
      <c r="DA37" s="1351">
        <f>DA36/CU36-1</f>
        <v>0.1602895744228765</v>
      </c>
      <c r="DB37" s="1351">
        <f>DB36/CV36-1</f>
        <v>0.15787414318800885</v>
      </c>
      <c r="DC37" s="1351">
        <f>DC36/CW36-1</f>
        <v>0.15302981241046476</v>
      </c>
      <c r="DD37" s="1351">
        <f>DD36/CX36-1</f>
        <v>0.14832433797516931</v>
      </c>
      <c r="DE37" s="1354">
        <f>DE36/CY36-1</f>
        <v>0.14832433797516931</v>
      </c>
      <c r="DF37" s="1350"/>
      <c r="DG37" s="1351">
        <f>DG36/DA36-1</f>
        <v>0.14739304725951508</v>
      </c>
      <c r="DH37" s="1351">
        <f>DH36/DB36-1</f>
        <v>0.14799126548009789</v>
      </c>
      <c r="DI37" s="1351">
        <f>DI36/DC36-1</f>
        <v>0.14763249569043735</v>
      </c>
      <c r="DJ37" s="1351">
        <f>DJ36/DD36-1</f>
        <v>0.14750106639155414</v>
      </c>
      <c r="DK37" s="1354">
        <f>DK36/DE36-1</f>
        <v>0.14750106639155414</v>
      </c>
      <c r="DL37" s="1350"/>
      <c r="DM37" s="1351">
        <f>DM36/DG36-1</f>
        <v>0.14824855221286848</v>
      </c>
      <c r="DN37" s="1351">
        <f>DN36/DH36-1</f>
        <v>0.15065360110051684</v>
      </c>
      <c r="DO37" s="1351">
        <f>DO36/DI36-1</f>
        <v>0.15054830568397382</v>
      </c>
      <c r="DP37" s="1351">
        <f>DP36/DJ36-1</f>
        <v>0.14832433285826441</v>
      </c>
      <c r="DQ37" s="1354">
        <f>DQ36/DK36-1</f>
        <v>0.14832433285826441</v>
      </c>
      <c r="DR37" s="1350"/>
      <c r="DS37" s="1351">
        <f>DS36/DM36-1</f>
        <v>0.14822880023310292</v>
      </c>
      <c r="DT37" s="1351">
        <f>DT36/DN36-1</f>
        <v>0.14938576091171418</v>
      </c>
      <c r="DU37" s="1351">
        <f>DU36/DO36-1</f>
        <v>0.14992123847710048</v>
      </c>
      <c r="DV37" s="1351">
        <f>DV36/DP36-1</f>
        <v>0.15012837189883133</v>
      </c>
      <c r="DW37" s="1354">
        <f>DW36/DQ36-1</f>
        <v>0.15012837189883133</v>
      </c>
      <c r="EJ37" s="656"/>
      <c r="EK37" s="656"/>
      <c r="EL37" s="656"/>
    </row>
    <row r="38" spans="1:142" s="1356" customFormat="1">
      <c r="A38" s="1350" t="s">
        <v>878</v>
      </c>
      <c r="B38" s="1350"/>
      <c r="C38" s="1351" t="s">
        <v>88</v>
      </c>
      <c r="D38" s="1353">
        <f>D36/C36-1</f>
        <v>1.7142857142857144</v>
      </c>
      <c r="E38" s="1353">
        <f>E36/D36-1</f>
        <v>0.73684210526315796</v>
      </c>
      <c r="F38" s="1353">
        <f>F36/E36-1</f>
        <v>0.51515151515151514</v>
      </c>
      <c r="G38" s="1352" t="s">
        <v>88</v>
      </c>
      <c r="H38" s="1351"/>
      <c r="I38" s="1353">
        <f>I36/F36-1</f>
        <v>0.1915</v>
      </c>
      <c r="J38" s="1353">
        <f>J36/I36-1</f>
        <v>0.16072177926982789</v>
      </c>
      <c r="K38" s="1353">
        <f>K36/J36-1</f>
        <v>0.13846710050614597</v>
      </c>
      <c r="L38" s="1353">
        <f>L36/K36-1</f>
        <v>0.12204932782894051</v>
      </c>
      <c r="M38" s="1352" t="s">
        <v>88</v>
      </c>
      <c r="N38" s="1351"/>
      <c r="O38" s="1351">
        <f>O36/L36-1</f>
        <v>0.13207547169811318</v>
      </c>
      <c r="P38" s="1351">
        <f>P36/O36-1</f>
        <v>8.3333333333333259E-2</v>
      </c>
      <c r="Q38" s="1351">
        <f>Q36/P36-1</f>
        <v>6.1538461538461542E-2</v>
      </c>
      <c r="R38" s="1351">
        <f>R36/Q36-1</f>
        <v>0.10144927536231885</v>
      </c>
      <c r="S38" s="1352" t="s">
        <v>88</v>
      </c>
      <c r="T38" s="1351"/>
      <c r="U38" s="1351">
        <f>U36/R36-1</f>
        <v>0.11842105263157898</v>
      </c>
      <c r="V38" s="1351">
        <f>V36/U36-1</f>
        <v>0.12941176470588234</v>
      </c>
      <c r="W38" s="1351">
        <f>W36/V36-1</f>
        <v>0.11458333333333326</v>
      </c>
      <c r="X38" s="1351">
        <f>X36/W36-1</f>
        <v>0.18691588785046731</v>
      </c>
      <c r="Y38" s="1352" t="s">
        <v>88</v>
      </c>
      <c r="Z38" s="1351"/>
      <c r="AA38" s="1351">
        <f>AA36/X36-1</f>
        <v>0.15748031496062986</v>
      </c>
      <c r="AB38" s="1351">
        <f>AB36/AA36-1</f>
        <v>0.14285714285714279</v>
      </c>
      <c r="AC38" s="1351">
        <f>AC36/AB36-1</f>
        <v>0.16071428571428581</v>
      </c>
      <c r="AD38" s="1351">
        <f>AD36/AC36-1</f>
        <v>0.16410256410256419</v>
      </c>
      <c r="AE38" s="1352" t="s">
        <v>88</v>
      </c>
      <c r="AF38" s="1351"/>
      <c r="AG38" s="1351">
        <f>AG36/AD36-1</f>
        <v>0.17621145374449343</v>
      </c>
      <c r="AH38" s="1351">
        <f>AH36/AG36-1</f>
        <v>0.14981273408239693</v>
      </c>
      <c r="AI38" s="1351">
        <f>AI36/AH36-1</f>
        <v>0.13355048859934859</v>
      </c>
      <c r="AJ38" s="1351">
        <f>AJ36/AI36-1</f>
        <v>0.1293103448275863</v>
      </c>
      <c r="AK38" s="1352" t="s">
        <v>88</v>
      </c>
      <c r="AL38" s="1351"/>
      <c r="AM38" s="1351">
        <f>AM36/AJ36-1</f>
        <v>0.11450381679389321</v>
      </c>
      <c r="AN38" s="1351">
        <f>AN36/AM36-1</f>
        <v>0.13013698630136994</v>
      </c>
      <c r="AO38" s="1351">
        <f>AO36/AN36-1</f>
        <v>0.12323232323232314</v>
      </c>
      <c r="AP38" s="1351">
        <f>AP36/AO36-1</f>
        <v>8.6330935251798468E-2</v>
      </c>
      <c r="AQ38" s="1354" t="s">
        <v>88</v>
      </c>
      <c r="AR38" s="1351"/>
      <c r="AS38" s="1351">
        <f>AS36/AP36-1</f>
        <v>0.1274834437086092</v>
      </c>
      <c r="AT38" s="1351">
        <f>AT36/AS36-1</f>
        <v>0.14243759177679882</v>
      </c>
      <c r="AU38" s="1351">
        <f>AU36/AT36-1</f>
        <v>0.17994858611825193</v>
      </c>
      <c r="AV38" s="1351">
        <f>AV36/AU36-1</f>
        <v>0.15250544662309373</v>
      </c>
      <c r="AW38" s="1354" t="s">
        <v>88</v>
      </c>
      <c r="AX38" s="1351"/>
      <c r="AY38" s="1351">
        <f>AY36/AW36-1</f>
        <v>0.10396975425330823</v>
      </c>
      <c r="AZ38" s="1351">
        <f>AZ36/AY36-1</f>
        <v>8.9897260273972712E-2</v>
      </c>
      <c r="BA38" s="1351">
        <f>BA36/AZ36-1</f>
        <v>9.6813417190775741E-2</v>
      </c>
      <c r="BB38" s="1351">
        <f>BB36/BA36-1</f>
        <v>7.4311193854177171E-2</v>
      </c>
      <c r="BC38" s="1354" t="s">
        <v>88</v>
      </c>
      <c r="BD38" s="1351"/>
      <c r="BE38" s="1351">
        <f>BE36/BC36-1</f>
        <v>9.4252880655021354E-2</v>
      </c>
      <c r="BF38" s="1351">
        <f>BF36/BE36-1</f>
        <v>5.8378442497053706E-2</v>
      </c>
      <c r="BG38" s="1351">
        <f>BG36/BF36-1</f>
        <v>0.10712030617082458</v>
      </c>
      <c r="BH38" s="1351">
        <f>BH36/BG36-1</f>
        <v>0.11196259601298708</v>
      </c>
      <c r="BI38" s="1354" t="s">
        <v>88</v>
      </c>
      <c r="BJ38" s="1350"/>
      <c r="BK38" s="1351">
        <f>BK36/BI36-1</f>
        <v>9.2328965517241235E-2</v>
      </c>
      <c r="BL38" s="1351">
        <f>BL36/BK36-1</f>
        <v>9.209314359637788E-2</v>
      </c>
      <c r="BM38" s="1351">
        <f>BM36/BL36-1</f>
        <v>8.4179611650485375E-2</v>
      </c>
      <c r="BN38" s="1351">
        <f>BN36/BM36-1</f>
        <v>8.441915137614675E-2</v>
      </c>
      <c r="BO38" s="1355" t="s">
        <v>88</v>
      </c>
      <c r="BP38" s="1350"/>
      <c r="BQ38" s="1351">
        <f>BQ36/BO36-1</f>
        <v>7.9674972914409725E-2</v>
      </c>
      <c r="BR38" s="1351">
        <f>BR36/BQ36-1</f>
        <v>8.5772773797338608E-2</v>
      </c>
      <c r="BS38" s="1351">
        <f>BS36/BR36-1</f>
        <v>8.3750000000000213E-2</v>
      </c>
      <c r="BT38" s="1351">
        <f>BT36/BS36-1</f>
        <v>8.0950769230769382E-2</v>
      </c>
      <c r="BU38" s="1354" t="s">
        <v>88</v>
      </c>
      <c r="BV38" s="1350"/>
      <c r="BW38" s="1351">
        <f>BW36/BU36-1</f>
        <v>5.745420698018E-2</v>
      </c>
      <c r="BX38" s="1351">
        <f>BX36/BW36-1</f>
        <v>6.0328492706110959E-2</v>
      </c>
      <c r="BY38" s="1351">
        <f>BY36/BX36-1</f>
        <v>5.9602862055577077E-2</v>
      </c>
      <c r="BZ38" s="1351">
        <f>BZ36/BY36-1</f>
        <v>6.6436885502238585E-2</v>
      </c>
      <c r="CA38" s="1354" t="s">
        <v>88</v>
      </c>
      <c r="CB38" s="1350"/>
      <c r="CC38" s="1351">
        <f>CC36/CA36-1</f>
        <v>4.8485333900280647E-2</v>
      </c>
      <c r="CD38" s="1351">
        <f>CD36/CC36-1</f>
        <v>9.9912543352555838E-2</v>
      </c>
      <c r="CE38" s="1351">
        <f>CE36/CD36-1</f>
        <v>4.9657705234891214E-2</v>
      </c>
      <c r="CF38" s="1351">
        <f>CF36/CE36-1</f>
        <v>6.0702000078234564E-2</v>
      </c>
      <c r="CG38" s="1354" t="s">
        <v>88</v>
      </c>
      <c r="CH38" s="1350"/>
      <c r="CI38" s="1351">
        <f>CI36/CG36-1</f>
        <v>4.7300247880267321E-2</v>
      </c>
      <c r="CJ38" s="1351">
        <f>CJ36/CI36-1</f>
        <v>5.792268462690342E-2</v>
      </c>
      <c r="CK38" s="1351">
        <f>CK36/CJ36-1</f>
        <v>4.1298063155287945E-2</v>
      </c>
      <c r="CL38" s="1351">
        <f>CL36/CK36-1</f>
        <v>6.2910006255137096E-2</v>
      </c>
      <c r="CM38" s="1354" t="s">
        <v>88</v>
      </c>
      <c r="CN38" s="1350"/>
      <c r="CO38" s="1351">
        <f>CO36/CM36-1</f>
        <v>3.9833103870880571E-2</v>
      </c>
      <c r="CP38" s="1351">
        <f>CP36/CO36-1</f>
        <v>4.6762674700264073E-2</v>
      </c>
      <c r="CQ38" s="1351">
        <f>CQ36/CP36-1</f>
        <v>3.9913595977711047E-2</v>
      </c>
      <c r="CR38" s="1351">
        <f>CR36/CQ36-1</f>
        <v>4.9556305423764435E-2</v>
      </c>
      <c r="CS38" s="1354" t="s">
        <v>88</v>
      </c>
      <c r="CT38" s="1350"/>
      <c r="CU38" s="1351">
        <f>CU36/CS36-1</f>
        <v>3.6232553288400027E-2</v>
      </c>
      <c r="CV38" s="1351">
        <f>CV36/CU36-1</f>
        <v>4.348988019482225E-2</v>
      </c>
      <c r="CW38" s="1351">
        <f>CW36/CV36-1</f>
        <v>3.3226590444396464E-2</v>
      </c>
      <c r="CX38" s="1351">
        <f>CX36/CW36-1</f>
        <v>5.0979123016976935E-2</v>
      </c>
      <c r="CY38" s="1354" t="s">
        <v>88</v>
      </c>
      <c r="CZ38" s="1350"/>
      <c r="DA38" s="1351">
        <f>DA36/CY36-1</f>
        <v>2.3972951638496998E-2</v>
      </c>
      <c r="DB38" s="1351">
        <f>DB36/DA36-1</f>
        <v>4.1317596563690939E-2</v>
      </c>
      <c r="DC38" s="1351">
        <f>DC36/DB36-1</f>
        <v>2.890376192135391E-2</v>
      </c>
      <c r="DD38" s="1351">
        <f>DD36/DC36-1</f>
        <v>4.6690113884552797E-2</v>
      </c>
      <c r="DE38" s="1354" t="s">
        <v>88</v>
      </c>
      <c r="DF38" s="1350"/>
      <c r="DG38" s="1351">
        <f>DG36/DE36-1</f>
        <v>2.3142509862244864E-2</v>
      </c>
      <c r="DH38" s="1351">
        <f>DH36/DG36-1</f>
        <v>4.1860510050194977E-2</v>
      </c>
      <c r="DI38" s="1351">
        <f>DI36/DH36-1</f>
        <v>2.8582209312596696E-2</v>
      </c>
      <c r="DJ38" s="1351">
        <f>DJ36/DI36-1</f>
        <v>4.6570244720571807E-2</v>
      </c>
      <c r="DK38" s="1354" t="s">
        <v>88</v>
      </c>
      <c r="DL38" s="1350"/>
      <c r="DM38" s="1351">
        <f>DM36/DK36-1</f>
        <v>2.3808988126801767E-2</v>
      </c>
      <c r="DN38" s="1351">
        <f>DN36/DM36-1</f>
        <v>4.404272526479458E-2</v>
      </c>
      <c r="DO38" s="1351">
        <f>DO36/DN36-1</f>
        <v>2.8488084554220583E-2</v>
      </c>
      <c r="DP38" s="1351">
        <f>DP36/DO36-1</f>
        <v>4.45472581384736E-2</v>
      </c>
      <c r="DQ38" s="1354" t="s">
        <v>88</v>
      </c>
      <c r="DR38" s="1350"/>
      <c r="DS38" s="1351">
        <f>DS36/DQ36-1</f>
        <v>2.3723814315274039E-2</v>
      </c>
      <c r="DT38" s="1351">
        <f>DT36/DS36-1</f>
        <v>4.5094707569781178E-2</v>
      </c>
      <c r="DU38" s="1351">
        <f>DU36/DT36-1</f>
        <v>2.8967238128482009E-2</v>
      </c>
      <c r="DV38" s="1351">
        <f>DV36/DU36-1</f>
        <v>4.4735410718405255E-2</v>
      </c>
      <c r="DW38" s="1354" t="s">
        <v>88</v>
      </c>
      <c r="EJ38" s="656"/>
      <c r="EK38" s="656"/>
      <c r="EL38" s="656"/>
    </row>
    <row r="39" spans="1:142" ht="5.25" customHeight="1">
      <c r="A39" s="1340"/>
      <c r="B39" s="1340"/>
      <c r="C39" s="1340"/>
      <c r="D39" s="1340"/>
      <c r="E39" s="1340"/>
      <c r="F39" s="1340"/>
      <c r="G39" s="853"/>
      <c r="H39" s="1340"/>
      <c r="I39" s="1340"/>
      <c r="J39" s="1340"/>
      <c r="K39" s="1340"/>
      <c r="L39" s="500"/>
      <c r="M39" s="853"/>
      <c r="N39" s="1340"/>
      <c r="O39" s="1340"/>
      <c r="P39" s="1340"/>
      <c r="Q39" s="1340"/>
      <c r="R39" s="1340"/>
      <c r="S39" s="853"/>
      <c r="T39" s="1340"/>
      <c r="U39" s="1340"/>
      <c r="V39" s="1340"/>
      <c r="W39" s="1340"/>
      <c r="X39" s="1340"/>
      <c r="Y39" s="853"/>
      <c r="Z39" s="1340"/>
      <c r="AA39" s="1340"/>
      <c r="AB39" s="1340"/>
      <c r="AC39" s="1340"/>
      <c r="AD39" s="1340"/>
      <c r="AE39" s="853"/>
      <c r="AF39" s="1340"/>
      <c r="AG39" s="1340"/>
      <c r="AH39" s="1340"/>
      <c r="AI39" s="1340"/>
      <c r="AJ39" s="1340"/>
      <c r="AK39" s="853"/>
      <c r="AL39" s="1340"/>
      <c r="AM39" s="1340"/>
      <c r="AN39" s="1340"/>
      <c r="AO39" s="1340"/>
      <c r="AP39" s="1340"/>
      <c r="AQ39" s="1341"/>
      <c r="AR39" s="1340"/>
      <c r="AS39" s="1340"/>
      <c r="AT39" s="1340"/>
      <c r="AU39" s="1340"/>
      <c r="AV39" s="1340"/>
      <c r="AW39" s="1341"/>
      <c r="AX39" s="1340"/>
      <c r="AY39" s="1340"/>
      <c r="AZ39" s="1340"/>
      <c r="BA39" s="1340"/>
      <c r="BB39" s="1340"/>
      <c r="BC39" s="1341"/>
      <c r="BD39" s="1340"/>
      <c r="BE39" s="1340"/>
      <c r="BF39" s="1340"/>
      <c r="BG39" s="1340"/>
      <c r="BH39" s="1340"/>
      <c r="BI39" s="1341"/>
      <c r="BJ39" s="1340"/>
      <c r="BK39" s="1340"/>
      <c r="BL39" s="1340"/>
      <c r="BM39" s="1340"/>
      <c r="BN39" s="1340"/>
      <c r="BO39" s="1418"/>
      <c r="BP39" s="1340"/>
      <c r="BQ39" s="1340"/>
      <c r="BR39" s="1340"/>
      <c r="BS39" s="1340"/>
      <c r="BT39" s="1340"/>
      <c r="BU39" s="1341"/>
      <c r="BV39" s="1340"/>
      <c r="BW39" s="1340"/>
      <c r="BX39" s="1340"/>
      <c r="BY39" s="1340"/>
      <c r="BZ39" s="1340"/>
      <c r="CA39" s="1341"/>
      <c r="CB39" s="1340"/>
      <c r="CC39" s="1340"/>
      <c r="CD39" s="1340"/>
      <c r="CE39" s="1340"/>
      <c r="CF39" s="1340"/>
      <c r="CG39" s="1341"/>
      <c r="CH39" s="1340"/>
      <c r="CI39" s="1340"/>
      <c r="CJ39" s="1340"/>
      <c r="CK39" s="1340"/>
      <c r="CL39" s="1340"/>
      <c r="CM39" s="1341"/>
      <c r="CN39" s="1340"/>
      <c r="CO39" s="1340"/>
      <c r="CP39" s="1340"/>
      <c r="CQ39" s="1340"/>
      <c r="CR39" s="1340"/>
      <c r="CS39" s="1341"/>
      <c r="CT39" s="1340"/>
      <c r="CU39" s="1340"/>
      <c r="CV39" s="1340"/>
      <c r="CW39" s="1340"/>
      <c r="CX39" s="1340"/>
      <c r="CY39" s="1341"/>
      <c r="CZ39" s="1340"/>
      <c r="DA39" s="1340"/>
      <c r="DB39" s="1340"/>
      <c r="DC39" s="1340"/>
      <c r="DD39" s="1340"/>
      <c r="DE39" s="1341"/>
      <c r="DF39" s="1340"/>
      <c r="DG39" s="1340"/>
      <c r="DH39" s="1340"/>
      <c r="DI39" s="1340"/>
      <c r="DJ39" s="1340"/>
      <c r="DK39" s="1341"/>
      <c r="DL39" s="1340"/>
      <c r="DM39" s="1340"/>
      <c r="DN39" s="1340"/>
      <c r="DO39" s="1340"/>
      <c r="DP39" s="1340"/>
      <c r="DQ39" s="1341"/>
      <c r="DR39" s="1340"/>
      <c r="DS39" s="1340"/>
      <c r="DT39" s="1340"/>
      <c r="DU39" s="1340"/>
      <c r="DV39" s="1340"/>
      <c r="DW39" s="1341"/>
      <c r="DX39" s="500"/>
      <c r="DY39" s="500"/>
      <c r="DZ39" s="500"/>
      <c r="EA39" s="500"/>
      <c r="EB39" s="500"/>
      <c r="EC39" s="500"/>
      <c r="ED39" s="500"/>
      <c r="EE39" s="500"/>
      <c r="EF39" s="500"/>
      <c r="EG39" s="500"/>
      <c r="EH39" s="500"/>
      <c r="EI39" s="500"/>
    </row>
    <row r="40" spans="1:142" s="475" customFormat="1" hidden="1" outlineLevel="1">
      <c r="A40" s="1440" t="s">
        <v>416</v>
      </c>
      <c r="B40" s="1440"/>
      <c r="C40" s="1424">
        <f>C50+C44</f>
        <v>4261.2</v>
      </c>
      <c r="D40" s="1424">
        <f>D50+D44</f>
        <v>7385.6</v>
      </c>
      <c r="E40" s="1424">
        <f>E50+E44</f>
        <v>8771.2000000000007</v>
      </c>
      <c r="F40" s="1424">
        <f>F50+F44</f>
        <v>10794.4</v>
      </c>
      <c r="G40" s="1435">
        <f>SUM(C40:F40)</f>
        <v>31212.400000000001</v>
      </c>
      <c r="H40" s="1435"/>
      <c r="I40" s="1424">
        <f>I50+I44</f>
        <v>6533.9400000000005</v>
      </c>
      <c r="J40" s="1424">
        <f>J50+J44</f>
        <v>6671.82</v>
      </c>
      <c r="K40" s="1424">
        <f>K50+K44</f>
        <v>6809.7</v>
      </c>
      <c r="L40" s="1424">
        <f>L50+L44</f>
        <v>6967.66</v>
      </c>
      <c r="M40" s="1435">
        <f>SUM(I40:L40)</f>
        <v>26983.119999999999</v>
      </c>
      <c r="N40" s="1435"/>
      <c r="O40" s="1424">
        <f>O50+O44</f>
        <v>8372</v>
      </c>
      <c r="P40" s="1424">
        <f>P50+P44</f>
        <v>6508</v>
      </c>
      <c r="Q40" s="1424">
        <f>Q50+Q44</f>
        <v>5600</v>
      </c>
      <c r="R40" s="1424">
        <f>R50+R44</f>
        <v>8740</v>
      </c>
      <c r="S40" s="1435">
        <f>SUM(O40:R40)</f>
        <v>29220</v>
      </c>
      <c r="T40" s="1424"/>
      <c r="U40" s="1424">
        <f>U50+U44</f>
        <v>10940</v>
      </c>
      <c r="V40" s="1424">
        <f>V50+V44</f>
        <v>13164</v>
      </c>
      <c r="W40" s="1424">
        <f>W50+W44</f>
        <v>13420</v>
      </c>
      <c r="X40" s="1424">
        <f>X50+X44</f>
        <v>22808</v>
      </c>
      <c r="Y40" s="1435">
        <f>SUM(U40:X40)</f>
        <v>60332</v>
      </c>
      <c r="Z40" s="1424"/>
      <c r="AA40" s="1424">
        <f>AA50+AA44</f>
        <v>23288</v>
      </c>
      <c r="AB40" s="1424">
        <f>AB50+AB44</f>
        <v>24780</v>
      </c>
      <c r="AC40" s="1424">
        <f>AC50+AC44</f>
        <v>31348</v>
      </c>
      <c r="AD40" s="1424">
        <f>AD50+AD44</f>
        <v>37028</v>
      </c>
      <c r="AE40" s="1435">
        <f>SUM(AA40:AD40)</f>
        <v>116444</v>
      </c>
      <c r="AF40" s="1424"/>
      <c r="AG40" s="1424">
        <f>AG50+AG44</f>
        <v>45928</v>
      </c>
      <c r="AH40" s="1424">
        <f>AH50+AH44</f>
        <v>47888</v>
      </c>
      <c r="AI40" s="1424">
        <f>AI50+AI44</f>
        <v>50860</v>
      </c>
      <c r="AJ40" s="1424">
        <f>AJ50+AJ44</f>
        <v>56892</v>
      </c>
      <c r="AK40" s="1435">
        <f>SUM(AG40:AJ40)</f>
        <v>201568</v>
      </c>
      <c r="AL40" s="1424"/>
      <c r="AM40" s="1424">
        <f>AM50+AM44</f>
        <v>49972</v>
      </c>
      <c r="AN40" s="1424">
        <f>AN50+AN44</f>
        <v>52196</v>
      </c>
      <c r="AO40" s="1424">
        <f>AO50+AO44</f>
        <v>55612</v>
      </c>
      <c r="AP40" s="1424">
        <f>AP50+AP44</f>
        <v>61920</v>
      </c>
      <c r="AQ40" s="1435">
        <f>SUM(AM40:AP40)</f>
        <v>219700</v>
      </c>
      <c r="AR40" s="1424"/>
      <c r="AS40" s="1424">
        <f>AS50+AS44</f>
        <v>92420</v>
      </c>
      <c r="AT40" s="1424">
        <f>AT50+AT44</f>
        <v>114508</v>
      </c>
      <c r="AU40" s="1424">
        <f>AU50+AU44</f>
        <v>160352</v>
      </c>
      <c r="AV40" s="1424">
        <f>AV50+AV44</f>
        <v>163712</v>
      </c>
      <c r="AW40" s="1436">
        <f>SUM(AS40:AV40)</f>
        <v>530992</v>
      </c>
      <c r="AX40" s="1424"/>
      <c r="AY40" s="1424">
        <f>AY50+AY44</f>
        <v>136712</v>
      </c>
      <c r="AZ40" s="1424">
        <f>AZ50+AZ44</f>
        <v>134292</v>
      </c>
      <c r="BA40" s="1424">
        <f>BA50+BA44</f>
        <v>155274.40184486372</v>
      </c>
      <c r="BB40" s="1424">
        <f>BB50+BB44</f>
        <v>138511.44167714886</v>
      </c>
      <c r="BC40" s="1436">
        <f>SUM(AY40:BB40)</f>
        <v>564789.84352201258</v>
      </c>
      <c r="BD40" s="1424"/>
      <c r="BE40" s="1424">
        <f>BE50+BE44</f>
        <v>179075.87283432251</v>
      </c>
      <c r="BF40" s="1424">
        <f>BF50+BF44</f>
        <v>136364.12602908272</v>
      </c>
      <c r="BG40" s="1424">
        <f>BG50+BG44</f>
        <v>230015.3334151085</v>
      </c>
      <c r="BH40" s="1424">
        <f>BH50+BH44</f>
        <v>264079.53121074074</v>
      </c>
      <c r="BI40" s="1436">
        <f>SUM(BE40:BH40)</f>
        <v>809534.86348925438</v>
      </c>
      <c r="BJ40" s="1422"/>
      <c r="BK40" s="1424">
        <f>BK50+BK44</f>
        <v>251153.69113870204</v>
      </c>
      <c r="BL40" s="1424">
        <f>BL50+BL44</f>
        <v>273784.94109892263</v>
      </c>
      <c r="BM40" s="1424">
        <f>BM50+BM44</f>
        <v>278567.21866018878</v>
      </c>
      <c r="BN40" s="1424">
        <f>BN50+BN44</f>
        <v>302687.4121967362</v>
      </c>
      <c r="BO40" s="1439">
        <f>SUM(BK40:BN40)</f>
        <v>1106193.2630945495</v>
      </c>
      <c r="BP40" s="1422"/>
      <c r="BQ40" s="1424">
        <f>BQ50+BQ44</f>
        <v>313839.18041834777</v>
      </c>
      <c r="BR40" s="1424">
        <f>BR50+BR44</f>
        <v>358828.80781094846</v>
      </c>
      <c r="BS40" s="1424">
        <f>BS50+BS44</f>
        <v>382408.64188057854</v>
      </c>
      <c r="BT40" s="1424">
        <f>BT50+BT44</f>
        <v>403640.26260759769</v>
      </c>
      <c r="BU40" s="1436">
        <f>SUM(BQ40:BT40)</f>
        <v>1458716.8927174725</v>
      </c>
      <c r="BV40" s="1422"/>
      <c r="BW40" s="1424">
        <f>BW50+BW44</f>
        <v>338366.63063929416</v>
      </c>
      <c r="BX40" s="1424">
        <f>BX50+BX44</f>
        <v>370477.47660088172</v>
      </c>
      <c r="BY40" s="1424">
        <f>BY50+BY44</f>
        <v>389436.16970428132</v>
      </c>
      <c r="BZ40" s="1424">
        <f>BZ50+BZ44</f>
        <v>446494.32229646784</v>
      </c>
      <c r="CA40" s="1436">
        <f>SUM(BW40:BZ40)</f>
        <v>1544774.5992409249</v>
      </c>
      <c r="CB40" s="1422"/>
      <c r="CC40" s="1424">
        <f>CC50+CC44</f>
        <v>381343.18314164097</v>
      </c>
      <c r="CD40" s="1424">
        <f>CD50+CD44</f>
        <v>684625.92731510533</v>
      </c>
      <c r="CE40" s="1424">
        <f>CE50+CE44</f>
        <v>446922.05589389539</v>
      </c>
      <c r="CF40" s="1424">
        <f>CF50+CF44</f>
        <v>539727.50113848271</v>
      </c>
      <c r="CG40" s="1436">
        <f>SUM(CC40:CF40)</f>
        <v>2052618.6674891245</v>
      </c>
      <c r="CH40" s="1422"/>
      <c r="CI40" s="1424">
        <f>CI50+CI44</f>
        <v>481603.93970675452</v>
      </c>
      <c r="CJ40" s="1424">
        <f>CJ50+CJ44</f>
        <v>579829.06141148589</v>
      </c>
      <c r="CK40" s="1424">
        <f>CK50+CK44</f>
        <v>488499.83648448694</v>
      </c>
      <c r="CL40" s="1424">
        <f>CL50+CL44</f>
        <v>677768.59545249096</v>
      </c>
      <c r="CM40" s="1436">
        <f>SUM(CI40:CL40)</f>
        <v>2227701.4330552183</v>
      </c>
      <c r="CN40" s="1422"/>
      <c r="CO40" s="1424">
        <f>CO50+CO44</f>
        <v>528491.50485821988</v>
      </c>
      <c r="CP40" s="1424">
        <f>CP50+CP44</f>
        <v>609467.2047047813</v>
      </c>
      <c r="CQ40" s="1424">
        <f>CQ50+CQ44</f>
        <v>575969.67500904296</v>
      </c>
      <c r="CR40" s="1424">
        <f>CR50+CR44</f>
        <v>689728.37132235721</v>
      </c>
      <c r="CS40" s="1436">
        <f>SUM(CO40:CR40)</f>
        <v>2403656.7558944011</v>
      </c>
      <c r="CT40" s="1422"/>
      <c r="CU40" s="1424">
        <f>CU50+CU44</f>
        <v>592272.96982785303</v>
      </c>
      <c r="CV40" s="1424">
        <f>CV50+CV44</f>
        <v>688031.25684369612</v>
      </c>
      <c r="CW40" s="1424">
        <f>CW50+CW44</f>
        <v>608311.00801930588</v>
      </c>
      <c r="CX40" s="1424">
        <f>CX50+CX44</f>
        <v>824474.70668584784</v>
      </c>
      <c r="CY40" s="1436">
        <f>SUM(CU40:CX40)</f>
        <v>2713089.9413767029</v>
      </c>
      <c r="CZ40" s="1422"/>
      <c r="DA40" s="1424">
        <f>DA50+DA44</f>
        <v>553216.37724297307</v>
      </c>
      <c r="DB40" s="1424">
        <f>DB50+DB44</f>
        <v>772511.46082049445</v>
      </c>
      <c r="DC40" s="1424">
        <f>DC50+DC44</f>
        <v>650876.09782848821</v>
      </c>
      <c r="DD40" s="1424">
        <f>DD50+DD44</f>
        <v>896057.32215636538</v>
      </c>
      <c r="DE40" s="1436">
        <f>SUM(DA40:DD40)</f>
        <v>2872661.2580483211</v>
      </c>
      <c r="DF40" s="1422"/>
      <c r="DG40" s="1424">
        <f>DG50+DG44</f>
        <v>624209.25233936228</v>
      </c>
      <c r="DH40" s="1424">
        <f>DH50+DH44</f>
        <v>893773.97560449131</v>
      </c>
      <c r="DI40" s="1424">
        <f>DI50+DI44</f>
        <v>742633.98073542118</v>
      </c>
      <c r="DJ40" s="1424">
        <f>DJ50+DJ44</f>
        <v>1026593.6896077117</v>
      </c>
      <c r="DK40" s="1436">
        <f>SUM(DG40:DJ40)</f>
        <v>3287210.8982869862</v>
      </c>
      <c r="DL40" s="1422"/>
      <c r="DM40" s="1424">
        <f>DM50+DM44</f>
        <v>726468.71941954573</v>
      </c>
      <c r="DN40" s="1424">
        <f>DN50+DN44</f>
        <v>1060426.7225032493</v>
      </c>
      <c r="DO40" s="1424">
        <f>DO50+DO44</f>
        <v>852976.51736617927</v>
      </c>
      <c r="DP40" s="1424">
        <f>DP50+DP44</f>
        <v>1147149.4811995882</v>
      </c>
      <c r="DQ40" s="1436">
        <f>SUM(DM40:DP40)</f>
        <v>3787021.4404885625</v>
      </c>
      <c r="DR40" s="1422"/>
      <c r="DS40" s="1424">
        <f>DS50+DS44</f>
        <v>832726.60531103995</v>
      </c>
      <c r="DT40" s="1424">
        <f>DT50+DT44</f>
        <v>1236516.6055002217</v>
      </c>
      <c r="DU40" s="1424">
        <f>DU50+DU44</f>
        <v>989397.72674715461</v>
      </c>
      <c r="DV40" s="1424">
        <f>DV50+DV44</f>
        <v>1322767.4777971692</v>
      </c>
      <c r="DW40" s="1436">
        <f>SUM(DS40:DV40)</f>
        <v>4381408.4153555855</v>
      </c>
      <c r="EJ40" s="656"/>
      <c r="EK40" s="656"/>
      <c r="EL40" s="656"/>
    </row>
    <row r="41" spans="1:142" s="1356" customFormat="1" hidden="1" outlineLevel="1">
      <c r="A41" s="1350" t="s">
        <v>877</v>
      </c>
      <c r="B41" s="1350"/>
      <c r="C41" s="1351" t="e">
        <f>C40/#REF!-1</f>
        <v>#REF!</v>
      </c>
      <c r="D41" s="1351" t="e">
        <f>D40/#REF!-1</f>
        <v>#REF!</v>
      </c>
      <c r="E41" s="1351" t="e">
        <f>E40/#REF!-1</f>
        <v>#REF!</v>
      </c>
      <c r="F41" s="1351" t="e">
        <f>F40/#REF!-1</f>
        <v>#REF!</v>
      </c>
      <c r="G41" s="1352" t="e">
        <f>G40/A40-1</f>
        <v>#VALUE!</v>
      </c>
      <c r="H41" s="1350"/>
      <c r="I41" s="1351">
        <f>I40/C40-1</f>
        <v>0.53335680090115489</v>
      </c>
      <c r="J41" s="1351">
        <f>J40/D40-1</f>
        <v>-9.66448223570191E-2</v>
      </c>
      <c r="K41" s="1351">
        <f>K40/E40-1</f>
        <v>-0.22362960598321791</v>
      </c>
      <c r="L41" s="1351">
        <f>L40/F40-1</f>
        <v>-0.35451159860668491</v>
      </c>
      <c r="M41" s="1352">
        <f>M40/G40-1</f>
        <v>-0.13549999359229037</v>
      </c>
      <c r="N41" s="1350"/>
      <c r="O41" s="1351">
        <f>O40/I40-1</f>
        <v>0.28130959268067945</v>
      </c>
      <c r="P41" s="1351">
        <f>P40/J40-1</f>
        <v>-2.4554019742738853E-2</v>
      </c>
      <c r="Q41" s="1351">
        <f>Q40/K40-1</f>
        <v>-0.17764365537395188</v>
      </c>
      <c r="R41" s="1351">
        <f>R40/L40-1</f>
        <v>0.25436660227393415</v>
      </c>
      <c r="S41" s="1352">
        <f>S40/M40-1</f>
        <v>8.2899234780855702E-2</v>
      </c>
      <c r="T41" s="1350"/>
      <c r="U41" s="1351">
        <f>U40/O40-1</f>
        <v>0.30673674151935026</v>
      </c>
      <c r="V41" s="1351">
        <f>V40/P40-1</f>
        <v>1.022741241548863</v>
      </c>
      <c r="W41" s="1351">
        <f>W40/Q40-1</f>
        <v>1.3964285714285714</v>
      </c>
      <c r="X41" s="1351">
        <f>X40/R40-1</f>
        <v>1.6096109839816934</v>
      </c>
      <c r="Y41" s="1352">
        <f>Y40/S40-1</f>
        <v>1.0647501711156742</v>
      </c>
      <c r="Z41" s="1350"/>
      <c r="AA41" s="1351">
        <f>AA40/U40-1</f>
        <v>1.1287020109689214</v>
      </c>
      <c r="AB41" s="1351">
        <f>AB40/V40-1</f>
        <v>0.88240656335460343</v>
      </c>
      <c r="AC41" s="1351">
        <f>AC40/W40-1</f>
        <v>1.3359165424739197</v>
      </c>
      <c r="AD41" s="1351">
        <f>AD40/X40-1</f>
        <v>0.62346545071904602</v>
      </c>
      <c r="AE41" s="1352">
        <f>AE40/Y40-1</f>
        <v>0.9300537028442617</v>
      </c>
      <c r="AF41" s="1350"/>
      <c r="AG41" s="1351">
        <f>AG40/AA40-1</f>
        <v>0.97217451047749903</v>
      </c>
      <c r="AH41" s="1351">
        <f>AH40/AB40-1</f>
        <v>0.93252623083131558</v>
      </c>
      <c r="AI41" s="1351">
        <f>AI40/AC40-1</f>
        <v>0.62243205308153637</v>
      </c>
      <c r="AJ41" s="1351">
        <f>AJ40/AD40-1</f>
        <v>0.53645889597061691</v>
      </c>
      <c r="AK41" s="1352">
        <f>AK40/AE40-1</f>
        <v>0.73102950774621278</v>
      </c>
      <c r="AL41" s="1350"/>
      <c r="AM41" s="1351">
        <f>AM40/AG40-1</f>
        <v>8.8050862219125614E-2</v>
      </c>
      <c r="AN41" s="1351">
        <f>AN40/AH40-1</f>
        <v>8.995990644837959E-2</v>
      </c>
      <c r="AO41" s="1351">
        <f>AO40/AI40-1</f>
        <v>9.3432953204876101E-2</v>
      </c>
      <c r="AP41" s="1351">
        <f>AP40/AJ40-1</f>
        <v>8.8377979329255396E-2</v>
      </c>
      <c r="AQ41" s="1352">
        <f>AQ40/AK40-1</f>
        <v>8.9954754722971986E-2</v>
      </c>
      <c r="AR41" s="1350"/>
      <c r="AS41" s="1351">
        <f>AS40/AM40-1</f>
        <v>0.8494356839830306</v>
      </c>
      <c r="AT41" s="1351">
        <f>AT40/AN40-1</f>
        <v>1.1938079546325389</v>
      </c>
      <c r="AU41" s="1351">
        <f>AU40/AO40-1</f>
        <v>1.8834064590376176</v>
      </c>
      <c r="AV41" s="1351">
        <f>AV40/AP40-1</f>
        <v>1.6439276485788112</v>
      </c>
      <c r="AW41" s="1354">
        <f>AW40/AQ40-1</f>
        <v>1.4168957669549385</v>
      </c>
      <c r="AX41" s="1350"/>
      <c r="AY41" s="1351">
        <f>AY40/AS40-1</f>
        <v>0.47924691625189353</v>
      </c>
      <c r="AZ41" s="1351">
        <f>AZ40/AT40-1</f>
        <v>0.1727739546581899</v>
      </c>
      <c r="BA41" s="1351">
        <f>BA40/AU40-1</f>
        <v>-3.1665324755140389E-2</v>
      </c>
      <c r="BB41" s="1351">
        <f>BB40/AV40-1</f>
        <v>-0.15393226106119973</v>
      </c>
      <c r="BC41" s="1354">
        <f>BC40/AW40-1</f>
        <v>6.365038177978688E-2</v>
      </c>
      <c r="BD41" s="1350"/>
      <c r="BE41" s="1351">
        <f>BE40/AY40-1</f>
        <v>0.30987676893266514</v>
      </c>
      <c r="BF41" s="1351">
        <f>BF40/AZ40-1</f>
        <v>1.5430003493005717E-2</v>
      </c>
      <c r="BG41" s="1351">
        <f>BG40/BA40-1</f>
        <v>0.48134741259489267</v>
      </c>
      <c r="BH41" s="1351">
        <f>BH40/BB40-1</f>
        <v>0.90655391362017479</v>
      </c>
      <c r="BI41" s="1354">
        <f>BI40/BC40-1</f>
        <v>0.43333821026422714</v>
      </c>
      <c r="BJ41" s="1407"/>
      <c r="BK41" s="1351">
        <f>BK40/BE40-1</f>
        <v>0.40249876861448852</v>
      </c>
      <c r="BL41" s="1351">
        <f>BL40/BF40-1</f>
        <v>1.0077490251397339</v>
      </c>
      <c r="BM41" s="1351">
        <f>BM40/BG40-1</f>
        <v>0.21108108109235801</v>
      </c>
      <c r="BN41" s="1351">
        <f>BN40/BH40-1</f>
        <v>0.1461979306347132</v>
      </c>
      <c r="BO41" s="1355">
        <f>BO40/BI40-1</f>
        <v>0.36645537207210466</v>
      </c>
      <c r="BP41" s="1407"/>
      <c r="BQ41" s="1351">
        <f>BQ40/BK40-1</f>
        <v>0.24959015730741174</v>
      </c>
      <c r="BR41" s="1351">
        <f>BR40/BL40-1</f>
        <v>0.31062287929597332</v>
      </c>
      <c r="BS41" s="1351">
        <f>BS40/BM40-1</f>
        <v>0.37276971683829419</v>
      </c>
      <c r="BT41" s="1351">
        <f>BT40/BN40-1</f>
        <v>0.33352179952975924</v>
      </c>
      <c r="BU41" s="1354">
        <f>BU40/BO40-1</f>
        <v>0.31868177233040318</v>
      </c>
      <c r="BV41" s="1407"/>
      <c r="BW41" s="1351">
        <f>BW40/BQ40-1</f>
        <v>7.8152925929297012E-2</v>
      </c>
      <c r="BX41" s="1351">
        <f>BX40/BR40-1</f>
        <v>3.2463025644447363E-2</v>
      </c>
      <c r="BY41" s="1351">
        <f>BY40/BS40-1</f>
        <v>1.8377011014038214E-2</v>
      </c>
      <c r="BZ41" s="1351">
        <f>BZ40/BT40-1</f>
        <v>0.10616894214671313</v>
      </c>
      <c r="CA41" s="1354">
        <f>CA40/BU40-1</f>
        <v>5.8995482230368879E-2</v>
      </c>
      <c r="CB41" s="1407"/>
      <c r="CC41" s="1351">
        <f>CC40/BW40-1</f>
        <v>0.12701179315805722</v>
      </c>
      <c r="CD41" s="1351">
        <f>CD40/BX40-1</f>
        <v>0.84795559934310982</v>
      </c>
      <c r="CE41" s="1351">
        <f>CE40/BY40-1</f>
        <v>0.14761311522056619</v>
      </c>
      <c r="CF41" s="1351">
        <f>CF40/BZ40-1</f>
        <v>0.20881156643266108</v>
      </c>
      <c r="CG41" s="1354">
        <f>CG40/CA40-1</f>
        <v>0.32874962373005423</v>
      </c>
      <c r="CH41" s="1407"/>
      <c r="CI41" s="1351">
        <f>CI40/CC40-1</f>
        <v>0.26291477335225899</v>
      </c>
      <c r="CJ41" s="1351">
        <f>CJ40/CD40-1</f>
        <v>-0.15307171657170637</v>
      </c>
      <c r="CK41" s="1351">
        <f>CK40/CE40-1</f>
        <v>9.3031391139180242E-2</v>
      </c>
      <c r="CL41" s="1351">
        <f>CL40/CF40-1</f>
        <v>0.25576072003525696</v>
      </c>
      <c r="CM41" s="1354">
        <f>CM40/CG40-1</f>
        <v>8.5297268479129995E-2</v>
      </c>
      <c r="CN41" s="1407"/>
      <c r="CO41" s="1351">
        <f>CO40/CI40-1</f>
        <v>9.7357104636674796E-2</v>
      </c>
      <c r="CP41" s="1351">
        <f>CP40/CJ40-1</f>
        <v>5.1115311849231571E-2</v>
      </c>
      <c r="CQ41" s="1351">
        <f>CQ40/CK40-1</f>
        <v>0.17905807124529871</v>
      </c>
      <c r="CR41" s="1351">
        <f>CR40/CL40-1</f>
        <v>1.7645810015558094E-2</v>
      </c>
      <c r="CS41" s="1354">
        <f>CS40/CM40-1</f>
        <v>7.898514595731343E-2</v>
      </c>
      <c r="CT41" s="1407"/>
      <c r="CU41" s="1351">
        <f>CU40/CO40-1</f>
        <v>0.12068588498266219</v>
      </c>
      <c r="CV41" s="1351">
        <f>CV40/CP40-1</f>
        <v>0.12890611920122974</v>
      </c>
      <c r="CW41" s="1351">
        <f>CW40/CQ40-1</f>
        <v>5.6151103805517355E-2</v>
      </c>
      <c r="CX41" s="1351">
        <f>CX40/CR40-1</f>
        <v>0.19536145092183599</v>
      </c>
      <c r="CY41" s="1354">
        <f>CY40/CS40-1</f>
        <v>0.12873434808172579</v>
      </c>
      <c r="CZ41" s="1407"/>
      <c r="DA41" s="1351">
        <f>DA40/CU40-1</f>
        <v>-6.5943567534800573E-2</v>
      </c>
      <c r="DB41" s="1351">
        <f>DB40/CV40-1</f>
        <v>0.12278541583175517</v>
      </c>
      <c r="DC41" s="1351">
        <f>DC40/CW40-1</f>
        <v>6.9972578579132749E-2</v>
      </c>
      <c r="DD41" s="1351">
        <f>DD40/CX40-1</f>
        <v>8.6822087918571933E-2</v>
      </c>
      <c r="DE41" s="1354">
        <f>DE40/CY40-1</f>
        <v>5.8815343434817091E-2</v>
      </c>
      <c r="DF41" s="1407"/>
      <c r="DG41" s="1351">
        <f>DG40/DA40-1</f>
        <v>0.12832750080572741</v>
      </c>
      <c r="DH41" s="1351">
        <f>DH40/DB40-1</f>
        <v>0.15697180033446023</v>
      </c>
      <c r="DI41" s="1351">
        <f>DI40/DC40-1</f>
        <v>0.14097596026811243</v>
      </c>
      <c r="DJ41" s="1351">
        <f>DJ40/DD40-1</f>
        <v>0.14567859022368124</v>
      </c>
      <c r="DK41" s="1354">
        <f>DK40/DE40-1</f>
        <v>0.14430857069458614</v>
      </c>
      <c r="DL41" s="1407"/>
      <c r="DM41" s="1351">
        <f>DM40/DG40-1</f>
        <v>0.16382241483435789</v>
      </c>
      <c r="DN41" s="1351">
        <f>DN40/DH40-1</f>
        <v>0.18645960997694599</v>
      </c>
      <c r="DO41" s="1351">
        <f>DO40/DI40-1</f>
        <v>0.14858266588001712</v>
      </c>
      <c r="DP41" s="1351">
        <f>DP40/DJ40-1</f>
        <v>0.1174328196366996</v>
      </c>
      <c r="DQ41" s="1354">
        <f>DQ40/DK40-1</f>
        <v>0.15204699596914661</v>
      </c>
      <c r="DR41" s="1407"/>
      <c r="DS41" s="1351">
        <f>DS40/DM40-1</f>
        <v>0.14626629206608532</v>
      </c>
      <c r="DT41" s="1351">
        <f>DT40/DN40-1</f>
        <v>0.16605568235897872</v>
      </c>
      <c r="DU41" s="1351">
        <f>DU40/DO40-1</f>
        <v>0.15993548075885688</v>
      </c>
      <c r="DV41" s="1351">
        <f>DV40/DP40-1</f>
        <v>0.1530907693162491</v>
      </c>
      <c r="DW41" s="1354">
        <f>DW40/DQ40-1</f>
        <v>0.15695368621687589</v>
      </c>
      <c r="EJ41" s="656"/>
      <c r="EK41" s="656"/>
      <c r="EL41" s="656"/>
    </row>
    <row r="42" spans="1:142" s="1356" customFormat="1" hidden="1" outlineLevel="1">
      <c r="A42" s="1350" t="s">
        <v>878</v>
      </c>
      <c r="B42" s="1350"/>
      <c r="C42" s="1351" t="e">
        <f>C40/#REF!-1</f>
        <v>#REF!</v>
      </c>
      <c r="D42" s="1351">
        <f>D40/C40-1</f>
        <v>0.73322068900779147</v>
      </c>
      <c r="E42" s="1351">
        <f>E40/D40-1</f>
        <v>0.18760831889081464</v>
      </c>
      <c r="F42" s="1351">
        <f>F40/E40-1</f>
        <v>0.23066399124407133</v>
      </c>
      <c r="G42" s="1405" t="s">
        <v>88</v>
      </c>
      <c r="H42" s="1350"/>
      <c r="I42" s="1351">
        <f>I40/F40-1</f>
        <v>-0.39469169198843834</v>
      </c>
      <c r="J42" s="1351">
        <f>J40/I40-1</f>
        <v>2.1102122149881941E-2</v>
      </c>
      <c r="K42" s="1351">
        <f>K40/J40-1</f>
        <v>2.0666025162549451E-2</v>
      </c>
      <c r="L42" s="1351">
        <f>L40/K40-1</f>
        <v>2.3196322892344856E-2</v>
      </c>
      <c r="M42" s="1405" t="s">
        <v>88</v>
      </c>
      <c r="N42" s="1350"/>
      <c r="O42" s="1351">
        <f>O40/L40-1</f>
        <v>0.20155116638871595</v>
      </c>
      <c r="P42" s="1351">
        <f>P40/O40-1</f>
        <v>-0.22264691829909222</v>
      </c>
      <c r="Q42" s="1351">
        <f>Q40/P40-1</f>
        <v>-0.13952059004302397</v>
      </c>
      <c r="R42" s="1351">
        <f>R40/Q40-1</f>
        <v>0.56071428571428572</v>
      </c>
      <c r="S42" s="1405" t="s">
        <v>88</v>
      </c>
      <c r="T42" s="1350"/>
      <c r="U42" s="1351">
        <f>U40/R40-1</f>
        <v>0.25171624713958818</v>
      </c>
      <c r="V42" s="1351">
        <f>V40/U40-1</f>
        <v>0.20329067641681897</v>
      </c>
      <c r="W42" s="1351">
        <f>W40/V40-1</f>
        <v>1.9446976602856214E-2</v>
      </c>
      <c r="X42" s="1351">
        <f>X40/W40-1</f>
        <v>0.6995529061102832</v>
      </c>
      <c r="Y42" s="1405" t="s">
        <v>88</v>
      </c>
      <c r="Z42" s="1350"/>
      <c r="AA42" s="1351">
        <f>AA40/X40-1</f>
        <v>2.1045247281655577E-2</v>
      </c>
      <c r="AB42" s="1351">
        <f>AB40/AA40-1</f>
        <v>6.4067330814153278E-2</v>
      </c>
      <c r="AC42" s="1351">
        <f>AC40/AB40-1</f>
        <v>0.26505246166263108</v>
      </c>
      <c r="AD42" s="1351">
        <f>AD40/AC40-1</f>
        <v>0.18119178256986102</v>
      </c>
      <c r="AE42" s="1405" t="s">
        <v>88</v>
      </c>
      <c r="AF42" s="1350"/>
      <c r="AG42" s="1351">
        <f>AG40/AD40-1</f>
        <v>0.24035864750999236</v>
      </c>
      <c r="AH42" s="1351">
        <f>AH40/AG40-1</f>
        <v>4.2675492074551569E-2</v>
      </c>
      <c r="AI42" s="1351">
        <f>AI40/AH40-1</f>
        <v>6.2061476779151414E-2</v>
      </c>
      <c r="AJ42" s="1351">
        <f>AJ40/AI40-1</f>
        <v>0.11860007864726696</v>
      </c>
      <c r="AK42" s="1405" t="s">
        <v>88</v>
      </c>
      <c r="AL42" s="1350"/>
      <c r="AM42" s="1351">
        <f>AM40/AJ40-1</f>
        <v>-0.12163397314209379</v>
      </c>
      <c r="AN42" s="1351">
        <f>AN40/AM40-1</f>
        <v>4.4504922756743781E-2</v>
      </c>
      <c r="AO42" s="1351">
        <f>AO40/AN40-1</f>
        <v>6.5445628017472668E-2</v>
      </c>
      <c r="AP42" s="1351">
        <f>AP40/AO40-1</f>
        <v>0.11342875638351435</v>
      </c>
      <c r="AQ42" s="1405" t="s">
        <v>88</v>
      </c>
      <c r="AR42" s="1350"/>
      <c r="AS42" s="1351">
        <f>AS40/AP40-1</f>
        <v>0.49257105943152446</v>
      </c>
      <c r="AT42" s="1351">
        <f>AT40/AS40-1</f>
        <v>0.23899588833585805</v>
      </c>
      <c r="AU42" s="1351">
        <f>AU40/AT40-1</f>
        <v>0.40035630698291813</v>
      </c>
      <c r="AV42" s="1351">
        <f>AV40/AU40-1</f>
        <v>2.0953901416882914E-2</v>
      </c>
      <c r="AW42" s="1441" t="s">
        <v>88</v>
      </c>
      <c r="AX42" s="1350"/>
      <c r="AY42" s="1351">
        <f>AY40/AV40-1</f>
        <v>-0.16492376856919466</v>
      </c>
      <c r="AZ42" s="1351">
        <f>AZ40/AY40-1</f>
        <v>-1.7701445374217362E-2</v>
      </c>
      <c r="BA42" s="1351">
        <f>BA40/AZ40-1</f>
        <v>0.15624461505423803</v>
      </c>
      <c r="BB42" s="1351">
        <f>BB40/BA40-1</f>
        <v>-0.10795701009663461</v>
      </c>
      <c r="BC42" s="1441" t="s">
        <v>88</v>
      </c>
      <c r="BD42" s="1350"/>
      <c r="BE42" s="1351">
        <f>BE40/BB40-1</f>
        <v>0.29285978592096207</v>
      </c>
      <c r="BF42" s="1351">
        <f>BF40/BE40-1</f>
        <v>-0.2385120124180875</v>
      </c>
      <c r="BG42" s="1351">
        <f>BG40/BF40-1</f>
        <v>0.68677305471127026</v>
      </c>
      <c r="BH42" s="1351">
        <f>BH40/BG40-1</f>
        <v>0.14809533473212677</v>
      </c>
      <c r="BI42" s="1441" t="s">
        <v>88</v>
      </c>
      <c r="BJ42" s="1407"/>
      <c r="BK42" s="1351">
        <f>BK40/BH40-1</f>
        <v>-4.8946769985454219E-2</v>
      </c>
      <c r="BL42" s="1351">
        <f>BL40/BK40-1</f>
        <v>9.0109167249794675E-2</v>
      </c>
      <c r="BM42" s="1351">
        <f>BM40/BL40-1</f>
        <v>1.7467277572210449E-2</v>
      </c>
      <c r="BN42" s="1351">
        <f>BN40/BM40-1</f>
        <v>8.6586618671633975E-2</v>
      </c>
      <c r="BO42" s="1442" t="s">
        <v>88</v>
      </c>
      <c r="BP42" s="1407"/>
      <c r="BQ42" s="1351">
        <f>BQ40/BN40-1</f>
        <v>3.6842523911642999E-2</v>
      </c>
      <c r="BR42" s="1351">
        <f>BR40/BQ40-1</f>
        <v>0.14335248815214685</v>
      </c>
      <c r="BS42" s="1351">
        <f>BS40/BR40-1</f>
        <v>6.5713325007208612E-2</v>
      </c>
      <c r="BT42" s="1351">
        <f>BT40/BS40-1</f>
        <v>5.5520766012525202E-2</v>
      </c>
      <c r="BU42" s="1441" t="s">
        <v>88</v>
      </c>
      <c r="BV42" s="1407"/>
      <c r="BW42" s="1351">
        <f>BW40/BT40-1</f>
        <v>-0.16171239099544399</v>
      </c>
      <c r="BX42" s="1351">
        <f>BX40/BW40-1</f>
        <v>9.4899564714519435E-2</v>
      </c>
      <c r="BY42" s="1351">
        <f>BY40/BX40-1</f>
        <v>5.1173672627402134E-2</v>
      </c>
      <c r="BZ42" s="1351">
        <f>BZ40/BY40-1</f>
        <v>0.14651477451494466</v>
      </c>
      <c r="CA42" s="1441" t="s">
        <v>88</v>
      </c>
      <c r="CB42" s="1407"/>
      <c r="CC42" s="1351">
        <f>CC40/BZ40-1</f>
        <v>-0.14591706075842814</v>
      </c>
      <c r="CD42" s="1351">
        <f>CD40/CC40-1</f>
        <v>0.79530133900628064</v>
      </c>
      <c r="CE42" s="1351">
        <f>CE40/CD40-1</f>
        <v>-0.34720255534787037</v>
      </c>
      <c r="CF42" s="1351">
        <f>CF40/CE40-1</f>
        <v>0.20765465481215917</v>
      </c>
      <c r="CG42" s="1441" t="s">
        <v>88</v>
      </c>
      <c r="CH42" s="1407"/>
      <c r="CI42" s="1351">
        <f>CI40/CF40-1</f>
        <v>-0.10769056849822245</v>
      </c>
      <c r="CJ42" s="1351">
        <f>CJ40/CI40-1</f>
        <v>0.20395414905563269</v>
      </c>
      <c r="CK42" s="1351">
        <f>CK40/CJ40-1</f>
        <v>-0.15751060270189798</v>
      </c>
      <c r="CL42" s="1351">
        <f>CL40/CK40-1</f>
        <v>0.38744897097629738</v>
      </c>
      <c r="CM42" s="1441" t="s">
        <v>88</v>
      </c>
      <c r="CN42" s="1407"/>
      <c r="CO42" s="1351">
        <f>CO40/CL40-1</f>
        <v>-0.22024787161259796</v>
      </c>
      <c r="CP42" s="1351">
        <f>CP40/CO40-1</f>
        <v>0.15322043798657647</v>
      </c>
      <c r="CQ42" s="1351">
        <f>CQ40/CP40-1</f>
        <v>-5.496198882754344E-2</v>
      </c>
      <c r="CR42" s="1351">
        <f>CR40/CQ40-1</f>
        <v>0.19750813497521058</v>
      </c>
      <c r="CS42" s="1441" t="s">
        <v>88</v>
      </c>
      <c r="CT42" s="1407"/>
      <c r="CU42" s="1351">
        <f>CU40/CR40-1</f>
        <v>-0.14129533530375338</v>
      </c>
      <c r="CV42" s="1351">
        <f>CV40/CU40-1</f>
        <v>0.16167931324584295</v>
      </c>
      <c r="CW42" s="1351">
        <f>CW40/CV40-1</f>
        <v>-0.1158671906711074</v>
      </c>
      <c r="CX42" s="1351">
        <f>CX40/CW40-1</f>
        <v>0.35535062791380811</v>
      </c>
      <c r="CY42" s="1441" t="s">
        <v>88</v>
      </c>
      <c r="CZ42" s="1407"/>
      <c r="DA42" s="1351">
        <f>DA40/CX40-1</f>
        <v>-0.32900746043896911</v>
      </c>
      <c r="DB42" s="1351">
        <f>DB40/DA40-1</f>
        <v>0.39640020179881041</v>
      </c>
      <c r="DC42" s="1351">
        <f>DC40/DB40-1</f>
        <v>-0.15745444457589763</v>
      </c>
      <c r="DD42" s="1351">
        <f>DD40/DC40-1</f>
        <v>0.37669415906633064</v>
      </c>
      <c r="DE42" s="1441" t="s">
        <v>88</v>
      </c>
      <c r="DF42" s="1407"/>
      <c r="DG42" s="1351">
        <f>DG40/DD40-1</f>
        <v>-0.3033824545541346</v>
      </c>
      <c r="DH42" s="1351">
        <f>DH40/DG40-1</f>
        <v>0.43184993214194689</v>
      </c>
      <c r="DI42" s="1351">
        <f>DI40/DH40-1</f>
        <v>-0.16910315023084976</v>
      </c>
      <c r="DJ42" s="1351">
        <f>DJ40/DI40-1</f>
        <v>0.38236832172840884</v>
      </c>
      <c r="DK42" s="1441" t="s">
        <v>88</v>
      </c>
      <c r="DL42" s="1407"/>
      <c r="DM42" s="1351">
        <f>DM40/DJ40-1</f>
        <v>-0.29235029712957972</v>
      </c>
      <c r="DN42" s="1351">
        <f>DN40/DM40-1</f>
        <v>0.45970045806038096</v>
      </c>
      <c r="DO42" s="1351">
        <f>DO40/DN40-1</f>
        <v>-0.19562898664733941</v>
      </c>
      <c r="DP42" s="1351">
        <f>DP40/DO40-1</f>
        <v>0.3448781506221954</v>
      </c>
      <c r="DQ42" s="1441" t="s">
        <v>88</v>
      </c>
      <c r="DR42" s="1407"/>
      <c r="DS42" s="1351">
        <f>DS40/DP40-1</f>
        <v>-0.27409058805462072</v>
      </c>
      <c r="DT42" s="1351">
        <f>DT40/DS40-1</f>
        <v>0.48490104388865807</v>
      </c>
      <c r="DU42" s="1351">
        <f>DU40/DT40-1</f>
        <v>-0.19985083714512464</v>
      </c>
      <c r="DV42" s="1351">
        <f>DV40/DU40-1</f>
        <v>0.33694210329958518</v>
      </c>
      <c r="DW42" s="1441" t="s">
        <v>88</v>
      </c>
      <c r="EJ42" s="656"/>
      <c r="EK42" s="656"/>
      <c r="EL42" s="656"/>
    </row>
    <row r="43" spans="1:142" ht="5.25" hidden="1" customHeight="1" outlineLevel="1">
      <c r="A43" s="1340"/>
      <c r="B43" s="1340"/>
      <c r="C43" s="1340"/>
      <c r="D43" s="1340"/>
      <c r="E43" s="1340"/>
      <c r="F43" s="1340"/>
      <c r="G43" s="853"/>
      <c r="H43" s="1340"/>
      <c r="I43" s="1340"/>
      <c r="J43" s="1340"/>
      <c r="K43" s="1340"/>
      <c r="L43" s="1340"/>
      <c r="M43" s="853"/>
      <c r="N43" s="1340"/>
      <c r="O43" s="1340"/>
      <c r="P43" s="1340"/>
      <c r="Q43" s="1340"/>
      <c r="R43" s="1340"/>
      <c r="S43" s="853"/>
      <c r="T43" s="1340"/>
      <c r="U43" s="1340"/>
      <c r="V43" s="1340"/>
      <c r="W43" s="1340"/>
      <c r="X43" s="1340"/>
      <c r="Y43" s="853"/>
      <c r="Z43" s="1340"/>
      <c r="AA43" s="1340"/>
      <c r="AB43" s="1340"/>
      <c r="AC43" s="1340"/>
      <c r="AD43" s="1340"/>
      <c r="AE43" s="853"/>
      <c r="AF43" s="1340"/>
      <c r="AG43" s="1340"/>
      <c r="AH43" s="1340"/>
      <c r="AI43" s="1340"/>
      <c r="AJ43" s="1340"/>
      <c r="AK43" s="853"/>
      <c r="AL43" s="1340"/>
      <c r="AM43" s="1340"/>
      <c r="AN43" s="1340"/>
      <c r="AO43" s="1340"/>
      <c r="AP43" s="1340"/>
      <c r="AQ43" s="853"/>
      <c r="AR43" s="1340"/>
      <c r="AS43" s="1340"/>
      <c r="AT43" s="1340"/>
      <c r="AU43" s="1340"/>
      <c r="AV43" s="1340"/>
      <c r="AW43" s="1341"/>
      <c r="AX43" s="1340"/>
      <c r="AY43" s="1340"/>
      <c r="AZ43" s="1340"/>
      <c r="BA43" s="1340"/>
      <c r="BB43" s="1340"/>
      <c r="BC43" s="1341"/>
      <c r="BD43" s="1340"/>
      <c r="BE43" s="1340"/>
      <c r="BF43" s="1340"/>
      <c r="BG43" s="1340"/>
      <c r="BH43" s="1340"/>
      <c r="BI43" s="1341"/>
      <c r="BJ43" s="1340"/>
      <c r="BK43" s="1340"/>
      <c r="BL43" s="1340"/>
      <c r="BM43" s="1340"/>
      <c r="BN43" s="1340"/>
      <c r="BO43" s="1418"/>
      <c r="BP43" s="1340"/>
      <c r="BQ43" s="1340"/>
      <c r="BR43" s="1340"/>
      <c r="BS43" s="1340"/>
      <c r="BT43" s="1340"/>
      <c r="BU43" s="1341"/>
      <c r="BV43" s="1340"/>
      <c r="BW43" s="1340"/>
      <c r="BX43" s="1340"/>
      <c r="BY43" s="1340"/>
      <c r="BZ43" s="1340"/>
      <c r="CA43" s="1341"/>
      <c r="CB43" s="1340"/>
      <c r="CC43" s="1340"/>
      <c r="CD43" s="1340"/>
      <c r="CE43" s="1340"/>
      <c r="CF43" s="1340"/>
      <c r="CG43" s="1341"/>
      <c r="CH43" s="1340"/>
      <c r="CI43" s="1340"/>
      <c r="CJ43" s="1340"/>
      <c r="CK43" s="1340"/>
      <c r="CL43" s="1340"/>
      <c r="CM43" s="1341"/>
      <c r="CN43" s="1340"/>
      <c r="CO43" s="1340"/>
      <c r="CP43" s="1340"/>
      <c r="CQ43" s="1340"/>
      <c r="CR43" s="1340"/>
      <c r="CS43" s="1341"/>
      <c r="CT43" s="1340"/>
      <c r="CU43" s="1340"/>
      <c r="CV43" s="1340"/>
      <c r="CW43" s="1340"/>
      <c r="CX43" s="1340"/>
      <c r="CY43" s="1341"/>
      <c r="CZ43" s="1340"/>
      <c r="DA43" s="1340"/>
      <c r="DB43" s="1340"/>
      <c r="DC43" s="1340"/>
      <c r="DD43" s="1340"/>
      <c r="DE43" s="1341"/>
      <c r="DF43" s="1340"/>
      <c r="DG43" s="1340"/>
      <c r="DH43" s="1340"/>
      <c r="DI43" s="1340"/>
      <c r="DJ43" s="1340"/>
      <c r="DK43" s="1341"/>
      <c r="DL43" s="1340"/>
      <c r="DM43" s="1340"/>
      <c r="DN43" s="1340"/>
      <c r="DO43" s="1340"/>
      <c r="DP43" s="1340"/>
      <c r="DQ43" s="1341"/>
      <c r="DR43" s="1340"/>
      <c r="DS43" s="1340"/>
      <c r="DT43" s="1340"/>
      <c r="DU43" s="1340"/>
      <c r="DV43" s="1340"/>
      <c r="DW43" s="1341"/>
      <c r="DX43" s="500"/>
      <c r="DY43" s="500"/>
      <c r="DZ43" s="500"/>
      <c r="EA43" s="500"/>
      <c r="EB43" s="500"/>
      <c r="EC43" s="500"/>
      <c r="ED43" s="500"/>
      <c r="EE43" s="500"/>
      <c r="EF43" s="500"/>
      <c r="EG43" s="500"/>
      <c r="EH43" s="500"/>
      <c r="EI43" s="500"/>
    </row>
    <row r="44" spans="1:142" s="475" customFormat="1" hidden="1" outlineLevel="1">
      <c r="A44" s="1440" t="s">
        <v>417</v>
      </c>
      <c r="B44" s="853"/>
      <c r="C44" s="1424">
        <f>C54*C48</f>
        <v>61.2</v>
      </c>
      <c r="D44" s="1424">
        <f>D54*D48</f>
        <v>185.6</v>
      </c>
      <c r="E44" s="1424">
        <f>E54*E48</f>
        <v>371.2</v>
      </c>
      <c r="F44" s="1424">
        <f>F54*F48</f>
        <v>594.40000000000009</v>
      </c>
      <c r="G44" s="1435">
        <f>SUM(C44:F44)</f>
        <v>1212.4000000000001</v>
      </c>
      <c r="H44" s="1435"/>
      <c r="I44" s="1424">
        <f>I54*I48</f>
        <v>788.94</v>
      </c>
      <c r="J44" s="1424">
        <f>J54*J48</f>
        <v>926.82</v>
      </c>
      <c r="K44" s="1424">
        <f>K54*K48</f>
        <v>1064.7</v>
      </c>
      <c r="L44" s="1424">
        <f>L54*L48</f>
        <v>1202.6600000000001</v>
      </c>
      <c r="M44" s="1435">
        <f>SUM(I44:L44)</f>
        <v>3983.12</v>
      </c>
      <c r="N44" s="1435"/>
      <c r="O44" s="1424">
        <f>O54*O48</f>
        <v>1372</v>
      </c>
      <c r="P44" s="1424">
        <f>P54*P48</f>
        <v>1508</v>
      </c>
      <c r="Q44" s="1424">
        <f>Q54*Q48</f>
        <v>1600.0000000000002</v>
      </c>
      <c r="R44" s="1424">
        <f>R54*R48</f>
        <v>1740</v>
      </c>
      <c r="S44" s="1435">
        <f>SUM(O44:R44)</f>
        <v>6220</v>
      </c>
      <c r="T44" s="1424"/>
      <c r="U44" s="1424">
        <f>U54*U48</f>
        <v>1940</v>
      </c>
      <c r="V44" s="1424">
        <f>V54*V48</f>
        <v>2164</v>
      </c>
      <c r="W44" s="1424">
        <f>W54*W48</f>
        <v>2420</v>
      </c>
      <c r="X44" s="1424">
        <f>X54*X48</f>
        <v>2808</v>
      </c>
      <c r="Y44" s="1435">
        <f>SUM(U44:X44)</f>
        <v>9332</v>
      </c>
      <c r="Z44" s="1424"/>
      <c r="AA44" s="1424">
        <f>AA54*AA48</f>
        <v>3288</v>
      </c>
      <c r="AB44" s="1424">
        <f>AB54*AB48</f>
        <v>3780</v>
      </c>
      <c r="AC44" s="1424">
        <f>AC54*AC48</f>
        <v>4348</v>
      </c>
      <c r="AD44" s="1424">
        <f>AD54*AD48</f>
        <v>5028</v>
      </c>
      <c r="AE44" s="1435">
        <f>SUM(AA44:AD44)</f>
        <v>16444</v>
      </c>
      <c r="AF44" s="1424"/>
      <c r="AG44" s="1424">
        <f>AG54*AG48</f>
        <v>5928</v>
      </c>
      <c r="AH44" s="1424">
        <f>AH54*AH48</f>
        <v>6888</v>
      </c>
      <c r="AI44" s="1424">
        <f>AI54*AI48</f>
        <v>7860</v>
      </c>
      <c r="AJ44" s="1424">
        <f>AJ54*AJ48</f>
        <v>8892</v>
      </c>
      <c r="AK44" s="1435">
        <f>SUM(AG44:AJ44)</f>
        <v>29568</v>
      </c>
      <c r="AL44" s="1424"/>
      <c r="AM44" s="1424">
        <f>AM54*AM48</f>
        <v>9972</v>
      </c>
      <c r="AN44" s="1424">
        <f>AN54*AN48</f>
        <v>11196</v>
      </c>
      <c r="AO44" s="1424">
        <f>AO54*AO48</f>
        <v>12612</v>
      </c>
      <c r="AP44" s="1424">
        <f>AP54*AP48</f>
        <v>13920</v>
      </c>
      <c r="AQ44" s="1435">
        <f>SUM(AM44:AP44)</f>
        <v>47700</v>
      </c>
      <c r="AR44" s="1424"/>
      <c r="AS44" s="1424">
        <f>AS54*AS48</f>
        <v>15420</v>
      </c>
      <c r="AT44" s="1424">
        <f>AT54*AT48</f>
        <v>17508</v>
      </c>
      <c r="AU44" s="1424">
        <f>AU54*AU48</f>
        <v>20352</v>
      </c>
      <c r="AV44" s="1424">
        <f>AV54*AV48</f>
        <v>23712</v>
      </c>
      <c r="AW44" s="1436">
        <f>SUM(AS44:AV44)</f>
        <v>76992</v>
      </c>
      <c r="AX44" s="1424"/>
      <c r="AY44" s="1424">
        <f>AY54*AY48</f>
        <v>26712</v>
      </c>
      <c r="AZ44" s="1424">
        <f>AZ54*AZ48</f>
        <v>29292</v>
      </c>
      <c r="BA44" s="1424">
        <f>BA54*BA48</f>
        <v>32030.921761006291</v>
      </c>
      <c r="BB44" s="1424">
        <f>BB54*BB48</f>
        <v>34754.921761006291</v>
      </c>
      <c r="BC44" s="1436">
        <f>SUM(AY44:BB44)</f>
        <v>122789.84352201258</v>
      </c>
      <c r="BD44" s="1424"/>
      <c r="BE44" s="1424">
        <f>BE54*BE48</f>
        <v>37696.551851790384</v>
      </c>
      <c r="BF44" s="1424">
        <f>BF54*BF48</f>
        <v>40542.957723250758</v>
      </c>
      <c r="BG44" s="1424">
        <f>BG54*BG48</f>
        <v>43925.885122432846</v>
      </c>
      <c r="BH44" s="1424">
        <f>BH54*BH48</f>
        <v>48742.996913511706</v>
      </c>
      <c r="BI44" s="1436">
        <f>SUM(BE44:BH44)</f>
        <v>170908.39161098571</v>
      </c>
      <c r="BJ44" s="1422"/>
      <c r="BK44" s="1424">
        <f>BK54*BK48</f>
        <v>53696.521362394138</v>
      </c>
      <c r="BL44" s="1424">
        <f>BL54*BL48</f>
        <v>58647.654834878369</v>
      </c>
      <c r="BM44" s="1424">
        <f>BM54*BM48</f>
        <v>63806.431713408259</v>
      </c>
      <c r="BN44" s="1424">
        <f>BN54*BN48</f>
        <v>69185.583105860147</v>
      </c>
      <c r="BO44" s="1439">
        <f>SUM(BK44:BN44)</f>
        <v>245336.19101654092</v>
      </c>
      <c r="BP44" s="1422"/>
      <c r="BQ44" s="1424">
        <f>BQ54*BQ48</f>
        <v>74855.410296413873</v>
      </c>
      <c r="BR44" s="1424">
        <f>BR54*BR48</f>
        <v>81056.483430443128</v>
      </c>
      <c r="BS44" s="1424">
        <f>BS54*BS48</f>
        <v>87923.572159660223</v>
      </c>
      <c r="BT44" s="1424">
        <f>BT54*BT48</f>
        <v>95159.166153757324</v>
      </c>
      <c r="BU44" s="1436">
        <f>SUM(BQ44:BT44)</f>
        <v>338994.63204027456</v>
      </c>
      <c r="BV44" s="1422"/>
      <c r="BW44" s="1424">
        <f>BW54*BW48</f>
        <v>101700.92774592385</v>
      </c>
      <c r="BX44" s="1424">
        <f>BX54*BX48</f>
        <v>107694.31413029139</v>
      </c>
      <c r="BY44" s="1424">
        <f>BY54*BY48</f>
        <v>114151.13252607694</v>
      </c>
      <c r="BZ44" s="1424">
        <f>BZ54*BZ48</f>
        <v>121356.21031598121</v>
      </c>
      <c r="CA44" s="1436">
        <f>SUM(BW44:BZ44)</f>
        <v>444902.58471827337</v>
      </c>
      <c r="CB44" s="1422"/>
      <c r="CC44" s="1424">
        <f>CC54*CC48</f>
        <v>128294.45242830706</v>
      </c>
      <c r="CD44" s="1424">
        <f>CD54*CD48</f>
        <v>137891.84617060111</v>
      </c>
      <c r="CE44" s="1424">
        <f>CE54*CE48</f>
        <v>148039.24882911256</v>
      </c>
      <c r="CF44" s="1424">
        <f>CF54*CF48</f>
        <v>156227.83846596023</v>
      </c>
      <c r="CG44" s="1436">
        <f>SUM(CC44:CF44)</f>
        <v>570453.38589398097</v>
      </c>
      <c r="CH44" s="1422"/>
      <c r="CI44" s="1424">
        <f>CI54*CI48</f>
        <v>164633.47993528811</v>
      </c>
      <c r="CJ44" s="1424">
        <f>CJ54*CJ48</f>
        <v>173315.29070107068</v>
      </c>
      <c r="CK44" s="1424">
        <f>CK54*CK48</f>
        <v>181872.97824842835</v>
      </c>
      <c r="CL44" s="1424">
        <f>CL54*CL48</f>
        <v>191389.05503230332</v>
      </c>
      <c r="CM44" s="1436">
        <f>SUM(CI44:CL44)</f>
        <v>711210.80391709041</v>
      </c>
      <c r="CN44" s="1422"/>
      <c r="CO44" s="1424">
        <f>CO54*CO48</f>
        <v>201153.66361229666</v>
      </c>
      <c r="CP44" s="1424">
        <f>CP54*CP48</f>
        <v>209876.80253330542</v>
      </c>
      <c r="CQ44" s="1424">
        <f>CQ54*CQ48</f>
        <v>218956.05084928026</v>
      </c>
      <c r="CR44" s="1424">
        <f>CR54*CR48</f>
        <v>228771.69446152737</v>
      </c>
      <c r="CS44" s="1436">
        <f>SUM(CO44:CR44)</f>
        <v>858758.21145640977</v>
      </c>
      <c r="CT44" s="1422"/>
      <c r="CU44" s="1424">
        <f>CU54*CU48</f>
        <v>238547.87571323282</v>
      </c>
      <c r="CV44" s="1424">
        <f>CV54*CV48</f>
        <v>248072.08688214683</v>
      </c>
      <c r="CW44" s="1424">
        <f>CW54*CW48</f>
        <v>257560.6017963608</v>
      </c>
      <c r="CX44" s="1424">
        <f>CX54*CX48</f>
        <v>268441.99916133034</v>
      </c>
      <c r="CY44" s="1436">
        <f>SUM(CU44:CX44)</f>
        <v>1012622.5635530709</v>
      </c>
      <c r="CZ44" s="1422"/>
      <c r="DA44" s="1424">
        <f>DA54*DA48</f>
        <v>278412.04365468398</v>
      </c>
      <c r="DB44" s="1424">
        <f>DB54*DB48</f>
        <v>287529.47943437687</v>
      </c>
      <c r="DC44" s="1424">
        <f>DC54*DC48</f>
        <v>297588.71184283809</v>
      </c>
      <c r="DD44" s="1424">
        <f>DD54*DD48</f>
        <v>308874.35606772953</v>
      </c>
      <c r="DE44" s="1436">
        <f>SUM(DA44:DD44)</f>
        <v>1172404.5909996284</v>
      </c>
      <c r="DF44" s="1422"/>
      <c r="DG44" s="1424">
        <f>DG54*DG48</f>
        <v>319576.14890204102</v>
      </c>
      <c r="DH44" s="1424">
        <f>DH54*DH48</f>
        <v>329997.06902227551</v>
      </c>
      <c r="DI44" s="1424">
        <f>DI54*DI48</f>
        <v>341575.0984882284</v>
      </c>
      <c r="DJ44" s="1424">
        <f>DJ54*DJ48</f>
        <v>354453.48750048148</v>
      </c>
      <c r="DK44" s="1436">
        <f>SUM(DG44:DJ44)</f>
        <v>1345601.8039130263</v>
      </c>
      <c r="DL44" s="1422"/>
      <c r="DM44" s="1424">
        <f>DM54*DM48</f>
        <v>366834.77723201853</v>
      </c>
      <c r="DN44" s="1424">
        <f>DN54*DN48</f>
        <v>379323.62174733978</v>
      </c>
      <c r="DO44" s="1424">
        <f>DO54*DO48</f>
        <v>393016.38059763325</v>
      </c>
      <c r="DP44" s="1424">
        <f>DP54*DP48</f>
        <v>407412.74309609772</v>
      </c>
      <c r="DQ44" s="1436">
        <f>SUM(DM44:DP44)</f>
        <v>1546587.5226730895</v>
      </c>
      <c r="DR44" s="1422"/>
      <c r="DS44" s="1424">
        <f>DS54*DS48</f>
        <v>421227.57234888535</v>
      </c>
      <c r="DT44" s="1424">
        <f>DT54*DT48</f>
        <v>435774.46641347231</v>
      </c>
      <c r="DU44" s="1424">
        <f>DU54*DU48</f>
        <v>451834.13518130349</v>
      </c>
      <c r="DV44" s="1424">
        <f>DV54*DV48</f>
        <v>468535.67985539499</v>
      </c>
      <c r="DW44" s="1436">
        <f>SUM(DS44:DV44)</f>
        <v>1777371.8537990563</v>
      </c>
      <c r="EJ44" s="656"/>
      <c r="EK44" s="656"/>
      <c r="EL44" s="656"/>
    </row>
    <row r="45" spans="1:142" s="1356" customFormat="1" hidden="1" outlineLevel="1">
      <c r="A45" s="1350" t="s">
        <v>877</v>
      </c>
      <c r="B45" s="1350"/>
      <c r="C45" s="1351" t="e">
        <f>C44/#REF!-1</f>
        <v>#REF!</v>
      </c>
      <c r="D45" s="1351" t="e">
        <f>D44/#REF!-1</f>
        <v>#REF!</v>
      </c>
      <c r="E45" s="1351" t="e">
        <f>E44/#REF!-1</f>
        <v>#REF!</v>
      </c>
      <c r="F45" s="1351" t="e">
        <f>F44/#REF!-1</f>
        <v>#REF!</v>
      </c>
      <c r="G45" s="1352" t="e">
        <f>G44/A44-1</f>
        <v>#VALUE!</v>
      </c>
      <c r="H45" s="1350"/>
      <c r="I45" s="1351">
        <f>I44/C44-1</f>
        <v>11.891176470588235</v>
      </c>
      <c r="J45" s="1351">
        <f>J44/D44-1</f>
        <v>3.9936422413793107</v>
      </c>
      <c r="K45" s="1351">
        <f>K44/E44-1</f>
        <v>1.8682650862068968</v>
      </c>
      <c r="L45" s="1351">
        <f>L44/F44-1</f>
        <v>1.0233176312247645</v>
      </c>
      <c r="M45" s="1352">
        <f>M44/G44-1</f>
        <v>2.2853183767733416</v>
      </c>
      <c r="N45" s="1350"/>
      <c r="O45" s="1351">
        <f>O44/I44-1</f>
        <v>0.73904225923390876</v>
      </c>
      <c r="P45" s="1351">
        <f>P44/J44-1</f>
        <v>0.62706890226796985</v>
      </c>
      <c r="Q45" s="1351">
        <f>Q44/K44-1</f>
        <v>0.50277073353996449</v>
      </c>
      <c r="R45" s="1351">
        <f>R44/L44-1</f>
        <v>0.44679294231121003</v>
      </c>
      <c r="S45" s="1352">
        <f>S44/M44-1</f>
        <v>0.56158990941774301</v>
      </c>
      <c r="T45" s="1350"/>
      <c r="U45" s="1351">
        <f>U44/O44-1</f>
        <v>0.4139941690962099</v>
      </c>
      <c r="V45" s="1351">
        <f>V44/P44-1</f>
        <v>0.4350132625994696</v>
      </c>
      <c r="W45" s="1351">
        <f>W44/Q44-1</f>
        <v>0.51249999999999973</v>
      </c>
      <c r="X45" s="1351">
        <f>X44/R44-1</f>
        <v>0.61379310344827576</v>
      </c>
      <c r="Y45" s="1352">
        <f>Y44/S44-1</f>
        <v>0.5003215434083601</v>
      </c>
      <c r="Z45" s="1350"/>
      <c r="AA45" s="1351">
        <f>AA44/U44-1</f>
        <v>0.69484536082474224</v>
      </c>
      <c r="AB45" s="1351">
        <f>AB44/V44-1</f>
        <v>0.74676524953789269</v>
      </c>
      <c r="AC45" s="1351">
        <f>AC44/W44-1</f>
        <v>0.79669421487603298</v>
      </c>
      <c r="AD45" s="1351">
        <f>AD44/X44-1</f>
        <v>0.79059829059829068</v>
      </c>
      <c r="AE45" s="1352">
        <f>AE44/Y44-1</f>
        <v>0.76210887269609939</v>
      </c>
      <c r="AF45" s="1350"/>
      <c r="AG45" s="1351">
        <f>AG44/AA44-1</f>
        <v>0.80291970802919699</v>
      </c>
      <c r="AH45" s="1351">
        <f>AH44/AB44-1</f>
        <v>0.82222222222222219</v>
      </c>
      <c r="AI45" s="1351">
        <f>AI44/AC44-1</f>
        <v>0.80772769089236429</v>
      </c>
      <c r="AJ45" s="1351">
        <f>AJ44/AD44-1</f>
        <v>0.76849642004773266</v>
      </c>
      <c r="AK45" s="1352">
        <f>AK44/AE44-1</f>
        <v>0.7981026514230114</v>
      </c>
      <c r="AL45" s="1350"/>
      <c r="AM45" s="1351">
        <f>AM44/AG44-1</f>
        <v>0.68218623481781382</v>
      </c>
      <c r="AN45" s="1351">
        <f>AN44/AH44-1</f>
        <v>0.62543554006968649</v>
      </c>
      <c r="AO45" s="1351">
        <f>AO44/AI44-1</f>
        <v>0.6045801526717558</v>
      </c>
      <c r="AP45" s="1351">
        <f>AP44/AJ44-1</f>
        <v>0.56545209176788114</v>
      </c>
      <c r="AQ45" s="1352">
        <f>AQ44/AK44-1</f>
        <v>0.61323051948051943</v>
      </c>
      <c r="AR45" s="1350"/>
      <c r="AS45" s="1351">
        <f>AS44/AM44-1</f>
        <v>0.54632972322503015</v>
      </c>
      <c r="AT45" s="1351">
        <f>AT44/AN44-1</f>
        <v>0.5637727759914255</v>
      </c>
      <c r="AU45" s="1351">
        <f>AU44/AO44-1</f>
        <v>0.61370123691722167</v>
      </c>
      <c r="AV45" s="1351">
        <f>AV44/AP44-1</f>
        <v>0.70344827586206904</v>
      </c>
      <c r="AW45" s="1354">
        <f>AW44/AQ44-1</f>
        <v>0.61408805031446545</v>
      </c>
      <c r="AX45" s="1350"/>
      <c r="AY45" s="1351">
        <f>AY44/AS44-1</f>
        <v>0.73229571984435804</v>
      </c>
      <c r="AZ45" s="1351">
        <f>AZ44/AT44-1</f>
        <v>0.67306374228923915</v>
      </c>
      <c r="BA45" s="1351">
        <f>BA44/AU44-1</f>
        <v>0.57384639155887829</v>
      </c>
      <c r="BB45" s="1351">
        <f>BB44/AV44-1</f>
        <v>0.46571026320033271</v>
      </c>
      <c r="BC45" s="1354">
        <f>BC44/AW44-1</f>
        <v>0.59483899005107777</v>
      </c>
      <c r="BD45" s="1350"/>
      <c r="BE45" s="1351">
        <f>BE44/AY44-1</f>
        <v>0.41122161769206289</v>
      </c>
      <c r="BF45" s="1351">
        <f>BF44/AZ44-1</f>
        <v>0.38409660396185852</v>
      </c>
      <c r="BG45" s="1351">
        <f>BG44/BA44-1</f>
        <v>0.37135875920708616</v>
      </c>
      <c r="BH45" s="1351">
        <f>BH44/BB44-1</f>
        <v>0.40247753249726803</v>
      </c>
      <c r="BI45" s="1354">
        <f>BI44/BC44-1</f>
        <v>0.39187726532404032</v>
      </c>
      <c r="BJ45" s="1407"/>
      <c r="BK45" s="1351">
        <f>BK44/BE44-1</f>
        <v>0.42444119487400389</v>
      </c>
      <c r="BL45" s="1351">
        <f>BL44/BF44-1</f>
        <v>0.44655590337566431</v>
      </c>
      <c r="BM45" s="1351">
        <f>BM44/BG44-1</f>
        <v>0.45259296507203373</v>
      </c>
      <c r="BN45" s="1351">
        <f>BN44/BH44-1</f>
        <v>0.41939534880510587</v>
      </c>
      <c r="BO45" s="1355">
        <f>BO44/BI44-1</f>
        <v>0.43548358687363087</v>
      </c>
      <c r="BP45" s="1407"/>
      <c r="BQ45" s="1351">
        <f>BQ44/BK44-1</f>
        <v>0.39404580403299949</v>
      </c>
      <c r="BR45" s="1351">
        <f>BR44/BL44-1</f>
        <v>0.38209249216625096</v>
      </c>
      <c r="BS45" s="1351">
        <f>BS44/BM44-1</f>
        <v>0.37797350202211666</v>
      </c>
      <c r="BT45" s="1351">
        <f>BT44/BN44-1</f>
        <v>0.3754190090174605</v>
      </c>
      <c r="BU45" s="1354">
        <f>BU44/BO44-1</f>
        <v>0.38175550307381689</v>
      </c>
      <c r="BV45" s="1407"/>
      <c r="BW45" s="1351">
        <f>BW44/BQ44-1</f>
        <v>0.35863162519858727</v>
      </c>
      <c r="BX45" s="1351">
        <f>BX44/BR44-1</f>
        <v>0.32863294301074553</v>
      </c>
      <c r="BY45" s="1351">
        <f>BY44/BS44-1</f>
        <v>0.2982995313110135</v>
      </c>
      <c r="BZ45" s="1351">
        <f>BZ44/BT44-1</f>
        <v>0.27529711767224763</v>
      </c>
      <c r="CA45" s="1354">
        <f>CA44/BU44-1</f>
        <v>0.31241778679674281</v>
      </c>
      <c r="CB45" s="1407"/>
      <c r="CC45" s="1351">
        <f>CC44/BW44-1</f>
        <v>0.26148753282586523</v>
      </c>
      <c r="CD45" s="1351">
        <f>CD44/BX44-1</f>
        <v>0.28040043046075747</v>
      </c>
      <c r="CE45" s="1351">
        <f>CE44/BY44-1</f>
        <v>0.29687060963056289</v>
      </c>
      <c r="CF45" s="1351">
        <f>CF44/BZ44-1</f>
        <v>0.28734934997708006</v>
      </c>
      <c r="CG45" s="1354">
        <f>CG44/CA44-1</f>
        <v>0.28219840811940977</v>
      </c>
      <c r="CH45" s="1407"/>
      <c r="CI45" s="1351">
        <f>CI44/CC44-1</f>
        <v>0.28324706812469436</v>
      </c>
      <c r="CJ45" s="1351">
        <f>CJ44/CD44-1</f>
        <v>0.25689296005685014</v>
      </c>
      <c r="CK45" s="1351">
        <f>CK44/CE44-1</f>
        <v>0.2285456707387874</v>
      </c>
      <c r="CL45" s="1351">
        <f>CL44/CF44-1</f>
        <v>0.225063707669515</v>
      </c>
      <c r="CM45" s="1354">
        <f>CM44/CG44-1</f>
        <v>0.24674657299565794</v>
      </c>
      <c r="CN45" s="1407"/>
      <c r="CO45" s="1351">
        <f>CO44/CI44-1</f>
        <v>0.22182719876518076</v>
      </c>
      <c r="CP45" s="1351">
        <f>CP44/CJ44-1</f>
        <v>0.21095375765370306</v>
      </c>
      <c r="CQ45" s="1351">
        <f>CQ44/CK44-1</f>
        <v>0.20389544921950153</v>
      </c>
      <c r="CR45" s="1351">
        <f>CR44/CL44-1</f>
        <v>0.19532276505004154</v>
      </c>
      <c r="CS45" s="1354">
        <f>CS44/CM44-1</f>
        <v>0.20745945748669992</v>
      </c>
      <c r="CT45" s="1407"/>
      <c r="CU45" s="1351">
        <f>CU44/CO44-1</f>
        <v>0.18589873745978447</v>
      </c>
      <c r="CV45" s="1351">
        <f>CV44/CP44-1</f>
        <v>0.18198907114939566</v>
      </c>
      <c r="CW45" s="1351">
        <f>CW44/CQ44-1</f>
        <v>0.1763118707948117</v>
      </c>
      <c r="CX45" s="1351">
        <f>CX44/CR44-1</f>
        <v>0.17340565139921349</v>
      </c>
      <c r="CY45" s="1354">
        <f>CY44/CS44-1</f>
        <v>0.17917074916316089</v>
      </c>
      <c r="CZ45" s="1407"/>
      <c r="DA45" s="1351">
        <f>DA44/CU44-1</f>
        <v>0.16711181276404807</v>
      </c>
      <c r="DB45" s="1351">
        <f>DB44/CV44-1</f>
        <v>0.15905615600748879</v>
      </c>
      <c r="DC45" s="1351">
        <f>DC44/CW44-1</f>
        <v>0.15541239524717887</v>
      </c>
      <c r="DD45" s="1351">
        <f>DD44/CX44-1</f>
        <v>0.1506185955726691</v>
      </c>
      <c r="DE45" s="1354">
        <f>DE44/CY44-1</f>
        <v>0.15779030924011539</v>
      </c>
      <c r="DF45" s="1407"/>
      <c r="DG45" s="1351">
        <f>DG44/DA44-1</f>
        <v>0.14785317727997827</v>
      </c>
      <c r="DH45" s="1351">
        <f>DH44/DB44-1</f>
        <v>0.14769821053284748</v>
      </c>
      <c r="DI45" s="1351">
        <f>DI44/DC44-1</f>
        <v>0.1478093250681507</v>
      </c>
      <c r="DJ45" s="1351">
        <f>DJ44/DD44-1</f>
        <v>0.14756528192569474</v>
      </c>
      <c r="DK45" s="1354">
        <f>DK44/DE44-1</f>
        <v>0.14772819404069759</v>
      </c>
      <c r="DL45" s="1407"/>
      <c r="DM45" s="1351">
        <f>DM44/DG44-1</f>
        <v>0.14787908450722198</v>
      </c>
      <c r="DN45" s="1351">
        <f>DN44/DH44-1</f>
        <v>0.14947572980332935</v>
      </c>
      <c r="DO45" s="1351">
        <f>DO44/DI44-1</f>
        <v>0.15060021159937587</v>
      </c>
      <c r="DP45" s="1351">
        <f>DP44/DJ44-1</f>
        <v>0.14941101572754123</v>
      </c>
      <c r="DQ45" s="1354">
        <f>DQ44/DK44-1</f>
        <v>0.14936492963638592</v>
      </c>
      <c r="DR45" s="1407"/>
      <c r="DS45" s="1351">
        <f>DS44/DM44-1</f>
        <v>0.14827600460155943</v>
      </c>
      <c r="DT45" s="1351">
        <f>DT44/DN44-1</f>
        <v>0.14881974501375339</v>
      </c>
      <c r="DU45" s="1351">
        <f>DU44/DO44-1</f>
        <v>0.14965725981759359</v>
      </c>
      <c r="DV45" s="1351">
        <f>DV44/DP44-1</f>
        <v>0.15002706173301994</v>
      </c>
      <c r="DW45" s="1354">
        <f>DW44/DQ44-1</f>
        <v>0.14922164296727547</v>
      </c>
      <c r="EJ45" s="656"/>
      <c r="EK45" s="656"/>
      <c r="EL45" s="656"/>
    </row>
    <row r="46" spans="1:142" s="1356" customFormat="1" hidden="1" outlineLevel="1">
      <c r="A46" s="1350" t="s">
        <v>878</v>
      </c>
      <c r="B46" s="1350"/>
      <c r="C46" s="1351" t="e">
        <f>C44/#REF!-1</f>
        <v>#REF!</v>
      </c>
      <c r="D46" s="1351">
        <f>D44/C44-1</f>
        <v>2.0326797385620914</v>
      </c>
      <c r="E46" s="1351">
        <f>E44/D44-1</f>
        <v>1</v>
      </c>
      <c r="F46" s="1351">
        <f>F44/E44-1</f>
        <v>0.60129310344827624</v>
      </c>
      <c r="G46" s="1405" t="s">
        <v>88</v>
      </c>
      <c r="H46" s="1350"/>
      <c r="I46" s="1351">
        <f>I44/F44-1</f>
        <v>0.32728802153432013</v>
      </c>
      <c r="J46" s="1351">
        <f>J44/I44-1</f>
        <v>0.1747661419119324</v>
      </c>
      <c r="K46" s="1351">
        <f>K44/J44-1</f>
        <v>0.14876675082540292</v>
      </c>
      <c r="L46" s="1351">
        <f>L44/K44-1</f>
        <v>0.12957640649948354</v>
      </c>
      <c r="M46" s="1405" t="s">
        <v>88</v>
      </c>
      <c r="N46" s="1350"/>
      <c r="O46" s="1351">
        <f>O44/L44-1</f>
        <v>0.14080454991435642</v>
      </c>
      <c r="P46" s="1351">
        <f>P44/O44-1</f>
        <v>9.9125364431486895E-2</v>
      </c>
      <c r="Q46" s="1351">
        <f>Q44/P44-1</f>
        <v>6.1007957559681802E-2</v>
      </c>
      <c r="R46" s="1351">
        <f>R44/Q44-1</f>
        <v>8.7499999999999911E-2</v>
      </c>
      <c r="S46" s="1405" t="s">
        <v>88</v>
      </c>
      <c r="T46" s="1350"/>
      <c r="U46" s="1351">
        <f>U44/R44-1</f>
        <v>0.11494252873563227</v>
      </c>
      <c r="V46" s="1351">
        <f>V44/U44-1</f>
        <v>0.11546391752577323</v>
      </c>
      <c r="W46" s="1351">
        <f>W44/V44-1</f>
        <v>0.1182994454713493</v>
      </c>
      <c r="X46" s="1351">
        <f>X44/W44-1</f>
        <v>0.16033057851239674</v>
      </c>
      <c r="Y46" s="1405" t="s">
        <v>88</v>
      </c>
      <c r="Z46" s="1350"/>
      <c r="AA46" s="1351">
        <f>AA44/X44-1</f>
        <v>0.170940170940171</v>
      </c>
      <c r="AB46" s="1351">
        <f>AB44/AA44-1</f>
        <v>0.14963503649635035</v>
      </c>
      <c r="AC46" s="1351">
        <f>AC44/AB44-1</f>
        <v>0.15026455026455032</v>
      </c>
      <c r="AD46" s="1351">
        <f>AD44/AC44-1</f>
        <v>0.15639374425022989</v>
      </c>
      <c r="AE46" s="1405" t="s">
        <v>88</v>
      </c>
      <c r="AF46" s="1350"/>
      <c r="AG46" s="1351">
        <f>AG44/AD44-1</f>
        <v>0.17899761336515518</v>
      </c>
      <c r="AH46" s="1351">
        <f>AH44/AG44-1</f>
        <v>0.16194331983805665</v>
      </c>
      <c r="AI46" s="1351">
        <f>AI44/AH44-1</f>
        <v>0.14111498257839727</v>
      </c>
      <c r="AJ46" s="1351">
        <f>AJ44/AI44-1</f>
        <v>0.13129770992366407</v>
      </c>
      <c r="AK46" s="1405" t="s">
        <v>88</v>
      </c>
      <c r="AL46" s="1350"/>
      <c r="AM46" s="1351">
        <f>AM44/AJ44-1</f>
        <v>0.12145748987854255</v>
      </c>
      <c r="AN46" s="1351">
        <f>AN44/AM44-1</f>
        <v>0.12274368231046928</v>
      </c>
      <c r="AO46" s="1351">
        <f>AO44/AN44-1</f>
        <v>0.12647374062165051</v>
      </c>
      <c r="AP46" s="1351">
        <f>AP44/AO44-1</f>
        <v>0.10371075166508081</v>
      </c>
      <c r="AQ46" s="1405" t="s">
        <v>88</v>
      </c>
      <c r="AR46" s="1350"/>
      <c r="AS46" s="1351">
        <f>AS44/AP44-1</f>
        <v>0.10775862068965525</v>
      </c>
      <c r="AT46" s="1351">
        <f>AT44/AS44-1</f>
        <v>0.13540856031128401</v>
      </c>
      <c r="AU46" s="1351">
        <f>AU44/AT44-1</f>
        <v>0.16244002741603847</v>
      </c>
      <c r="AV46" s="1351">
        <f>AV44/AU44-1</f>
        <v>0.16509433962264142</v>
      </c>
      <c r="AW46" s="1441" t="s">
        <v>88</v>
      </c>
      <c r="AX46" s="1350"/>
      <c r="AY46" s="1351">
        <f>AY44/AV44-1</f>
        <v>0.12651821862348167</v>
      </c>
      <c r="AZ46" s="1351">
        <f>AZ44/AY44-1</f>
        <v>9.6585804132973907E-2</v>
      </c>
      <c r="BA46" s="1351">
        <f>BA44/AZ44-1</f>
        <v>9.350408852267833E-2</v>
      </c>
      <c r="BB46" s="1351">
        <f>BB44/BA44-1</f>
        <v>8.5042822692543707E-2</v>
      </c>
      <c r="BC46" s="1441" t="s">
        <v>88</v>
      </c>
      <c r="BD46" s="1350"/>
      <c r="BE46" s="1351">
        <f>BE44/BB44-1</f>
        <v>8.4639237890171026E-2</v>
      </c>
      <c r="BF46" s="1351">
        <f>BF44/BE44-1</f>
        <v>7.5508388211511956E-2</v>
      </c>
      <c r="BG46" s="1351">
        <f>BG44/BF44-1</f>
        <v>8.3440567466098514E-2</v>
      </c>
      <c r="BH46" s="1351">
        <f>BH44/BG44-1</f>
        <v>0.10966453556148759</v>
      </c>
      <c r="BI46" s="1441" t="s">
        <v>88</v>
      </c>
      <c r="BJ46" s="1407"/>
      <c r="BK46" s="1351">
        <f>BK44/BH44-1</f>
        <v>0.10162535671887052</v>
      </c>
      <c r="BL46" s="1351">
        <f>BL44/BK44-1</f>
        <v>9.2205851456733434E-2</v>
      </c>
      <c r="BM46" s="1351">
        <f>BM44/BL44-1</f>
        <v>8.7962202291879343E-2</v>
      </c>
      <c r="BN46" s="1351">
        <f>BN44/BM44-1</f>
        <v>8.4304218994924796E-2</v>
      </c>
      <c r="BO46" s="1442" t="s">
        <v>88</v>
      </c>
      <c r="BP46" s="1407"/>
      <c r="BQ46" s="1351">
        <f>BQ44/BN44-1</f>
        <v>8.1950992331428107E-2</v>
      </c>
      <c r="BR46" s="1351">
        <f>BR44/BQ44-1</f>
        <v>8.2840680579721937E-2</v>
      </c>
      <c r="BS46" s="1351">
        <f>BS44/BR44-1</f>
        <v>8.4719795858278824E-2</v>
      </c>
      <c r="BT46" s="1351">
        <f>BT44/BS44-1</f>
        <v>8.2294131327580677E-2</v>
      </c>
      <c r="BU46" s="1441" t="s">
        <v>88</v>
      </c>
      <c r="BV46" s="1407"/>
      <c r="BW46" s="1351">
        <f>BW44/BT44-1</f>
        <v>6.874546989615693E-2</v>
      </c>
      <c r="BX46" s="1351">
        <f>BX44/BW44-1</f>
        <v>5.8931481916670636E-2</v>
      </c>
      <c r="BY46" s="1351">
        <f>BY44/BX44-1</f>
        <v>5.9955053782820178E-2</v>
      </c>
      <c r="BZ46" s="1351">
        <f>BZ44/BY44-1</f>
        <v>6.3118758705773992E-2</v>
      </c>
      <c r="CA46" s="1441" t="s">
        <v>88</v>
      </c>
      <c r="CB46" s="1407"/>
      <c r="CC46" s="1351">
        <f>CC44/BZ44-1</f>
        <v>5.7172534427866628E-2</v>
      </c>
      <c r="CD46" s="1351">
        <f>CD44/CC44-1</f>
        <v>7.4807550604397477E-2</v>
      </c>
      <c r="CE46" s="1351">
        <f>CE44/CD44-1</f>
        <v>7.3589577196297551E-2</v>
      </c>
      <c r="CF46" s="1351">
        <f>CF44/CE44-1</f>
        <v>5.531363946800405E-2</v>
      </c>
      <c r="CG46" s="1441" t="s">
        <v>88</v>
      </c>
      <c r="CH46" s="1407"/>
      <c r="CI46" s="1351">
        <f>CI44/CF44-1</f>
        <v>5.3803736593074358E-2</v>
      </c>
      <c r="CJ46" s="1351">
        <f>CJ44/CI44-1</f>
        <v>5.2734175145876083E-2</v>
      </c>
      <c r="CK46" s="1351">
        <f>CK44/CJ44-1</f>
        <v>4.9376414006757852E-2</v>
      </c>
      <c r="CL46" s="1351">
        <f>CL44/CK44-1</f>
        <v>5.2322653290894916E-2</v>
      </c>
      <c r="CM46" s="1441" t="s">
        <v>88</v>
      </c>
      <c r="CN46" s="1407"/>
      <c r="CO46" s="1351">
        <f>CO44/CL44-1</f>
        <v>5.1019681236971648E-2</v>
      </c>
      <c r="CP46" s="1351">
        <f>CP44/CO44-1</f>
        <v>4.3365548329369341E-2</v>
      </c>
      <c r="CQ46" s="1351">
        <f>CQ44/CP44-1</f>
        <v>4.3259894406548538E-2</v>
      </c>
      <c r="CR46" s="1351">
        <f>CR44/CQ44-1</f>
        <v>4.4829286855396111E-2</v>
      </c>
      <c r="CS46" s="1441" t="s">
        <v>88</v>
      </c>
      <c r="CT46" s="1407"/>
      <c r="CU46" s="1351">
        <f>CU44/CR44-1</f>
        <v>4.2733351583185142E-2</v>
      </c>
      <c r="CV46" s="1351">
        <f>CV44/CU44-1</f>
        <v>3.9925784878350523E-2</v>
      </c>
      <c r="CW46" s="1351">
        <f>CW44/CV44-1</f>
        <v>3.82490228282788E-2</v>
      </c>
      <c r="CX46" s="1351">
        <f>CX44/CW44-1</f>
        <v>4.2247910934657851E-2</v>
      </c>
      <c r="CY46" s="1441" t="s">
        <v>88</v>
      </c>
      <c r="CZ46" s="1407"/>
      <c r="DA46" s="1351">
        <f>DA44/CX44-1</f>
        <v>3.714040472244351E-2</v>
      </c>
      <c r="DB46" s="1351">
        <f>DB44/DA44-1</f>
        <v>3.2747993441696543E-2</v>
      </c>
      <c r="DC46" s="1351">
        <f>DC44/DB44-1</f>
        <v>3.4985047196724128E-2</v>
      </c>
      <c r="DD46" s="1351">
        <f>DD44/DC44-1</f>
        <v>3.7923630083292803E-2</v>
      </c>
      <c r="DE46" s="1441" t="s">
        <v>88</v>
      </c>
      <c r="DF46" s="1407"/>
      <c r="DG46" s="1351">
        <f>DG44/DD44-1</f>
        <v>3.4647722039976792E-2</v>
      </c>
      <c r="DH46" s="1351">
        <f>DH44/DG44-1</f>
        <v>3.2608566553034013E-2</v>
      </c>
      <c r="DI46" s="1351">
        <f>DI44/DH44-1</f>
        <v>3.5085249394052553E-2</v>
      </c>
      <c r="DJ46" s="1351">
        <f>DJ44/DI44-1</f>
        <v>3.7702950447065176E-2</v>
      </c>
      <c r="DK46" s="1441" t="s">
        <v>88</v>
      </c>
      <c r="DL46" s="1407"/>
      <c r="DM46" s="1351">
        <f>DM44/DJ44-1</f>
        <v>3.4930647230605238E-2</v>
      </c>
      <c r="DN46" s="1351">
        <f>DN44/DM44-1</f>
        <v>3.404487603262929E-2</v>
      </c>
      <c r="DO46" s="1351">
        <f>DO44/DN44-1</f>
        <v>3.6097827989773679E-2</v>
      </c>
      <c r="DP46" s="1351">
        <f>DP44/DO44-1</f>
        <v>3.6630438854922343E-2</v>
      </c>
      <c r="DQ46" s="1441" t="s">
        <v>88</v>
      </c>
      <c r="DR46" s="1407"/>
      <c r="DS46" s="1351">
        <f>DS44/DP44-1</f>
        <v>3.3908682256237332E-2</v>
      </c>
      <c r="DT46" s="1351">
        <f>DT44/DS44-1</f>
        <v>3.453452484952324E-2</v>
      </c>
      <c r="DU46" s="1351">
        <f>DU44/DT44-1</f>
        <v>3.6853166042531305E-2</v>
      </c>
      <c r="DV46" s="1351">
        <f>DV44/DU44-1</f>
        <v>3.6963884252325885E-2</v>
      </c>
      <c r="DW46" s="1441" t="s">
        <v>88</v>
      </c>
      <c r="EJ46" s="656"/>
      <c r="EK46" s="656"/>
      <c r="EL46" s="656"/>
    </row>
    <row r="47" spans="1:142" ht="5.25" hidden="1" customHeight="1" outlineLevel="1">
      <c r="A47" s="1340"/>
      <c r="B47" s="1340"/>
      <c r="C47" s="1340"/>
      <c r="D47" s="1340"/>
      <c r="E47" s="1340"/>
      <c r="F47" s="1340"/>
      <c r="G47" s="853"/>
      <c r="H47" s="1340"/>
      <c r="I47" s="1340"/>
      <c r="J47" s="1340"/>
      <c r="K47" s="1340"/>
      <c r="L47" s="1340"/>
      <c r="M47" s="853"/>
      <c r="N47" s="1340"/>
      <c r="O47" s="1340"/>
      <c r="P47" s="1340"/>
      <c r="Q47" s="1340"/>
      <c r="R47" s="1340"/>
      <c r="S47" s="853"/>
      <c r="T47" s="1340"/>
      <c r="U47" s="1340"/>
      <c r="V47" s="1340"/>
      <c r="W47" s="1340"/>
      <c r="X47" s="1340"/>
      <c r="Y47" s="853"/>
      <c r="Z47" s="1340"/>
      <c r="AA47" s="1340"/>
      <c r="AB47" s="1340"/>
      <c r="AC47" s="1340"/>
      <c r="AD47" s="1340"/>
      <c r="AE47" s="853"/>
      <c r="AF47" s="1340"/>
      <c r="AG47" s="1340"/>
      <c r="AH47" s="1340"/>
      <c r="AI47" s="1340"/>
      <c r="AJ47" s="1340"/>
      <c r="AK47" s="853"/>
      <c r="AL47" s="1340"/>
      <c r="AM47" s="1340"/>
      <c r="AN47" s="1340"/>
      <c r="AO47" s="1340"/>
      <c r="AP47" s="1340"/>
      <c r="AQ47" s="853"/>
      <c r="AR47" s="1340"/>
      <c r="AS47" s="1340"/>
      <c r="AT47" s="1340"/>
      <c r="AU47" s="1340"/>
      <c r="AV47" s="1340"/>
      <c r="AW47" s="1341"/>
      <c r="AX47" s="1340"/>
      <c r="AY47" s="1340"/>
      <c r="AZ47" s="1340"/>
      <c r="BA47" s="1340"/>
      <c r="BB47" s="1340"/>
      <c r="BC47" s="1341"/>
      <c r="BD47" s="1340"/>
      <c r="BE47" s="1340"/>
      <c r="BF47" s="1340"/>
      <c r="BG47" s="1340"/>
      <c r="BH47" s="1340"/>
      <c r="BI47" s="1341"/>
      <c r="BJ47" s="1340"/>
      <c r="BK47" s="1340"/>
      <c r="BL47" s="1340"/>
      <c r="BM47" s="1340"/>
      <c r="BN47" s="1340"/>
      <c r="BO47" s="1418"/>
      <c r="BP47" s="1340"/>
      <c r="BQ47" s="1340"/>
      <c r="BR47" s="1340"/>
      <c r="BS47" s="1340"/>
      <c r="BT47" s="1340"/>
      <c r="BU47" s="1341"/>
      <c r="BV47" s="1340"/>
      <c r="BW47" s="1340"/>
      <c r="BX47" s="1340"/>
      <c r="BY47" s="1340"/>
      <c r="BZ47" s="1340"/>
      <c r="CA47" s="1341"/>
      <c r="CB47" s="1340"/>
      <c r="CC47" s="1340"/>
      <c r="CD47" s="1340"/>
      <c r="CE47" s="1340"/>
      <c r="CF47" s="1340"/>
      <c r="CG47" s="1341"/>
      <c r="CH47" s="1340"/>
      <c r="CI47" s="1340"/>
      <c r="CJ47" s="1340"/>
      <c r="CK47" s="1340"/>
      <c r="CL47" s="1340"/>
      <c r="CM47" s="1341"/>
      <c r="CN47" s="1340"/>
      <c r="CO47" s="1340"/>
      <c r="CP47" s="1340"/>
      <c r="CQ47" s="1340"/>
      <c r="CR47" s="1340"/>
      <c r="CS47" s="1341"/>
      <c r="CT47" s="1340"/>
      <c r="CU47" s="1340"/>
      <c r="CV47" s="1340"/>
      <c r="CW47" s="1340"/>
      <c r="CX47" s="1340"/>
      <c r="CY47" s="1341"/>
      <c r="CZ47" s="1340"/>
      <c r="DA47" s="1340"/>
      <c r="DB47" s="1340"/>
      <c r="DC47" s="1340"/>
      <c r="DD47" s="1340"/>
      <c r="DE47" s="1341"/>
      <c r="DF47" s="1340"/>
      <c r="DG47" s="1340"/>
      <c r="DH47" s="1340"/>
      <c r="DI47" s="1340"/>
      <c r="DJ47" s="1340"/>
      <c r="DK47" s="1341"/>
      <c r="DL47" s="1340"/>
      <c r="DM47" s="1340"/>
      <c r="DN47" s="1340"/>
      <c r="DO47" s="1340"/>
      <c r="DP47" s="1340"/>
      <c r="DQ47" s="1341"/>
      <c r="DR47" s="1340"/>
      <c r="DS47" s="1340"/>
      <c r="DT47" s="1340"/>
      <c r="DU47" s="1340"/>
      <c r="DV47" s="1340"/>
      <c r="DW47" s="1341"/>
      <c r="DX47" s="500"/>
      <c r="DY47" s="500"/>
      <c r="DZ47" s="500"/>
      <c r="EA47" s="500"/>
      <c r="EB47" s="500"/>
      <c r="EC47" s="500"/>
      <c r="ED47" s="500"/>
      <c r="EE47" s="500"/>
      <c r="EF47" s="500"/>
      <c r="EG47" s="500"/>
      <c r="EH47" s="500"/>
      <c r="EI47" s="500"/>
    </row>
    <row r="48" spans="1:142" s="475" customFormat="1" hidden="1" outlineLevel="1">
      <c r="A48" s="1440" t="s">
        <v>849</v>
      </c>
      <c r="B48" s="1440"/>
      <c r="C48" s="1443">
        <v>2.4E-2</v>
      </c>
      <c r="D48" s="1443">
        <f>C48</f>
        <v>2.4E-2</v>
      </c>
      <c r="E48" s="1444">
        <f>D48</f>
        <v>2.4E-2</v>
      </c>
      <c r="F48" s="1444">
        <f>E48</f>
        <v>2.4E-2</v>
      </c>
      <c r="G48" s="1445">
        <f>G44/G54</f>
        <v>9.6000000000000002E-2</v>
      </c>
      <c r="H48" s="1440"/>
      <c r="I48" s="1443">
        <v>2.4E-2</v>
      </c>
      <c r="J48" s="1443">
        <f>I48</f>
        <v>2.4E-2</v>
      </c>
      <c r="K48" s="1444">
        <f>J48</f>
        <v>2.4E-2</v>
      </c>
      <c r="L48" s="1444">
        <f>K48</f>
        <v>2.4E-2</v>
      </c>
      <c r="M48" s="1445">
        <f>M44/M54</f>
        <v>9.5999999999999988E-2</v>
      </c>
      <c r="N48" s="1440"/>
      <c r="O48" s="1443">
        <v>2.4E-2</v>
      </c>
      <c r="P48" s="1443">
        <f>O48</f>
        <v>2.4E-2</v>
      </c>
      <c r="Q48" s="1444">
        <f>P48</f>
        <v>2.4E-2</v>
      </c>
      <c r="R48" s="1444">
        <f>Q48</f>
        <v>2.4E-2</v>
      </c>
      <c r="S48" s="1445">
        <f>S44/S54</f>
        <v>9.5999999999999988E-2</v>
      </c>
      <c r="T48" s="1446"/>
      <c r="U48" s="1443">
        <v>2.4E-2</v>
      </c>
      <c r="V48" s="1443">
        <f>U48</f>
        <v>2.4E-2</v>
      </c>
      <c r="W48" s="1444">
        <f>V48</f>
        <v>2.4E-2</v>
      </c>
      <c r="X48" s="1444">
        <f>W48</f>
        <v>2.4E-2</v>
      </c>
      <c r="Y48" s="1445">
        <f>Y44/Y54</f>
        <v>9.6000000000000002E-2</v>
      </c>
      <c r="Z48" s="1446"/>
      <c r="AA48" s="1443">
        <v>2.4E-2</v>
      </c>
      <c r="AB48" s="1443">
        <f>AA48</f>
        <v>2.4E-2</v>
      </c>
      <c r="AC48" s="1444">
        <f>AB48</f>
        <v>2.4E-2</v>
      </c>
      <c r="AD48" s="1444">
        <f>AC48</f>
        <v>2.4E-2</v>
      </c>
      <c r="AE48" s="1445">
        <f>AE44/AE54</f>
        <v>9.6000000000000002E-2</v>
      </c>
      <c r="AF48" s="1446"/>
      <c r="AG48" s="1443">
        <v>2.4E-2</v>
      </c>
      <c r="AH48" s="1443">
        <f>AG48</f>
        <v>2.4E-2</v>
      </c>
      <c r="AI48" s="1444">
        <f>AH48</f>
        <v>2.4E-2</v>
      </c>
      <c r="AJ48" s="1444">
        <f>AI48</f>
        <v>2.4E-2</v>
      </c>
      <c r="AK48" s="1445">
        <f>AK44/AK54</f>
        <v>9.6000000000000002E-2</v>
      </c>
      <c r="AL48" s="1446"/>
      <c r="AM48" s="1443">
        <v>2.4E-2</v>
      </c>
      <c r="AN48" s="1443">
        <f>AM48</f>
        <v>2.4E-2</v>
      </c>
      <c r="AO48" s="1444">
        <f>AN48</f>
        <v>2.4E-2</v>
      </c>
      <c r="AP48" s="1444">
        <f>AO48</f>
        <v>2.4E-2</v>
      </c>
      <c r="AQ48" s="1445">
        <f>AQ44/AQ54</f>
        <v>9.6000000000000002E-2</v>
      </c>
      <c r="AR48" s="1446"/>
      <c r="AS48" s="1443">
        <v>2.4E-2</v>
      </c>
      <c r="AT48" s="1443">
        <f>AS48</f>
        <v>2.4E-2</v>
      </c>
      <c r="AU48" s="1444">
        <f>AT48</f>
        <v>2.4E-2</v>
      </c>
      <c r="AV48" s="1444">
        <f>AU48</f>
        <v>2.4E-2</v>
      </c>
      <c r="AW48" s="1447">
        <f>AW44/AW54</f>
        <v>9.6000000000000002E-2</v>
      </c>
      <c r="AX48" s="1446"/>
      <c r="AY48" s="1443">
        <v>2.4E-2</v>
      </c>
      <c r="AZ48" s="1443">
        <f>AY48</f>
        <v>2.4E-2</v>
      </c>
      <c r="BA48" s="1444">
        <f>AZ48</f>
        <v>2.4E-2</v>
      </c>
      <c r="BB48" s="1444">
        <f>BA48</f>
        <v>2.4E-2</v>
      </c>
      <c r="BC48" s="1447">
        <f>BC44/BC54</f>
        <v>9.6000000000000002E-2</v>
      </c>
      <c r="BD48" s="1446"/>
      <c r="BE48" s="1444">
        <f>BB48</f>
        <v>2.4E-2</v>
      </c>
      <c r="BF48" s="1444">
        <f>BE48</f>
        <v>2.4E-2</v>
      </c>
      <c r="BG48" s="1444">
        <f>BF48</f>
        <v>2.4E-2</v>
      </c>
      <c r="BH48" s="1444">
        <f>BG48</f>
        <v>2.4E-2</v>
      </c>
      <c r="BI48" s="1447">
        <f>BI44/BI54</f>
        <v>9.6000000000000016E-2</v>
      </c>
      <c r="BJ48" s="1423"/>
      <c r="BK48" s="1444">
        <f>BH48</f>
        <v>2.4E-2</v>
      </c>
      <c r="BL48" s="1444">
        <f>BK48</f>
        <v>2.4E-2</v>
      </c>
      <c r="BM48" s="1444">
        <f>BL48</f>
        <v>2.4E-2</v>
      </c>
      <c r="BN48" s="1444">
        <f>BM48</f>
        <v>2.4E-2</v>
      </c>
      <c r="BO48" s="1448">
        <f>BO44/BO54</f>
        <v>9.5999999999999988E-2</v>
      </c>
      <c r="BP48" s="1423"/>
      <c r="BQ48" s="1444">
        <f>BN48</f>
        <v>2.4E-2</v>
      </c>
      <c r="BR48" s="1444">
        <f>BQ48</f>
        <v>2.4E-2</v>
      </c>
      <c r="BS48" s="1444">
        <f>BR48</f>
        <v>2.4E-2</v>
      </c>
      <c r="BT48" s="1444">
        <f>BS48</f>
        <v>2.4E-2</v>
      </c>
      <c r="BU48" s="1447">
        <f>BU44/BU54</f>
        <v>9.6000000000000002E-2</v>
      </c>
      <c r="BV48" s="1423"/>
      <c r="BW48" s="1444">
        <f>BT48</f>
        <v>2.4E-2</v>
      </c>
      <c r="BX48" s="1444">
        <f>BW48</f>
        <v>2.4E-2</v>
      </c>
      <c r="BY48" s="1444">
        <f>BX48</f>
        <v>2.4E-2</v>
      </c>
      <c r="BZ48" s="1444">
        <f>BY48</f>
        <v>2.4E-2</v>
      </c>
      <c r="CA48" s="1447">
        <f>CA44/CA54</f>
        <v>9.6000000000000002E-2</v>
      </c>
      <c r="CB48" s="1423"/>
      <c r="CC48" s="1444">
        <f>BZ48</f>
        <v>2.4E-2</v>
      </c>
      <c r="CD48" s="1444">
        <f>CC48</f>
        <v>2.4E-2</v>
      </c>
      <c r="CE48" s="1444">
        <f>CD48</f>
        <v>2.4E-2</v>
      </c>
      <c r="CF48" s="1444">
        <f>CE48</f>
        <v>2.4E-2</v>
      </c>
      <c r="CG48" s="1447">
        <f>CG44/CG54</f>
        <v>9.5999999999999988E-2</v>
      </c>
      <c r="CH48" s="1423"/>
      <c r="CI48" s="1444">
        <f>CF48</f>
        <v>2.4E-2</v>
      </c>
      <c r="CJ48" s="1444">
        <f>CI48</f>
        <v>2.4E-2</v>
      </c>
      <c r="CK48" s="1444">
        <f>CJ48</f>
        <v>2.4E-2</v>
      </c>
      <c r="CL48" s="1444">
        <f>CK48</f>
        <v>2.4E-2</v>
      </c>
      <c r="CM48" s="1447">
        <f>CM44/CM54</f>
        <v>9.6000000000000002E-2</v>
      </c>
      <c r="CN48" s="1423"/>
      <c r="CO48" s="1444">
        <f>CL48</f>
        <v>2.4E-2</v>
      </c>
      <c r="CP48" s="1444">
        <f>CO48</f>
        <v>2.4E-2</v>
      </c>
      <c r="CQ48" s="1444">
        <f>CP48</f>
        <v>2.4E-2</v>
      </c>
      <c r="CR48" s="1444">
        <f>CQ48</f>
        <v>2.4E-2</v>
      </c>
      <c r="CS48" s="1447">
        <f>CS44/CS54</f>
        <v>9.6000000000000002E-2</v>
      </c>
      <c r="CT48" s="1423"/>
      <c r="CU48" s="1444">
        <f>CR48</f>
        <v>2.4E-2</v>
      </c>
      <c r="CV48" s="1444">
        <f>CU48</f>
        <v>2.4E-2</v>
      </c>
      <c r="CW48" s="1444">
        <f>CV48</f>
        <v>2.4E-2</v>
      </c>
      <c r="CX48" s="1444">
        <f>CW48</f>
        <v>2.4E-2</v>
      </c>
      <c r="CY48" s="1447">
        <f>CY44/CY54</f>
        <v>9.6000000000000016E-2</v>
      </c>
      <c r="CZ48" s="1423"/>
      <c r="DA48" s="1444">
        <f>CX48</f>
        <v>2.4E-2</v>
      </c>
      <c r="DB48" s="1444">
        <f>DA48</f>
        <v>2.4E-2</v>
      </c>
      <c r="DC48" s="1444">
        <f>DB48</f>
        <v>2.4E-2</v>
      </c>
      <c r="DD48" s="1444">
        <f>DC48</f>
        <v>2.4E-2</v>
      </c>
      <c r="DE48" s="1447">
        <f>DE44/DE54</f>
        <v>9.5999999999999988E-2</v>
      </c>
      <c r="DF48" s="1423"/>
      <c r="DG48" s="1444">
        <f>DD48</f>
        <v>2.4E-2</v>
      </c>
      <c r="DH48" s="1444">
        <f>DG48</f>
        <v>2.4E-2</v>
      </c>
      <c r="DI48" s="1444">
        <f>DH48</f>
        <v>2.4E-2</v>
      </c>
      <c r="DJ48" s="1444">
        <f>DI48</f>
        <v>2.4E-2</v>
      </c>
      <c r="DK48" s="1447">
        <f>DK44/DK54</f>
        <v>9.6000000000000016E-2</v>
      </c>
      <c r="DL48" s="1423"/>
      <c r="DM48" s="1444">
        <f>DJ48</f>
        <v>2.4E-2</v>
      </c>
      <c r="DN48" s="1444">
        <f>DM48</f>
        <v>2.4E-2</v>
      </c>
      <c r="DO48" s="1444">
        <f>DN48</f>
        <v>2.4E-2</v>
      </c>
      <c r="DP48" s="1444">
        <f>DO48</f>
        <v>2.4E-2</v>
      </c>
      <c r="DQ48" s="1447">
        <f>DQ44/DQ54</f>
        <v>9.6000000000000016E-2</v>
      </c>
      <c r="DR48" s="1423"/>
      <c r="DS48" s="1444">
        <f>DP48</f>
        <v>2.4E-2</v>
      </c>
      <c r="DT48" s="1444">
        <f>DS48</f>
        <v>2.4E-2</v>
      </c>
      <c r="DU48" s="1444">
        <f>DT48</f>
        <v>2.4E-2</v>
      </c>
      <c r="DV48" s="1444">
        <f>DU48</f>
        <v>2.4E-2</v>
      </c>
      <c r="DW48" s="1447">
        <f>DW44/DW54</f>
        <v>9.6000000000000002E-2</v>
      </c>
      <c r="EJ48" s="656"/>
      <c r="EK48" s="656"/>
      <c r="EL48" s="656"/>
    </row>
    <row r="49" spans="1:142" ht="1.5" hidden="1" customHeight="1" outlineLevel="1">
      <c r="A49" s="1340"/>
      <c r="B49" s="1340"/>
      <c r="C49" s="1340"/>
      <c r="D49" s="1340"/>
      <c r="E49" s="1340"/>
      <c r="F49" s="1340"/>
      <c r="G49" s="853"/>
      <c r="H49" s="1340"/>
      <c r="I49" s="1340"/>
      <c r="J49" s="1340"/>
      <c r="K49" s="1340"/>
      <c r="L49" s="500"/>
      <c r="M49" s="853"/>
      <c r="N49" s="1340"/>
      <c r="O49" s="1340"/>
      <c r="P49" s="1340"/>
      <c r="Q49" s="1340"/>
      <c r="R49" s="1340"/>
      <c r="S49" s="853"/>
      <c r="T49" s="1340"/>
      <c r="U49" s="1340"/>
      <c r="V49" s="1340"/>
      <c r="W49" s="1340"/>
      <c r="X49" s="1340"/>
      <c r="Y49" s="853"/>
      <c r="Z49" s="1340"/>
      <c r="AA49" s="1340"/>
      <c r="AB49" s="1340"/>
      <c r="AC49" s="1340"/>
      <c r="AD49" s="1340"/>
      <c r="AE49" s="853"/>
      <c r="AF49" s="1340"/>
      <c r="AG49" s="1340"/>
      <c r="AH49" s="1340"/>
      <c r="AI49" s="1340"/>
      <c r="AJ49" s="1340"/>
      <c r="AK49" s="853"/>
      <c r="AL49" s="1340"/>
      <c r="AM49" s="1340"/>
      <c r="AN49" s="1340"/>
      <c r="AO49" s="1340"/>
      <c r="AP49" s="1340"/>
      <c r="AQ49" s="853"/>
      <c r="AR49" s="1340"/>
      <c r="AS49" s="1340"/>
      <c r="AT49" s="1340"/>
      <c r="AU49" s="1340"/>
      <c r="AV49" s="1340"/>
      <c r="AW49" s="1341"/>
      <c r="AX49" s="1340"/>
      <c r="AY49" s="1340"/>
      <c r="AZ49" s="1340"/>
      <c r="BA49" s="1340"/>
      <c r="BB49" s="1340"/>
      <c r="BC49" s="1341"/>
      <c r="BD49" s="1340"/>
      <c r="BE49" s="1340"/>
      <c r="BF49" s="1340"/>
      <c r="BG49" s="1340"/>
      <c r="BH49" s="1340"/>
      <c r="BI49" s="1341"/>
      <c r="BJ49" s="1340"/>
      <c r="BK49" s="1340"/>
      <c r="BL49" s="1340"/>
      <c r="BM49" s="1340"/>
      <c r="BN49" s="1340"/>
      <c r="BO49" s="1418"/>
      <c r="BP49" s="1340"/>
      <c r="BQ49" s="1340"/>
      <c r="BR49" s="1340"/>
      <c r="BS49" s="1340"/>
      <c r="BT49" s="1340"/>
      <c r="BU49" s="1341"/>
      <c r="BV49" s="1340"/>
      <c r="BW49" s="1340"/>
      <c r="BX49" s="1340"/>
      <c r="BY49" s="1340"/>
      <c r="BZ49" s="1340"/>
      <c r="CA49" s="1341"/>
      <c r="CB49" s="1340"/>
      <c r="CC49" s="1340"/>
      <c r="CD49" s="1340"/>
      <c r="CE49" s="1340"/>
      <c r="CF49" s="1340"/>
      <c r="CG49" s="1341"/>
      <c r="CH49" s="1340"/>
      <c r="CI49" s="1340"/>
      <c r="CJ49" s="1340"/>
      <c r="CK49" s="1340"/>
      <c r="CL49" s="1340"/>
      <c r="CM49" s="1341"/>
      <c r="CN49" s="1340"/>
      <c r="CO49" s="1340"/>
      <c r="CP49" s="1340"/>
      <c r="CQ49" s="1340"/>
      <c r="CR49" s="1340"/>
      <c r="CS49" s="1341"/>
      <c r="CT49" s="1340"/>
      <c r="CU49" s="1340"/>
      <c r="CV49" s="1340"/>
      <c r="CW49" s="1340"/>
      <c r="CX49" s="1340"/>
      <c r="CY49" s="1341"/>
      <c r="CZ49" s="1340"/>
      <c r="DA49" s="1340"/>
      <c r="DB49" s="1340"/>
      <c r="DC49" s="1340"/>
      <c r="DD49" s="1340"/>
      <c r="DE49" s="1341"/>
      <c r="DF49" s="1340"/>
      <c r="DG49" s="1340"/>
      <c r="DH49" s="1340"/>
      <c r="DI49" s="1340"/>
      <c r="DJ49" s="1340"/>
      <c r="DK49" s="1341"/>
      <c r="DL49" s="1340"/>
      <c r="DM49" s="1340"/>
      <c r="DN49" s="1340"/>
      <c r="DO49" s="1340"/>
      <c r="DP49" s="1340"/>
      <c r="DQ49" s="1341"/>
      <c r="DR49" s="1340"/>
      <c r="DS49" s="1340"/>
      <c r="DT49" s="1340"/>
      <c r="DU49" s="1340"/>
      <c r="DV49" s="1340"/>
      <c r="DW49" s="1341"/>
      <c r="DX49" s="500"/>
      <c r="DY49" s="500"/>
      <c r="DZ49" s="500"/>
      <c r="EA49" s="500"/>
      <c r="EB49" s="500"/>
      <c r="EC49" s="500"/>
      <c r="ED49" s="500"/>
      <c r="EE49" s="500"/>
      <c r="EF49" s="500"/>
      <c r="EG49" s="500"/>
      <c r="EH49" s="500"/>
      <c r="EI49" s="500"/>
    </row>
    <row r="50" spans="1:142" s="475" customFormat="1" collapsed="1">
      <c r="A50" s="1440" t="s">
        <v>418</v>
      </c>
      <c r="B50" s="1440"/>
      <c r="C50" s="1424">
        <v>4200</v>
      </c>
      <c r="D50" s="1424">
        <v>7200</v>
      </c>
      <c r="E50" s="1424">
        <v>8400</v>
      </c>
      <c r="F50" s="1424">
        <v>10200</v>
      </c>
      <c r="G50" s="1435">
        <v>30000</v>
      </c>
      <c r="H50" s="1435"/>
      <c r="I50" s="1424">
        <v>5745</v>
      </c>
      <c r="J50" s="1424">
        <v>5745</v>
      </c>
      <c r="K50" s="1424">
        <v>5745</v>
      </c>
      <c r="L50" s="1424">
        <v>5765</v>
      </c>
      <c r="M50" s="1435">
        <v>23000</v>
      </c>
      <c r="N50" s="1435"/>
      <c r="O50" s="1424">
        <v>7000</v>
      </c>
      <c r="P50" s="1424">
        <v>5000</v>
      </c>
      <c r="Q50" s="1424">
        <v>4000</v>
      </c>
      <c r="R50" s="1424">
        <v>7000</v>
      </c>
      <c r="S50" s="1435">
        <v>23000</v>
      </c>
      <c r="T50" s="1424"/>
      <c r="U50" s="1424">
        <v>9000</v>
      </c>
      <c r="V50" s="1424">
        <v>11000</v>
      </c>
      <c r="W50" s="1424">
        <v>11000</v>
      </c>
      <c r="X50" s="1424">
        <v>20000</v>
      </c>
      <c r="Y50" s="1435">
        <v>51000</v>
      </c>
      <c r="Z50" s="1424"/>
      <c r="AA50" s="1424">
        <v>20000</v>
      </c>
      <c r="AB50" s="1424">
        <v>21000</v>
      </c>
      <c r="AC50" s="1424">
        <v>27000</v>
      </c>
      <c r="AD50" s="1424">
        <v>32000</v>
      </c>
      <c r="AE50" s="1435">
        <v>100000</v>
      </c>
      <c r="AF50" s="1424"/>
      <c r="AG50" s="1424">
        <v>40000</v>
      </c>
      <c r="AH50" s="1424">
        <v>41000</v>
      </c>
      <c r="AI50" s="1424">
        <v>43000</v>
      </c>
      <c r="AJ50" s="1424">
        <v>48000</v>
      </c>
      <c r="AK50" s="1435">
        <f>SUM(AG50:AJ50)</f>
        <v>172000</v>
      </c>
      <c r="AL50" s="1424"/>
      <c r="AM50" s="1424">
        <v>40000</v>
      </c>
      <c r="AN50" s="1424">
        <v>41000</v>
      </c>
      <c r="AO50" s="1424">
        <v>43000</v>
      </c>
      <c r="AP50" s="1424">
        <v>48000</v>
      </c>
      <c r="AQ50" s="1435">
        <f>SUM(AM50:AP50)</f>
        <v>172000</v>
      </c>
      <c r="AR50" s="1424"/>
      <c r="AS50" s="1438">
        <v>77000</v>
      </c>
      <c r="AT50" s="1438">
        <v>97000</v>
      </c>
      <c r="AU50" s="1438">
        <v>140000</v>
      </c>
      <c r="AV50" s="1438">
        <v>140000</v>
      </c>
      <c r="AW50" s="1436">
        <f>SUM(AS50:AV50)</f>
        <v>454000</v>
      </c>
      <c r="AX50" s="1424"/>
      <c r="AY50" s="1438">
        <v>110000</v>
      </c>
      <c r="AZ50" s="1438">
        <v>105000</v>
      </c>
      <c r="BA50" s="1438">
        <f>BA36-AZ36</f>
        <v>123243.48008385743</v>
      </c>
      <c r="BB50" s="1438">
        <f>BB36-BA36</f>
        <v>103756.51991614257</v>
      </c>
      <c r="BC50" s="1436">
        <f>SUM(AY50:BB50)</f>
        <v>442000</v>
      </c>
      <c r="BD50" s="1424"/>
      <c r="BE50" s="1424">
        <f>BE36-BB36</f>
        <v>141379.32098253211</v>
      </c>
      <c r="BF50" s="1424">
        <f>BF36-BE36</f>
        <v>95821.168305831961</v>
      </c>
      <c r="BG50" s="1424">
        <f>BG36-BF36</f>
        <v>186089.44829267566</v>
      </c>
      <c r="BH50" s="1424">
        <f>BH36-BG36</f>
        <v>215336.53429722902</v>
      </c>
      <c r="BI50" s="1436">
        <f>SUM(BE50:BH50)</f>
        <v>638626.47187826876</v>
      </c>
      <c r="BJ50" s="1422"/>
      <c r="BK50" s="1424">
        <f>BK36-BH36</f>
        <v>197457.16977630788</v>
      </c>
      <c r="BL50" s="1424">
        <f>BL36-BK36</f>
        <v>215137.28626404423</v>
      </c>
      <c r="BM50" s="1424">
        <f>BM36-BL36</f>
        <v>214760.78694678051</v>
      </c>
      <c r="BN50" s="1424">
        <f>BN36-BM36</f>
        <v>233501.82909087604</v>
      </c>
      <c r="BO50" s="1439">
        <f>SUM(BK50:BN50)</f>
        <v>860857.07207800867</v>
      </c>
      <c r="BP50" s="1422"/>
      <c r="BQ50" s="1424">
        <f>BQ36-BN36</f>
        <v>238983.77012193389</v>
      </c>
      <c r="BR50" s="1424">
        <f>BR36-BQ36</f>
        <v>277772.32438050536</v>
      </c>
      <c r="BS50" s="1424">
        <f>BS36-BR36</f>
        <v>294485.06972091831</v>
      </c>
      <c r="BT50" s="1424">
        <f>BT36-BS36</f>
        <v>308481.09645384038</v>
      </c>
      <c r="BU50" s="1436">
        <f>SUM(BQ50:BT50)</f>
        <v>1119722.2606771979</v>
      </c>
      <c r="BV50" s="1422"/>
      <c r="BW50" s="1424">
        <f>BW36-BT36</f>
        <v>236665.7028933703</v>
      </c>
      <c r="BX50" s="1424">
        <f>BX36-BW36</f>
        <v>262783.16247059032</v>
      </c>
      <c r="BY50" s="1424">
        <f>BY36-BX36</f>
        <v>275285.03717820439</v>
      </c>
      <c r="BZ50" s="1424">
        <f>BZ36-BY36</f>
        <v>325138.11198048666</v>
      </c>
      <c r="CA50" s="1436">
        <f>SUM(BW50:BZ50)</f>
        <v>1099872.0145226517</v>
      </c>
      <c r="CB50" s="1422"/>
      <c r="CC50" s="1424">
        <f>CC36-BZ36</f>
        <v>253048.73071333393</v>
      </c>
      <c r="CD50" s="1424">
        <f>CD36-CC36</f>
        <v>546734.08114450425</v>
      </c>
      <c r="CE50" s="1424">
        <f>CE36-CD36</f>
        <v>298882.80706478283</v>
      </c>
      <c r="CF50" s="1424">
        <f>CF36-CE36</f>
        <v>383499.66267252248</v>
      </c>
      <c r="CG50" s="1436">
        <f>SUM(CC50:CF50)</f>
        <v>1482165.2815951435</v>
      </c>
      <c r="CH50" s="1422"/>
      <c r="CI50" s="1424">
        <f>CI36-CF36</f>
        <v>316970.45977146644</v>
      </c>
      <c r="CJ50" s="1424">
        <f>CJ36-CI36</f>
        <v>406513.77071041521</v>
      </c>
      <c r="CK50" s="1424">
        <f>CK36-CJ36</f>
        <v>306626.85823605862</v>
      </c>
      <c r="CL50" s="1424">
        <f>CL36-CK36</f>
        <v>486379.54042018764</v>
      </c>
      <c r="CM50" s="1436">
        <f>SUM(CI50:CL50)</f>
        <v>1516490.6291381279</v>
      </c>
      <c r="CN50" s="1422"/>
      <c r="CO50" s="1424">
        <f>CO36-CL36</f>
        <v>327337.84124592319</v>
      </c>
      <c r="CP50" s="1424">
        <f>CP36-CO36</f>
        <v>399590.40217147581</v>
      </c>
      <c r="CQ50" s="1424">
        <f>CQ36-CP36</f>
        <v>357013.62415976264</v>
      </c>
      <c r="CR50" s="1424">
        <f>CR36-CQ36</f>
        <v>460956.67686082982</v>
      </c>
      <c r="CS50" s="1436">
        <f>SUM(CO50:CR50)</f>
        <v>1544898.5444379915</v>
      </c>
      <c r="CT50" s="1422"/>
      <c r="CU50" s="1424">
        <f>CU36-CR36</f>
        <v>353725.09411462024</v>
      </c>
      <c r="CV50" s="1424">
        <f>CV36-CU36</f>
        <v>439959.16996154934</v>
      </c>
      <c r="CW50" s="1424">
        <f>CW36-CV36</f>
        <v>350750.40622294508</v>
      </c>
      <c r="CX50" s="1424">
        <f>CX36-CW36</f>
        <v>556032.70752451755</v>
      </c>
      <c r="CY50" s="1436">
        <f>SUM(CU50:CX50)</f>
        <v>1700467.3778236322</v>
      </c>
      <c r="CZ50" s="1422"/>
      <c r="DA50" s="1424">
        <f>DA36-CX36</f>
        <v>274804.3335882891</v>
      </c>
      <c r="DB50" s="1424">
        <f>DB36-DA36</f>
        <v>484981.98138611764</v>
      </c>
      <c r="DC50" s="1424">
        <f>DC36-DB36</f>
        <v>353287.38598565012</v>
      </c>
      <c r="DD50" s="1424">
        <f>DD36-DC36</f>
        <v>587182.96608863585</v>
      </c>
      <c r="DE50" s="1436">
        <f>SUM(DA50:DD50)</f>
        <v>1700256.6670486927</v>
      </c>
      <c r="DF50" s="1422"/>
      <c r="DG50" s="1424">
        <f>DG36-DD36</f>
        <v>304633.10343732126</v>
      </c>
      <c r="DH50" s="1424">
        <f>DH36-DG36</f>
        <v>563776.9065822158</v>
      </c>
      <c r="DI50" s="1424">
        <f>DI36-DH36</f>
        <v>401058.88224719279</v>
      </c>
      <c r="DJ50" s="1424">
        <f>DJ36-DI36</f>
        <v>672140.2021072302</v>
      </c>
      <c r="DK50" s="1436">
        <f>SUM(DG50:DJ50)</f>
        <v>1941609.09437396</v>
      </c>
      <c r="DL50" s="1422"/>
      <c r="DM50" s="1424">
        <f>DM36-DJ36</f>
        <v>359633.94218752719</v>
      </c>
      <c r="DN50" s="1424">
        <f>DN36-DM36</f>
        <v>681103.10075590946</v>
      </c>
      <c r="DO50" s="1424">
        <f>DO36-DN36</f>
        <v>459960.13676854596</v>
      </c>
      <c r="DP50" s="1424">
        <f>DP36-DO36</f>
        <v>739736.73810349032</v>
      </c>
      <c r="DQ50" s="1436">
        <f>SUM(DM50:DP50)</f>
        <v>2240433.9178154729</v>
      </c>
      <c r="DR50" s="1422"/>
      <c r="DS50" s="1424">
        <f>DS36-DP36</f>
        <v>411499.0329621546</v>
      </c>
      <c r="DT50" s="1424">
        <f>DT36-DS36</f>
        <v>800742.1390867494</v>
      </c>
      <c r="DU50" s="1424">
        <f>DU36-DT36</f>
        <v>537563.59156585112</v>
      </c>
      <c r="DV50" s="1424">
        <f>DV36-DU36</f>
        <v>854231.79794177413</v>
      </c>
      <c r="DW50" s="1436">
        <f>SUM(DS50:DV50)</f>
        <v>2604036.5615565293</v>
      </c>
      <c r="EJ50" s="656"/>
      <c r="EK50" s="656"/>
      <c r="EL50" s="656"/>
    </row>
    <row r="51" spans="1:142" s="1356" customFormat="1">
      <c r="A51" s="1350" t="s">
        <v>877</v>
      </c>
      <c r="B51" s="1350"/>
      <c r="C51" s="1404" t="s">
        <v>88</v>
      </c>
      <c r="D51" s="1404" t="s">
        <v>88</v>
      </c>
      <c r="E51" s="1404" t="s">
        <v>88</v>
      </c>
      <c r="F51" s="1404" t="s">
        <v>88</v>
      </c>
      <c r="G51" s="1405" t="s">
        <v>88</v>
      </c>
      <c r="H51" s="1350"/>
      <c r="I51" s="1351">
        <f>I50/C50-1</f>
        <v>0.36785714285714288</v>
      </c>
      <c r="J51" s="1351">
        <f>J50/D50-1</f>
        <v>-0.20208333333333328</v>
      </c>
      <c r="K51" s="1351">
        <f>K50/E50-1</f>
        <v>-0.31607142857142856</v>
      </c>
      <c r="L51" s="1351">
        <f>L50/F50-1</f>
        <v>-0.43480392156862746</v>
      </c>
      <c r="M51" s="1352">
        <f>M50/G50-1</f>
        <v>-0.23333333333333328</v>
      </c>
      <c r="N51" s="1350"/>
      <c r="O51" s="1351">
        <f>O50/I50-1</f>
        <v>0.21845082680591821</v>
      </c>
      <c r="P51" s="1351">
        <f>P50/J50-1</f>
        <v>-0.1296779808529156</v>
      </c>
      <c r="Q51" s="1351">
        <f>Q50/K50-1</f>
        <v>-0.3037423846823325</v>
      </c>
      <c r="R51" s="1351">
        <f>R50/L50-1</f>
        <v>0.21422376409366861</v>
      </c>
      <c r="S51" s="1352">
        <f>S50/M50-1</f>
        <v>0</v>
      </c>
      <c r="T51" s="1350"/>
      <c r="U51" s="1351">
        <f>U50/O50-1</f>
        <v>0.28571428571428581</v>
      </c>
      <c r="V51" s="1351">
        <f>V50/P50-1</f>
        <v>1.2000000000000002</v>
      </c>
      <c r="W51" s="1351">
        <f>W50/Q50-1</f>
        <v>1.75</v>
      </c>
      <c r="X51" s="1449">
        <f>X50/R50-1</f>
        <v>1.8571428571428572</v>
      </c>
      <c r="Y51" s="1352">
        <f>Y50/S50-1</f>
        <v>1.2173913043478262</v>
      </c>
      <c r="Z51" s="1350"/>
      <c r="AA51" s="1351">
        <f>AA50/U50-1</f>
        <v>1.2222222222222223</v>
      </c>
      <c r="AB51" s="1351">
        <f>AB50/V50-1</f>
        <v>0.90909090909090917</v>
      </c>
      <c r="AC51" s="1351">
        <f>AC50/W50-1</f>
        <v>1.4545454545454546</v>
      </c>
      <c r="AD51" s="1351">
        <f>AD50/X50-1</f>
        <v>0.60000000000000009</v>
      </c>
      <c r="AE51" s="1352">
        <f>AE50/Y50-1</f>
        <v>0.96078431372549011</v>
      </c>
      <c r="AF51" s="1350"/>
      <c r="AG51" s="1351">
        <f>AG50/AA50-1</f>
        <v>1</v>
      </c>
      <c r="AH51" s="1351">
        <f>AH50/AB50-1</f>
        <v>0.95238095238095233</v>
      </c>
      <c r="AI51" s="1351">
        <f>AI50/AC50-1</f>
        <v>0.59259259259259256</v>
      </c>
      <c r="AJ51" s="1351">
        <f>AJ50/AD50-1</f>
        <v>0.5</v>
      </c>
      <c r="AK51" s="1352">
        <f>AK50/AE50-1</f>
        <v>0.72</v>
      </c>
      <c r="AL51" s="1350"/>
      <c r="AM51" s="1351">
        <f>AM50/AG50-1</f>
        <v>0</v>
      </c>
      <c r="AN51" s="1351">
        <f>AN50/AH50-1</f>
        <v>0</v>
      </c>
      <c r="AO51" s="1351">
        <f>AO50/AI50-1</f>
        <v>0</v>
      </c>
      <c r="AP51" s="1351">
        <f>AP50/AJ50-1</f>
        <v>0</v>
      </c>
      <c r="AQ51" s="1352">
        <f>AQ50/AK50-1</f>
        <v>0</v>
      </c>
      <c r="AR51" s="1350"/>
      <c r="AS51" s="1351">
        <f>AS50/AM50-1</f>
        <v>0.92500000000000004</v>
      </c>
      <c r="AT51" s="1351">
        <f>AT50/AN50-1</f>
        <v>1.3658536585365852</v>
      </c>
      <c r="AU51" s="1351">
        <f>AU50/AO50-1</f>
        <v>2.2558139534883721</v>
      </c>
      <c r="AV51" s="1351">
        <f>AV50/AP50-1</f>
        <v>1.9166666666666665</v>
      </c>
      <c r="AW51" s="1354">
        <f>AW50/AQ50-1</f>
        <v>1.63953488372093</v>
      </c>
      <c r="AX51" s="1350"/>
      <c r="AY51" s="1351">
        <f>AY50/AS50-1</f>
        <v>0.4285714285714286</v>
      </c>
      <c r="AZ51" s="1351">
        <f>AZ50/AT50-1</f>
        <v>8.247422680412364E-2</v>
      </c>
      <c r="BA51" s="1351">
        <f>BA50/AU50-1</f>
        <v>-0.11968942797244697</v>
      </c>
      <c r="BB51" s="1351">
        <f>BB50/AV50-1</f>
        <v>-0.2588820005989817</v>
      </c>
      <c r="BC51" s="1354">
        <f>BC50/AW50-1</f>
        <v>-2.6431718061673992E-2</v>
      </c>
      <c r="BD51" s="1350"/>
      <c r="BE51" s="1351">
        <f>BE50/AY50-1</f>
        <v>0.28526655438665549</v>
      </c>
      <c r="BF51" s="1351">
        <f>BF50/AZ50-1</f>
        <v>-8.7417444706362257E-2</v>
      </c>
      <c r="BG51" s="1351">
        <f>BG50/BA50-1</f>
        <v>0.50993341121215119</v>
      </c>
      <c r="BH51" s="1351">
        <f>BH50/BB50-1</f>
        <v>1.0754024370831532</v>
      </c>
      <c r="BI51" s="1354">
        <f>BI50/BC50-1</f>
        <v>0.44485627121780258</v>
      </c>
      <c r="BJ51" s="1407"/>
      <c r="BK51" s="1351">
        <f>BK50/BE50-1</f>
        <v>0.39664816894052257</v>
      </c>
      <c r="BL51" s="1351">
        <f>BL50/BF50-1</f>
        <v>1.2451958170390034</v>
      </c>
      <c r="BM51" s="1351">
        <f>BM50/BG50-1</f>
        <v>0.15407288762021309</v>
      </c>
      <c r="BN51" s="1351">
        <f>BN50/BH50-1</f>
        <v>8.4357700159571891E-2</v>
      </c>
      <c r="BO51" s="1355">
        <f>BO50/BI50-1</f>
        <v>0.34798213037761494</v>
      </c>
      <c r="BP51" s="1407"/>
      <c r="BQ51" s="1351">
        <f>BQ50/BK50-1</f>
        <v>0.21030687511965263</v>
      </c>
      <c r="BR51" s="1351">
        <f>BR50/BL50-1</f>
        <v>0.29113985401669207</v>
      </c>
      <c r="BS51" s="1351">
        <f>BS50/BM50-1</f>
        <v>0.3712236479832518</v>
      </c>
      <c r="BT51" s="1351">
        <f>BT50/BN50-1</f>
        <v>0.32110783737708259</v>
      </c>
      <c r="BU51" s="1354">
        <f>BU50/BO50-1</f>
        <v>0.30070635067714413</v>
      </c>
      <c r="BV51" s="1407"/>
      <c r="BW51" s="1351">
        <f>BW50/BQ50-1</f>
        <v>-9.6996847416913612E-3</v>
      </c>
      <c r="BX51" s="1351">
        <f>BX50/BR50-1</f>
        <v>-5.3962042270929045E-2</v>
      </c>
      <c r="BY51" s="1351">
        <f>BY50/BS50-1</f>
        <v>-6.5198662060897195E-2</v>
      </c>
      <c r="BZ51" s="1351">
        <f>BZ50/BT50-1</f>
        <v>5.3996876042414987E-2</v>
      </c>
      <c r="CA51" s="1354">
        <f>CA50/BU50-1</f>
        <v>-1.7727830241171638E-2</v>
      </c>
      <c r="CB51" s="1407"/>
      <c r="CC51" s="1351">
        <f>CC50/BW50-1</f>
        <v>6.9224343112128217E-2</v>
      </c>
      <c r="CD51" s="1351">
        <f>CD50/BX50-1</f>
        <v>1.0805521784741159</v>
      </c>
      <c r="CE51" s="1351">
        <f>CE50/BY50-1</f>
        <v>8.5721222368154049E-2</v>
      </c>
      <c r="CF51" s="1351">
        <f>CF50/BZ50-1</f>
        <v>0.17949772278784226</v>
      </c>
      <c r="CG51" s="1354">
        <f>CG50/CA50-1</f>
        <v>0.34757977475989188</v>
      </c>
      <c r="CH51" s="1407"/>
      <c r="CI51" s="1351">
        <f>CI50/CC50-1</f>
        <v>0.25260640066417173</v>
      </c>
      <c r="CJ51" s="1351">
        <f>CJ50/CD50-1</f>
        <v>-0.25646894033121048</v>
      </c>
      <c r="CK51" s="1351">
        <f>CK50/CE50-1</f>
        <v>2.5909992104689028E-2</v>
      </c>
      <c r="CL51" s="1351">
        <f>CL50/CF50-1</f>
        <v>0.26826588850357402</v>
      </c>
      <c r="CM51" s="1354">
        <f>CM50/CG50-1</f>
        <v>2.3158920242715819E-2</v>
      </c>
      <c r="CN51" s="1407"/>
      <c r="CO51" s="1351">
        <f>CO50/CI50-1</f>
        <v>3.2707721350221597E-2</v>
      </c>
      <c r="CP51" s="1351">
        <f>CP50/CJ50-1</f>
        <v>-1.7031079972617547E-2</v>
      </c>
      <c r="CQ51" s="1351">
        <f>CQ50/CK50-1</f>
        <v>0.1643260026651463</v>
      </c>
      <c r="CR51" s="1351">
        <f>CR50/CL50-1</f>
        <v>-5.2269599040689063E-2</v>
      </c>
      <c r="CS51" s="1354">
        <f>CS50/CM50-1</f>
        <v>1.8732667880716702E-2</v>
      </c>
      <c r="CT51" s="1407"/>
      <c r="CU51" s="1351">
        <f>CU50/CO50-1</f>
        <v>8.0611678650598595E-2</v>
      </c>
      <c r="CV51" s="1351">
        <f>CV50/CP50-1</f>
        <v>0.10102536890450664</v>
      </c>
      <c r="CW51" s="1351">
        <f>CW50/CQ50-1</f>
        <v>-1.754335832857401E-2</v>
      </c>
      <c r="CX51" s="1351">
        <f>CX50/CR50-1</f>
        <v>0.20625806162775828</v>
      </c>
      <c r="CY51" s="1354">
        <f>CY50/CS50-1</f>
        <v>0.10069841410992719</v>
      </c>
      <c r="CZ51" s="1407"/>
      <c r="DA51" s="1351">
        <f>DA50/CU50-1</f>
        <v>-0.22311326462113501</v>
      </c>
      <c r="DB51" s="1351">
        <f>DB50/CV50-1</f>
        <v>0.10233406756473129</v>
      </c>
      <c r="DC51" s="1351">
        <f>DC50/CW50-1</f>
        <v>7.233005914446311E-3</v>
      </c>
      <c r="DD51" s="1351">
        <f>DD50/CX50-1</f>
        <v>5.6022349301717567E-2</v>
      </c>
      <c r="DE51" s="1354">
        <f>DE50/CY50-1</f>
        <v>-1.2391344737772148E-4</v>
      </c>
      <c r="DF51" s="1407"/>
      <c r="DG51" s="1351">
        <f>DG50/DA50-1</f>
        <v>0.10854548565351774</v>
      </c>
      <c r="DH51" s="1351">
        <f>DH50/DB50-1</f>
        <v>0.16246979933336059</v>
      </c>
      <c r="DI51" s="1351">
        <f>DI50/DC50-1</f>
        <v>0.13521993186443138</v>
      </c>
      <c r="DJ51" s="1351">
        <f>DJ50/DD50-1</f>
        <v>0.14468613860602009</v>
      </c>
      <c r="DK51" s="1354">
        <f>DK50/DE50-1</f>
        <v>0.14195058428690488</v>
      </c>
      <c r="DL51" s="1407"/>
      <c r="DM51" s="1351">
        <f>DM50/DG50-1</f>
        <v>0.18054780695073891</v>
      </c>
      <c r="DN51" s="1351">
        <f>DN50/DH50-1</f>
        <v>0.2081074850776703</v>
      </c>
      <c r="DO51" s="1351">
        <f>DO50/DI50-1</f>
        <v>0.14686435615468896</v>
      </c>
      <c r="DP51" s="1351">
        <f>DP50/DJ50-1</f>
        <v>0.10056910118504714</v>
      </c>
      <c r="DQ51" s="1354">
        <f>DQ50/DK50-1</f>
        <v>0.15390576007672863</v>
      </c>
      <c r="DR51" s="1407"/>
      <c r="DS51" s="1351">
        <f>DS50/DM50-1</f>
        <v>0.14421633970128145</v>
      </c>
      <c r="DT51" s="1351">
        <f>DT50/DN50-1</f>
        <v>0.17565481378378811</v>
      </c>
      <c r="DU51" s="1351">
        <f>DU50/DO50-1</f>
        <v>0.16871778355078537</v>
      </c>
      <c r="DV51" s="1351">
        <f>DV50/DP50-1</f>
        <v>0.15477811759332383</v>
      </c>
      <c r="DW51" s="1354">
        <f>DW50/DQ50-1</f>
        <v>0.16229117085300415</v>
      </c>
      <c r="EJ51" s="656"/>
      <c r="EK51" s="656"/>
      <c r="EL51" s="656"/>
    </row>
    <row r="52" spans="1:142" s="1356" customFormat="1">
      <c r="A52" s="1350" t="s">
        <v>878</v>
      </c>
      <c r="B52" s="1350"/>
      <c r="C52" s="1404" t="s">
        <v>88</v>
      </c>
      <c r="D52" s="1351">
        <f>D50/C50-1</f>
        <v>0.71428571428571419</v>
      </c>
      <c r="E52" s="1351">
        <f>E50/D50-1</f>
        <v>0.16666666666666674</v>
      </c>
      <c r="F52" s="1351">
        <f>F50/E50-1</f>
        <v>0.21428571428571419</v>
      </c>
      <c r="G52" s="1405" t="s">
        <v>88</v>
      </c>
      <c r="H52" s="1350"/>
      <c r="I52" s="1351">
        <f>I50/F50-1</f>
        <v>-0.43676470588235294</v>
      </c>
      <c r="J52" s="1351">
        <f>J50/I50-1</f>
        <v>0</v>
      </c>
      <c r="K52" s="1351">
        <f>K50/J50-1</f>
        <v>0</v>
      </c>
      <c r="L52" s="1351">
        <f>L50/K50-1</f>
        <v>3.4812880765884291E-3</v>
      </c>
      <c r="M52" s="1405" t="s">
        <v>88</v>
      </c>
      <c r="N52" s="1350"/>
      <c r="O52" s="1351">
        <f>O50/L50-1</f>
        <v>0.21422376409366861</v>
      </c>
      <c r="P52" s="1351">
        <f>P50/O50-1</f>
        <v>-0.2857142857142857</v>
      </c>
      <c r="Q52" s="1351">
        <f>Q50/P50-1</f>
        <v>-0.19999999999999996</v>
      </c>
      <c r="R52" s="1351">
        <f>R50/Q50-1</f>
        <v>0.75</v>
      </c>
      <c r="S52" s="1405" t="s">
        <v>88</v>
      </c>
      <c r="T52" s="1350"/>
      <c r="U52" s="1351">
        <f>U50/R50-1</f>
        <v>0.28571428571428581</v>
      </c>
      <c r="V52" s="1351">
        <f>V50/U50-1</f>
        <v>0.22222222222222232</v>
      </c>
      <c r="W52" s="1351">
        <f>W50/V50-1</f>
        <v>0</v>
      </c>
      <c r="X52" s="1449">
        <f>X50/W50-1</f>
        <v>0.81818181818181812</v>
      </c>
      <c r="Y52" s="1405" t="s">
        <v>88</v>
      </c>
      <c r="Z52" s="1350"/>
      <c r="AA52" s="1351">
        <f>AA50/X50-1</f>
        <v>0</v>
      </c>
      <c r="AB52" s="1351">
        <f>AB50/AA50-1</f>
        <v>5.0000000000000044E-2</v>
      </c>
      <c r="AC52" s="1351">
        <f>AC50/AB50-1</f>
        <v>0.28571428571428581</v>
      </c>
      <c r="AD52" s="1351">
        <f>AD50/AC50-1</f>
        <v>0.18518518518518512</v>
      </c>
      <c r="AE52" s="1405" t="s">
        <v>88</v>
      </c>
      <c r="AF52" s="1350"/>
      <c r="AG52" s="1351">
        <f>AG50/AD50-1</f>
        <v>0.25</v>
      </c>
      <c r="AH52" s="1351">
        <f>AH50/AG50-1</f>
        <v>2.4999999999999911E-2</v>
      </c>
      <c r="AI52" s="1351">
        <f>AI50/AH50-1</f>
        <v>4.8780487804878092E-2</v>
      </c>
      <c r="AJ52" s="1351">
        <f>AJ50/AI50-1</f>
        <v>0.11627906976744184</v>
      </c>
      <c r="AK52" s="1405" t="s">
        <v>88</v>
      </c>
      <c r="AL52" s="1350"/>
      <c r="AM52" s="1351">
        <f>AM50/AJ50-1</f>
        <v>-0.16666666666666663</v>
      </c>
      <c r="AN52" s="1351">
        <f>AN50/AM50-1</f>
        <v>2.4999999999999911E-2</v>
      </c>
      <c r="AO52" s="1351">
        <f>AO50/AN50-1</f>
        <v>4.8780487804878092E-2</v>
      </c>
      <c r="AP52" s="1351">
        <f>AP50/AO50-1</f>
        <v>0.11627906976744184</v>
      </c>
      <c r="AQ52" s="1405" t="s">
        <v>88</v>
      </c>
      <c r="AR52" s="1350"/>
      <c r="AS52" s="1351">
        <f>AS50/AP50-1</f>
        <v>0.60416666666666674</v>
      </c>
      <c r="AT52" s="1351">
        <f>AT50/AS50-1</f>
        <v>0.25974025974025983</v>
      </c>
      <c r="AU52" s="1351">
        <f>AU50/AT50-1</f>
        <v>0.44329896907216493</v>
      </c>
      <c r="AV52" s="1351">
        <f>AV50/AU50-1</f>
        <v>0</v>
      </c>
      <c r="AW52" s="1441" t="s">
        <v>88</v>
      </c>
      <c r="AX52" s="1350"/>
      <c r="AY52" s="1351">
        <f>AY50/AV50-1</f>
        <v>-0.2142857142857143</v>
      </c>
      <c r="AZ52" s="1351">
        <f>AZ50/AY50-1</f>
        <v>-4.5454545454545414E-2</v>
      </c>
      <c r="BA52" s="1351">
        <f>BA50/AZ50-1</f>
        <v>0.17374742937007071</v>
      </c>
      <c r="BB52" s="1351">
        <f>BB50/BA50-1</f>
        <v>-0.15811757469405707</v>
      </c>
      <c r="BC52" s="1441" t="s">
        <v>88</v>
      </c>
      <c r="BD52" s="1350"/>
      <c r="BE52" s="1351">
        <f>BE50/BB50-1</f>
        <v>0.36260662073859851</v>
      </c>
      <c r="BF52" s="1351">
        <f>BF50/BE50-1</f>
        <v>-0.32224056785736732</v>
      </c>
      <c r="BG52" s="1351">
        <f>BG50/BF50-1</f>
        <v>0.94204946133337542</v>
      </c>
      <c r="BH52" s="1351">
        <f>BH50/BG50-1</f>
        <v>0.15716681559802614</v>
      </c>
      <c r="BI52" s="1441" t="s">
        <v>88</v>
      </c>
      <c r="BJ52" s="1407"/>
      <c r="BK52" s="1351">
        <f>BK50/BH50-1</f>
        <v>-8.3029870334228817E-2</v>
      </c>
      <c r="BL52" s="1351">
        <f>BL50/BK50-1</f>
        <v>8.9538994748914469E-2</v>
      </c>
      <c r="BM52" s="1351">
        <f>BM50/BL50-1</f>
        <v>-1.7500421419355261E-3</v>
      </c>
      <c r="BN52" s="1351">
        <f>BN50/BM50-1</f>
        <v>8.7264730263536094E-2</v>
      </c>
      <c r="BO52" s="1442" t="s">
        <v>88</v>
      </c>
      <c r="BP52" s="1407"/>
      <c r="BQ52" s="1351">
        <f>BQ50/BN50-1</f>
        <v>2.3477079611759155E-2</v>
      </c>
      <c r="BR52" s="1351">
        <f>BR50/BQ50-1</f>
        <v>0.16230622790317861</v>
      </c>
      <c r="BS52" s="1351">
        <f>BS50/BR50-1</f>
        <v>6.016706443914499E-2</v>
      </c>
      <c r="BT52" s="1351">
        <f>BT50/BS50-1</f>
        <v>4.7527118254877987E-2</v>
      </c>
      <c r="BU52" s="1441" t="s">
        <v>88</v>
      </c>
      <c r="BV52" s="1407"/>
      <c r="BW52" s="1351">
        <f>BW50/BT50-1</f>
        <v>-0.2328032232315933</v>
      </c>
      <c r="BX52" s="1351">
        <f>BX50/BW50-1</f>
        <v>0.11035591240268228</v>
      </c>
      <c r="BY52" s="1351">
        <f>BY50/BX50-1</f>
        <v>4.7574869676108911E-2</v>
      </c>
      <c r="BZ52" s="1351">
        <f>BZ50/BY50-1</f>
        <v>0.1810962023700915</v>
      </c>
      <c r="CA52" s="1441" t="s">
        <v>88</v>
      </c>
      <c r="CB52" s="1407"/>
      <c r="CC52" s="1351">
        <f>CC50/BZ50-1</f>
        <v>-0.22171925901900791</v>
      </c>
      <c r="CD52" s="1351">
        <f>CD50/CC50-1</f>
        <v>1.1605881191471834</v>
      </c>
      <c r="CE52" s="1351">
        <f>CE50/CD50-1</f>
        <v>-0.4533305726266097</v>
      </c>
      <c r="CF52" s="1351">
        <f>CF50/CE50-1</f>
        <v>0.2831104821275281</v>
      </c>
      <c r="CG52" s="1441" t="s">
        <v>88</v>
      </c>
      <c r="CH52" s="1407"/>
      <c r="CI52" s="1351">
        <f>CI50/CF50-1</f>
        <v>-0.17347916928382423</v>
      </c>
      <c r="CJ52" s="1351">
        <f>CJ50/CI50-1</f>
        <v>0.28249733746011807</v>
      </c>
      <c r="CK52" s="1351">
        <f>CK50/CJ50-1</f>
        <v>-0.24571593798605207</v>
      </c>
      <c r="CL52" s="1351">
        <f>CL50/CK50-1</f>
        <v>0.58622614867529088</v>
      </c>
      <c r="CM52" s="1441" t="s">
        <v>88</v>
      </c>
      <c r="CN52" s="1407"/>
      <c r="CO52" s="1351">
        <f>CO50/CL50-1</f>
        <v>-0.32699093189007677</v>
      </c>
      <c r="CP52" s="1351">
        <f>CP50/CO50-1</f>
        <v>0.22072779807718756</v>
      </c>
      <c r="CQ52" s="1351">
        <f>CQ50/CP50-1</f>
        <v>-0.10655105272884469</v>
      </c>
      <c r="CR52" s="1351">
        <f>CR50/CQ50-1</f>
        <v>0.29114589939165159</v>
      </c>
      <c r="CS52" s="1441" t="s">
        <v>88</v>
      </c>
      <c r="CT52" s="1407"/>
      <c r="CU52" s="1351">
        <f>CU50/CR50-1</f>
        <v>-0.23262833174794106</v>
      </c>
      <c r="CV52" s="1351">
        <f>CV50/CU50-1</f>
        <v>0.2437884031461619</v>
      </c>
      <c r="CW52" s="1351">
        <f>CW50/CV50-1</f>
        <v>-0.20276600609643103</v>
      </c>
      <c r="CX52" s="1351">
        <f>CX50/CW50-1</f>
        <v>0.5852660400657963</v>
      </c>
      <c r="CY52" s="1441" t="s">
        <v>88</v>
      </c>
      <c r="CZ52" s="1407"/>
      <c r="DA52" s="1351">
        <f>DA50/CX50-1</f>
        <v>-0.50577667487991795</v>
      </c>
      <c r="DB52" s="1351">
        <f>DB50/DA50-1</f>
        <v>0.76482654059129929</v>
      </c>
      <c r="DC52" s="1351">
        <f>DC50/DB50-1</f>
        <v>-0.27154533664131963</v>
      </c>
      <c r="DD52" s="1351">
        <f>DD50/DC50-1</f>
        <v>0.66205471630534274</v>
      </c>
      <c r="DE52" s="1441" t="s">
        <v>88</v>
      </c>
      <c r="DF52" s="1407"/>
      <c r="DG52" s="1351">
        <f>DG50/DD50-1</f>
        <v>-0.48119560506573589</v>
      </c>
      <c r="DH52" s="1351">
        <f>DH50/DG50-1</f>
        <v>0.85067512434089032</v>
      </c>
      <c r="DI52" s="1351">
        <f>DI50/DH50-1</f>
        <v>-0.28862130114812323</v>
      </c>
      <c r="DJ52" s="1351">
        <f>DJ50/DI50-1</f>
        <v>0.67591401626895364</v>
      </c>
      <c r="DK52" s="1441" t="s">
        <v>88</v>
      </c>
      <c r="DL52" s="1407"/>
      <c r="DM52" s="1351">
        <f>DM50/DJ50-1</f>
        <v>-0.46494207449571234</v>
      </c>
      <c r="DN52" s="1351">
        <f>DN50/DM50-1</f>
        <v>0.89387880524568408</v>
      </c>
      <c r="DO52" s="1351">
        <f>DO50/DN50-1</f>
        <v>-0.3246835372529242</v>
      </c>
      <c r="DP52" s="1351">
        <f>DP50/DO50-1</f>
        <v>0.60826271446155622</v>
      </c>
      <c r="DQ52" s="1441" t="s">
        <v>88</v>
      </c>
      <c r="DR52" s="1407"/>
      <c r="DS52" s="1351">
        <f>DS50/DP50-1</f>
        <v>-0.44372232475956164</v>
      </c>
      <c r="DT52" s="1351">
        <f>DT50/DS50-1</f>
        <v>0.94591499601505347</v>
      </c>
      <c r="DU52" s="1351">
        <f>DU50/DT50-1</f>
        <v>-0.32866828742278353</v>
      </c>
      <c r="DV52" s="1351">
        <f>DV50/DU50-1</f>
        <v>0.58908045735298176</v>
      </c>
      <c r="DW52" s="1441" t="s">
        <v>88</v>
      </c>
      <c r="EJ52" s="656"/>
      <c r="EK52" s="656"/>
      <c r="EL52" s="656"/>
    </row>
    <row r="53" spans="1:142" ht="5.25" customHeight="1">
      <c r="A53" s="1340"/>
      <c r="B53" s="1340"/>
      <c r="C53" s="1340"/>
      <c r="D53" s="1340"/>
      <c r="E53" s="1340"/>
      <c r="F53" s="1340"/>
      <c r="G53" s="853"/>
      <c r="H53" s="1340"/>
      <c r="I53" s="1340"/>
      <c r="J53" s="1340"/>
      <c r="K53" s="1340"/>
      <c r="L53" s="500"/>
      <c r="M53" s="853"/>
      <c r="N53" s="1340"/>
      <c r="O53" s="1340"/>
      <c r="P53" s="1340"/>
      <c r="Q53" s="1340"/>
      <c r="R53" s="1340"/>
      <c r="S53" s="853"/>
      <c r="T53" s="1340"/>
      <c r="U53" s="1340"/>
      <c r="V53" s="1340"/>
      <c r="W53" s="1340"/>
      <c r="X53" s="1340"/>
      <c r="Y53" s="1450">
        <f>Y50/S36</f>
        <v>0.67105263157894735</v>
      </c>
      <c r="Z53" s="1340"/>
      <c r="AA53" s="1340"/>
      <c r="AB53" s="1340"/>
      <c r="AC53" s="1340"/>
      <c r="AD53" s="1340"/>
      <c r="AE53" s="1450">
        <f>AE50/Y36</f>
        <v>0.78740157480314965</v>
      </c>
      <c r="AF53" s="1340"/>
      <c r="AG53" s="1340"/>
      <c r="AH53" s="1340"/>
      <c r="AI53" s="1340"/>
      <c r="AJ53" s="1340"/>
      <c r="AK53" s="1450">
        <f>AK50/AE36</f>
        <v>0.75770925110132159</v>
      </c>
      <c r="AL53" s="1340"/>
      <c r="AM53" s="1340"/>
      <c r="AN53" s="1340"/>
      <c r="AO53" s="1340"/>
      <c r="AP53" s="1340"/>
      <c r="AQ53" s="1451"/>
      <c r="AR53" s="1340"/>
      <c r="AS53" s="1340"/>
      <c r="AT53" s="1340"/>
      <c r="AU53" s="1340"/>
      <c r="AV53" s="1340"/>
      <c r="AW53" s="1451"/>
      <c r="AX53" s="1340"/>
      <c r="AY53" s="1340"/>
      <c r="AZ53" s="1340"/>
      <c r="BA53" s="1340"/>
      <c r="BB53" s="1340"/>
      <c r="BC53" s="1451"/>
      <c r="BD53" s="1340"/>
      <c r="BE53" s="1340"/>
      <c r="BF53" s="1340"/>
      <c r="BG53" s="1340"/>
      <c r="BH53" s="1340"/>
      <c r="BI53" s="1451"/>
      <c r="BJ53" s="1340"/>
      <c r="BK53" s="1340"/>
      <c r="BL53" s="1340"/>
      <c r="BM53" s="1340"/>
      <c r="BN53" s="1340"/>
      <c r="BO53" s="1452"/>
      <c r="BP53" s="1340"/>
      <c r="BQ53" s="1340"/>
      <c r="BR53" s="1340"/>
      <c r="BS53" s="1340"/>
      <c r="BT53" s="1340"/>
      <c r="BU53" s="1451"/>
      <c r="BV53" s="1340"/>
      <c r="BW53" s="1340"/>
      <c r="BX53" s="1340"/>
      <c r="BY53" s="1340"/>
      <c r="BZ53" s="1340"/>
      <c r="CA53" s="1451"/>
      <c r="CB53" s="1340"/>
      <c r="CC53" s="1340"/>
      <c r="CD53" s="1340"/>
      <c r="CE53" s="1340"/>
      <c r="CF53" s="1340"/>
      <c r="CG53" s="1451"/>
      <c r="CH53" s="1340"/>
      <c r="CI53" s="1340"/>
      <c r="CJ53" s="1340"/>
      <c r="CK53" s="1340"/>
      <c r="CL53" s="1340"/>
      <c r="CM53" s="1451"/>
      <c r="CN53" s="1340"/>
      <c r="CO53" s="1340"/>
      <c r="CP53" s="1340"/>
      <c r="CQ53" s="1340"/>
      <c r="CR53" s="1340"/>
      <c r="CS53" s="1451"/>
      <c r="CT53" s="1340"/>
      <c r="CU53" s="1340"/>
      <c r="CV53" s="1340"/>
      <c r="CW53" s="1340"/>
      <c r="CX53" s="1340"/>
      <c r="CY53" s="1451"/>
      <c r="CZ53" s="1340"/>
      <c r="DA53" s="1340"/>
      <c r="DB53" s="1340"/>
      <c r="DC53" s="1340"/>
      <c r="DD53" s="1340"/>
      <c r="DE53" s="1451"/>
      <c r="DF53" s="1340"/>
      <c r="DG53" s="1340"/>
      <c r="DH53" s="1340"/>
      <c r="DI53" s="1340"/>
      <c r="DJ53" s="1340"/>
      <c r="DK53" s="1451"/>
      <c r="DL53" s="1340"/>
      <c r="DM53" s="1340"/>
      <c r="DN53" s="1340"/>
      <c r="DO53" s="1340"/>
      <c r="DP53" s="1340"/>
      <c r="DQ53" s="1451"/>
      <c r="DR53" s="1340"/>
      <c r="DS53" s="1340"/>
      <c r="DT53" s="1340"/>
      <c r="DU53" s="1340"/>
      <c r="DV53" s="1340"/>
      <c r="DW53" s="1451"/>
      <c r="DX53" s="500"/>
      <c r="DY53" s="500"/>
      <c r="DZ53" s="500"/>
      <c r="EA53" s="500"/>
      <c r="EB53" s="500"/>
      <c r="EC53" s="500"/>
      <c r="ED53" s="500"/>
      <c r="EE53" s="500"/>
      <c r="EF53" s="500"/>
      <c r="EG53" s="500"/>
      <c r="EH53" s="500"/>
      <c r="EI53" s="500"/>
    </row>
    <row r="54" spans="1:142" s="476" customFormat="1">
      <c r="A54" s="1440" t="s">
        <v>381</v>
      </c>
      <c r="B54" s="853"/>
      <c r="C54" s="1424">
        <v>2550</v>
      </c>
      <c r="D54" s="1424">
        <v>7733.333333333333</v>
      </c>
      <c r="E54" s="1424">
        <v>15466.666666666666</v>
      </c>
      <c r="F54" s="1424">
        <v>24766.666666666668</v>
      </c>
      <c r="G54" s="1435">
        <v>12629.166666666668</v>
      </c>
      <c r="H54" s="1435"/>
      <c r="I54" s="1424">
        <v>32872.5</v>
      </c>
      <c r="J54" s="1424">
        <v>38617.5</v>
      </c>
      <c r="K54" s="1424">
        <v>44362.5</v>
      </c>
      <c r="L54" s="1424">
        <v>50110.833333333336</v>
      </c>
      <c r="M54" s="1435">
        <v>41490.833333333336</v>
      </c>
      <c r="N54" s="1435"/>
      <c r="O54" s="1424">
        <v>57166.666666666664</v>
      </c>
      <c r="P54" s="1424">
        <v>62833.333333333336</v>
      </c>
      <c r="Q54" s="1424">
        <v>66666.666666666672</v>
      </c>
      <c r="R54" s="1424">
        <v>72500</v>
      </c>
      <c r="S54" s="1435">
        <v>64791.666666666672</v>
      </c>
      <c r="T54" s="1424"/>
      <c r="U54" s="1424">
        <v>80833.333333333328</v>
      </c>
      <c r="V54" s="1424">
        <v>90166.666666666672</v>
      </c>
      <c r="W54" s="1424">
        <v>100833.33333333333</v>
      </c>
      <c r="X54" s="1424">
        <v>117000</v>
      </c>
      <c r="Y54" s="1435">
        <v>97208.333333333328</v>
      </c>
      <c r="Z54" s="1424"/>
      <c r="AA54" s="1424">
        <v>137000</v>
      </c>
      <c r="AB54" s="1424">
        <v>157500</v>
      </c>
      <c r="AC54" s="1424">
        <v>181166.66666666666</v>
      </c>
      <c r="AD54" s="1424">
        <v>209500</v>
      </c>
      <c r="AE54" s="1435">
        <v>171291.66666666666</v>
      </c>
      <c r="AF54" s="1424"/>
      <c r="AG54" s="1424">
        <f>AVERAGE(AG36,AD36)</f>
        <v>247000</v>
      </c>
      <c r="AH54" s="1424">
        <f>AVERAGE(AH36,AG36)</f>
        <v>287000</v>
      </c>
      <c r="AI54" s="1424">
        <f>AVERAGE(AI36,AH36)</f>
        <v>327500</v>
      </c>
      <c r="AJ54" s="1424">
        <f>AVERAGE(AJ36,AI36)</f>
        <v>370500</v>
      </c>
      <c r="AK54" s="1435">
        <f>AVERAGE(AG54:AJ54)</f>
        <v>308000</v>
      </c>
      <c r="AL54" s="1424"/>
      <c r="AM54" s="1424">
        <f>AVERAGE(AM36,AJ36)</f>
        <v>415500</v>
      </c>
      <c r="AN54" s="1424">
        <f>AVERAGE(AN36,AM36)</f>
        <v>466500</v>
      </c>
      <c r="AO54" s="1424">
        <f>AVERAGE(AO36,AN36)</f>
        <v>525500</v>
      </c>
      <c r="AP54" s="1424">
        <f>AVERAGE(AP36,AO36)</f>
        <v>580000</v>
      </c>
      <c r="AQ54" s="1436">
        <f>AVERAGE(AM54:AP54)</f>
        <v>496875</v>
      </c>
      <c r="AR54" s="1424"/>
      <c r="AS54" s="1424">
        <f>AVERAGE(AS36,AP36)</f>
        <v>642500</v>
      </c>
      <c r="AT54" s="1424">
        <f>AVERAGE(AT36,AS36)</f>
        <v>729500</v>
      </c>
      <c r="AU54" s="1424">
        <f>AVERAGE(AU36,AT36)</f>
        <v>848000</v>
      </c>
      <c r="AV54" s="1424">
        <f>AVERAGE(AV36,AU36)</f>
        <v>988000</v>
      </c>
      <c r="AW54" s="1436">
        <f>AVERAGE(AS54:AV54)</f>
        <v>802000</v>
      </c>
      <c r="AX54" s="1424"/>
      <c r="AY54" s="1424">
        <f>AVERAGE(AY36,AV36)</f>
        <v>1113000</v>
      </c>
      <c r="AZ54" s="1424">
        <f>AVERAGE(AZ36,AY36)</f>
        <v>1220500</v>
      </c>
      <c r="BA54" s="1424">
        <f>AVERAGE(BA36,AZ36)</f>
        <v>1334621.7400419288</v>
      </c>
      <c r="BB54" s="1424">
        <f>AVERAGE(BB36,BA36)</f>
        <v>1448121.7400419288</v>
      </c>
      <c r="BC54" s="1436">
        <f>AVERAGE(AY54:BB54)</f>
        <v>1279060.8700209644</v>
      </c>
      <c r="BD54" s="1424"/>
      <c r="BE54" s="1424">
        <f>AVERAGE(BE36,BB36)</f>
        <v>1570689.6604912661</v>
      </c>
      <c r="BF54" s="1424">
        <f>AVERAGE(BF36,BE36)</f>
        <v>1689289.9051354481</v>
      </c>
      <c r="BG54" s="1424">
        <f>AVERAGE(BG36,BF36)</f>
        <v>1830245.2134347018</v>
      </c>
      <c r="BH54" s="1424">
        <f>AVERAGE(BH36,BG36)</f>
        <v>2030958.2047296544</v>
      </c>
      <c r="BI54" s="1436">
        <f>AVERAGE(BE54:BH54)</f>
        <v>1780295.7459477675</v>
      </c>
      <c r="BJ54" s="1422"/>
      <c r="BK54" s="1424">
        <f>AVERAGE(BK36,BH36)</f>
        <v>2237355.0567664225</v>
      </c>
      <c r="BL54" s="1424">
        <f>AVERAGE(BL36,BK36)</f>
        <v>2443652.2847865988</v>
      </c>
      <c r="BM54" s="1424">
        <f>AVERAGE(BM36,BL36)</f>
        <v>2658601.3213920109</v>
      </c>
      <c r="BN54" s="1424">
        <f>AVERAGE(BN36,BM36)</f>
        <v>2882732.6294108396</v>
      </c>
      <c r="BO54" s="1439">
        <f>AVERAGE(BK54:BN54)</f>
        <v>2555585.3230889682</v>
      </c>
      <c r="BP54" s="1422"/>
      <c r="BQ54" s="1424">
        <f>AVERAGE(BQ36,BN36)</f>
        <v>3118975.4290172444</v>
      </c>
      <c r="BR54" s="1424">
        <f>AVERAGE(BR36,BQ36)</f>
        <v>3377353.4762684638</v>
      </c>
      <c r="BS54" s="1424">
        <f>AVERAGE(BS36,BR36)</f>
        <v>3663482.1733191758</v>
      </c>
      <c r="BT54" s="1424">
        <f>AVERAGE(BT36,BS36)</f>
        <v>3964965.256406555</v>
      </c>
      <c r="BU54" s="1436">
        <f>AVERAGE(BQ54:BT54)</f>
        <v>3531194.0837528598</v>
      </c>
      <c r="BV54" s="1422"/>
      <c r="BW54" s="1424">
        <f>AVERAGE(BW36,BT36)</f>
        <v>4237538.6560801603</v>
      </c>
      <c r="BX54" s="1424">
        <f>AVERAGE(BX36,BW36)</f>
        <v>4487263.0887621408</v>
      </c>
      <c r="BY54" s="1424">
        <f>AVERAGE(BY36,BX36)</f>
        <v>4756297.1885865387</v>
      </c>
      <c r="BZ54" s="1424">
        <f>AVERAGE(BZ36,BY36)</f>
        <v>5056508.7631658837</v>
      </c>
      <c r="CA54" s="1436">
        <f>AVERAGE(BW54:BZ54)</f>
        <v>4634401.9241486806</v>
      </c>
      <c r="CB54" s="1422"/>
      <c r="CC54" s="1424">
        <f>AVERAGE(CC36,BZ36)</f>
        <v>5345602.184512794</v>
      </c>
      <c r="CD54" s="1424">
        <f>AVERAGE(CD36,CC36)</f>
        <v>5745493.5904417131</v>
      </c>
      <c r="CE54" s="1424">
        <f>AVERAGE(CE36,CD36)</f>
        <v>6168302.0345463566</v>
      </c>
      <c r="CF54" s="1424">
        <f>AVERAGE(CF36,CE36)</f>
        <v>6509493.2694150098</v>
      </c>
      <c r="CG54" s="1436">
        <f>AVERAGE(CC54:CF54)</f>
        <v>5942222.7697289689</v>
      </c>
      <c r="CH54" s="1422"/>
      <c r="CI54" s="1424">
        <f>AVERAGE(CI36,CF36)</f>
        <v>6859728.3306370042</v>
      </c>
      <c r="CJ54" s="1424">
        <f>AVERAGE(CJ36,CI36)</f>
        <v>7221470.4458779451</v>
      </c>
      <c r="CK54" s="1424">
        <f>AVERAGE(CK36,CJ36)</f>
        <v>7578040.760351181</v>
      </c>
      <c r="CL54" s="1424">
        <f>AVERAGE(CL36,CK36)</f>
        <v>7974543.9596793046</v>
      </c>
      <c r="CM54" s="1436">
        <f>AVERAGE(CI54:CL54)</f>
        <v>7408445.8741363585</v>
      </c>
      <c r="CN54" s="1422"/>
      <c r="CO54" s="1424">
        <f>AVERAGE(CO36,CL36)</f>
        <v>8381402.65051236</v>
      </c>
      <c r="CP54" s="1424">
        <f>AVERAGE(CP36,CO36)</f>
        <v>8744866.7722210586</v>
      </c>
      <c r="CQ54" s="1424">
        <f>AVERAGE(CQ36,CP36)</f>
        <v>9123168.7853866778</v>
      </c>
      <c r="CR54" s="1424">
        <f>AVERAGE(CR36,CQ36)</f>
        <v>9532153.9358969741</v>
      </c>
      <c r="CS54" s="1436">
        <f>AVERAGE(CO54:CR54)</f>
        <v>8945398.0360042676</v>
      </c>
      <c r="CT54" s="1422"/>
      <c r="CU54" s="1424">
        <f>AVERAGE(CU36,CR36)</f>
        <v>9939494.8213847</v>
      </c>
      <c r="CV54" s="1424">
        <f>AVERAGE(CV36,CU36)</f>
        <v>10336336.953422785</v>
      </c>
      <c r="CW54" s="1424">
        <f>AVERAGE(CW36,CV36)</f>
        <v>10731691.741515033</v>
      </c>
      <c r="CX54" s="1424">
        <f>AVERAGE(CX36,CW36)</f>
        <v>11185083.298388764</v>
      </c>
      <c r="CY54" s="1436">
        <f>AVERAGE(CU54:CX54)</f>
        <v>10548151.70367782</v>
      </c>
      <c r="CZ54" s="1422"/>
      <c r="DA54" s="1424">
        <f>AVERAGE(DA36,CX36)</f>
        <v>11600501.818945166</v>
      </c>
      <c r="DB54" s="1424">
        <f>AVERAGE(DB36,DA36)</f>
        <v>11980394.97643237</v>
      </c>
      <c r="DC54" s="1424">
        <f>AVERAGE(DC36,DB36)</f>
        <v>12399529.660118254</v>
      </c>
      <c r="DD54" s="1424">
        <f>AVERAGE(DD36,DC36)</f>
        <v>12869764.836155396</v>
      </c>
      <c r="DE54" s="1436">
        <f>AVERAGE(DA54:DD54)</f>
        <v>12212547.822912797</v>
      </c>
      <c r="DF54" s="1422"/>
      <c r="DG54" s="1424">
        <f>AVERAGE(DG36,DD36)</f>
        <v>13315672.870918375</v>
      </c>
      <c r="DH54" s="1424">
        <f>AVERAGE(DH36,DG36)</f>
        <v>13749877.875928145</v>
      </c>
      <c r="DI54" s="1424">
        <f>AVERAGE(DI36,DH36)</f>
        <v>14232295.770342849</v>
      </c>
      <c r="DJ54" s="1424">
        <f>AVERAGE(DJ36,DI36)</f>
        <v>14768895.312520061</v>
      </c>
      <c r="DK54" s="1436">
        <f>AVERAGE(DG54:DJ54)</f>
        <v>14016685.457427356</v>
      </c>
      <c r="DL54" s="1422"/>
      <c r="DM54" s="1424">
        <f>AVERAGE(DM36,DJ36)</f>
        <v>15284782.384667438</v>
      </c>
      <c r="DN54" s="1424">
        <f>AVERAGE(DN36,DM36)</f>
        <v>15805150.906139158</v>
      </c>
      <c r="DO54" s="1424">
        <f>AVERAGE(DO36,DN36)</f>
        <v>16375682.524901384</v>
      </c>
      <c r="DP54" s="1424">
        <f>AVERAGE(DP36,DO36)</f>
        <v>16975530.962337404</v>
      </c>
      <c r="DQ54" s="1436">
        <f>AVERAGE(DM54:DP54)</f>
        <v>16110286.694511347</v>
      </c>
      <c r="DR54" s="1422"/>
      <c r="DS54" s="1424">
        <f>AVERAGE(DS36,DP36)</f>
        <v>17551148.847870223</v>
      </c>
      <c r="DT54" s="1424">
        <f>AVERAGE(DT36,DS36)</f>
        <v>18157269.433894679</v>
      </c>
      <c r="DU54" s="1424">
        <f>AVERAGE(DU36,DT36)</f>
        <v>18826422.299220979</v>
      </c>
      <c r="DV54" s="1424">
        <f>AVERAGE(DV36,DU36)</f>
        <v>19522319.99397479</v>
      </c>
      <c r="DW54" s="1436">
        <f>AVERAGE(DS54:DV54)</f>
        <v>18514290.14374017</v>
      </c>
      <c r="DX54" s="499"/>
      <c r="DY54" s="499"/>
      <c r="DZ54" s="499"/>
      <c r="EA54" s="499"/>
      <c r="EB54" s="499"/>
      <c r="EC54" s="499"/>
      <c r="EJ54" s="656"/>
      <c r="EK54" s="656"/>
      <c r="EL54" s="656"/>
    </row>
    <row r="55" spans="1:142" s="1356" customFormat="1">
      <c r="A55" s="1350" t="s">
        <v>877</v>
      </c>
      <c r="B55" s="1350"/>
      <c r="C55" s="1404" t="s">
        <v>88</v>
      </c>
      <c r="D55" s="1404" t="s">
        <v>88</v>
      </c>
      <c r="E55" s="1404" t="s">
        <v>88</v>
      </c>
      <c r="F55" s="1404" t="s">
        <v>88</v>
      </c>
      <c r="G55" s="1405" t="s">
        <v>88</v>
      </c>
      <c r="H55" s="1350"/>
      <c r="I55" s="1351">
        <f>I54/C54-1</f>
        <v>11.891176470588235</v>
      </c>
      <c r="J55" s="1351">
        <f>J54/D54-1</f>
        <v>3.9936422413793107</v>
      </c>
      <c r="K55" s="1351">
        <f>K54/E54-1</f>
        <v>1.8682650862068968</v>
      </c>
      <c r="L55" s="1351">
        <f>L54/F54-1</f>
        <v>1.0233176312247645</v>
      </c>
      <c r="M55" s="1352">
        <f>M54/G54-1</f>
        <v>2.285318376773342</v>
      </c>
      <c r="N55" s="1350"/>
      <c r="O55" s="1351">
        <f>O54/I54-1</f>
        <v>0.73904225923390876</v>
      </c>
      <c r="P55" s="1351">
        <f>P54/J54-1</f>
        <v>0.62706890226797007</v>
      </c>
      <c r="Q55" s="1351">
        <f>Q54/K54-1</f>
        <v>0.50277073353996449</v>
      </c>
      <c r="R55" s="1351">
        <f>R54/L54-1</f>
        <v>0.44679294231121003</v>
      </c>
      <c r="S55" s="1352">
        <f>S54/M54-1</f>
        <v>0.56158990941774301</v>
      </c>
      <c r="T55" s="1350"/>
      <c r="U55" s="1351">
        <f>U54/O54-1</f>
        <v>0.4139941690962099</v>
      </c>
      <c r="V55" s="1351">
        <f>V54/P54-1</f>
        <v>0.4350132625994696</v>
      </c>
      <c r="W55" s="1351">
        <f>W54/Q54-1</f>
        <v>0.51249999999999973</v>
      </c>
      <c r="X55" s="1449">
        <f>X54/R54-1</f>
        <v>0.61379310344827576</v>
      </c>
      <c r="Y55" s="1352">
        <f>Y54/S54-1</f>
        <v>0.50032154340835988</v>
      </c>
      <c r="Z55" s="1350"/>
      <c r="AA55" s="1351">
        <f>AA54/U54-1</f>
        <v>0.69484536082474246</v>
      </c>
      <c r="AB55" s="1351">
        <f>AB54/V54-1</f>
        <v>0.74676524953789269</v>
      </c>
      <c r="AC55" s="1351">
        <f>AC54/W54-1</f>
        <v>0.79669421487603298</v>
      </c>
      <c r="AD55" s="1351">
        <f>AD54/X54-1</f>
        <v>0.79059829059829068</v>
      </c>
      <c r="AE55" s="1352">
        <f>AE54/Y54-1</f>
        <v>0.76210887269609939</v>
      </c>
      <c r="AF55" s="1350"/>
      <c r="AG55" s="1351">
        <f>AG54/AA54-1</f>
        <v>0.80291970802919699</v>
      </c>
      <c r="AH55" s="1351">
        <f>AH54/AB54-1</f>
        <v>0.82222222222222219</v>
      </c>
      <c r="AI55" s="1351">
        <f>AI54/AC54-1</f>
        <v>0.80772769089236429</v>
      </c>
      <c r="AJ55" s="1351">
        <f>AJ54/AD54-1</f>
        <v>0.76849642004773266</v>
      </c>
      <c r="AK55" s="1352">
        <f>AK54/AE54-1</f>
        <v>0.79810265142301162</v>
      </c>
      <c r="AL55" s="1350"/>
      <c r="AM55" s="1351">
        <f>AM54/AG54-1</f>
        <v>0.68218623481781382</v>
      </c>
      <c r="AN55" s="1351">
        <f>AN54/AH54-1</f>
        <v>0.62543554006968649</v>
      </c>
      <c r="AO55" s="1351">
        <f>AO54/AI54-1</f>
        <v>0.6045801526717558</v>
      </c>
      <c r="AP55" s="1351">
        <f>AP54/AJ54-1</f>
        <v>0.56545209176788114</v>
      </c>
      <c r="AQ55" s="1354">
        <f>AQ54/AK54-1</f>
        <v>0.61323051948051943</v>
      </c>
      <c r="AR55" s="1350"/>
      <c r="AS55" s="1351">
        <f>AS54/AM54-1</f>
        <v>0.54632972322503015</v>
      </c>
      <c r="AT55" s="1351">
        <f>AT54/AN54-1</f>
        <v>0.5637727759914255</v>
      </c>
      <c r="AU55" s="1351">
        <f>AU54/AO54-1</f>
        <v>0.61370123691722167</v>
      </c>
      <c r="AV55" s="1351">
        <f>AV54/AP54-1</f>
        <v>0.70344827586206904</v>
      </c>
      <c r="AW55" s="1354">
        <f>AW54/AQ54-1</f>
        <v>0.61408805031446545</v>
      </c>
      <c r="AX55" s="1350"/>
      <c r="AY55" s="1351">
        <f>AY54/AS54-1</f>
        <v>0.73229571984435804</v>
      </c>
      <c r="AZ55" s="1351">
        <f>AZ54/AT54-1</f>
        <v>0.67306374228923915</v>
      </c>
      <c r="BA55" s="1351">
        <f>BA54/AU54-1</f>
        <v>0.57384639155887829</v>
      </c>
      <c r="BB55" s="1351">
        <f>BB54/AV54-1</f>
        <v>0.46571026320033293</v>
      </c>
      <c r="BC55" s="1354">
        <f>BC54/AW54-1</f>
        <v>0.59483899005107777</v>
      </c>
      <c r="BD55" s="1350"/>
      <c r="BE55" s="1351">
        <f>BE54/AY54-1</f>
        <v>0.41122161769206289</v>
      </c>
      <c r="BF55" s="1351">
        <f>BF54/AZ54-1</f>
        <v>0.3840966039618583</v>
      </c>
      <c r="BG55" s="1351">
        <f>BG54/BA54-1</f>
        <v>0.37135875920708616</v>
      </c>
      <c r="BH55" s="1351">
        <f>BH54/BB54-1</f>
        <v>0.40247753249726781</v>
      </c>
      <c r="BI55" s="1354">
        <f>BI54/BC54-1</f>
        <v>0.3918772653240401</v>
      </c>
      <c r="BJ55" s="1407"/>
      <c r="BK55" s="1351">
        <f>BK54/BE54-1</f>
        <v>0.42444119487400389</v>
      </c>
      <c r="BL55" s="1351">
        <f>BL54/BF54-1</f>
        <v>0.44655590337566453</v>
      </c>
      <c r="BM55" s="1351">
        <f>BM54/BG54-1</f>
        <v>0.45259296507203395</v>
      </c>
      <c r="BN55" s="1351">
        <f>BN54/BH54-1</f>
        <v>0.41939534880510609</v>
      </c>
      <c r="BO55" s="1355">
        <f>BO54/BI54-1</f>
        <v>0.43548358687363109</v>
      </c>
      <c r="BP55" s="1407"/>
      <c r="BQ55" s="1351">
        <f>BQ54/BK54-1</f>
        <v>0.39404580403299927</v>
      </c>
      <c r="BR55" s="1351">
        <f>BR54/BL54-1</f>
        <v>0.38209249216625096</v>
      </c>
      <c r="BS55" s="1351">
        <f>BS54/BM54-1</f>
        <v>0.37797350202211644</v>
      </c>
      <c r="BT55" s="1351">
        <f>BT54/BN54-1</f>
        <v>0.37541900901746028</v>
      </c>
      <c r="BU55" s="1354">
        <f>BU54/BO54-1</f>
        <v>0.38175550307381689</v>
      </c>
      <c r="BV55" s="1407"/>
      <c r="BW55" s="1351">
        <f>BW54/BQ54-1</f>
        <v>0.35863162519858749</v>
      </c>
      <c r="BX55" s="1351">
        <f>BX54/BR54-1</f>
        <v>0.32863294301074553</v>
      </c>
      <c r="BY55" s="1351">
        <f>BY54/BS54-1</f>
        <v>0.29829953131101328</v>
      </c>
      <c r="BZ55" s="1351">
        <f>BZ54/BT54-1</f>
        <v>0.27529711767224763</v>
      </c>
      <c r="CA55" s="1354">
        <f>CA54/BU54-1</f>
        <v>0.31241778679674281</v>
      </c>
      <c r="CB55" s="1407"/>
      <c r="CC55" s="1351">
        <f>CC54/BW54-1</f>
        <v>0.26148753282586523</v>
      </c>
      <c r="CD55" s="1351">
        <f>CD54/BX54-1</f>
        <v>0.28040043046075747</v>
      </c>
      <c r="CE55" s="1351">
        <f>CE54/BY54-1</f>
        <v>0.29687060963056289</v>
      </c>
      <c r="CF55" s="1351">
        <f>CF54/BZ54-1</f>
        <v>0.28734934997708006</v>
      </c>
      <c r="CG55" s="1354">
        <f>CG54/CA54-1</f>
        <v>0.28219840811940999</v>
      </c>
      <c r="CH55" s="1407"/>
      <c r="CI55" s="1351">
        <f>CI54/CC54-1</f>
        <v>0.28324706812469436</v>
      </c>
      <c r="CJ55" s="1351">
        <f>CJ54/CD54-1</f>
        <v>0.25689296005685014</v>
      </c>
      <c r="CK55" s="1351">
        <f>CK54/CE54-1</f>
        <v>0.2285456707387874</v>
      </c>
      <c r="CL55" s="1351">
        <f>CL54/CF54-1</f>
        <v>0.225063707669515</v>
      </c>
      <c r="CM55" s="1354">
        <f>CM54/CG54-1</f>
        <v>0.24674657299565794</v>
      </c>
      <c r="CN55" s="1407"/>
      <c r="CO55" s="1351">
        <f>CO54/CI54-1</f>
        <v>0.22182719876518076</v>
      </c>
      <c r="CP55" s="1351">
        <f>CP54/CJ54-1</f>
        <v>0.21095375765370283</v>
      </c>
      <c r="CQ55" s="1351">
        <f>CQ54/CK54-1</f>
        <v>0.20389544921950153</v>
      </c>
      <c r="CR55" s="1351">
        <f>CR54/CL54-1</f>
        <v>0.19532276505004154</v>
      </c>
      <c r="CS55" s="1354">
        <f>CS54/CM54-1</f>
        <v>0.20745945748669992</v>
      </c>
      <c r="CT55" s="1407"/>
      <c r="CU55" s="1351">
        <f>CU54/CO54-1</f>
        <v>0.18589873745978469</v>
      </c>
      <c r="CV55" s="1351">
        <f>CV54/CP54-1</f>
        <v>0.18198907114939589</v>
      </c>
      <c r="CW55" s="1351">
        <f>CW54/CQ54-1</f>
        <v>0.1763118707948117</v>
      </c>
      <c r="CX55" s="1351">
        <f>CX54/CR54-1</f>
        <v>0.17340565139921327</v>
      </c>
      <c r="CY55" s="1354">
        <f>CY54/CS54-1</f>
        <v>0.17917074916316089</v>
      </c>
      <c r="CZ55" s="1407"/>
      <c r="DA55" s="1351">
        <f>DA54/CU54-1</f>
        <v>0.16711181276404807</v>
      </c>
      <c r="DB55" s="1351">
        <f>DB54/CV54-1</f>
        <v>0.15905615600748879</v>
      </c>
      <c r="DC55" s="1351">
        <f>DC54/CW54-1</f>
        <v>0.15541239524717909</v>
      </c>
      <c r="DD55" s="1351">
        <f>DD54/CX54-1</f>
        <v>0.15061859557266888</v>
      </c>
      <c r="DE55" s="1354">
        <f>DE54/CY54-1</f>
        <v>0.15779030924011583</v>
      </c>
      <c r="DF55" s="1407"/>
      <c r="DG55" s="1351">
        <f>DG54/DA54-1</f>
        <v>0.14785317727997827</v>
      </c>
      <c r="DH55" s="1351">
        <f>DH54/DB54-1</f>
        <v>0.14769821053284726</v>
      </c>
      <c r="DI55" s="1351">
        <f>DI54/DC54-1</f>
        <v>0.1478093250681507</v>
      </c>
      <c r="DJ55" s="1351">
        <f>DJ54/DD54-1</f>
        <v>0.14756528192569474</v>
      </c>
      <c r="DK55" s="1354">
        <f>DK54/DE54-1</f>
        <v>0.14772819404069737</v>
      </c>
      <c r="DL55" s="1407"/>
      <c r="DM55" s="1351">
        <f>DM54/DG54-1</f>
        <v>0.1478790845072222</v>
      </c>
      <c r="DN55" s="1351">
        <f>DN54/DH54-1</f>
        <v>0.14947572980332935</v>
      </c>
      <c r="DO55" s="1351">
        <f>DO54/DI54-1</f>
        <v>0.15060021159937587</v>
      </c>
      <c r="DP55" s="1351">
        <f>DP54/DJ54-1</f>
        <v>0.14941101572754123</v>
      </c>
      <c r="DQ55" s="1354">
        <f>DQ54/DK54-1</f>
        <v>0.14936492963638592</v>
      </c>
      <c r="DR55" s="1407"/>
      <c r="DS55" s="1351">
        <f>DS54/DM54-1</f>
        <v>0.14827600460155965</v>
      </c>
      <c r="DT55" s="1351">
        <f>DT54/DN54-1</f>
        <v>0.14881974501375339</v>
      </c>
      <c r="DU55" s="1351">
        <f>DU54/DO54-1</f>
        <v>0.14965725981759359</v>
      </c>
      <c r="DV55" s="1351">
        <f>DV54/DP54-1</f>
        <v>0.15002706173301994</v>
      </c>
      <c r="DW55" s="1354">
        <f>DW54/DQ54-1</f>
        <v>0.14922164296727569</v>
      </c>
      <c r="DX55" s="1776"/>
      <c r="DY55" s="1776"/>
      <c r="DZ55" s="1776"/>
      <c r="EA55" s="1776"/>
      <c r="EB55" s="1776"/>
      <c r="EC55" s="1776"/>
      <c r="EJ55" s="656"/>
      <c r="EK55" s="656"/>
      <c r="EL55" s="656"/>
    </row>
    <row r="56" spans="1:142" s="1356" customFormat="1">
      <c r="A56" s="1350" t="s">
        <v>878</v>
      </c>
      <c r="B56" s="1350"/>
      <c r="C56" s="1404" t="s">
        <v>88</v>
      </c>
      <c r="D56" s="1351">
        <f>D54/C54-1</f>
        <v>2.0326797385620914</v>
      </c>
      <c r="E56" s="1351">
        <f>E54/D54-1</f>
        <v>1</v>
      </c>
      <c r="F56" s="1351">
        <f>F54/E54-1</f>
        <v>0.60129310344827602</v>
      </c>
      <c r="G56" s="1405" t="s">
        <v>88</v>
      </c>
      <c r="H56" s="1350"/>
      <c r="I56" s="1351">
        <f>I54/F54-1</f>
        <v>0.32728802153432035</v>
      </c>
      <c r="J56" s="1351">
        <f>J54/I54-1</f>
        <v>0.1747661419119324</v>
      </c>
      <c r="K56" s="1351">
        <f>K54/J54-1</f>
        <v>0.14876675082540292</v>
      </c>
      <c r="L56" s="1351">
        <f>L54/K54-1</f>
        <v>0.12957640649948354</v>
      </c>
      <c r="M56" s="1405" t="s">
        <v>88</v>
      </c>
      <c r="N56" s="1350"/>
      <c r="O56" s="1351">
        <f>O54/L54-1</f>
        <v>0.14080454991435642</v>
      </c>
      <c r="P56" s="1351">
        <f>P54/O54-1</f>
        <v>9.9125364431486895E-2</v>
      </c>
      <c r="Q56" s="1351">
        <f>Q54/P54-1</f>
        <v>6.1007957559681802E-2</v>
      </c>
      <c r="R56" s="1351">
        <f>R54/Q54-1</f>
        <v>8.7499999999999911E-2</v>
      </c>
      <c r="S56" s="1405" t="s">
        <v>88</v>
      </c>
      <c r="T56" s="1350"/>
      <c r="U56" s="1351">
        <f>U54/R54-1</f>
        <v>0.11494252873563204</v>
      </c>
      <c r="V56" s="1351">
        <f>V54/U54-1</f>
        <v>0.11546391752577323</v>
      </c>
      <c r="W56" s="1351">
        <f>W54/V54-1</f>
        <v>0.1182994454713493</v>
      </c>
      <c r="X56" s="1449">
        <f>X54/W54-1</f>
        <v>0.16033057851239674</v>
      </c>
      <c r="Y56" s="1405" t="s">
        <v>88</v>
      </c>
      <c r="Z56" s="1350"/>
      <c r="AA56" s="1351">
        <f>AA54/X54-1</f>
        <v>0.170940170940171</v>
      </c>
      <c r="AB56" s="1351">
        <f>AB54/AA54-1</f>
        <v>0.14963503649635035</v>
      </c>
      <c r="AC56" s="1351">
        <f>AC54/AB54-1</f>
        <v>0.1502645502645501</v>
      </c>
      <c r="AD56" s="1351">
        <f>AD54/AC54-1</f>
        <v>0.15639374425023012</v>
      </c>
      <c r="AE56" s="1405" t="s">
        <v>88</v>
      </c>
      <c r="AF56" s="1350"/>
      <c r="AG56" s="1351">
        <f>AG54/AD54-1</f>
        <v>0.17899761336515518</v>
      </c>
      <c r="AH56" s="1351">
        <f>AH54/AG54-1</f>
        <v>0.16194331983805665</v>
      </c>
      <c r="AI56" s="1351">
        <f>AI54/AH54-1</f>
        <v>0.14111498257839727</v>
      </c>
      <c r="AJ56" s="1351">
        <f>AJ54/AI54-1</f>
        <v>0.13129770992366407</v>
      </c>
      <c r="AK56" s="1405" t="s">
        <v>88</v>
      </c>
      <c r="AL56" s="1350"/>
      <c r="AM56" s="1351">
        <f>AM54/AJ54-1</f>
        <v>0.12145748987854255</v>
      </c>
      <c r="AN56" s="1351">
        <f>AN54/AM54-1</f>
        <v>0.12274368231046928</v>
      </c>
      <c r="AO56" s="1351">
        <f>AO54/AN54-1</f>
        <v>0.12647374062165051</v>
      </c>
      <c r="AP56" s="1351">
        <f>AP54/AO54-1</f>
        <v>0.10371075166508081</v>
      </c>
      <c r="AQ56" s="1441" t="s">
        <v>88</v>
      </c>
      <c r="AR56" s="1350"/>
      <c r="AS56" s="1351">
        <f>AS54/AP54-1</f>
        <v>0.10775862068965525</v>
      </c>
      <c r="AT56" s="1351">
        <f>AT54/AS54-1</f>
        <v>0.13540856031128401</v>
      </c>
      <c r="AU56" s="1351">
        <f>AU54/AT54-1</f>
        <v>0.16244002741603847</v>
      </c>
      <c r="AV56" s="1351">
        <f>AV54/AU54-1</f>
        <v>0.16509433962264142</v>
      </c>
      <c r="AW56" s="1441" t="s">
        <v>88</v>
      </c>
      <c r="AX56" s="1350"/>
      <c r="AY56" s="1351">
        <f>AY54/AV54-1</f>
        <v>0.12651821862348167</v>
      </c>
      <c r="AZ56" s="1351">
        <f>AZ54/AY54-1</f>
        <v>9.6585804132973907E-2</v>
      </c>
      <c r="BA56" s="1351">
        <f>BA54/AZ54-1</f>
        <v>9.350408852267833E-2</v>
      </c>
      <c r="BB56" s="1351">
        <f>BB54/BA54-1</f>
        <v>8.5042822692543707E-2</v>
      </c>
      <c r="BC56" s="1441" t="s">
        <v>88</v>
      </c>
      <c r="BD56" s="1350"/>
      <c r="BE56" s="1351">
        <f>BE54/BB54-1</f>
        <v>8.4639237890171026E-2</v>
      </c>
      <c r="BF56" s="1351">
        <f>BF54/BE54-1</f>
        <v>7.5508388211511734E-2</v>
      </c>
      <c r="BG56" s="1351">
        <f>BG54/BF54-1</f>
        <v>8.3440567466098514E-2</v>
      </c>
      <c r="BH56" s="1351">
        <f>BH54/BG54-1</f>
        <v>0.10966453556148781</v>
      </c>
      <c r="BI56" s="1441" t="s">
        <v>88</v>
      </c>
      <c r="BJ56" s="1407"/>
      <c r="BK56" s="1351">
        <f>BK54/BH54-1</f>
        <v>0.10162535671887052</v>
      </c>
      <c r="BL56" s="1351">
        <f>BL54/BK54-1</f>
        <v>9.2205851456733434E-2</v>
      </c>
      <c r="BM56" s="1351">
        <f>BM54/BL54-1</f>
        <v>8.7962202291879343E-2</v>
      </c>
      <c r="BN56" s="1351">
        <f>BN54/BM54-1</f>
        <v>8.4304218994924796E-2</v>
      </c>
      <c r="BO56" s="1442" t="s">
        <v>88</v>
      </c>
      <c r="BP56" s="1407"/>
      <c r="BQ56" s="1351">
        <f>BQ54/BN54-1</f>
        <v>8.1950992331427885E-2</v>
      </c>
      <c r="BR56" s="1351">
        <f>BR54/BQ54-1</f>
        <v>8.2840680579722159E-2</v>
      </c>
      <c r="BS56" s="1351">
        <f>BS54/BR54-1</f>
        <v>8.4719795858278601E-2</v>
      </c>
      <c r="BT56" s="1351">
        <f>BT54/BS54-1</f>
        <v>8.2294131327580677E-2</v>
      </c>
      <c r="BU56" s="1441" t="s">
        <v>88</v>
      </c>
      <c r="BV56" s="1407"/>
      <c r="BW56" s="1351">
        <f>BW54/BT54-1</f>
        <v>6.874546989615693E-2</v>
      </c>
      <c r="BX56" s="1351">
        <f>BX54/BW54-1</f>
        <v>5.8931481916670636E-2</v>
      </c>
      <c r="BY56" s="1351">
        <f>BY54/BX54-1</f>
        <v>5.9955053782820178E-2</v>
      </c>
      <c r="BZ56" s="1351">
        <f>BZ54/BY54-1</f>
        <v>6.3118758705773992E-2</v>
      </c>
      <c r="CA56" s="1441" t="s">
        <v>88</v>
      </c>
      <c r="CB56" s="1407"/>
      <c r="CC56" s="1351">
        <f>CC54/BZ54-1</f>
        <v>5.7172534427866628E-2</v>
      </c>
      <c r="CD56" s="1351">
        <f>CD54/CC54-1</f>
        <v>7.4807550604397477E-2</v>
      </c>
      <c r="CE56" s="1351">
        <f>CE54/CD54-1</f>
        <v>7.3589577196297551E-2</v>
      </c>
      <c r="CF56" s="1351">
        <f>CF54/CE54-1</f>
        <v>5.531363946800405E-2</v>
      </c>
      <c r="CG56" s="1441" t="s">
        <v>88</v>
      </c>
      <c r="CH56" s="1407"/>
      <c r="CI56" s="1351">
        <f>CI54/CF54-1</f>
        <v>5.3803736593074136E-2</v>
      </c>
      <c r="CJ56" s="1351">
        <f>CJ54/CI54-1</f>
        <v>5.2734175145876305E-2</v>
      </c>
      <c r="CK56" s="1351">
        <f>CK54/CJ54-1</f>
        <v>4.9376414006757852E-2</v>
      </c>
      <c r="CL56" s="1351">
        <f>CL54/CK54-1</f>
        <v>5.2322653290894694E-2</v>
      </c>
      <c r="CM56" s="1441" t="s">
        <v>88</v>
      </c>
      <c r="CN56" s="1407"/>
      <c r="CO56" s="1351">
        <f>CO54/CL54-1</f>
        <v>5.1019681236971648E-2</v>
      </c>
      <c r="CP56" s="1351">
        <f>CP54/CO54-1</f>
        <v>4.3365548329369341E-2</v>
      </c>
      <c r="CQ56" s="1351">
        <f>CQ54/CP54-1</f>
        <v>4.325989440654876E-2</v>
      </c>
      <c r="CR56" s="1351">
        <f>CR54/CQ54-1</f>
        <v>4.4829286855396333E-2</v>
      </c>
      <c r="CS56" s="1441" t="s">
        <v>88</v>
      </c>
      <c r="CT56" s="1407"/>
      <c r="CU56" s="1351">
        <f>CU54/CR54-1</f>
        <v>4.273335158318492E-2</v>
      </c>
      <c r="CV56" s="1351">
        <f>CV54/CU54-1</f>
        <v>3.9925784878350523E-2</v>
      </c>
      <c r="CW56" s="1351">
        <f>CW54/CV54-1</f>
        <v>3.8249022828278578E-2</v>
      </c>
      <c r="CX56" s="1351">
        <f>CX54/CW54-1</f>
        <v>4.2247910934657851E-2</v>
      </c>
      <c r="CY56" s="1441" t="s">
        <v>88</v>
      </c>
      <c r="CZ56" s="1407"/>
      <c r="DA56" s="1351">
        <f>DA54/CX54-1</f>
        <v>3.714040472244351E-2</v>
      </c>
      <c r="DB56" s="1351">
        <f>DB54/DA54-1</f>
        <v>3.2747993441696543E-2</v>
      </c>
      <c r="DC56" s="1351">
        <f>DC54/DB54-1</f>
        <v>3.4985047196724128E-2</v>
      </c>
      <c r="DD56" s="1351">
        <f>DD54/DC54-1</f>
        <v>3.7923630083292803E-2</v>
      </c>
      <c r="DE56" s="1441" t="s">
        <v>88</v>
      </c>
      <c r="DF56" s="1407"/>
      <c r="DG56" s="1351">
        <f>DG54/DD54-1</f>
        <v>3.4647722039976792E-2</v>
      </c>
      <c r="DH56" s="1351">
        <f>DH54/DG54-1</f>
        <v>3.2608566553034013E-2</v>
      </c>
      <c r="DI56" s="1351">
        <f>DI54/DH54-1</f>
        <v>3.5085249394052553E-2</v>
      </c>
      <c r="DJ56" s="1351">
        <f>DJ54/DI54-1</f>
        <v>3.7702950447065176E-2</v>
      </c>
      <c r="DK56" s="1441" t="s">
        <v>88</v>
      </c>
      <c r="DL56" s="1407"/>
      <c r="DM56" s="1351">
        <f>DM54/DJ54-1</f>
        <v>3.4930647230605238E-2</v>
      </c>
      <c r="DN56" s="1351">
        <f>DN54/DM54-1</f>
        <v>3.404487603262929E-2</v>
      </c>
      <c r="DO56" s="1351">
        <f>DO54/DN54-1</f>
        <v>3.6097827989773679E-2</v>
      </c>
      <c r="DP56" s="1351">
        <f>DP54/DO54-1</f>
        <v>3.6630438854922343E-2</v>
      </c>
      <c r="DQ56" s="1441" t="s">
        <v>88</v>
      </c>
      <c r="DR56" s="1407"/>
      <c r="DS56" s="1351">
        <f>DS54/DP54-1</f>
        <v>3.3908682256237332E-2</v>
      </c>
      <c r="DT56" s="1351">
        <f>DT54/DS54-1</f>
        <v>3.453452484952324E-2</v>
      </c>
      <c r="DU56" s="1351">
        <f>DU54/DT54-1</f>
        <v>3.6853166042531305E-2</v>
      </c>
      <c r="DV56" s="1351">
        <f>DV54/DU54-1</f>
        <v>3.6963884252325885E-2</v>
      </c>
      <c r="DW56" s="1441" t="s">
        <v>88</v>
      </c>
      <c r="DX56" s="514"/>
      <c r="DY56" s="514"/>
      <c r="DZ56" s="514"/>
      <c r="EA56" s="514"/>
      <c r="EB56" s="514"/>
      <c r="EC56" s="514"/>
      <c r="EJ56" s="656"/>
      <c r="EK56" s="656"/>
      <c r="EL56" s="656"/>
    </row>
    <row r="57" spans="1:142" ht="5.25" customHeight="1">
      <c r="A57" s="1340"/>
      <c r="B57" s="1340"/>
      <c r="C57" s="1340"/>
      <c r="D57" s="1340"/>
      <c r="E57" s="1340"/>
      <c r="F57" s="1340"/>
      <c r="G57" s="853"/>
      <c r="H57" s="1340"/>
      <c r="I57" s="1340"/>
      <c r="J57" s="1340"/>
      <c r="K57" s="1340"/>
      <c r="L57" s="500"/>
      <c r="M57" s="853"/>
      <c r="N57" s="1340"/>
      <c r="O57" s="1340"/>
      <c r="P57" s="1340"/>
      <c r="Q57" s="1340"/>
      <c r="R57" s="1340"/>
      <c r="S57" s="853"/>
      <c r="T57" s="1340"/>
      <c r="U57" s="1340"/>
      <c r="V57" s="1340"/>
      <c r="W57" s="1340"/>
      <c r="X57" s="1340"/>
      <c r="Y57" s="853"/>
      <c r="Z57" s="1340"/>
      <c r="AA57" s="1340"/>
      <c r="AB57" s="1340"/>
      <c r="AC57" s="1340"/>
      <c r="AD57" s="1340"/>
      <c r="AE57" s="853"/>
      <c r="AF57" s="1340"/>
      <c r="AG57" s="1340"/>
      <c r="AH57" s="1340"/>
      <c r="AI57" s="1340"/>
      <c r="AJ57" s="1340"/>
      <c r="AK57" s="853"/>
      <c r="AL57" s="1340"/>
      <c r="AM57" s="1340"/>
      <c r="AN57" s="1340"/>
      <c r="AO57" s="1340"/>
      <c r="AP57" s="1340"/>
      <c r="AQ57" s="1341"/>
      <c r="AR57" s="1340"/>
      <c r="AS57" s="1340"/>
      <c r="AT57" s="1340"/>
      <c r="AU57" s="1340"/>
      <c r="AV57" s="1340"/>
      <c r="AW57" s="1341"/>
      <c r="AX57" s="1340"/>
      <c r="AY57" s="1340"/>
      <c r="AZ57" s="1340"/>
      <c r="BA57" s="1340"/>
      <c r="BB57" s="1340"/>
      <c r="BC57" s="1341"/>
      <c r="BD57" s="1340"/>
      <c r="BE57" s="1340"/>
      <c r="BF57" s="1340"/>
      <c r="BG57" s="1340"/>
      <c r="BH57" s="1340"/>
      <c r="BI57" s="1341"/>
      <c r="BJ57" s="1340"/>
      <c r="BK57" s="1340"/>
      <c r="BL57" s="1340"/>
      <c r="BM57" s="1340"/>
      <c r="BN57" s="1340"/>
      <c r="BO57" s="1418"/>
      <c r="BP57" s="1340"/>
      <c r="BQ57" s="1340"/>
      <c r="BR57" s="1340"/>
      <c r="BS57" s="1340"/>
      <c r="BT57" s="1340"/>
      <c r="BU57" s="1341"/>
      <c r="BV57" s="1340"/>
      <c r="BW57" s="1340"/>
      <c r="BX57" s="1340"/>
      <c r="BY57" s="1340"/>
      <c r="BZ57" s="1340"/>
      <c r="CA57" s="1341"/>
      <c r="CB57" s="1340"/>
      <c r="CC57" s="1340"/>
      <c r="CD57" s="1340"/>
      <c r="CE57" s="1340"/>
      <c r="CF57" s="1340"/>
      <c r="CG57" s="1341"/>
      <c r="CH57" s="1340"/>
      <c r="CI57" s="1340"/>
      <c r="CJ57" s="1340"/>
      <c r="CK57" s="1340"/>
      <c r="CL57" s="1340"/>
      <c r="CM57" s="1341"/>
      <c r="CN57" s="1340"/>
      <c r="CO57" s="1340"/>
      <c r="CP57" s="1340"/>
      <c r="CQ57" s="1340"/>
      <c r="CR57" s="1340"/>
      <c r="CS57" s="1341"/>
      <c r="CT57" s="1340"/>
      <c r="CU57" s="1340"/>
      <c r="CV57" s="1340"/>
      <c r="CW57" s="1340"/>
      <c r="CX57" s="1340"/>
      <c r="CY57" s="1341"/>
      <c r="CZ57" s="1340"/>
      <c r="DA57" s="1340"/>
      <c r="DB57" s="1340"/>
      <c r="DC57" s="1340"/>
      <c r="DD57" s="1340"/>
      <c r="DE57" s="1341"/>
      <c r="DF57" s="1340"/>
      <c r="DG57" s="1340"/>
      <c r="DH57" s="1340"/>
      <c r="DI57" s="1340"/>
      <c r="DJ57" s="1340"/>
      <c r="DK57" s="1341"/>
      <c r="DL57" s="1340"/>
      <c r="DM57" s="1340"/>
      <c r="DN57" s="1340"/>
      <c r="DO57" s="1340"/>
      <c r="DP57" s="1340"/>
      <c r="DQ57" s="1341"/>
      <c r="DR57" s="1340"/>
      <c r="DS57" s="1340"/>
      <c r="DT57" s="1340"/>
      <c r="DU57" s="1340"/>
      <c r="DV57" s="1340"/>
      <c r="DW57" s="1341"/>
      <c r="DX57" s="500"/>
      <c r="DY57" s="500"/>
      <c r="DZ57" s="500"/>
      <c r="EA57" s="500"/>
      <c r="EB57" s="500"/>
      <c r="EC57" s="500"/>
      <c r="ED57" s="500"/>
      <c r="EE57" s="500"/>
      <c r="EF57" s="500"/>
      <c r="EG57" s="500"/>
      <c r="EH57" s="500"/>
      <c r="EI57" s="500"/>
    </row>
    <row r="58" spans="1:142" s="499" customFormat="1">
      <c r="A58" s="1453" t="s">
        <v>454</v>
      </c>
      <c r="B58" s="1454"/>
      <c r="C58" s="1455">
        <v>30</v>
      </c>
      <c r="D58" s="1455">
        <v>30</v>
      </c>
      <c r="E58" s="1455">
        <v>32</v>
      </c>
      <c r="F58" s="1455">
        <v>35</v>
      </c>
      <c r="G58" s="1456">
        <v>31.75</v>
      </c>
      <c r="H58" s="1457"/>
      <c r="I58" s="1455">
        <v>38</v>
      </c>
      <c r="J58" s="1455">
        <v>41</v>
      </c>
      <c r="K58" s="1455">
        <v>44</v>
      </c>
      <c r="L58" s="1455">
        <v>47</v>
      </c>
      <c r="M58" s="1456">
        <v>42.5</v>
      </c>
      <c r="N58" s="1457"/>
      <c r="O58" s="1455">
        <v>51.666666666666664</v>
      </c>
      <c r="P58" s="1455">
        <v>60</v>
      </c>
      <c r="Q58" s="1455">
        <v>64.333333333333329</v>
      </c>
      <c r="R58" s="1455">
        <v>67.166666666666671</v>
      </c>
      <c r="S58" s="1456">
        <v>60.791666666666671</v>
      </c>
      <c r="T58" s="1458"/>
      <c r="U58" s="1455">
        <v>69.5</v>
      </c>
      <c r="V58" s="1455">
        <v>72.5</v>
      </c>
      <c r="W58" s="1455">
        <v>74.5</v>
      </c>
      <c r="X58" s="1455">
        <v>76</v>
      </c>
      <c r="Y58" s="1456">
        <v>73.125</v>
      </c>
      <c r="Z58" s="1458"/>
      <c r="AA58" s="1455">
        <v>76</v>
      </c>
      <c r="AB58" s="1455">
        <v>76</v>
      </c>
      <c r="AC58" s="1455">
        <v>76.5</v>
      </c>
      <c r="AD58" s="1455">
        <v>78.55</v>
      </c>
      <c r="AE58" s="1456">
        <v>76.762500000000003</v>
      </c>
      <c r="AF58" s="1458"/>
      <c r="AG58" s="1455">
        <f>AG22/AG54/3*1000000</f>
        <v>78.529014844804308</v>
      </c>
      <c r="AH58" s="1455">
        <f>AH22/AH54/3*1000000</f>
        <v>76.234610917537751</v>
      </c>
      <c r="AI58" s="1455">
        <f>AI22/AI54/3*1000000</f>
        <v>75.710941475826971</v>
      </c>
      <c r="AJ58" s="1455">
        <f>AJ22/AJ54/3*1000000</f>
        <v>74.156545209176784</v>
      </c>
      <c r="AK58" s="1456">
        <f>AVERAGE(AG58:AJ58)</f>
        <v>76.15777811183645</v>
      </c>
      <c r="AL58" s="1458"/>
      <c r="AM58" s="1455">
        <f>AM22/AM54/3*1000000</f>
        <v>75.806658644203765</v>
      </c>
      <c r="AN58" s="1455">
        <f>AN22/AN54/3*1000000</f>
        <v>76.215076813147547</v>
      </c>
      <c r="AO58" s="1455">
        <f>AO22/AO54/3*1000000</f>
        <v>75.124008880431333</v>
      </c>
      <c r="AP58" s="1455">
        <f>AP22/AP54/3*1000000</f>
        <v>75.902873563218392</v>
      </c>
      <c r="AQ58" s="1459">
        <f>AVERAGE(AM58:AP58)</f>
        <v>75.76215447525027</v>
      </c>
      <c r="AR58" s="1458"/>
      <c r="AS58" s="1455">
        <f>AS22/AS54/3*1000000</f>
        <v>76.622568093385212</v>
      </c>
      <c r="AT58" s="1455">
        <f>AT22/AT54/3*1000000</f>
        <v>73.108521818597211</v>
      </c>
      <c r="AU58" s="1455">
        <f>AU22/AU54/3*1000000</f>
        <v>69.330188679245282</v>
      </c>
      <c r="AV58" s="1455">
        <f>AV22/AV54/3*1000000</f>
        <v>66.301282051282058</v>
      </c>
      <c r="AW58" s="1459">
        <f>AVERAGE(AS58:AV58)</f>
        <v>71.340640160627444</v>
      </c>
      <c r="AX58" s="1458"/>
      <c r="AY58" s="1455">
        <f>AY22/AY54/3*1000000</f>
        <v>67.487571129080564</v>
      </c>
      <c r="AZ58" s="1455">
        <f>AZ22/AZ54/3*1000000</f>
        <v>65.470435613819475</v>
      </c>
      <c r="BA58" s="1455">
        <f>BA22/BA54/3*1000000</f>
        <v>63.289592947896239</v>
      </c>
      <c r="BB58" s="1455">
        <f>BB22/BB54/3*1000000</f>
        <v>61.254058191796105</v>
      </c>
      <c r="BC58" s="1459">
        <f>AVERAGE(AY58:BB58)</f>
        <v>64.375414470648096</v>
      </c>
      <c r="BD58" s="1458"/>
      <c r="BE58" s="1455">
        <f>BE22/BE54/3*1000000</f>
        <v>59.797087247197119</v>
      </c>
      <c r="BF58" s="1455">
        <f>BF22/BF54/3*1000000</f>
        <v>57.902040991294868</v>
      </c>
      <c r="BG58" s="1455">
        <f>BG22/BG54/3*1000000</f>
        <v>55.888685979972614</v>
      </c>
      <c r="BH58" s="1455">
        <f>BH22/BH54/3*1000000</f>
        <v>53.73391391274842</v>
      </c>
      <c r="BI58" s="1459">
        <f>AVERAGE(BE58:BH58)</f>
        <v>56.830432032803259</v>
      </c>
      <c r="BJ58" s="1460"/>
      <c r="BK58" s="1455">
        <f>BK22/BK54/3*1000000</f>
        <v>52.250982536923573</v>
      </c>
      <c r="BL58" s="1455">
        <f>BL22/BL54/3*1000000</f>
        <v>50.327809497416567</v>
      </c>
      <c r="BM58" s="1455">
        <f>BM22/BM54/3*1000000</f>
        <v>50.52130190384235</v>
      </c>
      <c r="BN58" s="1455">
        <f>BN22/BN54/3*1000000</f>
        <v>49.551826350215713</v>
      </c>
      <c r="BO58" s="1461">
        <f>AVERAGE(BK58:BN58)</f>
        <v>50.66298007209955</v>
      </c>
      <c r="BP58" s="1460"/>
      <c r="BQ58" s="1455">
        <f>BQ22/BQ54/3*1000000</f>
        <v>50.604652155403059</v>
      </c>
      <c r="BR58" s="1455">
        <f>BR22/BR54/3*1000000</f>
        <v>50.264110007883751</v>
      </c>
      <c r="BS58" s="1455">
        <f>BS22/BS54/3*1000000</f>
        <v>49.969034379334964</v>
      </c>
      <c r="BT58" s="1455">
        <f>BT22/BT54/3*1000000</f>
        <v>49.96000061957546</v>
      </c>
      <c r="BU58" s="1459">
        <f>AVERAGE(BQ58:BT58)</f>
        <v>50.19944929054931</v>
      </c>
      <c r="BV58" s="1460"/>
      <c r="BW58" s="1455">
        <f>BW22/BW54/3*1000000</f>
        <v>51.540926087668744</v>
      </c>
      <c r="BX58" s="1455">
        <f>BX22/BX54/3*1000000</f>
        <v>51.069957076341332</v>
      </c>
      <c r="BY58" s="1455">
        <f>BY22/BY54/3*1000000</f>
        <v>51.903120616403221</v>
      </c>
      <c r="BZ58" s="1455">
        <f>BZ22/BZ54/3*1000000</f>
        <v>51.781115969575353</v>
      </c>
      <c r="CA58" s="1459">
        <f>AVERAGE(BW58:BZ58)</f>
        <v>51.573779937497164</v>
      </c>
      <c r="CB58" s="1460"/>
      <c r="CC58" s="1455">
        <f>CC22/CC54/3*1000000</f>
        <v>52.51799958977314</v>
      </c>
      <c r="CD58" s="1455">
        <f>CD22/CD54/3*1000000</f>
        <v>52.379833910294757</v>
      </c>
      <c r="CE58" s="1455">
        <f>CE22/CE54/3*1000000</f>
        <v>54.281604801143274</v>
      </c>
      <c r="CF58" s="1455">
        <f>CF22/CF54/3*1000000</f>
        <v>55.047858847985125</v>
      </c>
      <c r="CG58" s="1459">
        <f>AVERAGE(CC58:CF58)</f>
        <v>53.556824287299079</v>
      </c>
      <c r="CH58" s="1460"/>
      <c r="CI58" s="1455">
        <f>CI22/CI54/3*1000000</f>
        <v>55.750798705146366</v>
      </c>
      <c r="CJ58" s="1455">
        <f>CJ22/CJ54/3*1000000</f>
        <v>56.894553043259471</v>
      </c>
      <c r="CK58" s="1455">
        <f>CK22/CK54/3*1000000</f>
        <v>56.677490517143809</v>
      </c>
      <c r="CL58" s="1455">
        <f>CL22/CL54/3*1000000</f>
        <v>56.235525057498222</v>
      </c>
      <c r="CM58" s="1459">
        <f>AVERAGE(CI58:CL58)</f>
        <v>56.389591830761965</v>
      </c>
      <c r="CN58" s="1460"/>
      <c r="CO58" s="1455">
        <f>CO22/CO54/3*1000000</f>
        <v>55.889093930043394</v>
      </c>
      <c r="CP58" s="1455">
        <f>CP22/CP54/3*1000000</f>
        <v>57.989029054645769</v>
      </c>
      <c r="CQ58" s="1455">
        <f>CQ22/CQ54/3*1000000</f>
        <v>58.325239016987773</v>
      </c>
      <c r="CR58" s="1455">
        <f>CR22/CR54/3*1000000</f>
        <v>58.841545199394361</v>
      </c>
      <c r="CS58" s="1459">
        <f>AVERAGE(CO58:CR58)</f>
        <v>57.761226800267821</v>
      </c>
      <c r="CT58" s="1460"/>
      <c r="CU58" s="1455">
        <f>CU22/CU54/3*1000000</f>
        <v>59.543368212907851</v>
      </c>
      <c r="CV58" s="1455">
        <f>CV22/CV54/3*1000000</f>
        <v>60.823610546591858</v>
      </c>
      <c r="CW58" s="1455">
        <f>CW22/CW54/3*1000000</f>
        <v>61.62374171088873</v>
      </c>
      <c r="CX58" s="1455">
        <f>CX22/CX54/3*1000000</f>
        <v>62.900768332649008</v>
      </c>
      <c r="CY58" s="1459">
        <f>AVERAGE(CU58:CX58)</f>
        <v>61.222872200759369</v>
      </c>
      <c r="CZ58" s="1460"/>
      <c r="DA58" s="1455">
        <f>DA22/DA54/3*1000000</f>
        <v>63.241746904592915</v>
      </c>
      <c r="DB58" s="1455">
        <f>DB22/DB54/3*1000000</f>
        <v>65.899302002960411</v>
      </c>
      <c r="DC58" s="1455">
        <f>DC22/DC54/3*1000000</f>
        <v>66.834013551238996</v>
      </c>
      <c r="DD58" s="1455">
        <f>DD22/DD54/3*1000000</f>
        <v>68.765825270850669</v>
      </c>
      <c r="DE58" s="1459">
        <f>AVERAGE(DA58:DD58)</f>
        <v>66.185221932410755</v>
      </c>
      <c r="DF58" s="1460"/>
      <c r="DG58" s="1455">
        <f>DG22/DG54/3*1000000</f>
        <v>67.950856591166939</v>
      </c>
      <c r="DH58" s="1455">
        <f>DH22/DH54/3*1000000</f>
        <v>69.853241561605486</v>
      </c>
      <c r="DI58" s="1455">
        <f>DI22/DI54/3*1000000</f>
        <v>70.293733921045359</v>
      </c>
      <c r="DJ58" s="1455">
        <f>DJ22/DJ54/3*1000000</f>
        <v>71.826050612339543</v>
      </c>
      <c r="DK58" s="1459">
        <f>AVERAGE(DG58:DJ58)</f>
        <v>69.980970671539339</v>
      </c>
      <c r="DL58" s="1460"/>
      <c r="DM58" s="1455">
        <f>DM22/DM54/3*1000000</f>
        <v>71.234719350281452</v>
      </c>
      <c r="DN58" s="1455">
        <f>DN22/DN54/3*1000000</f>
        <v>73.132084959758089</v>
      </c>
      <c r="DO58" s="1455">
        <f>DO22/DO54/3*1000000</f>
        <v>73.511543328633991</v>
      </c>
      <c r="DP58" s="1455">
        <f>DP22/DP54/3*1000000</f>
        <v>74.826844806496709</v>
      </c>
      <c r="DQ58" s="1459">
        <f>AVERAGE(DM58:DP58)</f>
        <v>73.176298111292553</v>
      </c>
      <c r="DR58" s="1460"/>
      <c r="DS58" s="1455">
        <f>DS22/DS54/3*1000000</f>
        <v>74.321575818179511</v>
      </c>
      <c r="DT58" s="1455">
        <f>DT22/DT54/3*1000000</f>
        <v>76.053461680916641</v>
      </c>
      <c r="DU58" s="1455">
        <f>DU22/DU54/3*1000000</f>
        <v>76.275835392112384</v>
      </c>
      <c r="DV58" s="1455">
        <f>DV22/DV54/3*1000000</f>
        <v>77.652673752310079</v>
      </c>
      <c r="DW58" s="1459">
        <f>AVERAGE(DS58:DV58)</f>
        <v>76.075886660879661</v>
      </c>
      <c r="EJ58" s="656"/>
      <c r="EK58" s="656"/>
      <c r="EL58" s="656"/>
    </row>
    <row r="59" spans="1:142" s="1356" customFormat="1">
      <c r="A59" s="1381" t="s">
        <v>877</v>
      </c>
      <c r="B59" s="1350"/>
      <c r="C59" s="1404" t="s">
        <v>88</v>
      </c>
      <c r="D59" s="1404" t="s">
        <v>88</v>
      </c>
      <c r="E59" s="1404" t="s">
        <v>88</v>
      </c>
      <c r="F59" s="1404" t="s">
        <v>88</v>
      </c>
      <c r="G59" s="1405" t="s">
        <v>88</v>
      </c>
      <c r="H59" s="1350"/>
      <c r="I59" s="1404" t="s">
        <v>88</v>
      </c>
      <c r="J59" s="1404" t="s">
        <v>88</v>
      </c>
      <c r="K59" s="1404" t="s">
        <v>88</v>
      </c>
      <c r="L59" s="1404" t="s">
        <v>88</v>
      </c>
      <c r="M59" s="1405" t="s">
        <v>88</v>
      </c>
      <c r="N59" s="1350"/>
      <c r="O59" s="1404" t="s">
        <v>88</v>
      </c>
      <c r="P59" s="1404" t="s">
        <v>88</v>
      </c>
      <c r="Q59" s="1404" t="s">
        <v>88</v>
      </c>
      <c r="R59" s="1404" t="s">
        <v>88</v>
      </c>
      <c r="S59" s="1405" t="s">
        <v>88</v>
      </c>
      <c r="T59" s="1350"/>
      <c r="U59" s="1351">
        <f>U58/O58-1</f>
        <v>0.34516129032258069</v>
      </c>
      <c r="V59" s="1351">
        <f>V58/P58-1</f>
        <v>0.20833333333333326</v>
      </c>
      <c r="W59" s="1351">
        <f>W58/Q58-1</f>
        <v>0.15803108808290167</v>
      </c>
      <c r="X59" s="1351">
        <f>X58/R58-1</f>
        <v>0.13151364764267992</v>
      </c>
      <c r="Y59" s="1352">
        <f>Y58/S58-1</f>
        <v>0.20287868403015752</v>
      </c>
      <c r="Z59" s="1350"/>
      <c r="AA59" s="1351">
        <f>AA58/U58-1</f>
        <v>9.3525179856115193E-2</v>
      </c>
      <c r="AB59" s="1351">
        <f>AB58/V58-1</f>
        <v>4.8275862068965614E-2</v>
      </c>
      <c r="AC59" s="1351">
        <f>AC58/W58-1</f>
        <v>2.6845637583892579E-2</v>
      </c>
      <c r="AD59" s="1351">
        <f>AD58/X58-1</f>
        <v>3.3552631578947389E-2</v>
      </c>
      <c r="AE59" s="1352">
        <f>AE58/Y58-1</f>
        <v>4.9743589743589833E-2</v>
      </c>
      <c r="AF59" s="1350"/>
      <c r="AG59" s="1351">
        <f>AG58/AA58-1</f>
        <v>3.3276511115846175E-2</v>
      </c>
      <c r="AH59" s="1351">
        <f>AH58/AB58-1</f>
        <v>3.0869857570756665E-3</v>
      </c>
      <c r="AI59" s="1351">
        <f>AI58/AC58-1</f>
        <v>-1.0314490512065788E-2</v>
      </c>
      <c r="AJ59" s="1351">
        <f>AJ58/AD58-1</f>
        <v>-5.593195150634267E-2</v>
      </c>
      <c r="AK59" s="1352">
        <f>AK58/AE58-1</f>
        <v>-7.8778295152392985E-3</v>
      </c>
      <c r="AL59" s="1350"/>
      <c r="AM59" s="1351">
        <f>AM58/AG58-1</f>
        <v>-3.466688339310886E-2</v>
      </c>
      <c r="AN59" s="1351">
        <f>AN58/AH58-1</f>
        <v>-2.562366903312574E-4</v>
      </c>
      <c r="AO59" s="1351">
        <f>AO58/AI58-1</f>
        <v>-7.7522823511979588E-3</v>
      </c>
      <c r="AP59" s="1351">
        <f>AP58/AJ58-1</f>
        <v>2.3549214019014331E-2</v>
      </c>
      <c r="AQ59" s="1354">
        <f>AQ58/AK58-1</f>
        <v>-5.1947896379699321E-3</v>
      </c>
      <c r="AR59" s="1350"/>
      <c r="AS59" s="1351">
        <f>AS58/AM58-1</f>
        <v>1.0763031424599445E-2</v>
      </c>
      <c r="AT59" s="1351">
        <f>AT58/AN58-1</f>
        <v>-4.0760373464774013E-2</v>
      </c>
      <c r="AU59" s="1351">
        <f>AU58/AO58-1</f>
        <v>-7.7123416169224912E-2</v>
      </c>
      <c r="AV59" s="1351">
        <f>AV58/AP58-1</f>
        <v>-0.12649839276426489</v>
      </c>
      <c r="AW59" s="1354">
        <f>AW58/AQ58-1</f>
        <v>-5.836046170079856E-2</v>
      </c>
      <c r="AX59" s="1350"/>
      <c r="AY59" s="1351">
        <f>AY58/AS58-1</f>
        <v>-0.11922070992414657</v>
      </c>
      <c r="AZ59" s="1351">
        <f>AZ58/AT58-1</f>
        <v>-0.10447600381977318</v>
      </c>
      <c r="BA59" s="1351">
        <f>BA58/AU58-1</f>
        <v>-8.7127928632874996E-2</v>
      </c>
      <c r="BB59" s="1351">
        <f>BB58/AV58-1</f>
        <v>-7.6125584654337053E-2</v>
      </c>
      <c r="BC59" s="1354">
        <f>BC58/AW58-1</f>
        <v>-9.7633349999337704E-2</v>
      </c>
      <c r="BD59" s="1350"/>
      <c r="BE59" s="1351">
        <f>BE58/AY58-1</f>
        <v>-0.11395407707256477</v>
      </c>
      <c r="BF59" s="1351">
        <f>BF58/AZ58-1</f>
        <v>-0.115600187345127</v>
      </c>
      <c r="BG59" s="1351">
        <f>BG58/BA58-1</f>
        <v>-0.11693718703510214</v>
      </c>
      <c r="BH59" s="1351">
        <f>BH58/BB58-1</f>
        <v>-0.12276973152539428</v>
      </c>
      <c r="BI59" s="1354">
        <f>BI58/BC58-1</f>
        <v>-0.11720285608856096</v>
      </c>
      <c r="BJ59" s="1407"/>
      <c r="BK59" s="1351">
        <f>BK58/BE58-1</f>
        <v>-0.12619518872346502</v>
      </c>
      <c r="BL59" s="1351">
        <f>BL58/BF58-1</f>
        <v>-0.13081113142483236</v>
      </c>
      <c r="BM59" s="1351">
        <f>BM58/BG58-1</f>
        <v>-9.6037041880956631E-2</v>
      </c>
      <c r="BN59" s="1351">
        <f>BN58/BH58-1</f>
        <v>-7.7829572759644083E-2</v>
      </c>
      <c r="BO59" s="1355">
        <f>BO58/BI58-1</f>
        <v>-0.10852375637657963</v>
      </c>
      <c r="BP59" s="1407"/>
      <c r="BQ59" s="1351">
        <f>BQ58/BK58-1</f>
        <v>-3.1508122940216876E-2</v>
      </c>
      <c r="BR59" s="1351">
        <f>BR58/BL58-1</f>
        <v>-1.2656916756149661E-3</v>
      </c>
      <c r="BS59" s="1351">
        <f>BS58/BM58-1</f>
        <v>-1.0931379511132211E-2</v>
      </c>
      <c r="BT59" s="1351">
        <f>BT58/BN58-1</f>
        <v>8.2373203860319766E-3</v>
      </c>
      <c r="BU59" s="1354">
        <f>BU58/BO58-1</f>
        <v>-9.1492995652956433E-3</v>
      </c>
      <c r="BV59" s="1407"/>
      <c r="BW59" s="1351">
        <f>BW58/BQ58-1</f>
        <v>1.8501736350058362E-2</v>
      </c>
      <c r="BX59" s="1351">
        <f>BX58/BR58-1</f>
        <v>1.6032255785115579E-2</v>
      </c>
      <c r="BY59" s="1351">
        <f>BY58/BS58-1</f>
        <v>3.8705695659152273E-2</v>
      </c>
      <c r="BZ59" s="1351">
        <f>BZ58/BT58-1</f>
        <v>3.6451467722487196E-2</v>
      </c>
      <c r="CA59" s="1354">
        <f>CA58/BU58-1</f>
        <v>2.7377404859431076E-2</v>
      </c>
      <c r="CB59" s="1407"/>
      <c r="CC59" s="1351">
        <f>CC58/BW58-1</f>
        <v>1.8957236050482162E-2</v>
      </c>
      <c r="CD59" s="1351">
        <f>CD58/BX58-1</f>
        <v>2.5648677009760812E-2</v>
      </c>
      <c r="CE59" s="1351">
        <f>CE58/BY58-1</f>
        <v>4.5825456282649224E-2</v>
      </c>
      <c r="CF59" s="1351">
        <f>CF58/BZ58-1</f>
        <v>6.3087533307107257E-2</v>
      </c>
      <c r="CG59" s="1354">
        <f>CG58/CA58-1</f>
        <v>3.8450630382438344E-2</v>
      </c>
      <c r="CH59" s="1407"/>
      <c r="CI59" s="1351">
        <f>CI58/CC58-1</f>
        <v>6.1556021566418373E-2</v>
      </c>
      <c r="CJ59" s="1351">
        <f>CJ58/CD58-1</f>
        <v>8.6191932962150775E-2</v>
      </c>
      <c r="CK59" s="1351">
        <f>CK58/CE58-1</f>
        <v>4.4138078171743311E-2</v>
      </c>
      <c r="CL59" s="1351">
        <f>CL58/CF58-1</f>
        <v>2.1575157224422492E-2</v>
      </c>
      <c r="CM59" s="1354">
        <f>CM58/CG58-1</f>
        <v>5.2892746744408248E-2</v>
      </c>
      <c r="CN59" s="1407"/>
      <c r="CO59" s="1351">
        <f>CO58/CI58-1</f>
        <v>2.4805962983318608E-3</v>
      </c>
      <c r="CP59" s="1351">
        <f>CP58/CJ58-1</f>
        <v>1.923692080952133E-2</v>
      </c>
      <c r="CQ59" s="1351">
        <f>CQ58/CK58-1</f>
        <v>2.9072361616743647E-2</v>
      </c>
      <c r="CR59" s="1351">
        <f>CR58/CL58-1</f>
        <v>4.6341172047946522E-2</v>
      </c>
      <c r="CS59" s="1354">
        <f>CS58/CM58-1</f>
        <v>2.432425781024361E-2</v>
      </c>
      <c r="CT59" s="1407"/>
      <c r="CU59" s="1351">
        <f>CU58/CO58-1</f>
        <v>6.5384389438098989E-2</v>
      </c>
      <c r="CV59" s="1351">
        <f>CV58/CP58-1</f>
        <v>4.8881340801118167E-2</v>
      </c>
      <c r="CW59" s="1351">
        <f>CW58/CQ58-1</f>
        <v>5.655360782902652E-2</v>
      </c>
      <c r="CX59" s="1351">
        <f>CX58/CR58-1</f>
        <v>6.8985665136754859E-2</v>
      </c>
      <c r="CY59" s="1354">
        <f>CY58/CS58-1</f>
        <v>5.9930261046247324E-2</v>
      </c>
      <c r="CZ59" s="1407"/>
      <c r="DA59" s="1351">
        <f>DA58/CU58-1</f>
        <v>6.2112352772198953E-2</v>
      </c>
      <c r="DB59" s="1351">
        <f>DB58/CV58-1</f>
        <v>8.3449361370622643E-2</v>
      </c>
      <c r="DC59" s="1351">
        <f>DC58/CW58-1</f>
        <v>8.454974812783278E-2</v>
      </c>
      <c r="DD59" s="1351">
        <f>DD58/CX58-1</f>
        <v>9.3243009484152317E-2</v>
      </c>
      <c r="DE59" s="1354">
        <f>DE58/CY58-1</f>
        <v>8.1053853784890384E-2</v>
      </c>
      <c r="DF59" s="1407"/>
      <c r="DG59" s="1351">
        <f>DG58/DA58-1</f>
        <v>7.4462043144985168E-2</v>
      </c>
      <c r="DH59" s="1351">
        <f>DH58/DB58-1</f>
        <v>5.9999718334914354E-2</v>
      </c>
      <c r="DI59" s="1351">
        <f>DI58/DC58-1</f>
        <v>5.1765862709321375E-2</v>
      </c>
      <c r="DJ59" s="1351">
        <f>DJ58/DD58-1</f>
        <v>4.4502124848141422E-2</v>
      </c>
      <c r="DK59" s="1354">
        <f>DK58/DE58-1</f>
        <v>5.7350396785023294E-2</v>
      </c>
      <c r="DL59" s="1407"/>
      <c r="DM59" s="1351">
        <f>DM58/DG58-1</f>
        <v>4.832702520399712E-2</v>
      </c>
      <c r="DN59" s="1351">
        <f>DN58/DH58-1</f>
        <v>4.6939029955551881E-2</v>
      </c>
      <c r="DO59" s="1351">
        <f>DO58/DI58-1</f>
        <v>4.5776618029750749E-2</v>
      </c>
      <c r="DP59" s="1351">
        <f>DP58/DJ58-1</f>
        <v>4.17786328020886E-2</v>
      </c>
      <c r="DQ59" s="1354">
        <f>DQ58/DK58-1</f>
        <v>4.565994739842516E-2</v>
      </c>
      <c r="DR59" s="1407"/>
      <c r="DS59" s="1351">
        <f>DS58/DM58-1</f>
        <v>4.3333594854485291E-2</v>
      </c>
      <c r="DT59" s="1351">
        <f>DT58/DN58-1</f>
        <v>3.9946580529819142E-2</v>
      </c>
      <c r="DU59" s="1351">
        <f>DU58/DO58-1</f>
        <v>3.7603510119772698E-2</v>
      </c>
      <c r="DV59" s="1351">
        <f>DV58/DP58-1</f>
        <v>3.7764908477980086E-2</v>
      </c>
      <c r="DW59" s="1354">
        <f>DW58/DQ58-1</f>
        <v>3.962469576114902E-2</v>
      </c>
      <c r="EJ59" s="656"/>
      <c r="EK59" s="656"/>
      <c r="EL59" s="656"/>
    </row>
    <row r="60" spans="1:142" s="1356" customFormat="1">
      <c r="A60" s="1382" t="s">
        <v>878</v>
      </c>
      <c r="B60" s="1383"/>
      <c r="C60" s="1462" t="s">
        <v>88</v>
      </c>
      <c r="D60" s="1462" t="s">
        <v>88</v>
      </c>
      <c r="E60" s="1462" t="s">
        <v>88</v>
      </c>
      <c r="F60" s="1462" t="s">
        <v>88</v>
      </c>
      <c r="G60" s="1463" t="s">
        <v>88</v>
      </c>
      <c r="H60" s="1383"/>
      <c r="I60" s="1462" t="s">
        <v>88</v>
      </c>
      <c r="J60" s="1462" t="s">
        <v>88</v>
      </c>
      <c r="K60" s="1462" t="s">
        <v>88</v>
      </c>
      <c r="L60" s="1462" t="s">
        <v>88</v>
      </c>
      <c r="M60" s="1463" t="s">
        <v>88</v>
      </c>
      <c r="N60" s="1383"/>
      <c r="O60" s="1462" t="s">
        <v>88</v>
      </c>
      <c r="P60" s="1384">
        <f>P58/O58-1</f>
        <v>0.16129032258064524</v>
      </c>
      <c r="Q60" s="1384">
        <f>Q58/P58-1</f>
        <v>7.2222222222222188E-2</v>
      </c>
      <c r="R60" s="1384">
        <f>R58/Q58-1</f>
        <v>4.4041450777202229E-2</v>
      </c>
      <c r="S60" s="1463" t="s">
        <v>88</v>
      </c>
      <c r="T60" s="1383"/>
      <c r="U60" s="1384">
        <f>U58/R58-1</f>
        <v>3.4739454094292688E-2</v>
      </c>
      <c r="V60" s="1384">
        <f>V58/U58-1</f>
        <v>4.3165467625899234E-2</v>
      </c>
      <c r="W60" s="1384">
        <f>W58/V58-1</f>
        <v>2.7586206896551779E-2</v>
      </c>
      <c r="X60" s="1384">
        <f>X58/W58-1</f>
        <v>2.0134228187919545E-2</v>
      </c>
      <c r="Y60" s="1463" t="s">
        <v>88</v>
      </c>
      <c r="Z60" s="1383"/>
      <c r="AA60" s="1384">
        <f>AA58/X58-1</f>
        <v>0</v>
      </c>
      <c r="AB60" s="1384">
        <f>AB58/AA58-1</f>
        <v>0</v>
      </c>
      <c r="AC60" s="1384">
        <f>AC58/AB58-1</f>
        <v>6.5789473684210176E-3</v>
      </c>
      <c r="AD60" s="1384">
        <f>AD58/AC58-1</f>
        <v>2.6797385620914937E-2</v>
      </c>
      <c r="AE60" s="1463" t="s">
        <v>88</v>
      </c>
      <c r="AF60" s="1383"/>
      <c r="AG60" s="1384">
        <f>AG58/AD58-1</f>
        <v>-2.6715665430543378E-4</v>
      </c>
      <c r="AH60" s="1384">
        <f>AH58/AG58-1</f>
        <v>-2.921727633793636E-2</v>
      </c>
      <c r="AI60" s="1384">
        <f>AI58/AH58-1</f>
        <v>-6.8691823229376503E-3</v>
      </c>
      <c r="AJ60" s="1384">
        <f>AJ58/AI58-1</f>
        <v>-2.0530668835315957E-2</v>
      </c>
      <c r="AK60" s="1463" t="s">
        <v>88</v>
      </c>
      <c r="AL60" s="1383"/>
      <c r="AM60" s="1384">
        <f>AM58/AJ58-1</f>
        <v>2.2251757149317486E-2</v>
      </c>
      <c r="AN60" s="1384">
        <f>AN58/AM58-1</f>
        <v>5.3876292168566486E-3</v>
      </c>
      <c r="AO60" s="1384">
        <f>AO58/AN58-1</f>
        <v>-1.4315644336239775E-2</v>
      </c>
      <c r="AP60" s="1384">
        <f>AP58/AO58-1</f>
        <v>1.0367719912640849E-2</v>
      </c>
      <c r="AQ60" s="1464" t="s">
        <v>88</v>
      </c>
      <c r="AR60" s="1383"/>
      <c r="AS60" s="1384">
        <f>AS58/AP58-1</f>
        <v>9.4817823934874035E-3</v>
      </c>
      <c r="AT60" s="1384">
        <f>AT58/AS58-1</f>
        <v>-4.5861765824726564E-2</v>
      </c>
      <c r="AU60" s="1384">
        <f>AU58/AT58-1</f>
        <v>-5.1681158986185416E-2</v>
      </c>
      <c r="AV60" s="1384">
        <f>AV58/AU58-1</f>
        <v>-4.3688134788964716E-2</v>
      </c>
      <c r="AW60" s="1464" t="s">
        <v>88</v>
      </c>
      <c r="AX60" s="1383"/>
      <c r="AY60" s="1384">
        <f>AY58/AV58-1</f>
        <v>1.7892400283918253E-2</v>
      </c>
      <c r="AZ60" s="1384">
        <f>AZ58/AY58-1</f>
        <v>-2.9888992617662868E-2</v>
      </c>
      <c r="BA60" s="1384">
        <f>BA58/AZ58-1</f>
        <v>-3.3310342988811636E-2</v>
      </c>
      <c r="BB60" s="1384">
        <f>BB58/BA58-1</f>
        <v>-3.2162234915555699E-2</v>
      </c>
      <c r="BC60" s="1464" t="s">
        <v>88</v>
      </c>
      <c r="BD60" s="1383"/>
      <c r="BE60" s="1384">
        <f>BE58/BB58-1</f>
        <v>-2.3785704777910088E-2</v>
      </c>
      <c r="BF60" s="1384">
        <f>BF58/BE58-1</f>
        <v>-3.1691280347289408E-2</v>
      </c>
      <c r="BG60" s="1384">
        <f>BG58/BF58-1</f>
        <v>-3.4771745120779851E-2</v>
      </c>
      <c r="BH60" s="1384">
        <f>BH58/BG58-1</f>
        <v>-3.855470976713149E-2</v>
      </c>
      <c r="BI60" s="1464" t="s">
        <v>88</v>
      </c>
      <c r="BJ60" s="1465"/>
      <c r="BK60" s="1384">
        <f>BK58/BH58-1</f>
        <v>-2.7597680270095126E-2</v>
      </c>
      <c r="BL60" s="1384">
        <f>BL58/BK58-1</f>
        <v>-3.6806447383988972E-2</v>
      </c>
      <c r="BM60" s="1384">
        <f>BM58/BL58-1</f>
        <v>3.8446419257669451E-3</v>
      </c>
      <c r="BN60" s="1384">
        <f>BN58/BM58-1</f>
        <v>-1.9189441227620119E-2</v>
      </c>
      <c r="BO60" s="1466" t="s">
        <v>88</v>
      </c>
      <c r="BP60" s="1465"/>
      <c r="BQ60" s="1384">
        <f>BQ58/BN58-1</f>
        <v>2.1246962679969172E-2</v>
      </c>
      <c r="BR60" s="1384">
        <f>BR58/BQ58-1</f>
        <v>-6.7294632610758187E-3</v>
      </c>
      <c r="BS60" s="1384">
        <f>BS58/BR58-1</f>
        <v>-5.8705033970064546E-3</v>
      </c>
      <c r="BT60" s="1384">
        <f>BT58/BS58-1</f>
        <v>-1.8078715892178021E-4</v>
      </c>
      <c r="BU60" s="1464" t="s">
        <v>88</v>
      </c>
      <c r="BV60" s="1465"/>
      <c r="BW60" s="1384">
        <f>BW58/BT58-1</f>
        <v>3.1643824028974032E-2</v>
      </c>
      <c r="BX60" s="1384">
        <f>BX58/BW58-1</f>
        <v>-9.1377677328947637E-3</v>
      </c>
      <c r="BY60" s="1384">
        <f>BY58/BX58-1</f>
        <v>1.6314161745161426E-2</v>
      </c>
      <c r="BZ60" s="1384">
        <f>BZ58/BY58-1</f>
        <v>-2.3506225710311357E-3</v>
      </c>
      <c r="CA60" s="1464" t="s">
        <v>88</v>
      </c>
      <c r="CB60" s="1465"/>
      <c r="CC60" s="1384">
        <f>CC58/BZ58-1</f>
        <v>1.4230740423415211E-2</v>
      </c>
      <c r="CD60" s="1384">
        <f>CD58/CC58-1</f>
        <v>-2.6308252514875008E-3</v>
      </c>
      <c r="CE60" s="1384">
        <f>CE58/CD58-1</f>
        <v>3.63073104451892E-2</v>
      </c>
      <c r="CF60" s="1384">
        <f>CF58/CE58-1</f>
        <v>1.4116274742594026E-2</v>
      </c>
      <c r="CG60" s="1464" t="s">
        <v>88</v>
      </c>
      <c r="CH60" s="1465"/>
      <c r="CI60" s="1384">
        <f>CI58/CF58-1</f>
        <v>1.2769613058019491E-2</v>
      </c>
      <c r="CJ60" s="1384">
        <f>CJ58/CI58-1</f>
        <v>2.0515478964923339E-2</v>
      </c>
      <c r="CK60" s="1384">
        <f>CK58/CJ58-1</f>
        <v>-3.815172358426322E-3</v>
      </c>
      <c r="CL60" s="1384">
        <f>CL58/CK58-1</f>
        <v>-7.7979009940798427E-3</v>
      </c>
      <c r="CM60" s="1464" t="s">
        <v>88</v>
      </c>
      <c r="CN60" s="1465"/>
      <c r="CO60" s="1384">
        <f>CO58/CL58-1</f>
        <v>-6.1603608590943271E-3</v>
      </c>
      <c r="CP60" s="1384">
        <f>CP58/CO58-1</f>
        <v>3.7573254045429216E-2</v>
      </c>
      <c r="CQ60" s="1384">
        <f>CQ58/CP58-1</f>
        <v>5.7978201708668298E-3</v>
      </c>
      <c r="CR60" s="1384">
        <f>CR58/CQ58-1</f>
        <v>8.8521914544783531E-3</v>
      </c>
      <c r="CS60" s="1464" t="s">
        <v>88</v>
      </c>
      <c r="CT60" s="1465"/>
      <c r="CU60" s="1384">
        <f>CU58/CR58-1</f>
        <v>1.1927338263046039E-2</v>
      </c>
      <c r="CV60" s="1384">
        <f>CV58/CU58-1</f>
        <v>2.1501006276740675E-2</v>
      </c>
      <c r="CW60" s="1384">
        <f>CW58/CV58-1</f>
        <v>1.3154943567251109E-2</v>
      </c>
      <c r="CX60" s="1384">
        <f>CX58/CW58-1</f>
        <v>2.0722964661112675E-2</v>
      </c>
      <c r="CY60" s="1464" t="s">
        <v>88</v>
      </c>
      <c r="CZ60" s="1465"/>
      <c r="DA60" s="1384">
        <f>DA58/CX58-1</f>
        <v>5.4208967709368228E-3</v>
      </c>
      <c r="DB60" s="1384">
        <f>DB58/DA58-1</f>
        <v>4.2022164605552526E-2</v>
      </c>
      <c r="DC60" s="1384">
        <f>DC58/DB58-1</f>
        <v>1.4183937004925928E-2</v>
      </c>
      <c r="DD60" s="1384">
        <f>DD58/DC58-1</f>
        <v>2.8904619324270131E-2</v>
      </c>
      <c r="DE60" s="1464" t="s">
        <v>88</v>
      </c>
      <c r="DF60" s="1465"/>
      <c r="DG60" s="1384">
        <f>DG58/DD58-1</f>
        <v>-1.1851361871595079E-2</v>
      </c>
      <c r="DH60" s="1384">
        <f>DH58/DG58-1</f>
        <v>2.7996482544501822E-2</v>
      </c>
      <c r="DI60" s="1384">
        <f>DI58/DH58-1</f>
        <v>6.3059687652633478E-3</v>
      </c>
      <c r="DJ60" s="1384">
        <f>DJ58/DI58-1</f>
        <v>2.1798766487711285E-2</v>
      </c>
      <c r="DK60" s="1464" t="s">
        <v>88</v>
      </c>
      <c r="DL60" s="1465"/>
      <c r="DM60" s="1384">
        <f>DM58/DJ58-1</f>
        <v>-8.2328244002949358E-3</v>
      </c>
      <c r="DN60" s="1384">
        <f>DN58/DM58-1</f>
        <v>2.6635405133650369E-2</v>
      </c>
      <c r="DO60" s="1384">
        <f>DO58/DN58-1</f>
        <v>5.1886715534597005E-3</v>
      </c>
      <c r="DP60" s="1384">
        <f>DP58/DO58-1</f>
        <v>1.7892448155831131E-2</v>
      </c>
      <c r="DQ60" s="1464" t="s">
        <v>88</v>
      </c>
      <c r="DR60" s="1465"/>
      <c r="DS60" s="1384">
        <f>DS58/DP58-1</f>
        <v>-6.7525096056613165E-3</v>
      </c>
      <c r="DT60" s="1384">
        <f>DT58/DS58-1</f>
        <v>2.3302598790074347E-2</v>
      </c>
      <c r="DU60" s="1384">
        <f>DU58/DT58-1</f>
        <v>2.9239130774705302E-3</v>
      </c>
      <c r="DV60" s="1384">
        <f>DV58/DU58-1</f>
        <v>1.8050780474835326E-2</v>
      </c>
      <c r="DW60" s="1464" t="s">
        <v>88</v>
      </c>
      <c r="EJ60" s="656"/>
      <c r="EK60" s="656"/>
      <c r="EL60" s="656"/>
    </row>
    <row r="61" spans="1:142" s="1356" customFormat="1" ht="6.75" customHeight="1">
      <c r="A61" s="1350"/>
      <c r="B61" s="1350"/>
      <c r="C61" s="1404"/>
      <c r="D61" s="1404"/>
      <c r="E61" s="1404"/>
      <c r="F61" s="1404"/>
      <c r="G61" s="1405"/>
      <c r="H61" s="1350"/>
      <c r="I61" s="1404"/>
      <c r="J61" s="1404"/>
      <c r="K61" s="1404"/>
      <c r="L61" s="1404"/>
      <c r="M61" s="1405"/>
      <c r="N61" s="1350"/>
      <c r="O61" s="1404"/>
      <c r="P61" s="1351"/>
      <c r="Q61" s="1351"/>
      <c r="R61" s="1351"/>
      <c r="S61" s="1405"/>
      <c r="T61" s="1350"/>
      <c r="U61" s="1351"/>
      <c r="V61" s="1351"/>
      <c r="W61" s="1351"/>
      <c r="X61" s="1351"/>
      <c r="Y61" s="1405"/>
      <c r="Z61" s="1350"/>
      <c r="AA61" s="1467"/>
      <c r="AB61" s="1467"/>
      <c r="AC61" s="1467"/>
      <c r="AD61" s="1467"/>
      <c r="AE61" s="1405"/>
      <c r="AF61" s="1350"/>
      <c r="AG61" s="1467"/>
      <c r="AH61" s="1468"/>
      <c r="AI61" s="1468"/>
      <c r="AJ61" s="1469"/>
      <c r="AK61" s="1470"/>
      <c r="AL61" s="1350"/>
      <c r="AM61" s="1467"/>
      <c r="AN61" s="1467"/>
      <c r="AO61" s="1467"/>
      <c r="AP61" s="1467"/>
      <c r="AQ61" s="1441"/>
      <c r="AR61" s="1350"/>
      <c r="AS61" s="1351"/>
      <c r="AT61" s="1351"/>
      <c r="AU61" s="1351"/>
      <c r="AV61" s="1351"/>
      <c r="AW61" s="1441"/>
      <c r="AX61" s="1350"/>
      <c r="AY61" s="1351"/>
      <c r="AZ61" s="1351"/>
      <c r="BA61" s="1351"/>
      <c r="BB61" s="1351"/>
      <c r="BC61" s="1441"/>
      <c r="BD61" s="1350"/>
      <c r="BE61" s="1351"/>
      <c r="BF61" s="1351"/>
      <c r="BG61" s="1351"/>
      <c r="BH61" s="1351"/>
      <c r="BI61" s="1441"/>
      <c r="BJ61" s="1407"/>
      <c r="BK61" s="1351"/>
      <c r="BL61" s="1351"/>
      <c r="BM61" s="1351"/>
      <c r="BN61" s="1351"/>
      <c r="BO61" s="1442"/>
      <c r="BP61" s="1407"/>
      <c r="BQ61" s="1351"/>
      <c r="BR61" s="1351"/>
      <c r="BS61" s="1351"/>
      <c r="BT61" s="1351"/>
      <c r="BU61" s="1441"/>
      <c r="BV61" s="1407"/>
      <c r="BW61" s="1351"/>
      <c r="BX61" s="1351"/>
      <c r="BY61" s="1351"/>
      <c r="BZ61" s="1351"/>
      <c r="CA61" s="1441"/>
      <c r="CB61" s="1407"/>
      <c r="CC61" s="1351"/>
      <c r="CD61" s="1351"/>
      <c r="CE61" s="1351"/>
      <c r="CF61" s="1351"/>
      <c r="CG61" s="1441"/>
      <c r="CH61" s="1407"/>
      <c r="CI61" s="1351"/>
      <c r="CJ61" s="1351"/>
      <c r="CK61" s="1351"/>
      <c r="CL61" s="1351"/>
      <c r="CM61" s="1441"/>
      <c r="CN61" s="1407"/>
      <c r="CO61" s="1351"/>
      <c r="CP61" s="1351"/>
      <c r="CQ61" s="1351"/>
      <c r="CR61" s="1351"/>
      <c r="CS61" s="1441"/>
      <c r="CT61" s="1407"/>
      <c r="CU61" s="1351"/>
      <c r="CV61" s="1351"/>
      <c r="CW61" s="1351"/>
      <c r="CX61" s="1351"/>
      <c r="CY61" s="1441"/>
      <c r="CZ61" s="1407"/>
      <c r="DA61" s="1351"/>
      <c r="DB61" s="1351"/>
      <c r="DC61" s="1351"/>
      <c r="DD61" s="1351"/>
      <c r="DE61" s="1441"/>
      <c r="DF61" s="1407"/>
      <c r="DG61" s="1351"/>
      <c r="DH61" s="1351"/>
      <c r="DI61" s="1351"/>
      <c r="DJ61" s="1351"/>
      <c r="DK61" s="1441"/>
      <c r="DL61" s="1407"/>
      <c r="DM61" s="1351"/>
      <c r="DN61" s="1351"/>
      <c r="DO61" s="1351"/>
      <c r="DP61" s="1351"/>
      <c r="DQ61" s="1441"/>
      <c r="DR61" s="1407"/>
      <c r="DS61" s="1351"/>
      <c r="DT61" s="1351"/>
      <c r="DU61" s="1351"/>
      <c r="DV61" s="1351"/>
      <c r="DW61" s="1441"/>
      <c r="EJ61" s="656"/>
      <c r="EK61" s="656"/>
      <c r="EL61" s="656"/>
    </row>
    <row r="62" spans="1:142" s="1356" customFormat="1" hidden="1">
      <c r="A62" s="22" t="s">
        <v>856</v>
      </c>
      <c r="B62" s="22"/>
      <c r="C62" s="48"/>
      <c r="D62" s="48">
        <f>((D58*D54)-(C54*C58))/(D54-C54)</f>
        <v>30</v>
      </c>
      <c r="E62" s="48">
        <f>((E58*E54)-(D54*D58))/(E54-D54)</f>
        <v>34</v>
      </c>
      <c r="F62" s="48">
        <f>((F58*F54)-(E54*E58))/(F54-E54)</f>
        <v>39.989247311827953</v>
      </c>
      <c r="G62" s="34"/>
      <c r="H62" s="22"/>
      <c r="I62" s="48">
        <f>((I58*I54)-(F54*F58))/(I54-F54)</f>
        <v>47.166238305746894</v>
      </c>
      <c r="J62" s="48">
        <f>((J58*J54)-(I54*I58))/(J54-I54)</f>
        <v>58.165796344647518</v>
      </c>
      <c r="K62" s="48">
        <f>((K58*K54)-(J54*J58))/(K54-J54)</f>
        <v>64.165796344647518</v>
      </c>
      <c r="L62" s="48">
        <f>((L58*L54)-(K54*K58))/(L54-K54)</f>
        <v>70.152363003769239</v>
      </c>
      <c r="M62" s="34"/>
      <c r="N62" s="22"/>
      <c r="O62" s="48">
        <f>((O58*O54)-(L54*L58))/(O54-L54)</f>
        <v>84.809535057674893</v>
      </c>
      <c r="P62" s="48">
        <f>((P58*P54)-(O54*O58))/(P54-O54)</f>
        <v>144.06862745098027</v>
      </c>
      <c r="Q62" s="48">
        <f>((Q58*Q54)-(P54*P58))/(Q54-P54)</f>
        <v>135.36231884057966</v>
      </c>
      <c r="R62" s="48">
        <f>((R58*R54)-(Q54*Q58))/(R54-Q54)</f>
        <v>99.547619047619222</v>
      </c>
      <c r="S62" s="48">
        <f>((S58*S54)-(M54*M58))/(S54-M54)</f>
        <v>93.362883420955399</v>
      </c>
      <c r="T62" s="22"/>
      <c r="U62" s="48">
        <f>((U58*U54)-(R54*R58))/(U54-R54)</f>
        <v>89.799999999999898</v>
      </c>
      <c r="V62" s="48">
        <f>((V58*V54)-(U54*U58))/(V54-U54)</f>
        <v>98.48214285714289</v>
      </c>
      <c r="W62" s="48">
        <f>((W58*W54)-(V54*V58))/(W54-V54)</f>
        <v>91.40625</v>
      </c>
      <c r="X62" s="48">
        <f>((X58*X54)-(W54*W58))/(X54-W54)</f>
        <v>85.355670103092777</v>
      </c>
      <c r="Y62" s="48">
        <f>((Y58*Y54)-(S54*S58))/(Y54-S54)</f>
        <v>97.775814053127689</v>
      </c>
      <c r="Z62" s="22"/>
      <c r="AA62" s="48">
        <f>((AA58*AA54)-(X54*X58))/(AA54-X54)</f>
        <v>76</v>
      </c>
      <c r="AB62" s="48">
        <f>((AB58*AB54)-(AA54*AA58))/(AB54-AA54)</f>
        <v>76</v>
      </c>
      <c r="AC62" s="48">
        <f>((AC58*AC54)-(AB54*AB58))/(AC54-AB54)</f>
        <v>79.827464788732428</v>
      </c>
      <c r="AD62" s="48">
        <f>((AD58*AD54)-(AC54*AC58))/(AD54-AC54)</f>
        <v>91.657941176470558</v>
      </c>
      <c r="AE62" s="48">
        <f>((AE58*AE54)-(Y54*Y58))/(AE54-Y54)</f>
        <v>81.535440101237356</v>
      </c>
      <c r="AF62" s="22"/>
      <c r="AG62" s="48">
        <f>((AG58*AG54)-(AD54*AD58))/(AG54-AD54)</f>
        <v>78.411777777777715</v>
      </c>
      <c r="AH62" s="48">
        <f>((AH58*AH54)-(AG54*AG58))/(AH54-AG54)</f>
        <v>62.066666666666791</v>
      </c>
      <c r="AI62" s="48">
        <f>((AI58*AI54)-(AH54*AH58))/(AI54-AH54)</f>
        <v>71.999999999999915</v>
      </c>
      <c r="AJ62" s="48">
        <f>((AJ58*AJ54)-(AI54*AI58))/(AJ54-AI54)</f>
        <v>62.317829457364368</v>
      </c>
      <c r="AK62" s="48">
        <f>((AK58*AK54)-(AE54*AE58))/(AK54-AE54)</f>
        <v>75.400078726819572</v>
      </c>
      <c r="AL62" s="22"/>
      <c r="AM62" s="48">
        <f>((AM58*AM54)-(AJ54*AJ58))/(AM54-AJ54)</f>
        <v>89.392592592592536</v>
      </c>
      <c r="AN62" s="48">
        <f>((AN58*AN54)-(AM54*AM58))/(AN54-AM54)</f>
        <v>79.542483660130671</v>
      </c>
      <c r="AO62" s="48">
        <f>((AO58*AO54)-(AN54*AN58))/(AO54-AN54)</f>
        <v>66.497175141242977</v>
      </c>
      <c r="AP62" s="48">
        <f>((AP58*AP54)-(AO54*AO58))/(AP54-AO54)</f>
        <v>83.412844036697251</v>
      </c>
      <c r="AQ62" s="62">
        <f>((AQ58*AQ54)-(AK54*AK58))/(AQ54-AK54)</f>
        <v>75.117007790572359</v>
      </c>
      <c r="AR62" s="22"/>
      <c r="AS62" s="48">
        <f>((AS58*AS54)-(AP54*AP58))/(AS54-AP54)</f>
        <v>83.301333333333375</v>
      </c>
      <c r="AT62" s="48">
        <f>((AT58*AT54)-(AS54*AS58))/(AT54-AS54)</f>
        <v>47.157088122605337</v>
      </c>
      <c r="AU62" s="48">
        <f>((AU58*AU54)-(AT54*AT58))/(AU54-AT54)</f>
        <v>46.070323488045027</v>
      </c>
      <c r="AV62" s="48">
        <f>((AV58*AV54)-(AU54*AU58))/(AV54-AU54)</f>
        <v>47.954761904761938</v>
      </c>
      <c r="AW62" s="62">
        <f>((AW58*AW54)-(AQ54*AQ58))/(AW54-AQ54)</f>
        <v>64.140509312357977</v>
      </c>
      <c r="AX62" s="22"/>
      <c r="AY62" s="48">
        <f>((AY58*AY54)-(AV54*AV58))/(AY54-AV54)</f>
        <v>76.864000000000004</v>
      </c>
      <c r="AZ62" s="48">
        <f>((AZ58*AZ54)-(AY54*AY58))/(AZ54-AY54)</f>
        <v>44.586046511627906</v>
      </c>
      <c r="BA62" s="48">
        <f>((BA58*BA54)-(AZ54*AZ58))/(BA54-AZ54)</f>
        <v>39.96609233546797</v>
      </c>
      <c r="BB62" s="48">
        <f>((BB58*BB54)-(BA54*BA58))/(BB54-BA54)</f>
        <v>37.318649045521333</v>
      </c>
      <c r="BC62" s="62">
        <f>((BC58*BC54)-(AW54*AW58))/(BC54-AW54)</f>
        <v>52.665984176945834</v>
      </c>
      <c r="BD62" s="22"/>
      <c r="BE62" s="48">
        <f>((BE58*BE54)-(BB54*BB58))/(BE54-BB54)</f>
        <v>42.583192357340323</v>
      </c>
      <c r="BF62" s="48">
        <f>((BF58*BF54)-(BE54*BE58))/(BF54-BE54)</f>
        <v>32.804878930387005</v>
      </c>
      <c r="BG62" s="48">
        <f>((BG58*BG54)-(BF54*BF58))/(BG54-BF54)</f>
        <v>31.759475543571096</v>
      </c>
      <c r="BH62" s="48">
        <f>((BH58*BH54)-(BG54*BG58))/(BH54-BG54)</f>
        <v>34.085154574174148</v>
      </c>
      <c r="BI62" s="62">
        <f>((BI58*BI54)-(BC54*BC58))/(BI54-BC54)</f>
        <v>37.57699963068125</v>
      </c>
      <c r="BJ62" s="25"/>
      <c r="BK62" s="48">
        <f>((BK58*BK54)-(BH54*BH58))/(BK54-BH54)</f>
        <v>37.658843097481025</v>
      </c>
      <c r="BL62" s="48">
        <f>((BL58*BL54)-(BK54*BK58))/(BL54-BK54)</f>
        <v>29.470423451700878</v>
      </c>
      <c r="BM62" s="48">
        <f>((BM58*BM54)-(BL54*BL58))/(BM54-BL54)</f>
        <v>52.721024072959231</v>
      </c>
      <c r="BN62" s="48">
        <f>((BN58*BN54)-(BM54*BM58))/(BN54-BM54)</f>
        <v>38.052098754316752</v>
      </c>
      <c r="BO62" s="100">
        <f>((BO58*BO54)-(BI54*BI58))/(BO54-BI54)</f>
        <v>36.50067373816789</v>
      </c>
      <c r="BP62" s="25"/>
      <c r="BQ62" s="48">
        <f>((BQ58*BQ54)-(BN54*BN58))/(BQ54-BN54)</f>
        <v>63.451669320607046</v>
      </c>
      <c r="BR62" s="48">
        <f>((BR58*BR54)-(BQ54*BQ58))/(BR54-BQ54)</f>
        <v>46.153301826007556</v>
      </c>
      <c r="BS62" s="48">
        <f>((BS58*BS54)-(BR54*BR58))/(BS54-BR54)</f>
        <v>46.486074752727774</v>
      </c>
      <c r="BT62" s="48">
        <f>((BT58*BT54)-(BS54*BS58))/(BT54-BS54)</f>
        <v>49.850226573555808</v>
      </c>
      <c r="BU62" s="62">
        <f>((BU58*BU54)-(BO54*BO58))/(BU54-BO54)</f>
        <v>48.985240777985666</v>
      </c>
      <c r="BV62" s="25"/>
      <c r="BW62" s="48">
        <f>((BW58*BW54)-(BT54*BT58))/(BW54-BT54)</f>
        <v>74.537720938025302</v>
      </c>
      <c r="BX62" s="48">
        <f>((BX58*BX54)-(BW54*BW58))/(BX54-BW54)</f>
        <v>43.078150388137416</v>
      </c>
      <c r="BY62" s="48">
        <f>((BY58*BY54)-(BX54*BX58))/(BY54-BX54)</f>
        <v>65.799589512585442</v>
      </c>
      <c r="BZ62" s="48">
        <f>((BZ58*BZ54)-(BY54*BY58))/(BZ54-BY54)</f>
        <v>49.84817797571224</v>
      </c>
      <c r="CA62" s="62">
        <f>((CA58*CA54)-(BU54*BU58))/(CA54-BU54)</f>
        <v>55.972795310594307</v>
      </c>
      <c r="CB62" s="25"/>
      <c r="CC62" s="48">
        <f>((CC58*CC54)-(BZ54*BZ58))/(CC54-BZ54)</f>
        <v>65.406769128711417</v>
      </c>
      <c r="CD62" s="48">
        <f>((CD58*CD54)-(CC54*CC58))/(CD54-CC54)</f>
        <v>50.532885596092584</v>
      </c>
      <c r="CE62" s="48">
        <f>((CE58*CE54)-(CD54*CD58))/(CE54-CD54)</f>
        <v>80.124542935923003</v>
      </c>
      <c r="CF62" s="48">
        <f>((CF58*CF54)-(CE54*CE58))/(CF54-CE54)</f>
        <v>68.900753978581164</v>
      </c>
      <c r="CG62" s="62">
        <f>((CG58*CG54)-(CA54*CA58))/(CG54-CA54)</f>
        <v>60.583952338860605</v>
      </c>
      <c r="CH62" s="25"/>
      <c r="CI62" s="48">
        <f>((CI58*CI54)-(CF54*CF58))/(CI54-CF54)</f>
        <v>68.815687905643244</v>
      </c>
      <c r="CJ62" s="48">
        <f>((CJ58*CJ54)-(CI54*CI58))/(CJ54-CI54)</f>
        <v>78.58360639337242</v>
      </c>
      <c r="CK62" s="48">
        <f>((CK58*CK54)-(CJ54*CJ58))/(CK54-CJ54)</f>
        <v>52.28141335192165</v>
      </c>
      <c r="CL62" s="48">
        <f>((CL58*CL54)-(CK54*CK58))/(CL54-CK54)</f>
        <v>47.788601366751507</v>
      </c>
      <c r="CM62" s="62">
        <f>((CM58*CM54)-(CG54*CG58))/(CM54-CG54)</f>
        <v>67.870065537331868</v>
      </c>
      <c r="CN62" s="25"/>
      <c r="CO62" s="48">
        <f>((CO58*CO54)-(CL54*CL58))/(CO54-CL54)</f>
        <v>49.098947087577677</v>
      </c>
      <c r="CP62" s="48">
        <f>((CP58*CP54)-(CO54*CO58))/(CP54-CO54)</f>
        <v>106.41307084590774</v>
      </c>
      <c r="CQ62" s="48">
        <f>((CQ58*CQ54)-(CP54*CP58))/(CQ54-CP54)</f>
        <v>66.097101777039015</v>
      </c>
      <c r="CR62" s="48">
        <f>((CR58*CR54)-(CQ54*CQ58))/(CR54-CQ54)</f>
        <v>70.358707720226136</v>
      </c>
      <c r="CS62" s="62">
        <f>((CS58*CS54)-(CM54*CM58))/(CS54-CM54)</f>
        <v>64.372807617660982</v>
      </c>
      <c r="CT62" s="25"/>
      <c r="CU62" s="48">
        <f>((CU58*CU54)-(CR54*CR58))/(CU54-CR54)</f>
        <v>75.966676647944269</v>
      </c>
      <c r="CV62" s="48">
        <f>((CV58*CV54)-(CU54*CU58))/(CV54-CU54)</f>
        <v>92.88916260987024</v>
      </c>
      <c r="CW62" s="48">
        <f>((CW58*CW54)-(CV54*CV58))/(CW54-CV54)</f>
        <v>82.542737939605601</v>
      </c>
      <c r="CX62" s="48">
        <f>((CX58*CX54)-(CW54*CW58))/(CX54-CW54)</f>
        <v>93.127745087437461</v>
      </c>
      <c r="CY62" s="62">
        <f>((CY58*CY54)-(CS54*CS58))/(CY54-CS54)</f>
        <v>80.543243503885549</v>
      </c>
      <c r="CZ62" s="25"/>
      <c r="DA62" s="48">
        <f>((DA58*DA54)-(CX54*CX58))/(DA54-CX54)</f>
        <v>72.422545404019587</v>
      </c>
      <c r="DB62" s="48">
        <f>((DB58*DB54)-(DA54*DA58))/(DB54-DA54)</f>
        <v>147.05099464327216</v>
      </c>
      <c r="DC62" s="48">
        <f>((DC58*DC54)-(DB54*DB58))/(DC54-DB54)</f>
        <v>93.55147209924715</v>
      </c>
      <c r="DD62" s="48">
        <f>((DD58*DD54)-(DC54*DC58))/(DD54-DC54)</f>
        <v>119.70535071629912</v>
      </c>
      <c r="DE62" s="62">
        <f>((DE58*DE54)-(CY54*CY58))/(DE54-CY54)</f>
        <v>97.634236485642802</v>
      </c>
      <c r="DF62" s="25"/>
      <c r="DG62" s="48">
        <f>((DG58*DG54)-(DD54*DD58))/(DG54-DD54)</f>
        <v>44.429290620872806</v>
      </c>
      <c r="DH62" s="48">
        <f>((DH58*DH54)-(DG54*DG58))/(DH54-DG54)</f>
        <v>128.19327829227706</v>
      </c>
      <c r="DI62" s="48">
        <f>((DI58*DI54)-(DH54*DH58))/(DI54-DH54)</f>
        <v>82.848649934113212</v>
      </c>
      <c r="DJ62" s="48">
        <f>((DJ58*DJ54)-(DI54*DI58))/(DJ54-DI54)</f>
        <v>112.46787500869694</v>
      </c>
      <c r="DK62" s="62">
        <f>((DK58*DK54)-(DE54*DE58))/(DK54-DE54)</f>
        <v>95.67510958508278</v>
      </c>
      <c r="DL62" s="25"/>
      <c r="DM62" s="48">
        <f>((DM58*DM54)-(DJ54*DJ58))/(DM54-DJ54)</f>
        <v>54.305996038794163</v>
      </c>
      <c r="DN62" s="48">
        <f>((DN58*DN54)-(DM54*DM58))/(DN54-DM54)</f>
        <v>128.8633969979677</v>
      </c>
      <c r="DO62" s="48">
        <f>((DO58*DO54)-(DN54*DN58))/(DO54-DN54)</f>
        <v>84.023487952654065</v>
      </c>
      <c r="DP62" s="48">
        <f>((DP58*DP54)-(DO54*DO58))/(DP54-DO54)</f>
        <v>110.73418086304982</v>
      </c>
      <c r="DQ62" s="62">
        <f>((DQ58*DQ54)-(DK54*DK58))/(DQ54-DK54)</f>
        <v>94.569053743634967</v>
      </c>
      <c r="DR62" s="25"/>
      <c r="DS62" s="48">
        <f>((DS58*DS54)-(DP54*DP58))/(DS54-DP54)</f>
        <v>59.420702215983958</v>
      </c>
      <c r="DT62" s="48">
        <f>((DT58*DT54)-(DS54*DS58))/(DT54-DS54)</f>
        <v>126.20286637906871</v>
      </c>
      <c r="DU62" s="48">
        <f>((DU58*DU54)-(DT54*DT58))/(DU54-DT54)</f>
        <v>82.309881719071399</v>
      </c>
      <c r="DV62" s="48">
        <f>((DV58*DV54)-(DU54*DU58))/(DV54-DU54)</f>
        <v>114.90087934669532</v>
      </c>
      <c r="DW62" s="62">
        <f>((DW58*DW54)-(DQ54*DQ58))/(DW54-DQ54)</f>
        <v>95.507307545469331</v>
      </c>
      <c r="EJ62" s="656"/>
      <c r="EK62" s="656"/>
      <c r="EL62" s="656"/>
    </row>
    <row r="63" spans="1:142" s="1356" customFormat="1" hidden="1">
      <c r="A63" s="22" t="s">
        <v>877</v>
      </c>
      <c r="B63" s="22"/>
      <c r="C63" s="23" t="s">
        <v>88</v>
      </c>
      <c r="D63" s="23" t="s">
        <v>88</v>
      </c>
      <c r="E63" s="23" t="s">
        <v>88</v>
      </c>
      <c r="F63" s="23" t="s">
        <v>88</v>
      </c>
      <c r="G63" s="34" t="s">
        <v>88</v>
      </c>
      <c r="H63" s="22"/>
      <c r="I63" s="23" t="s">
        <v>88</v>
      </c>
      <c r="J63" s="23" t="s">
        <v>88</v>
      </c>
      <c r="K63" s="23" t="s">
        <v>88</v>
      </c>
      <c r="L63" s="23" t="s">
        <v>88</v>
      </c>
      <c r="M63" s="34" t="s">
        <v>88</v>
      </c>
      <c r="N63" s="22"/>
      <c r="O63" s="23" t="s">
        <v>88</v>
      </c>
      <c r="P63" s="23" t="s">
        <v>88</v>
      </c>
      <c r="Q63" s="23" t="s">
        <v>88</v>
      </c>
      <c r="R63" s="23" t="s">
        <v>88</v>
      </c>
      <c r="S63" s="34" t="s">
        <v>88</v>
      </c>
      <c r="T63" s="22"/>
      <c r="U63" s="24">
        <f>U62/O62-1</f>
        <v>5.8843206001910398E-2</v>
      </c>
      <c r="V63" s="24">
        <f>V62/P62-1</f>
        <v>-0.31642200942983445</v>
      </c>
      <c r="W63" s="24">
        <f>W62/Q62-1</f>
        <v>-0.3247289882226978</v>
      </c>
      <c r="X63" s="24">
        <f>X62/R62-1</f>
        <v>-0.14256442374314993</v>
      </c>
      <c r="Y63" s="33">
        <f>Y62/S62-1</f>
        <v>4.726643469520142E-2</v>
      </c>
      <c r="Z63" s="22"/>
      <c r="AA63" s="24">
        <f>AA62/U62-1</f>
        <v>-0.15367483296213713</v>
      </c>
      <c r="AB63" s="24">
        <f>AB62/V62-1</f>
        <v>-0.22828649138712631</v>
      </c>
      <c r="AC63" s="24">
        <f>AC62/W62-1</f>
        <v>-0.1266738894907905</v>
      </c>
      <c r="AD63" s="24">
        <f>AD62/X62-1</f>
        <v>7.3835412055999194E-2</v>
      </c>
      <c r="AE63" s="33">
        <f>AE62/Y62-1</f>
        <v>-0.16609806943735517</v>
      </c>
      <c r="AF63" s="22"/>
      <c r="AG63" s="24">
        <f>AG62/AA62-1</f>
        <v>3.1733918128654226E-2</v>
      </c>
      <c r="AH63" s="24">
        <f>AH62/AB62-1</f>
        <v>-0.18333333333333168</v>
      </c>
      <c r="AI63" s="24">
        <f>AI62/AC62-1</f>
        <v>-9.8054783644304755E-2</v>
      </c>
      <c r="AJ63" s="24">
        <f>AJ62/AD62-1</f>
        <v>-0.32010441585871086</v>
      </c>
      <c r="AK63" s="33">
        <f>AK62/AE62-1</f>
        <v>-7.524778632211826E-2</v>
      </c>
      <c r="AL63" s="22"/>
      <c r="AM63" s="24">
        <f>AM62/AG62-1</f>
        <v>0.14004037564273708</v>
      </c>
      <c r="AN63" s="24">
        <f>AN62/AH62-1</f>
        <v>0.2815652576820169</v>
      </c>
      <c r="AO63" s="24">
        <f>AO62/AI62-1</f>
        <v>-7.642812303829094E-2</v>
      </c>
      <c r="AP63" s="24">
        <f>AP62/AJ62-1</f>
        <v>0.33850688900782933</v>
      </c>
      <c r="AQ63" s="59">
        <f>AQ62/AK62-1</f>
        <v>-3.7542525290032991E-3</v>
      </c>
      <c r="AR63" s="22"/>
      <c r="AS63" s="24">
        <f>AS62/AM62-1</f>
        <v>-6.8140536957241205E-2</v>
      </c>
      <c r="AT63" s="24">
        <f>AT62/AN62-1</f>
        <v>-0.40714589295327686</v>
      </c>
      <c r="AU63" s="24">
        <f>AU62/AO62-1</f>
        <v>-0.30718375043466739</v>
      </c>
      <c r="AV63" s="24">
        <f>AV62/AP62-1</f>
        <v>-0.425091393794649</v>
      </c>
      <c r="AW63" s="59">
        <f>AW62/AQ62-1</f>
        <v>-0.14612534233015595</v>
      </c>
      <c r="AX63" s="22"/>
      <c r="AY63" s="24">
        <f>AY62/AS62-1</f>
        <v>-7.7277674627057147E-2</v>
      </c>
      <c r="AZ63" s="24">
        <f>AZ62/AT62-1</f>
        <v>-5.4520788143086585E-2</v>
      </c>
      <c r="BA63" s="24">
        <f>BA62/AU62-1</f>
        <v>-0.13249811788625854</v>
      </c>
      <c r="BB63" s="24">
        <f>BB62/AV62-1</f>
        <v>-0.22179471728717792</v>
      </c>
      <c r="BC63" s="59">
        <f>BC62/AW62-1</f>
        <v>-0.17889669505947225</v>
      </c>
      <c r="BD63" s="22"/>
      <c r="BE63" s="24">
        <f>BE62/AY62-1</f>
        <v>-0.44599302199546831</v>
      </c>
      <c r="BF63" s="24">
        <f>BF62/AZ62-1</f>
        <v>-0.26423440746576188</v>
      </c>
      <c r="BG63" s="24">
        <f>BG62/BA62-1</f>
        <v>-0.20533948435619009</v>
      </c>
      <c r="BH63" s="24">
        <f>BH62/BB62-1</f>
        <v>-8.6645539269199268E-2</v>
      </c>
      <c r="BI63" s="59">
        <f>BI62/BC62-1</f>
        <v>-0.28650341927664347</v>
      </c>
      <c r="BJ63" s="25"/>
      <c r="BK63" s="24">
        <f>BK62/BE62-1</f>
        <v>-0.11564067856952154</v>
      </c>
      <c r="BL63" s="24">
        <f>BL62/BF62-1</f>
        <v>-0.1016451085145581</v>
      </c>
      <c r="BM63" s="24">
        <f>BM62/BG62-1</f>
        <v>0.66000927819575628</v>
      </c>
      <c r="BN63" s="24">
        <f>BN62/BH62-1</f>
        <v>0.11638334136082529</v>
      </c>
      <c r="BO63" s="95">
        <f>BO62/BI62-1</f>
        <v>-2.8643210024531851E-2</v>
      </c>
      <c r="BP63" s="25"/>
      <c r="BQ63" s="24">
        <f>BQ62/BK62-1</f>
        <v>0.68490755694115535</v>
      </c>
      <c r="BR63" s="24">
        <f>BR62/BL62-1</f>
        <v>0.56608885860253322</v>
      </c>
      <c r="BS63" s="24">
        <f>BS62/BM62-1</f>
        <v>-0.11826305406365167</v>
      </c>
      <c r="BT63" s="24">
        <f>BT62/BN62-1</f>
        <v>0.31005196048222272</v>
      </c>
      <c r="BU63" s="59">
        <f>BU62/BO62-1</f>
        <v>0.34203661908747063</v>
      </c>
      <c r="BV63" s="25"/>
      <c r="BW63" s="24">
        <f>BW62/BQ62-1</f>
        <v>0.17471646902468274</v>
      </c>
      <c r="BX63" s="24">
        <f>BX62/BR62-1</f>
        <v>-6.6629066961733208E-2</v>
      </c>
      <c r="BY63" s="24">
        <f>BY62/BS62-1</f>
        <v>0.41546882292367271</v>
      </c>
      <c r="BZ63" s="24">
        <f>BZ62/BT62-1</f>
        <v>-4.1095055817730319E-5</v>
      </c>
      <c r="CA63" s="59">
        <f>CA62/BU62-1</f>
        <v>0.14264611996658605</v>
      </c>
      <c r="CB63" s="25"/>
      <c r="CC63" s="24">
        <f>CC62/BW62-1</f>
        <v>-0.12250108662305159</v>
      </c>
      <c r="CD63" s="24">
        <f>CD62/BX62-1</f>
        <v>0.17305142260722506</v>
      </c>
      <c r="CE63" s="24">
        <f>CE62/BY62-1</f>
        <v>0.21770581745950923</v>
      </c>
      <c r="CF63" s="24">
        <f>CF62/BZ62-1</f>
        <v>0.38221208430430487</v>
      </c>
      <c r="CG63" s="59">
        <f>CG62/CA62-1</f>
        <v>8.2382110857227797E-2</v>
      </c>
      <c r="CH63" s="25"/>
      <c r="CI63" s="24">
        <f>CI62/CC62-1</f>
        <v>5.2118745847598014E-2</v>
      </c>
      <c r="CJ63" s="24">
        <f>CJ62/CD62-1</f>
        <v>0.55509833777331008</v>
      </c>
      <c r="CK63" s="24">
        <f>CK62/CE62-1</f>
        <v>-0.34749813931878515</v>
      </c>
      <c r="CL63" s="24">
        <f>CL62/CF62-1</f>
        <v>-0.30641395620130207</v>
      </c>
      <c r="CM63" s="59">
        <f>CM62/CG62-1</f>
        <v>0.12026473871691756</v>
      </c>
      <c r="CN63" s="25"/>
      <c r="CO63" s="24">
        <f>CO62/CI62-1</f>
        <v>-0.28651520340972558</v>
      </c>
      <c r="CP63" s="24">
        <f>CP62/CJ62-1</f>
        <v>0.35413829588358525</v>
      </c>
      <c r="CQ63" s="24">
        <f>CQ62/CK62-1</f>
        <v>0.26425621534214994</v>
      </c>
      <c r="CR63" s="24">
        <f>CR62/CL62-1</f>
        <v>0.4722905820210419</v>
      </c>
      <c r="CS63" s="59">
        <f>CS62/CM62-1</f>
        <v>-5.1528724659138936E-2</v>
      </c>
      <c r="CT63" s="25"/>
      <c r="CU63" s="24">
        <f>CU62/CO62-1</f>
        <v>0.54721600266585524</v>
      </c>
      <c r="CV63" s="24">
        <f>CV62/CP62-1</f>
        <v>-0.12708878832771298</v>
      </c>
      <c r="CW63" s="24">
        <f>CW62/CQ62-1</f>
        <v>0.2488102461442494</v>
      </c>
      <c r="CX63" s="24">
        <f>CX62/CR62-1</f>
        <v>0.32361363795580167</v>
      </c>
      <c r="CY63" s="59">
        <f>CY62/CS62-1</f>
        <v>0.25119979203436404</v>
      </c>
      <c r="CZ63" s="25"/>
      <c r="DA63" s="24">
        <f>DA62/CU62-1</f>
        <v>-4.6653761890221968E-2</v>
      </c>
      <c r="DB63" s="24">
        <f>DB62/CV62-1</f>
        <v>0.58308020560890261</v>
      </c>
      <c r="DC63" s="24">
        <f>DC62/CW62-1</f>
        <v>0.13337011146512201</v>
      </c>
      <c r="DD63" s="24">
        <f>DD62/CX62-1</f>
        <v>0.28538869489332108</v>
      </c>
      <c r="DE63" s="59">
        <f>DE62/CY62-1</f>
        <v>0.21219648276186875</v>
      </c>
      <c r="DF63" s="25"/>
      <c r="DG63" s="24">
        <f>DG62/DA62-1</f>
        <v>-0.38652680083228752</v>
      </c>
      <c r="DH63" s="24">
        <f>DH62/DB62-1</f>
        <v>-0.12823929818864288</v>
      </c>
      <c r="DI63" s="24">
        <f>DI62/DC62-1</f>
        <v>-0.11440570548990936</v>
      </c>
      <c r="DJ63" s="24">
        <f>DJ62/DD62-1</f>
        <v>-6.0460753544383739E-2</v>
      </c>
      <c r="DK63" s="59">
        <f>DK62/DE62-1</f>
        <v>-2.0065982703189489E-2</v>
      </c>
      <c r="DL63" s="25"/>
      <c r="DM63" s="24">
        <f>DM62/DG62-1</f>
        <v>0.22230166810904017</v>
      </c>
      <c r="DN63" s="24">
        <f>DN62/DH62-1</f>
        <v>5.2274090702539855E-3</v>
      </c>
      <c r="DO63" s="24">
        <f>DO62/DI62-1</f>
        <v>1.4180533050027533E-2</v>
      </c>
      <c r="DP63" s="24">
        <f>DP62/DJ62-1</f>
        <v>-1.5415016470374798E-2</v>
      </c>
      <c r="DQ63" s="59">
        <f>DQ62/DK62-1</f>
        <v>-1.156053906020571E-2</v>
      </c>
      <c r="DR63" s="25"/>
      <c r="DS63" s="24">
        <f>DS62/DM62-1</f>
        <v>9.4183083826250735E-2</v>
      </c>
      <c r="DT63" s="24">
        <f>DT62/DN62-1</f>
        <v>-2.0646131336588547E-2</v>
      </c>
      <c r="DU63" s="24">
        <f>DU62/DO62-1</f>
        <v>-2.03943715660585E-2</v>
      </c>
      <c r="DV63" s="24">
        <f>DV62/DP62-1</f>
        <v>3.7627934312338907E-2</v>
      </c>
      <c r="DW63" s="59">
        <f>DW62/DQ62-1</f>
        <v>9.9213618482199006E-3</v>
      </c>
      <c r="EJ63" s="656"/>
      <c r="EK63" s="656"/>
      <c r="EL63" s="656"/>
    </row>
    <row r="64" spans="1:142" s="1356" customFormat="1" hidden="1">
      <c r="A64" s="22" t="s">
        <v>878</v>
      </c>
      <c r="B64" s="22"/>
      <c r="C64" s="23" t="s">
        <v>88</v>
      </c>
      <c r="D64" s="23" t="s">
        <v>88</v>
      </c>
      <c r="E64" s="23" t="s">
        <v>88</v>
      </c>
      <c r="F64" s="23" t="s">
        <v>88</v>
      </c>
      <c r="G64" s="34" t="s">
        <v>88</v>
      </c>
      <c r="H64" s="22"/>
      <c r="I64" s="23" t="s">
        <v>88</v>
      </c>
      <c r="J64" s="23" t="s">
        <v>88</v>
      </c>
      <c r="K64" s="23" t="s">
        <v>88</v>
      </c>
      <c r="L64" s="23" t="s">
        <v>88</v>
      </c>
      <c r="M64" s="34" t="s">
        <v>88</v>
      </c>
      <c r="N64" s="22"/>
      <c r="O64" s="23" t="s">
        <v>88</v>
      </c>
      <c r="P64" s="24">
        <f>P62/O62-1</f>
        <v>0.69873148523932027</v>
      </c>
      <c r="Q64" s="24">
        <f>Q62/P62-1</f>
        <v>-6.0431675961950537E-2</v>
      </c>
      <c r="R64" s="24">
        <f>R62/Q62-1</f>
        <v>-0.26458397063321959</v>
      </c>
      <c r="S64" s="34" t="s">
        <v>88</v>
      </c>
      <c r="T64" s="22"/>
      <c r="U64" s="24">
        <f>U62/R62-1</f>
        <v>-9.7919158096151815E-2</v>
      </c>
      <c r="V64" s="24">
        <f>V62/U62-1</f>
        <v>9.6683105313396522E-2</v>
      </c>
      <c r="W64" s="24">
        <f>W62/V62-1</f>
        <v>-7.1849501359927737E-2</v>
      </c>
      <c r="X64" s="24">
        <f>X62/W62-1</f>
        <v>-6.6194378359326844E-2</v>
      </c>
      <c r="Y64" s="34" t="s">
        <v>88</v>
      </c>
      <c r="Z64" s="22"/>
      <c r="AA64" s="24">
        <f>AA62/X62-1</f>
        <v>-0.10960806812005552</v>
      </c>
      <c r="AB64" s="24">
        <f>AB62/AA62-1</f>
        <v>0</v>
      </c>
      <c r="AC64" s="24">
        <f>AC62/AB62-1</f>
        <v>5.0361378799110845E-2</v>
      </c>
      <c r="AD64" s="24">
        <f>AD62/AC62-1</f>
        <v>0.14820057757124205</v>
      </c>
      <c r="AE64" s="34" t="s">
        <v>88</v>
      </c>
      <c r="AF64" s="22"/>
      <c r="AG64" s="24">
        <f>AG62/AD62-1</f>
        <v>-0.14451735691062251</v>
      </c>
      <c r="AH64" s="24">
        <f>AH62/AG62-1</f>
        <v>-0.20845224498587012</v>
      </c>
      <c r="AI64" s="24">
        <f>AI62/AH62-1</f>
        <v>0.16004296455423916</v>
      </c>
      <c r="AJ64" s="24">
        <f>AJ62/AI62-1</f>
        <v>-0.13447459086993829</v>
      </c>
      <c r="AK64" s="34" t="s">
        <v>88</v>
      </c>
      <c r="AL64" s="22"/>
      <c r="AM64" s="24">
        <f>AM62/AJ62-1</f>
        <v>0.43446255062127537</v>
      </c>
      <c r="AN64" s="24">
        <f>AN62/AM62-1</f>
        <v>-0.11018931934722842</v>
      </c>
      <c r="AO64" s="24">
        <f>AO62/AN62-1</f>
        <v>-0.16400428951436474</v>
      </c>
      <c r="AP64" s="24">
        <f>AP62/AO62-1</f>
        <v>0.2543817667370778</v>
      </c>
      <c r="AQ64" s="61" t="s">
        <v>88</v>
      </c>
      <c r="AR64" s="22"/>
      <c r="AS64" s="24">
        <f>AS62/AP62-1</f>
        <v>-1.3368529109835103E-3</v>
      </c>
      <c r="AT64" s="24">
        <f>AT62/AS62-1</f>
        <v>-0.43389755919146578</v>
      </c>
      <c r="AU64" s="24">
        <f>AU62/AT62-1</f>
        <v>-2.3045626390984841E-2</v>
      </c>
      <c r="AV64" s="24">
        <f>AV62/AU62-1</f>
        <v>4.0903520401933235E-2</v>
      </c>
      <c r="AW64" s="61" t="s">
        <v>88</v>
      </c>
      <c r="AX64" s="22"/>
      <c r="AY64" s="24">
        <f>AY62/AV62-1</f>
        <v>0.60284395015143133</v>
      </c>
      <c r="AZ64" s="24">
        <f>AZ62/AY62-1</f>
        <v>-0.41993590612474108</v>
      </c>
      <c r="BA64" s="24">
        <f>BA62/AZ62-1</f>
        <v>-0.10361883453728216</v>
      </c>
      <c r="BB64" s="24">
        <f>BB62/BA62-1</f>
        <v>-6.6242235235921654E-2</v>
      </c>
      <c r="BC64" s="61" t="s">
        <v>88</v>
      </c>
      <c r="BD64" s="22"/>
      <c r="BE64" s="24">
        <f>BE62/BB62-1</f>
        <v>0.14107003995233836</v>
      </c>
      <c r="BF64" s="24">
        <f>BF62/BE62-1</f>
        <v>-0.22962847277624954</v>
      </c>
      <c r="BG64" s="24">
        <f>BG62/BF62-1</f>
        <v>-3.1867314280729087E-2</v>
      </c>
      <c r="BH64" s="24">
        <f>BH62/BG62-1</f>
        <v>7.3227878949462921E-2</v>
      </c>
      <c r="BI64" s="61" t="s">
        <v>88</v>
      </c>
      <c r="BJ64" s="25"/>
      <c r="BK64" s="24">
        <f>BK62/BH62-1</f>
        <v>0.10484589458234739</v>
      </c>
      <c r="BL64" s="24">
        <f>BL62/BK62-1</f>
        <v>-0.21743683481152576</v>
      </c>
      <c r="BM64" s="24">
        <f>BM62/BL62-1</f>
        <v>0.78894694741539095</v>
      </c>
      <c r="BN64" s="24">
        <f>BN62/BM62-1</f>
        <v>-0.27823672958898793</v>
      </c>
      <c r="BO64" s="99" t="s">
        <v>88</v>
      </c>
      <c r="BP64" s="25"/>
      <c r="BQ64" s="24">
        <f>BQ62/BN62-1</f>
        <v>0.66749460339316724</v>
      </c>
      <c r="BR64" s="24">
        <f>BR62/BQ62-1</f>
        <v>-0.27262273285821248</v>
      </c>
      <c r="BS64" s="24">
        <f>BS62/BR62-1</f>
        <v>7.2101651139657719E-3</v>
      </c>
      <c r="BT64" s="24">
        <f>BT62/BS62-1</f>
        <v>7.2369023169258417E-2</v>
      </c>
      <c r="BU64" s="61" t="s">
        <v>88</v>
      </c>
      <c r="BV64" s="25"/>
      <c r="BW64" s="24">
        <f>BW62/BT62-1</f>
        <v>0.49523334318334955</v>
      </c>
      <c r="BX64" s="24">
        <f>BX62/BW62-1</f>
        <v>-0.42206241556600688</v>
      </c>
      <c r="BY64" s="24">
        <f>BY62/BX62-1</f>
        <v>0.52744695210277426</v>
      </c>
      <c r="BZ64" s="24">
        <f>BZ62/BY62-1</f>
        <v>-0.24242418007519917</v>
      </c>
      <c r="CA64" s="61" t="s">
        <v>88</v>
      </c>
      <c r="CB64" s="25"/>
      <c r="CC64" s="24">
        <f>CC62/BZ62-1</f>
        <v>0.31211955551474446</v>
      </c>
      <c r="CD64" s="24">
        <f>CD62/CC62-1</f>
        <v>-0.22740587451046701</v>
      </c>
      <c r="CE64" s="24">
        <f>CE62/CD62-1</f>
        <v>0.58559207515587763</v>
      </c>
      <c r="CF64" s="24">
        <f>CF62/CE62-1</f>
        <v>-0.14007928839379091</v>
      </c>
      <c r="CG64" s="61" t="s">
        <v>88</v>
      </c>
      <c r="CH64" s="25"/>
      <c r="CI64" s="24">
        <f>CI62/CF62-1</f>
        <v>-1.234617446484898E-3</v>
      </c>
      <c r="CJ64" s="24">
        <f>CJ62/CI62-1</f>
        <v>0.14194319326027038</v>
      </c>
      <c r="CK64" s="24">
        <f>CK62/CJ62-1</f>
        <v>-0.33470330834382578</v>
      </c>
      <c r="CL64" s="24">
        <f>CL62/CK62-1</f>
        <v>-8.5935166957474829E-2</v>
      </c>
      <c r="CM64" s="61" t="s">
        <v>88</v>
      </c>
      <c r="CN64" s="25"/>
      <c r="CO64" s="24">
        <f>CO62/CL62-1</f>
        <v>2.7419629019271419E-2</v>
      </c>
      <c r="CP64" s="24">
        <f>CP62/CO62-1</f>
        <v>1.1673187951688453</v>
      </c>
      <c r="CQ64" s="24">
        <f>CQ62/CP62-1</f>
        <v>-0.37886294182082736</v>
      </c>
      <c r="CR64" s="24">
        <f>CR62/CQ62-1</f>
        <v>6.4474928984972868E-2</v>
      </c>
      <c r="CS64" s="61" t="s">
        <v>88</v>
      </c>
      <c r="CT64" s="25"/>
      <c r="CU64" s="24">
        <f>CU62/CR62-1</f>
        <v>7.9705399792412646E-2</v>
      </c>
      <c r="CV64" s="24">
        <f>CV62/CU62-1</f>
        <v>0.22276196233186019</v>
      </c>
      <c r="CW64" s="24">
        <f>CW62/CV62-1</f>
        <v>-0.11138462636076396</v>
      </c>
      <c r="CX64" s="24">
        <f>CX62/CW62-1</f>
        <v>0.12823668577091096</v>
      </c>
      <c r="CY64" s="61" t="s">
        <v>88</v>
      </c>
      <c r="CZ64" s="25"/>
      <c r="DA64" s="24">
        <f>DA62/CX62-1</f>
        <v>-0.22233116096580885</v>
      </c>
      <c r="DB64" s="24">
        <f>DB62/DA62-1</f>
        <v>1.0304588001281512</v>
      </c>
      <c r="DC64" s="24">
        <f>DC62/DB62-1</f>
        <v>-0.36381612156931242</v>
      </c>
      <c r="DD64" s="24">
        <f>DD62/DC62-1</f>
        <v>0.27956672439430741</v>
      </c>
      <c r="DE64" s="61" t="s">
        <v>88</v>
      </c>
      <c r="DF64" s="25"/>
      <c r="DG64" s="24">
        <f>DG62/DD62-1</f>
        <v>-0.6288445724855698</v>
      </c>
      <c r="DH64" s="24">
        <f>DH62/DG62-1</f>
        <v>1.8853325475345777</v>
      </c>
      <c r="DI64" s="24">
        <f>DI62/DH62-1</f>
        <v>-0.35372079536634804</v>
      </c>
      <c r="DJ64" s="24">
        <f>DJ62/DI62-1</f>
        <v>0.35751005113709056</v>
      </c>
      <c r="DK64" s="61" t="s">
        <v>88</v>
      </c>
      <c r="DL64" s="25"/>
      <c r="DM64" s="24">
        <f>DM62/DJ62-1</f>
        <v>-0.51714215250715123</v>
      </c>
      <c r="DN64" s="24">
        <f>DN62/DM62-1</f>
        <v>1.3729128714610543</v>
      </c>
      <c r="DO64" s="24">
        <f>DO62/DN62-1</f>
        <v>-0.34796466715851671</v>
      </c>
      <c r="DP64" s="24">
        <f>DP62/DO62-1</f>
        <v>0.3178955499377365</v>
      </c>
      <c r="DQ64" s="61" t="s">
        <v>88</v>
      </c>
      <c r="DR64" s="25"/>
      <c r="DS64" s="24">
        <f>DS62/DP62-1</f>
        <v>-0.46339331042262055</v>
      </c>
      <c r="DT64" s="24">
        <f>DT62/DS62-1</f>
        <v>1.1238871583904069</v>
      </c>
      <c r="DU64" s="24">
        <f>DU62/DT62-1</f>
        <v>-0.34779705025207852</v>
      </c>
      <c r="DV64" s="24">
        <f>DV62/DU62-1</f>
        <v>0.39595485920948059</v>
      </c>
      <c r="DW64" s="61" t="s">
        <v>88</v>
      </c>
      <c r="EJ64" s="656"/>
      <c r="EK64" s="656"/>
      <c r="EL64" s="656"/>
    </row>
    <row r="65" spans="1:142" s="1356" customFormat="1" ht="5.25" hidden="1" customHeight="1">
      <c r="A65" s="22"/>
      <c r="B65" s="22"/>
      <c r="C65" s="23"/>
      <c r="D65" s="23"/>
      <c r="E65" s="23"/>
      <c r="F65" s="23"/>
      <c r="G65" s="34"/>
      <c r="H65" s="22"/>
      <c r="I65" s="23"/>
      <c r="J65" s="23"/>
      <c r="K65" s="23"/>
      <c r="L65" s="23"/>
      <c r="M65" s="34"/>
      <c r="N65" s="22"/>
      <c r="O65" s="23"/>
      <c r="P65" s="24"/>
      <c r="Q65" s="24"/>
      <c r="R65" s="24"/>
      <c r="S65" s="34"/>
      <c r="T65" s="22"/>
      <c r="U65" s="24"/>
      <c r="V65" s="24"/>
      <c r="W65" s="24"/>
      <c r="X65" s="24"/>
      <c r="Y65" s="34"/>
      <c r="Z65" s="22"/>
      <c r="AA65" s="44"/>
      <c r="AB65" s="44"/>
      <c r="AC65" s="44"/>
      <c r="AD65" s="44"/>
      <c r="AE65" s="34"/>
      <c r="AF65" s="22"/>
      <c r="AG65" s="44"/>
      <c r="AH65" s="45"/>
      <c r="AI65" s="45"/>
      <c r="AJ65" s="49"/>
      <c r="AK65" s="50"/>
      <c r="AL65" s="22"/>
      <c r="AM65" s="44"/>
      <c r="AN65" s="44"/>
      <c r="AO65" s="44"/>
      <c r="AP65" s="44"/>
      <c r="AQ65" s="61"/>
      <c r="AR65" s="22"/>
      <c r="AS65" s="24"/>
      <c r="AT65" s="24"/>
      <c r="AU65" s="24"/>
      <c r="AV65" s="24"/>
      <c r="AW65" s="61"/>
      <c r="AX65" s="22"/>
      <c r="AY65" s="24"/>
      <c r="AZ65" s="24"/>
      <c r="BA65" s="24"/>
      <c r="BB65" s="24"/>
      <c r="BC65" s="61"/>
      <c r="BD65" s="22"/>
      <c r="BE65" s="24"/>
      <c r="BF65" s="24"/>
      <c r="BG65" s="24"/>
      <c r="BH65" s="24"/>
      <c r="BI65" s="61"/>
      <c r="BJ65" s="25"/>
      <c r="BK65" s="24"/>
      <c r="BL65" s="24"/>
      <c r="BM65" s="24"/>
      <c r="BN65" s="24"/>
      <c r="BO65" s="99"/>
      <c r="BP65" s="25"/>
      <c r="BQ65" s="24"/>
      <c r="BR65" s="24"/>
      <c r="BS65" s="24"/>
      <c r="BT65" s="24"/>
      <c r="BU65" s="61"/>
      <c r="BV65" s="25"/>
      <c r="BW65" s="24"/>
      <c r="BX65" s="24"/>
      <c r="BY65" s="24"/>
      <c r="BZ65" s="24"/>
      <c r="CA65" s="61"/>
      <c r="CB65" s="25"/>
      <c r="CC65" s="24"/>
      <c r="CD65" s="24"/>
      <c r="CE65" s="24"/>
      <c r="CF65" s="24"/>
      <c r="CG65" s="61"/>
      <c r="CH65" s="25"/>
      <c r="CI65" s="24"/>
      <c r="CJ65" s="24"/>
      <c r="CK65" s="24"/>
      <c r="CL65" s="24"/>
      <c r="CM65" s="61"/>
      <c r="CN65" s="25"/>
      <c r="CO65" s="24"/>
      <c r="CP65" s="24"/>
      <c r="CQ65" s="24"/>
      <c r="CR65" s="24"/>
      <c r="CS65" s="61"/>
      <c r="CT65" s="25"/>
      <c r="CU65" s="24"/>
      <c r="CV65" s="24"/>
      <c r="CW65" s="24"/>
      <c r="CX65" s="24"/>
      <c r="CY65" s="61"/>
      <c r="CZ65" s="25"/>
      <c r="DA65" s="24"/>
      <c r="DB65" s="24"/>
      <c r="DC65" s="24"/>
      <c r="DD65" s="24"/>
      <c r="DE65" s="61"/>
      <c r="DF65" s="25"/>
      <c r="DG65" s="24"/>
      <c r="DH65" s="24"/>
      <c r="DI65" s="24"/>
      <c r="DJ65" s="24"/>
      <c r="DK65" s="61"/>
      <c r="DL65" s="25"/>
      <c r="DM65" s="24"/>
      <c r="DN65" s="24"/>
      <c r="DO65" s="24"/>
      <c r="DP65" s="24"/>
      <c r="DQ65" s="61"/>
      <c r="DR65" s="25"/>
      <c r="DS65" s="24"/>
      <c r="DT65" s="24"/>
      <c r="DU65" s="24"/>
      <c r="DV65" s="24"/>
      <c r="DW65" s="61"/>
      <c r="EJ65" s="656"/>
      <c r="EK65" s="656"/>
      <c r="EL65" s="656"/>
    </row>
    <row r="66" spans="1:142" hidden="1">
      <c r="A66" s="5" t="s">
        <v>333</v>
      </c>
      <c r="B66" s="5"/>
      <c r="C66" s="20"/>
      <c r="D66" s="20"/>
      <c r="E66" s="20"/>
      <c r="F66" s="20"/>
      <c r="G66" s="40"/>
      <c r="H66" s="5"/>
      <c r="I66" s="20" t="e">
        <f>((I73-H73)+(I159-H159))/I50*1000000</f>
        <v>#REF!</v>
      </c>
      <c r="J66" s="20" t="e">
        <f>((J73-I73)+(J159-I159))/J50*1000000</f>
        <v>#REF!</v>
      </c>
      <c r="K66" s="20" t="e">
        <f>((K73-J73)+(K159-J159))/K50*1000000</f>
        <v>#REF!</v>
      </c>
      <c r="L66" s="20" t="e">
        <f>((L73-K73)+(L159-K159))/L50*1000000</f>
        <v>#REF!</v>
      </c>
      <c r="M66" s="40"/>
      <c r="N66" s="5"/>
      <c r="O66" s="20" t="e">
        <f>((O73-L73)+(O159-M159))/O50*1000000</f>
        <v>#REF!</v>
      </c>
      <c r="P66" s="20">
        <f>((P22-O22)+(P159-O159))/P50*1000000</f>
        <v>1415.8</v>
      </c>
      <c r="Q66" s="20">
        <f>((Q22-P22)+(Q159-P159))/Q50*1000000</f>
        <v>201.99999999999952</v>
      </c>
      <c r="R66" s="20">
        <f>((R22-Q22)+(R159-Q159))/R50*1000000</f>
        <v>945.85714285714289</v>
      </c>
      <c r="S66" s="40"/>
      <c r="T66" s="5"/>
      <c r="U66" s="20">
        <f>((U22-R22)+(U159-S159))/U50*1000000</f>
        <v>825.22222222222217</v>
      </c>
      <c r="V66" s="20">
        <f>((V22-U22)+(V159-U159))/V50*1000000</f>
        <v>709.90909090909099</v>
      </c>
      <c r="W66" s="20">
        <f>((W22-V22)+(W159-V159))/W50*1000000</f>
        <v>713.36363636363649</v>
      </c>
      <c r="X66" s="20">
        <f>((X22-W22)+(X159-W159))/X50*1000000</f>
        <v>979.54999999999984</v>
      </c>
      <c r="Y66" s="40"/>
      <c r="Z66" s="5"/>
      <c r="AA66" s="20">
        <f>((AA22-X22)+(AA159-Y159))/AA50*1000000</f>
        <v>348.85000000000019</v>
      </c>
      <c r="AB66" s="20">
        <f>((AB22-AA22)+(AB159-AA159))/AB50*1000000</f>
        <v>672.28571428571433</v>
      </c>
      <c r="AC66" s="20">
        <f>((AC22-AB22)+(AC159-AB159))/AC50*1000000</f>
        <v>671.51851851851825</v>
      </c>
      <c r="AD66" s="20">
        <f>((AD22-AC22)+(AD159-AC159))/AD50*1000000</f>
        <v>924.18750000000023</v>
      </c>
      <c r="AE66" s="40"/>
      <c r="AF66" s="5"/>
      <c r="AG66" s="20">
        <f>((AG22-AD22)+(AG159-AE159))/AG50*1000000</f>
        <v>438.89999999999975</v>
      </c>
      <c r="AH66" s="20">
        <f>((AH22-AG22)+(AH159-AG159))/AH50*1000000</f>
        <v>490.58536585365897</v>
      </c>
      <c r="AI66" s="20">
        <f>((AI22-AH22)+(AI159-AH159))/AI50*1000000</f>
        <v>431.32558139534848</v>
      </c>
      <c r="AJ66" s="20">
        <f>((AJ22-AI22)+(AJ159-AI159))/AJ50*1000000</f>
        <v>1043.8333333333337</v>
      </c>
      <c r="AK66" s="40"/>
      <c r="AL66" s="5"/>
      <c r="AM66" s="20">
        <f>((AM22-AJ22)+(AM159-AK159))/AM50*1000000</f>
        <v>623.22499999999968</v>
      </c>
      <c r="AN66" s="20">
        <f>((AN22-AM22)+(AN159-AM159))/AN50*1000000</f>
        <v>804.14634146341496</v>
      </c>
      <c r="AO66" s="20">
        <f>((AO22-AN22)+(AO159-AN159))/AO50*1000000</f>
        <v>659.65116279069787</v>
      </c>
      <c r="AP66" s="20">
        <f>((AP22-AO22)+(AP159-AO159))/AP50*1000000</f>
        <v>1630.6249999999993</v>
      </c>
      <c r="AQ66" s="63"/>
      <c r="AR66" s="5"/>
      <c r="AS66" s="20">
        <f>((AS22-AP22)+(AS159-AQ159))/AS50*1000000</f>
        <v>353.61038961039009</v>
      </c>
      <c r="AT66" s="20">
        <f>((AT22-AS22)+(AT159-AS159))/AT50*1000000</f>
        <v>396.78350515463859</v>
      </c>
      <c r="AU66" s="20">
        <f>((AU22-AT22)+(AU159-AT159))/AU50*1000000</f>
        <v>252.3857142857145</v>
      </c>
      <c r="AV66" s="20">
        <f>((AV22-AU22)+(AV159-AU159))/AV50*1000000</f>
        <v>1144.4785714285715</v>
      </c>
      <c r="AW66" s="63"/>
      <c r="AX66" s="5"/>
      <c r="AY66" s="20">
        <f>((AY22-AV22)+(AY159-AW159))/AY50*1000000</f>
        <v>165.7000000000003</v>
      </c>
      <c r="AZ66" s="20">
        <f>((AZ22-AY22)+(AZ159-AY159))/AZ50*1000000</f>
        <v>225.02857142857101</v>
      </c>
      <c r="BA66" s="20">
        <f>((BA22-AZ22)+(BA159-AZ159))/BA50*1000000</f>
        <v>29.786565565189878</v>
      </c>
      <c r="BB66" s="20">
        <f>((BB22-BA22)+(BB159-BA159))/BB50*1000000</f>
        <v>1322.3169022138193</v>
      </c>
      <c r="BC66" s="63"/>
      <c r="BD66" s="5"/>
      <c r="BE66" s="20">
        <f>((BE22-BB22)+(BE159-BC159))/BE50*1000000</f>
        <v>-205.08656993466883</v>
      </c>
      <c r="BF66" s="20">
        <f>((BF22-BE22)+(BF159-BE159))/BF50*1000000</f>
        <v>118.02193815780964</v>
      </c>
      <c r="BG66" s="20">
        <f>((BG22-BF22)+(BG159-BF159))/BG50*1000000</f>
        <v>52.958403017565644</v>
      </c>
      <c r="BH66" s="20">
        <f>((BH22-BG22)+(BH159-BG159))/BH50*1000000</f>
        <v>833.28637467678027</v>
      </c>
      <c r="BI66" s="63"/>
      <c r="BJ66" s="6"/>
      <c r="BK66" s="20">
        <f>((BK22-BH22)+(BK159-BI159))/BK50*1000000</f>
        <v>-83.567489692541827</v>
      </c>
      <c r="BL66" s="20">
        <f>((BL22-BK22)+(BL159-BK159))/BL50*1000000</f>
        <v>170.72354419736183</v>
      </c>
      <c r="BM66" s="20">
        <f>((BM22-BL22)+(BM159-BL159))/BM50*1000000</f>
        <v>212.02660246948994</v>
      </c>
      <c r="BN66" s="20">
        <f>((BN22-BM22)+(BN159-BM159))/BN50*1000000</f>
        <v>1139.0488932593667</v>
      </c>
      <c r="BO66" s="101"/>
      <c r="BP66" s="6"/>
      <c r="BQ66" s="20">
        <f>((BQ22-BN22)+(BQ159-BO159))/BQ50*1000000</f>
        <v>105.28748453153084</v>
      </c>
      <c r="BR66" s="20">
        <f>((BR22-BQ22)+(BR159-BQ159))/BR50*1000000</f>
        <v>201.27275143298488</v>
      </c>
      <c r="BS66" s="20">
        <f>((BS22-BR22)+(BS159-BR159))/BS50*1000000</f>
        <v>76.261930770491276</v>
      </c>
      <c r="BT66" s="20">
        <f>((BT22-BS22)+(BT159-BS159))/BT50*1000000</f>
        <v>1645.3552773077267</v>
      </c>
      <c r="BU66" s="63"/>
      <c r="BV66" s="6"/>
      <c r="BW66" s="20">
        <f>((BW22-BT22)+(BW159-BU159))/BW50*1000000</f>
        <v>64.952377180421863</v>
      </c>
      <c r="BX66" s="20">
        <f>((BX22-BW22)+(BX159-BW159))/BX50*1000000</f>
        <v>132.20405627734303</v>
      </c>
      <c r="BY66" s="20">
        <f>((BY22-BX22)+(BY159-BX159))/BY50*1000000</f>
        <v>27.702195797381183</v>
      </c>
      <c r="BZ66" s="20">
        <f>((BZ22-BY22)+(BZ159-BY159))/BZ50*1000000</f>
        <v>1895.1546352000128</v>
      </c>
      <c r="CA66" s="63"/>
      <c r="CB66" s="6"/>
      <c r="CC66" s="20">
        <f>((CC22-BZ22)+(CC159-CA159))/CC50*1000000</f>
        <v>-288.91273152767366</v>
      </c>
      <c r="CD66" s="20">
        <f>((CD22-CC22)+(CD159-CC159))/CD50*1000000</f>
        <v>214.20102393259609</v>
      </c>
      <c r="CE66" s="20">
        <f>((CE22-CD22)+(CE159-CD159))/CE50*1000000</f>
        <v>155.92399060243955</v>
      </c>
      <c r="CF66" s="20">
        <f>((CF22-CE22)+(CF159-CE159))/CF50*1000000</f>
        <v>2237.3448623674021</v>
      </c>
      <c r="CG66" s="63"/>
      <c r="CH66" s="6"/>
      <c r="CI66" s="20">
        <f>((CI22-CF22)+(CI159-CG159))/CI50*1000000</f>
        <v>-394.97371487003625</v>
      </c>
      <c r="CJ66" s="20">
        <f>((CJ22-CI22)+(CJ159-CI159))/CJ50*1000000</f>
        <v>279.37552964448679</v>
      </c>
      <c r="CK66" s="20">
        <f>((CK22-CJ22)+(CK159-CJ159))/CK50*1000000</f>
        <v>-238.07764401316558</v>
      </c>
      <c r="CL66" s="20">
        <f>((CL22-CK22)+(CL159-CK159))/CL50*1000000</f>
        <v>2373.2844498409104</v>
      </c>
      <c r="CM66" s="63"/>
      <c r="CN66" s="6"/>
      <c r="CO66" s="20">
        <f>((CO22-CL22)+(CO159-CM159))/CO50*1000000</f>
        <v>-625.34780342188515</v>
      </c>
      <c r="CP66" s="20">
        <f>((CP22-CO22)+(CP159-CO159))/CP50*1000000</f>
        <v>235.74890559952567</v>
      </c>
      <c r="CQ66" s="20">
        <f>((CQ22-CP22)+(CQ159-CP159))/CQ50*1000000</f>
        <v>-317.82260485729785</v>
      </c>
      <c r="CR66" s="20">
        <f>((CR22-CQ22)+(CR159-CQ159))/CR50*1000000</f>
        <v>3322.1560221858899</v>
      </c>
      <c r="CS66" s="63"/>
      <c r="CT66" s="6"/>
      <c r="CU66" s="20">
        <f>((CU22-CR22)+(CU159-CS159))/CU50*1000000</f>
        <v>-542.24595085653948</v>
      </c>
      <c r="CV66" s="20">
        <f>((CV22-CU22)+(CV159-CU159))/CV50*1000000</f>
        <v>-165.392620425117</v>
      </c>
      <c r="CW66" s="20">
        <f>((CW22-CV22)+(CW159-CV159))/CW50*1000000</f>
        <v>-657.23943838705361</v>
      </c>
      <c r="CX66" s="20">
        <f>((CX22-CW22)+(CX159-CW159))/CX50*1000000</f>
        <v>3910.4516165609289</v>
      </c>
      <c r="CY66" s="63"/>
      <c r="CZ66" s="6"/>
      <c r="DA66" s="20">
        <f>((DA22-CX22)+(DA159-CY159))/DA50*1000000</f>
        <v>-1491.5812812984993</v>
      </c>
      <c r="DB66" s="20">
        <f>((DB22-DA22)+(DB159-DA159))/DB50*1000000</f>
        <v>-116.34865245658656</v>
      </c>
      <c r="DC66" s="20">
        <f>((DC22-DB22)+(DC159-DB159))/DC50*1000000</f>
        <v>-874.41559550203522</v>
      </c>
      <c r="DD66" s="20">
        <f>((DD22-DC22)+(DD159-DC159))/DD50*1000000</f>
        <v>4890.2849126017481</v>
      </c>
      <c r="DE66" s="63"/>
      <c r="DF66" s="6"/>
      <c r="DG66" s="20">
        <f>((DG22-DD22)+(DG159-DE159))/DG50*1000000</f>
        <v>-2620.9551245441908</v>
      </c>
      <c r="DH66" s="20">
        <f>((DH22-DG22)+(DH159-DG159))/DH50*1000000</f>
        <v>-224.62708607175517</v>
      </c>
      <c r="DI66" s="20">
        <f>((DI22-DH22)+(DI159-DH159))/DI50*1000000</f>
        <v>-944.25681579866909</v>
      </c>
      <c r="DJ66" s="20">
        <f>((DJ22-DI22)+(DJ159-DI159))/DJ50*1000000</f>
        <v>5443.2875432485471</v>
      </c>
      <c r="DK66" s="63"/>
      <c r="DL66" s="6"/>
      <c r="DM66" s="20">
        <f>((DM22-DJ22)+(DM159-DK159))/DM50*1000000</f>
        <v>-3029.0730468184679</v>
      </c>
      <c r="DN66" s="20">
        <f>((DN22-DM22)+(DN159-DM159))/DN50*1000000</f>
        <v>-260.4931459412893</v>
      </c>
      <c r="DO66" s="20">
        <f>((DO22-DN22)+(DO159-DN159))/DO50*1000000</f>
        <v>-1034.5822909252879</v>
      </c>
      <c r="DP66" s="20">
        <f>((DP22-DO22)+(DP159-DO159))/DP50*1000000</f>
        <v>6168.2390352631483</v>
      </c>
      <c r="DQ66" s="63"/>
      <c r="DR66" s="6"/>
      <c r="DS66" s="20">
        <f>((DS22-DP22)+(DS159-DQ159))/DS50*1000000</f>
        <v>-3535.7622995944412</v>
      </c>
      <c r="DT66" s="20">
        <f>((DT22-DS22)+(DT159-DS159))/DT50*1000000</f>
        <v>-273.80865133373112</v>
      </c>
      <c r="DU66" s="20">
        <f>((DU22-DT22)+(DU159-DT159))/DU50*1000000</f>
        <v>-1040.6299681640351</v>
      </c>
      <c r="DV66" s="20">
        <f>((DV22-DU22)+(DV159-DU159))/DV50*1000000</f>
        <v>6556.0366912443424</v>
      </c>
      <c r="DW66" s="63"/>
      <c r="DX66" s="500"/>
      <c r="DY66" s="500"/>
      <c r="DZ66" s="500"/>
      <c r="EA66" s="500"/>
      <c r="EB66" s="500"/>
      <c r="EC66" s="500"/>
      <c r="ED66" s="500"/>
      <c r="EE66" s="500"/>
      <c r="EF66" s="500"/>
      <c r="EG66" s="500"/>
      <c r="EH66" s="500"/>
      <c r="EI66" s="500"/>
    </row>
    <row r="67" spans="1:142" hidden="1">
      <c r="A67" s="5" t="s">
        <v>334</v>
      </c>
      <c r="B67" s="5"/>
      <c r="C67" s="20"/>
      <c r="D67" s="20"/>
      <c r="E67" s="20"/>
      <c r="F67" s="20"/>
      <c r="G67" s="40"/>
      <c r="H67" s="5"/>
      <c r="I67" s="20"/>
      <c r="J67" s="20"/>
      <c r="K67" s="20"/>
      <c r="L67" s="42" t="e">
        <f>AVERAGE(I66:L66)</f>
        <v>#REF!</v>
      </c>
      <c r="M67" s="40"/>
      <c r="N67" s="5"/>
      <c r="O67" s="21" t="e">
        <f>(J66+K66+L66+O66)/4</f>
        <v>#REF!</v>
      </c>
      <c r="P67" s="21" t="e">
        <f>(P66+O66+L66+K66)/4</f>
        <v>#REF!</v>
      </c>
      <c r="Q67" s="21" t="e">
        <f>(Q66+P66+O66+L66)/4</f>
        <v>#REF!</v>
      </c>
      <c r="R67" s="42" t="e">
        <f>AVERAGE(O66:R66)</f>
        <v>#REF!</v>
      </c>
      <c r="S67" s="40"/>
      <c r="T67" s="5"/>
      <c r="U67" s="21">
        <f>(P66+Q66+R66+U66)/4</f>
        <v>847.21984126984114</v>
      </c>
      <c r="V67" s="21">
        <f>(V66+U66+R66+Q66)/4</f>
        <v>670.74711399711384</v>
      </c>
      <c r="W67" s="21">
        <f>(W66+V66+U66+R66)/4</f>
        <v>798.58802308802319</v>
      </c>
      <c r="X67" s="42">
        <f>AVERAGE(U66:X66)</f>
        <v>807.01123737373734</v>
      </c>
      <c r="Y67" s="40"/>
      <c r="Z67" s="5"/>
      <c r="AA67" s="21">
        <f>(V66+W66+X66+AA66)/4</f>
        <v>687.91818181818189</v>
      </c>
      <c r="AB67" s="21">
        <f>(AB66+AA66+X66+W66)/4</f>
        <v>678.5123376623377</v>
      </c>
      <c r="AC67" s="21">
        <f>(AC66+AB66+AA66+X66)/4</f>
        <v>668.05105820105814</v>
      </c>
      <c r="AD67" s="42">
        <f>AVERAGE(AA66:AD66)</f>
        <v>654.21043320105832</v>
      </c>
      <c r="AE67" s="40"/>
      <c r="AF67" s="5"/>
      <c r="AG67" s="21">
        <f>(AB66+AC66+AD66+AG66)/4</f>
        <v>676.72293320105814</v>
      </c>
      <c r="AH67" s="21">
        <f>(AH66+AG66+AD66+AC66)/4</f>
        <v>631.29784609304431</v>
      </c>
      <c r="AI67" s="21">
        <f>(AI66+AH66+AG66+AD66)/4</f>
        <v>571.24961181225194</v>
      </c>
      <c r="AJ67" s="42">
        <f>AVERAGE(AG66:AJ66)</f>
        <v>601.1610701455852</v>
      </c>
      <c r="AK67" s="40"/>
      <c r="AL67" s="5"/>
      <c r="AM67" s="21">
        <f>(AH66+AI66+AJ66+AM66)/4</f>
        <v>647.24232014558515</v>
      </c>
      <c r="AN67" s="21">
        <f>(AN66+AM66+AJ66+AI66)/4</f>
        <v>725.63256404802416</v>
      </c>
      <c r="AO67" s="21">
        <f>(AO66+AN66+AM66+AJ66)/4</f>
        <v>782.71395939686158</v>
      </c>
      <c r="AP67" s="42">
        <f>AVERAGE(AM66:AP66)</f>
        <v>929.41187606352787</v>
      </c>
      <c r="AQ67" s="63"/>
      <c r="AR67" s="5"/>
      <c r="AS67" s="21">
        <f>(AN66+AO66+AP66+AS66)/4</f>
        <v>862.00822346612551</v>
      </c>
      <c r="AT67" s="21">
        <f>(AT66+AS66+AP66+AO66)/4</f>
        <v>760.16751438893152</v>
      </c>
      <c r="AU67" s="21">
        <f>(AU66+AT66+AS66+AP66)/4</f>
        <v>658.35115226268567</v>
      </c>
      <c r="AV67" s="42">
        <f>AVERAGE(AS66:AV66)</f>
        <v>536.81454511982861</v>
      </c>
      <c r="AW67" s="63"/>
      <c r="AX67" s="5"/>
      <c r="AY67" s="21">
        <f>(AT66+AU66+AV66+AY66)/4</f>
        <v>489.83694771723123</v>
      </c>
      <c r="AZ67" s="21">
        <f>(AZ66+AY66+AV66+AU66)/4</f>
        <v>446.89821428571435</v>
      </c>
      <c r="BA67" s="21">
        <f>(BA66+AZ66+AY66+AV66)/4</f>
        <v>391.24842710558318</v>
      </c>
      <c r="BB67" s="42">
        <f>AVERAGE(AY66:BB66)</f>
        <v>435.70800980189512</v>
      </c>
      <c r="BC67" s="63"/>
      <c r="BD67" s="5"/>
      <c r="BE67" s="21">
        <f>(AZ66+BA66+BB66+BE66)/4</f>
        <v>343.01136731822783</v>
      </c>
      <c r="BF67" s="21">
        <f>(BF66+BE66+BB66+BA66)/4</f>
        <v>316.2597090005375</v>
      </c>
      <c r="BG67" s="21">
        <f>(BG66+BF66+BE66+BB66)/4</f>
        <v>322.05266836363143</v>
      </c>
      <c r="BH67" s="42">
        <f>AVERAGE(BE66:BH66)</f>
        <v>199.79503647937167</v>
      </c>
      <c r="BI67" s="63"/>
      <c r="BJ67" s="6"/>
      <c r="BK67" s="21">
        <f>(BF66+BG66+BH66+BK66)/4</f>
        <v>230.17480653990344</v>
      </c>
      <c r="BL67" s="21">
        <f>(BL66+BK66+BH66+BG66)/4</f>
        <v>243.35020804979146</v>
      </c>
      <c r="BM67" s="21">
        <f>(BM66+BL66+BK66+BH66)/4</f>
        <v>283.11725791277257</v>
      </c>
      <c r="BN67" s="42">
        <f>AVERAGE(BK66:BN66)</f>
        <v>359.55788755841917</v>
      </c>
      <c r="BO67" s="101"/>
      <c r="BP67" s="6"/>
      <c r="BQ67" s="21">
        <f>(BL66+BM66+BN66+BQ66)/4</f>
        <v>406.77163111443735</v>
      </c>
      <c r="BR67" s="21">
        <f>(BR66+BQ66+BN66+BM66)/4</f>
        <v>414.40893292334306</v>
      </c>
      <c r="BS67" s="21">
        <f>(BS66+BR66+BQ66+BN66)/4</f>
        <v>380.4677649985934</v>
      </c>
      <c r="BT67" s="42">
        <f>AVERAGE(BQ66:BT66)</f>
        <v>507.04436101068342</v>
      </c>
      <c r="BU67" s="63"/>
      <c r="BV67" s="6"/>
      <c r="BW67" s="21">
        <f>(BR66+BS66+BT66+BW66)/4</f>
        <v>496.96058417290618</v>
      </c>
      <c r="BX67" s="21">
        <f>(BX66+BW66+BT66+BS66)/4</f>
        <v>479.69341038399574</v>
      </c>
      <c r="BY67" s="21">
        <f>(BY66+BX66+BW66+BT66)/4</f>
        <v>467.5534766407182</v>
      </c>
      <c r="BZ67" s="42">
        <f>AVERAGE(BW66:BZ66)</f>
        <v>530.00331611378965</v>
      </c>
      <c r="CA67" s="63"/>
      <c r="CB67" s="6"/>
      <c r="CC67" s="21">
        <f>(BX66+BY66+BZ66+CC66)/4</f>
        <v>441.53703893676584</v>
      </c>
      <c r="CD67" s="21">
        <f>(CD66+CC66+BZ66+BY66)/4</f>
        <v>462.03628085057909</v>
      </c>
      <c r="CE67" s="21">
        <f>(CE66+CD66+CC66+BZ66)/4</f>
        <v>494.09172955184368</v>
      </c>
      <c r="CF67" s="42">
        <f>AVERAGE(CC66:CF66)</f>
        <v>579.63928634369108</v>
      </c>
      <c r="CG67" s="63"/>
      <c r="CH67" s="6"/>
      <c r="CI67" s="21">
        <f>(CD66+CE66+CF66+CI66)/4</f>
        <v>553.12404050810028</v>
      </c>
      <c r="CJ67" s="21">
        <f>(CJ66+CI66+CF66+CE66)/4</f>
        <v>569.41766693607303</v>
      </c>
      <c r="CK67" s="21">
        <f>(CK66+CJ66+CI66+CF66)/4</f>
        <v>470.91725828217176</v>
      </c>
      <c r="CL67" s="42">
        <f>AVERAGE(CI66:CL66)</f>
        <v>504.90215515054882</v>
      </c>
      <c r="CM67" s="63"/>
      <c r="CN67" s="6"/>
      <c r="CO67" s="21">
        <f>(CJ66+CK66+CL66+CO66)/4</f>
        <v>447.3086330125866</v>
      </c>
      <c r="CP67" s="21">
        <f>(CP66+CO66+CL66+CK66)/4</f>
        <v>436.40197700134632</v>
      </c>
      <c r="CQ67" s="21">
        <f>(CQ66+CP66+CM66+CL66)/4</f>
        <v>572.80268764578454</v>
      </c>
      <c r="CR67" s="42">
        <f>AVERAGE(CO66:CR66)</f>
        <v>653.68362987655814</v>
      </c>
      <c r="CS67" s="63"/>
      <c r="CT67" s="6"/>
      <c r="CU67" s="21">
        <f>(CP66+CQ66+CR66+CU66)/4</f>
        <v>674.45909301789459</v>
      </c>
      <c r="CV67" s="21">
        <f>(CV66+CU66+CR66+CQ66)/4</f>
        <v>574.17371151173393</v>
      </c>
      <c r="CW67" s="21">
        <f>(CW66+CV66+CU66+CR66)/4</f>
        <v>489.31950312929496</v>
      </c>
      <c r="CX67" s="42">
        <f>AVERAGE(CU66:CX66)</f>
        <v>636.39340172305469</v>
      </c>
      <c r="CY67" s="63"/>
      <c r="CZ67" s="6"/>
      <c r="DA67" s="21">
        <f>(CV66+CW66+CX66+DA66)/4</f>
        <v>399.0595691125647</v>
      </c>
      <c r="DB67" s="21">
        <f>(DB66+DA66+CX66+CW66)/4</f>
        <v>411.32056110469728</v>
      </c>
      <c r="DC67" s="21">
        <f>(DC66+DB66+DA66+CX66)/4</f>
        <v>357.02652182595193</v>
      </c>
      <c r="DD67" s="42">
        <f>AVERAGE(DA66:DD66)</f>
        <v>601.98484583615675</v>
      </c>
      <c r="DE67" s="63"/>
      <c r="DF67" s="6"/>
      <c r="DG67" s="21">
        <f>(DB66+DC66+DD66+DG66)/4</f>
        <v>319.64138502473384</v>
      </c>
      <c r="DH67" s="21">
        <f>(DH66+DG66+DD66+DC66)/4</f>
        <v>292.57177662094182</v>
      </c>
      <c r="DI67" s="21">
        <f>(DI66+DH66+DG66+DD66)/4</f>
        <v>275.11147154678326</v>
      </c>
      <c r="DJ67" s="42">
        <f>AVERAGE(DG66:DJ66)</f>
        <v>413.36212920848311</v>
      </c>
      <c r="DK67" s="63"/>
      <c r="DL67" s="6"/>
      <c r="DM67" s="21">
        <f>(DH66+DI66+DJ66+DM66)/4</f>
        <v>311.33264863991383</v>
      </c>
      <c r="DN67" s="21">
        <f>(DN66+DM66+DJ66+DI66)/4</f>
        <v>302.36613367253022</v>
      </c>
      <c r="DO67" s="21">
        <f>(DO66+DN66+DM66+DJ66)/4</f>
        <v>279.78476489087552</v>
      </c>
      <c r="DP67" s="42">
        <f>AVERAGE(DM66:DP66)</f>
        <v>461.02263789452581</v>
      </c>
      <c r="DQ67" s="63"/>
      <c r="DR67" s="6"/>
      <c r="DS67" s="21">
        <f>(DN66+DO66+DP66+DS66)/4</f>
        <v>334.35032470053261</v>
      </c>
      <c r="DT67" s="21">
        <f>(DT66+DS66+DP66+DO66)/4</f>
        <v>331.021448352422</v>
      </c>
      <c r="DU67" s="21">
        <f>(DU66+DT66+DS66+DP66)/4</f>
        <v>329.50952904273527</v>
      </c>
      <c r="DV67" s="42">
        <f>AVERAGE(DS66:DV66)</f>
        <v>426.45894303803379</v>
      </c>
      <c r="DW67" s="63"/>
      <c r="DX67" s="500"/>
      <c r="DY67" s="500"/>
      <c r="DZ67" s="500"/>
      <c r="EA67" s="500"/>
      <c r="EB67" s="500"/>
      <c r="EC67" s="500"/>
      <c r="ED67" s="500"/>
      <c r="EE67" s="500"/>
      <c r="EF67" s="500"/>
      <c r="EG67" s="500"/>
      <c r="EH67" s="500"/>
      <c r="EI67" s="500"/>
    </row>
    <row r="68" spans="1:142" s="1356" customFormat="1" hidden="1">
      <c r="A68" s="22"/>
      <c r="B68" s="22"/>
      <c r="C68" s="23"/>
      <c r="D68" s="23"/>
      <c r="E68" s="23"/>
      <c r="F68" s="23"/>
      <c r="G68" s="34"/>
      <c r="H68" s="22"/>
      <c r="I68" s="23"/>
      <c r="J68" s="23"/>
      <c r="K68" s="23"/>
      <c r="L68" s="23"/>
      <c r="M68" s="34"/>
      <c r="N68" s="22"/>
      <c r="O68" s="23"/>
      <c r="P68" s="24"/>
      <c r="Q68" s="24"/>
      <c r="R68" s="24"/>
      <c r="S68" s="34"/>
      <c r="T68" s="22"/>
      <c r="U68" s="24"/>
      <c r="V68" s="24"/>
      <c r="W68" s="24"/>
      <c r="X68" s="24"/>
      <c r="Y68" s="34"/>
      <c r="Z68" s="22"/>
      <c r="AA68" s="24"/>
      <c r="AB68" s="24"/>
      <c r="AC68" s="24"/>
      <c r="AD68" s="24"/>
      <c r="AE68" s="34"/>
      <c r="AF68" s="22"/>
      <c r="AG68" s="24"/>
      <c r="AH68" s="24"/>
      <c r="AI68" s="24"/>
      <c r="AJ68" s="24"/>
      <c r="AK68" s="34"/>
      <c r="AL68" s="22"/>
      <c r="AM68" s="24"/>
      <c r="AN68" s="24"/>
      <c r="AO68" s="24"/>
      <c r="AP68" s="24"/>
      <c r="AQ68" s="60"/>
      <c r="AR68" s="22"/>
      <c r="AS68" s="24"/>
      <c r="AT68" s="24"/>
      <c r="AU68" s="24"/>
      <c r="AV68" s="24"/>
      <c r="AW68" s="61"/>
      <c r="AX68" s="22"/>
      <c r="AY68" s="24"/>
      <c r="AZ68" s="24"/>
      <c r="BA68" s="24"/>
      <c r="BB68" s="24"/>
      <c r="BC68" s="61"/>
      <c r="BD68" s="22"/>
      <c r="BE68" s="24"/>
      <c r="BF68" s="24"/>
      <c r="BG68" s="24"/>
      <c r="BH68" s="24"/>
      <c r="BI68" s="61"/>
      <c r="BJ68" s="25"/>
      <c r="BK68" s="24"/>
      <c r="BL68" s="24"/>
      <c r="BM68" s="24"/>
      <c r="BN68" s="24"/>
      <c r="BO68" s="99"/>
      <c r="BP68" s="25"/>
      <c r="BQ68" s="24"/>
      <c r="BR68" s="24"/>
      <c r="BS68" s="24"/>
      <c r="BT68" s="24"/>
      <c r="BU68" s="61"/>
      <c r="BV68" s="25"/>
      <c r="BW68" s="24"/>
      <c r="BX68" s="24"/>
      <c r="BY68" s="24"/>
      <c r="BZ68" s="24"/>
      <c r="CA68" s="61"/>
      <c r="CB68" s="25"/>
      <c r="CC68" s="24"/>
      <c r="CD68" s="24"/>
      <c r="CE68" s="24"/>
      <c r="CF68" s="24"/>
      <c r="CG68" s="61"/>
      <c r="CH68" s="25"/>
      <c r="CI68" s="24"/>
      <c r="CJ68" s="24"/>
      <c r="CK68" s="24"/>
      <c r="CL68" s="24"/>
      <c r="CM68" s="61"/>
      <c r="CN68" s="25"/>
      <c r="CO68" s="24"/>
      <c r="CP68" s="24"/>
      <c r="CQ68" s="24"/>
      <c r="CR68" s="24"/>
      <c r="CS68" s="61"/>
      <c r="CT68" s="25"/>
      <c r="CU68" s="24"/>
      <c r="CV68" s="24"/>
      <c r="CW68" s="24"/>
      <c r="CX68" s="24"/>
      <c r="CY68" s="61"/>
      <c r="CZ68" s="25"/>
      <c r="DA68" s="24"/>
      <c r="DB68" s="24"/>
      <c r="DC68" s="24"/>
      <c r="DD68" s="24"/>
      <c r="DE68" s="61"/>
      <c r="DF68" s="25"/>
      <c r="DG68" s="24"/>
      <c r="DH68" s="24"/>
      <c r="DI68" s="24"/>
      <c r="DJ68" s="24"/>
      <c r="DK68" s="61"/>
      <c r="DL68" s="25"/>
      <c r="DM68" s="24"/>
      <c r="DN68" s="24"/>
      <c r="DO68" s="24"/>
      <c r="DP68" s="24"/>
      <c r="DQ68" s="61"/>
      <c r="DR68" s="25"/>
      <c r="DS68" s="24"/>
      <c r="DT68" s="24"/>
      <c r="DU68" s="24"/>
      <c r="DV68" s="24"/>
      <c r="DW68" s="61"/>
      <c r="EJ68" s="656"/>
      <c r="EK68" s="656"/>
      <c r="EL68" s="656"/>
    </row>
    <row r="69" spans="1:142" hidden="1">
      <c r="A69" s="5" t="s">
        <v>573</v>
      </c>
      <c r="B69" s="5"/>
      <c r="C69" s="20"/>
      <c r="D69" s="20"/>
      <c r="E69" s="20"/>
      <c r="F69" s="20"/>
      <c r="G69" s="40"/>
      <c r="H69" s="5"/>
      <c r="I69" s="20" t="e">
        <f>I66/12</f>
        <v>#REF!</v>
      </c>
      <c r="J69" s="20" t="e">
        <f>J66/12</f>
        <v>#REF!</v>
      </c>
      <c r="K69" s="20" t="e">
        <f>K66/12</f>
        <v>#REF!</v>
      </c>
      <c r="L69" s="20" t="e">
        <f>L66/12</f>
        <v>#REF!</v>
      </c>
      <c r="M69" s="40"/>
      <c r="N69" s="5"/>
      <c r="O69" s="20" t="e">
        <f>O66/12</f>
        <v>#REF!</v>
      </c>
      <c r="P69" s="20">
        <f>P66/12</f>
        <v>117.98333333333333</v>
      </c>
      <c r="Q69" s="20">
        <f>Q66/12</f>
        <v>16.833333333333293</v>
      </c>
      <c r="R69" s="20">
        <f>R66/12</f>
        <v>78.821428571428569</v>
      </c>
      <c r="S69" s="40"/>
      <c r="T69" s="5"/>
      <c r="U69" s="20">
        <f>U66/12</f>
        <v>68.768518518518519</v>
      </c>
      <c r="V69" s="20">
        <f>V66/12</f>
        <v>59.159090909090914</v>
      </c>
      <c r="W69" s="20">
        <f>W66/12</f>
        <v>59.44696969696971</v>
      </c>
      <c r="X69" s="20">
        <f>X66/12</f>
        <v>81.629166666666649</v>
      </c>
      <c r="Y69" s="40"/>
      <c r="Z69" s="5"/>
      <c r="AA69" s="20">
        <f>AA66/12</f>
        <v>29.070833333333351</v>
      </c>
      <c r="AB69" s="20">
        <f>AB66/12</f>
        <v>56.023809523809526</v>
      </c>
      <c r="AC69" s="20">
        <f>AC66/12</f>
        <v>55.959876543209852</v>
      </c>
      <c r="AD69" s="20">
        <f>AD66/12</f>
        <v>77.015625000000014</v>
      </c>
      <c r="AE69" s="40"/>
      <c r="AF69" s="5"/>
      <c r="AG69" s="20">
        <f>AG66/12</f>
        <v>36.574999999999982</v>
      </c>
      <c r="AH69" s="20">
        <f>AH66/12</f>
        <v>40.882113821138248</v>
      </c>
      <c r="AI69" s="20">
        <f>AI66/12</f>
        <v>35.943798449612373</v>
      </c>
      <c r="AJ69" s="20">
        <f>AJ66/12</f>
        <v>86.986111111111143</v>
      </c>
      <c r="AK69" s="40"/>
      <c r="AL69" s="5"/>
      <c r="AM69" s="20">
        <f>AM66/12</f>
        <v>51.93541666666664</v>
      </c>
      <c r="AN69" s="20">
        <f>AN66/12</f>
        <v>67.012195121951251</v>
      </c>
      <c r="AO69" s="20">
        <f>AO66/12</f>
        <v>54.970930232558153</v>
      </c>
      <c r="AP69" s="20">
        <f>AP66/12</f>
        <v>135.8854166666666</v>
      </c>
      <c r="AQ69" s="63"/>
      <c r="AR69" s="5"/>
      <c r="AS69" s="20">
        <f>AS66/12</f>
        <v>29.467532467532507</v>
      </c>
      <c r="AT69" s="20">
        <f>AT66/12</f>
        <v>33.065292096219885</v>
      </c>
      <c r="AU69" s="20">
        <f>AU66/12</f>
        <v>21.032142857142876</v>
      </c>
      <c r="AV69" s="20">
        <f>AV66/12</f>
        <v>95.373214285714297</v>
      </c>
      <c r="AW69" s="63"/>
      <c r="AX69" s="5"/>
      <c r="AY69" s="20">
        <f>AY66/12</f>
        <v>13.808333333333358</v>
      </c>
      <c r="AZ69" s="20">
        <f>AZ66/12</f>
        <v>18.752380952380918</v>
      </c>
      <c r="BA69" s="20">
        <f>BA66/12</f>
        <v>2.4822137970991567</v>
      </c>
      <c r="BB69" s="20">
        <f>BB66/12</f>
        <v>110.19307518448494</v>
      </c>
      <c r="BC69" s="63"/>
      <c r="BD69" s="5"/>
      <c r="BE69" s="20">
        <f>BE66/12</f>
        <v>-17.090547494555736</v>
      </c>
      <c r="BF69" s="20">
        <f>BF66/12</f>
        <v>9.835161513150803</v>
      </c>
      <c r="BG69" s="20">
        <f>BG66/12</f>
        <v>4.4132002514638033</v>
      </c>
      <c r="BH69" s="20">
        <f>BH66/12</f>
        <v>69.440531223065022</v>
      </c>
      <c r="BI69" s="63"/>
      <c r="BJ69" s="6"/>
      <c r="BK69" s="20">
        <f>BK66/12</f>
        <v>-6.9639574743784856</v>
      </c>
      <c r="BL69" s="20">
        <f>BL66/12</f>
        <v>14.226962016446819</v>
      </c>
      <c r="BM69" s="20">
        <f>BM66/12</f>
        <v>17.668883539124163</v>
      </c>
      <c r="BN69" s="20">
        <f>BN66/12</f>
        <v>94.920741104947226</v>
      </c>
      <c r="BO69" s="101"/>
      <c r="BP69" s="6"/>
      <c r="BQ69" s="20">
        <f>BQ66/12</f>
        <v>8.773957044294237</v>
      </c>
      <c r="BR69" s="20">
        <f>BR66/12</f>
        <v>16.772729286082072</v>
      </c>
      <c r="BS69" s="20">
        <f>BS66/12</f>
        <v>6.3551608975409399</v>
      </c>
      <c r="BT69" s="20">
        <f>BT66/12</f>
        <v>137.11293977564389</v>
      </c>
      <c r="BU69" s="63"/>
      <c r="BV69" s="6"/>
      <c r="BW69" s="20">
        <f>BW66/12</f>
        <v>5.4126980983684883</v>
      </c>
      <c r="BX69" s="20">
        <f>BX66/12</f>
        <v>11.017004689778586</v>
      </c>
      <c r="BY69" s="20">
        <f>BY66/12</f>
        <v>2.3085163164484319</v>
      </c>
      <c r="BZ69" s="20">
        <f>BZ66/12</f>
        <v>157.92955293333441</v>
      </c>
      <c r="CA69" s="63"/>
      <c r="CB69" s="6"/>
      <c r="CC69" s="20">
        <f>CC66/12</f>
        <v>-24.07606096063947</v>
      </c>
      <c r="CD69" s="20">
        <f>CD66/12</f>
        <v>17.850085327716339</v>
      </c>
      <c r="CE69" s="20">
        <f>CE66/12</f>
        <v>12.993665883536629</v>
      </c>
      <c r="CF69" s="20">
        <f>CF66/12</f>
        <v>186.44540519728352</v>
      </c>
      <c r="CG69" s="63"/>
      <c r="CH69" s="6"/>
      <c r="CI69" s="20">
        <f>CI66/12</f>
        <v>-32.914476239169687</v>
      </c>
      <c r="CJ69" s="20">
        <f>CJ66/12</f>
        <v>23.281294137040565</v>
      </c>
      <c r="CK69" s="20">
        <f>CK66/12</f>
        <v>-19.8398036677638</v>
      </c>
      <c r="CL69" s="20">
        <f>CL66/12</f>
        <v>197.7737041534092</v>
      </c>
      <c r="CM69" s="63"/>
      <c r="CN69" s="6"/>
      <c r="CO69" s="20">
        <f>CO66/12</f>
        <v>-52.112316951823765</v>
      </c>
      <c r="CP69" s="20">
        <f>CP66/12</f>
        <v>19.645742133293805</v>
      </c>
      <c r="CQ69" s="20">
        <f>CQ66/12</f>
        <v>-26.485217071441486</v>
      </c>
      <c r="CR69" s="20">
        <f>CR66/12</f>
        <v>276.84633518215747</v>
      </c>
      <c r="CS69" s="63"/>
      <c r="CT69" s="6"/>
      <c r="CU69" s="20">
        <f>CU66/12</f>
        <v>-45.187162571378288</v>
      </c>
      <c r="CV69" s="20">
        <f>CV66/12</f>
        <v>-13.782718368759751</v>
      </c>
      <c r="CW69" s="20">
        <f>CW66/12</f>
        <v>-54.769953198921137</v>
      </c>
      <c r="CX69" s="20">
        <f>CX66/12</f>
        <v>325.87096804674405</v>
      </c>
      <c r="CY69" s="63"/>
      <c r="CZ69" s="6"/>
      <c r="DA69" s="20">
        <f>DA66/12</f>
        <v>-124.29844010820828</v>
      </c>
      <c r="DB69" s="20">
        <f>DB66/12</f>
        <v>-9.6957210380488803</v>
      </c>
      <c r="DC69" s="20">
        <f>DC66/12</f>
        <v>-72.867966291836268</v>
      </c>
      <c r="DD69" s="20">
        <f>DD66/12</f>
        <v>407.52374271681236</v>
      </c>
      <c r="DE69" s="63"/>
      <c r="DF69" s="6"/>
      <c r="DG69" s="20">
        <f>DG66/12</f>
        <v>-218.41292704534922</v>
      </c>
      <c r="DH69" s="20">
        <f>DH66/12</f>
        <v>-18.718923839312932</v>
      </c>
      <c r="DI69" s="20">
        <f>DI66/12</f>
        <v>-78.688067983222425</v>
      </c>
      <c r="DJ69" s="20">
        <f>DJ66/12</f>
        <v>453.60729527071226</v>
      </c>
      <c r="DK69" s="63"/>
      <c r="DL69" s="6"/>
      <c r="DM69" s="20">
        <f>DM66/12</f>
        <v>-252.42275390153898</v>
      </c>
      <c r="DN69" s="20">
        <f>DN66/12</f>
        <v>-21.707762161774109</v>
      </c>
      <c r="DO69" s="20">
        <f>DO66/12</f>
        <v>-86.215190910440654</v>
      </c>
      <c r="DP69" s="20">
        <f>DP66/12</f>
        <v>514.01991960526232</v>
      </c>
      <c r="DQ69" s="63"/>
      <c r="DR69" s="6"/>
      <c r="DS69" s="20">
        <f>DS66/12</f>
        <v>-294.64685829953675</v>
      </c>
      <c r="DT69" s="20">
        <f>DT66/12</f>
        <v>-22.817387611144259</v>
      </c>
      <c r="DU69" s="20">
        <f>DU66/12</f>
        <v>-86.719164013669584</v>
      </c>
      <c r="DV69" s="20">
        <f>DV66/12</f>
        <v>546.33639093702857</v>
      </c>
      <c r="DW69" s="63"/>
      <c r="DX69" s="500"/>
      <c r="DY69" s="500"/>
      <c r="DZ69" s="500"/>
      <c r="EA69" s="500"/>
      <c r="EB69" s="500"/>
      <c r="EC69" s="500"/>
      <c r="ED69" s="500"/>
      <c r="EE69" s="500"/>
      <c r="EF69" s="500"/>
      <c r="EG69" s="500"/>
      <c r="EH69" s="500"/>
      <c r="EI69" s="500"/>
    </row>
    <row r="70" spans="1:142" hidden="1">
      <c r="A70" s="5" t="s">
        <v>227</v>
      </c>
      <c r="B70" s="5"/>
      <c r="C70" s="20"/>
      <c r="D70" s="20"/>
      <c r="E70" s="20"/>
      <c r="F70" s="20"/>
      <c r="G70" s="40"/>
      <c r="H70" s="5"/>
      <c r="I70" s="20"/>
      <c r="J70" s="20"/>
      <c r="K70" s="20"/>
      <c r="L70" s="21" t="e">
        <f>(G69+H69+I69+L69)/4</f>
        <v>#REF!</v>
      </c>
      <c r="M70" s="40"/>
      <c r="N70" s="5"/>
      <c r="O70" s="21" t="e">
        <f>(J69+K69+L69+O69)/4</f>
        <v>#REF!</v>
      </c>
      <c r="P70" s="21" t="e">
        <f>(P69+O69+L69+K69)/4</f>
        <v>#REF!</v>
      </c>
      <c r="Q70" s="21" t="e">
        <f>(Q69+P69+O69+L69)/4</f>
        <v>#REF!</v>
      </c>
      <c r="R70" s="42" t="e">
        <f>AVERAGE(O69:R69)</f>
        <v>#REF!</v>
      </c>
      <c r="S70" s="40"/>
      <c r="T70" s="5"/>
      <c r="U70" s="21">
        <f>(P69+Q69+R69+U69)/4</f>
        <v>70.601653439153438</v>
      </c>
      <c r="V70" s="21">
        <f>(V69+U69+R69+Q69)/4</f>
        <v>55.895592833092827</v>
      </c>
      <c r="W70" s="21">
        <f>(W69+V69+U69+R69)/4</f>
        <v>66.549001924001928</v>
      </c>
      <c r="X70" s="42">
        <f>AVERAGE(U69:X69)</f>
        <v>67.250936447811455</v>
      </c>
      <c r="Y70" s="40"/>
      <c r="Z70" s="5"/>
      <c r="AA70" s="21">
        <f>(V69+W69+X69+AA69)/4</f>
        <v>57.32651515151516</v>
      </c>
      <c r="AB70" s="21">
        <f>(AB69+AA69+X69+W69)/4</f>
        <v>56.542694805194806</v>
      </c>
      <c r="AC70" s="21">
        <f>(AC69+AB69+AA69+X69)/4</f>
        <v>55.670921516754845</v>
      </c>
      <c r="AD70" s="42">
        <f>AVERAGE(AA69:AD69)</f>
        <v>54.517536100088179</v>
      </c>
      <c r="AE70" s="40"/>
      <c r="AF70" s="5"/>
      <c r="AG70" s="21">
        <f>(AB69+AC69+AD69+AG69)/4</f>
        <v>56.393577766754845</v>
      </c>
      <c r="AH70" s="21">
        <f>(AH69+AG69+AD69+AC69)/4</f>
        <v>52.608153841087024</v>
      </c>
      <c r="AI70" s="21">
        <f>(AI69+AH69+AG69+AD69)/4</f>
        <v>47.604134317687652</v>
      </c>
      <c r="AJ70" s="42">
        <f>AVERAGE(AG69:AJ69)</f>
        <v>50.096755845465438</v>
      </c>
      <c r="AK70" s="40"/>
      <c r="AL70" s="5"/>
      <c r="AM70" s="21">
        <f>(AH69+AI69+AJ69+AM69)/4</f>
        <v>53.936860012132101</v>
      </c>
      <c r="AN70" s="21">
        <f>(AN69+AM69+AJ69+AI69)/4</f>
        <v>60.469380337335352</v>
      </c>
      <c r="AO70" s="21">
        <f>(AO69+AN69+AM69+AJ69)/4</f>
        <v>65.226163283071799</v>
      </c>
      <c r="AP70" s="42">
        <f>AVERAGE(AM69:AP69)</f>
        <v>77.450989671960656</v>
      </c>
      <c r="AQ70" s="63"/>
      <c r="AR70" s="5"/>
      <c r="AS70" s="21">
        <f>(AN69+AO69+AP69+AS69)/4</f>
        <v>71.83401862217714</v>
      </c>
      <c r="AT70" s="21">
        <f>(AT69+AS69+AP69+AO69)/4</f>
        <v>63.347292865744286</v>
      </c>
      <c r="AU70" s="21">
        <f>(AU69+AT69+AS69+AP69)/4</f>
        <v>54.862596021890468</v>
      </c>
      <c r="AV70" s="42">
        <f>AVERAGE(AS69:AV69)</f>
        <v>44.734545426652389</v>
      </c>
      <c r="AW70" s="63"/>
      <c r="AX70" s="5"/>
      <c r="AY70" s="21">
        <f>(AT69+AU69+AV69+AY69)/4</f>
        <v>40.819745643102607</v>
      </c>
      <c r="AZ70" s="21">
        <f>(AZ69+AY69+AV69+AU69)/4</f>
        <v>37.24151785714286</v>
      </c>
      <c r="BA70" s="21">
        <f>(BA69+AZ69+AY69+AV69)/4</f>
        <v>32.604035592131936</v>
      </c>
      <c r="BB70" s="42">
        <f>AVERAGE(AY69:BB69)</f>
        <v>36.309000816824593</v>
      </c>
      <c r="BC70" s="63"/>
      <c r="BD70" s="5"/>
      <c r="BE70" s="21">
        <f>(AZ69+BA69+BB69+BE69)/4</f>
        <v>28.584280609852318</v>
      </c>
      <c r="BF70" s="21">
        <f>(BF69+BE69+BB69+BA69)/4</f>
        <v>26.354975750044794</v>
      </c>
      <c r="BG70" s="21">
        <f>(BG69+BF69+BE69+BB69)/4</f>
        <v>26.837722363635955</v>
      </c>
      <c r="BH70" s="42">
        <f>AVERAGE(BE69:BH69)</f>
        <v>16.649586373280972</v>
      </c>
      <c r="BI70" s="63"/>
      <c r="BJ70" s="6"/>
      <c r="BK70" s="21">
        <f>(BF69+BG69+BH69+BK69)/4</f>
        <v>19.181233878325283</v>
      </c>
      <c r="BL70" s="21">
        <f>(BL69+BK69+BH69+BG69)/4</f>
        <v>20.27918400414929</v>
      </c>
      <c r="BM70" s="21">
        <f>(BM69+BL69+BK69+BH69)/4</f>
        <v>23.59310482606438</v>
      </c>
      <c r="BN70" s="42">
        <f>AVERAGE(BK69:BN69)</f>
        <v>29.963157296534931</v>
      </c>
      <c r="BO70" s="101"/>
      <c r="BP70" s="6"/>
      <c r="BQ70" s="21">
        <f>(BL69+BM69+BN69+BQ69)/4</f>
        <v>33.897635926203115</v>
      </c>
      <c r="BR70" s="21">
        <f>(BR69+BQ69+BN69+BM69)/4</f>
        <v>34.534077743611924</v>
      </c>
      <c r="BS70" s="21">
        <f>(BS69+BR69+BQ69+BN69)/4</f>
        <v>31.705647083216121</v>
      </c>
      <c r="BT70" s="42">
        <f>AVERAGE(BQ69:BT69)</f>
        <v>42.253696750890285</v>
      </c>
      <c r="BU70" s="63"/>
      <c r="BV70" s="6"/>
      <c r="BW70" s="21">
        <f>(BR69+BS69+BT69+BW69)/4</f>
        <v>41.413382014408846</v>
      </c>
      <c r="BX70" s="21">
        <f>(BX69+BW69+BT69+BS69)/4</f>
        <v>39.974450865332976</v>
      </c>
      <c r="BY70" s="21">
        <f>(BY69+BX69+BW69+BT69)/4</f>
        <v>38.962789720059853</v>
      </c>
      <c r="BZ70" s="42">
        <f>AVERAGE(BW69:BZ69)</f>
        <v>44.16694300948248</v>
      </c>
      <c r="CA70" s="63"/>
      <c r="CB70" s="6"/>
      <c r="CC70" s="21">
        <f>(BX69+BY69+BZ69+CC69)/4</f>
        <v>36.794753244730487</v>
      </c>
      <c r="CD70" s="21">
        <f>(CD69+CC69+BZ69+BY69)/4</f>
        <v>38.503023404214922</v>
      </c>
      <c r="CE70" s="21">
        <f>(CE69+CD69+CC69+BZ69)/4</f>
        <v>41.174310795986976</v>
      </c>
      <c r="CF70" s="42">
        <f>AVERAGE(CC69:CF69)</f>
        <v>48.303273861974255</v>
      </c>
      <c r="CG70" s="63"/>
      <c r="CH70" s="6"/>
      <c r="CI70" s="21">
        <f>(CD69+CE69+CF69+CI69)/4</f>
        <v>46.093670042341699</v>
      </c>
      <c r="CJ70" s="21">
        <f>(CJ69+CI69+CF69+CE69)/4</f>
        <v>47.451472244672757</v>
      </c>
      <c r="CK70" s="21">
        <f>(CK69+CJ69+CI69+CF69)/4</f>
        <v>39.243104856847651</v>
      </c>
      <c r="CL70" s="42">
        <f>AVERAGE(CI69:CL69)</f>
        <v>42.075179595879071</v>
      </c>
      <c r="CM70" s="63"/>
      <c r="CN70" s="6"/>
      <c r="CO70" s="21">
        <f>(CJ69+CK69+CL69+CO69)/4</f>
        <v>37.27571941771555</v>
      </c>
      <c r="CP70" s="21">
        <f>(CP69+CO69+CL69+CK69)/4</f>
        <v>36.366831416778858</v>
      </c>
      <c r="CQ70" s="21">
        <f>(CQ69+CP69+CM69+CL69)/4</f>
        <v>47.733557303815381</v>
      </c>
      <c r="CR70" s="42">
        <f>AVERAGE(CO69:CR69)</f>
        <v>54.473635823046507</v>
      </c>
      <c r="CS70" s="63"/>
      <c r="CT70" s="6"/>
      <c r="CU70" s="21">
        <f>(CP69+CQ69+CR69+CU69)/4</f>
        <v>56.204924418157873</v>
      </c>
      <c r="CV70" s="21">
        <f>(CV69+CU69+CR69+CQ69)/4</f>
        <v>47.847809292644484</v>
      </c>
      <c r="CW70" s="21">
        <f>(CW69+CV69+CU69+CR69)/4</f>
        <v>40.776625260774573</v>
      </c>
      <c r="CX70" s="42">
        <f>AVERAGE(CU69:CX69)</f>
        <v>53.032783476921217</v>
      </c>
      <c r="CY70" s="63"/>
      <c r="CZ70" s="6"/>
      <c r="DA70" s="21">
        <f>(CV69+CW69+CX69+DA69)/4</f>
        <v>33.25496409271372</v>
      </c>
      <c r="DB70" s="21">
        <f>(DB69+DA69+CX69+CW69)/4</f>
        <v>34.276713425391435</v>
      </c>
      <c r="DC70" s="21">
        <f>(DC69+DB69+DA69+CX69)/4</f>
        <v>29.752210152162661</v>
      </c>
      <c r="DD70" s="42">
        <f>AVERAGE(DA69:DD69)</f>
        <v>50.165403819679732</v>
      </c>
      <c r="DE70" s="63"/>
      <c r="DF70" s="6"/>
      <c r="DG70" s="21">
        <f>(DB69+DC69+DD69+DG69)/4</f>
        <v>26.636782085394508</v>
      </c>
      <c r="DH70" s="21">
        <f>(DH69+DG69+DD69+DC69)/4</f>
        <v>24.380981385078485</v>
      </c>
      <c r="DI70" s="21">
        <f>(DI69+DH69+DG69+DD69)/4</f>
        <v>22.925955962231953</v>
      </c>
      <c r="DJ70" s="42">
        <f>AVERAGE(DG69:DJ69)</f>
        <v>34.446844100706926</v>
      </c>
      <c r="DK70" s="63"/>
      <c r="DL70" s="6"/>
      <c r="DM70" s="21">
        <f>(DH69+DI69+DJ69+DM69)/4</f>
        <v>25.944387386659479</v>
      </c>
      <c r="DN70" s="21">
        <f>(DN69+DM69+DJ69+DI69)/4</f>
        <v>25.197177806044181</v>
      </c>
      <c r="DO70" s="21">
        <f>(DO69+DN69+DM69+DJ69)/4</f>
        <v>23.315397074239627</v>
      </c>
      <c r="DP70" s="42">
        <f>AVERAGE(DM69:DP69)</f>
        <v>38.418553157877142</v>
      </c>
      <c r="DQ70" s="63"/>
      <c r="DR70" s="6"/>
      <c r="DS70" s="21">
        <f>(DN69+DO69+DP69+DS69)/4</f>
        <v>27.862527058377694</v>
      </c>
      <c r="DT70" s="21">
        <f>(DT69+DS69+DP69+DO69)/4</f>
        <v>27.585120696035158</v>
      </c>
      <c r="DU70" s="21">
        <f>(DU69+DT69+DS69+DP69)/4</f>
        <v>27.459127420227929</v>
      </c>
      <c r="DV70" s="42">
        <f>AVERAGE(DS69:DV69)</f>
        <v>35.538245253169492</v>
      </c>
      <c r="DW70" s="63"/>
      <c r="DX70" s="500"/>
      <c r="DY70" s="500"/>
      <c r="DZ70" s="500"/>
      <c r="EA70" s="500"/>
      <c r="EB70" s="500"/>
      <c r="EC70" s="500"/>
      <c r="ED70" s="500"/>
      <c r="EE70" s="500"/>
      <c r="EF70" s="500"/>
      <c r="EG70" s="500"/>
      <c r="EH70" s="500"/>
      <c r="EI70" s="500"/>
    </row>
    <row r="71" spans="1:142" ht="5.25" hidden="1" customHeight="1">
      <c r="A71" s="5"/>
      <c r="B71" s="5"/>
      <c r="C71" s="5"/>
      <c r="D71" s="5"/>
      <c r="E71" s="5"/>
      <c r="F71" s="5"/>
      <c r="G71" s="7"/>
      <c r="H71" s="5"/>
      <c r="I71" s="5"/>
      <c r="J71" s="5"/>
      <c r="K71" s="5"/>
      <c r="L71" s="4"/>
      <c r="M71" s="7"/>
      <c r="N71" s="5"/>
      <c r="O71" s="5"/>
      <c r="P71" s="5"/>
      <c r="Q71" s="5"/>
      <c r="R71" s="5"/>
      <c r="S71" s="7"/>
      <c r="T71" s="5"/>
      <c r="U71" s="5"/>
      <c r="V71" s="5"/>
      <c r="W71" s="5"/>
      <c r="X71" s="5"/>
      <c r="Y71" s="7"/>
      <c r="Z71" s="5"/>
      <c r="AA71" s="5"/>
      <c r="AB71" s="5"/>
      <c r="AC71" s="5"/>
      <c r="AD71" s="5"/>
      <c r="AE71" s="7"/>
      <c r="AF71" s="5"/>
      <c r="AG71" s="5"/>
      <c r="AH71" s="5"/>
      <c r="AI71" s="5"/>
      <c r="AJ71" s="5"/>
      <c r="AK71" s="7"/>
      <c r="AL71" s="5"/>
      <c r="AM71" s="5"/>
      <c r="AN71" s="5"/>
      <c r="AO71" s="5"/>
      <c r="AP71" s="5"/>
      <c r="AQ71" s="58"/>
      <c r="AR71" s="5"/>
      <c r="AS71" s="5"/>
      <c r="AT71" s="5"/>
      <c r="AU71" s="5"/>
      <c r="AV71" s="5"/>
      <c r="AW71" s="58"/>
      <c r="AX71" s="5"/>
      <c r="AY71" s="5"/>
      <c r="AZ71" s="5"/>
      <c r="BA71" s="5"/>
      <c r="BB71" s="5"/>
      <c r="BC71" s="58"/>
      <c r="BD71" s="5"/>
      <c r="BE71" s="5"/>
      <c r="BF71" s="5"/>
      <c r="BG71" s="5"/>
      <c r="BH71" s="5"/>
      <c r="BI71" s="58"/>
      <c r="BJ71" s="5"/>
      <c r="BK71" s="5"/>
      <c r="BL71" s="5"/>
      <c r="BM71" s="5"/>
      <c r="BN71" s="5"/>
      <c r="BO71" s="96"/>
      <c r="BP71" s="5"/>
      <c r="BQ71" s="5"/>
      <c r="BR71" s="5"/>
      <c r="BS71" s="5"/>
      <c r="BT71" s="5"/>
      <c r="BU71" s="58"/>
      <c r="BV71" s="5"/>
      <c r="BW71" s="5"/>
      <c r="BX71" s="5"/>
      <c r="BY71" s="5"/>
      <c r="BZ71" s="5"/>
      <c r="CA71" s="58"/>
      <c r="CB71" s="5"/>
      <c r="CC71" s="5"/>
      <c r="CD71" s="5"/>
      <c r="CE71" s="5"/>
      <c r="CF71" s="5"/>
      <c r="CG71" s="58"/>
      <c r="CH71" s="5"/>
      <c r="CI71" s="5"/>
      <c r="CJ71" s="5"/>
      <c r="CK71" s="5"/>
      <c r="CL71" s="5"/>
      <c r="CM71" s="58"/>
      <c r="CN71" s="5"/>
      <c r="CO71" s="5"/>
      <c r="CP71" s="5"/>
      <c r="CQ71" s="5"/>
      <c r="CR71" s="5"/>
      <c r="CS71" s="58"/>
      <c r="CT71" s="5"/>
      <c r="CU71" s="5"/>
      <c r="CV71" s="5"/>
      <c r="CW71" s="5"/>
      <c r="CX71" s="5"/>
      <c r="CY71" s="58"/>
      <c r="CZ71" s="5"/>
      <c r="DA71" s="5"/>
      <c r="DB71" s="5"/>
      <c r="DC71" s="5"/>
      <c r="DD71" s="5"/>
      <c r="DE71" s="58"/>
      <c r="DF71" s="5"/>
      <c r="DG71" s="5"/>
      <c r="DH71" s="5"/>
      <c r="DI71" s="5"/>
      <c r="DJ71" s="5"/>
      <c r="DK71" s="58"/>
      <c r="DL71" s="5"/>
      <c r="DM71" s="5"/>
      <c r="DN71" s="5"/>
      <c r="DO71" s="5"/>
      <c r="DP71" s="5"/>
      <c r="DQ71" s="58"/>
      <c r="DR71" s="5"/>
      <c r="DS71" s="5"/>
      <c r="DT71" s="5"/>
      <c r="DU71" s="5"/>
      <c r="DV71" s="5"/>
      <c r="DW71" s="58"/>
      <c r="DX71" s="500"/>
      <c r="DY71" s="500"/>
      <c r="DZ71" s="500"/>
      <c r="EA71" s="500"/>
      <c r="EB71" s="500"/>
      <c r="EC71" s="500"/>
      <c r="ED71" s="500"/>
      <c r="EE71" s="500"/>
      <c r="EF71" s="500"/>
      <c r="EG71" s="500"/>
      <c r="EH71" s="500"/>
      <c r="EI71" s="500"/>
    </row>
    <row r="72" spans="1:142" s="1426" customFormat="1" hidden="1" outlineLevel="1">
      <c r="A72" s="30" t="s">
        <v>631</v>
      </c>
      <c r="B72" s="30"/>
      <c r="C72" s="31"/>
      <c r="D72" s="31"/>
      <c r="E72" s="31"/>
      <c r="F72" s="31"/>
      <c r="G72" s="30"/>
      <c r="H72" s="30"/>
      <c r="I72" s="31"/>
      <c r="J72" s="31"/>
      <c r="K72" s="31"/>
      <c r="L72" s="36"/>
      <c r="M72" s="30"/>
      <c r="N72" s="30"/>
      <c r="O72" s="31"/>
      <c r="P72" s="31"/>
      <c r="Q72" s="31"/>
      <c r="R72" s="31"/>
      <c r="S72" s="30"/>
      <c r="T72" s="31"/>
      <c r="U72" s="31"/>
      <c r="V72" s="31"/>
      <c r="W72" s="31"/>
      <c r="X72" s="31"/>
      <c r="Y72" s="30"/>
      <c r="Z72" s="31"/>
      <c r="AA72" s="31"/>
      <c r="AB72" s="31"/>
      <c r="AC72" s="31"/>
      <c r="AD72" s="31"/>
      <c r="AE72" s="30"/>
      <c r="AF72" s="31"/>
      <c r="AG72" s="31"/>
      <c r="AH72" s="31"/>
      <c r="AI72" s="31"/>
      <c r="AJ72" s="31"/>
      <c r="AK72" s="30"/>
      <c r="AL72" s="31"/>
      <c r="AM72" s="31"/>
      <c r="AN72" s="31"/>
      <c r="AO72" s="31"/>
      <c r="AP72" s="31"/>
      <c r="AQ72" s="64"/>
      <c r="AR72" s="31"/>
      <c r="AS72" s="31"/>
      <c r="AT72" s="31"/>
      <c r="AU72" s="31"/>
      <c r="AV72" s="31"/>
      <c r="AW72" s="64"/>
      <c r="AX72" s="31"/>
      <c r="AY72" s="31"/>
      <c r="AZ72" s="31"/>
      <c r="BA72" s="31"/>
      <c r="BB72" s="31"/>
      <c r="BC72" s="64"/>
      <c r="BD72" s="31"/>
      <c r="BE72" s="31"/>
      <c r="BF72" s="31"/>
      <c r="BG72" s="31"/>
      <c r="BH72" s="31"/>
      <c r="BI72" s="64"/>
      <c r="BJ72" s="31"/>
      <c r="BK72" s="31"/>
      <c r="BL72" s="31"/>
      <c r="BM72" s="31"/>
      <c r="BN72" s="31"/>
      <c r="BO72" s="102"/>
      <c r="BP72" s="31"/>
      <c r="BQ72" s="31"/>
      <c r="BR72" s="31"/>
      <c r="BS72" s="31"/>
      <c r="BT72" s="31"/>
      <c r="BU72" s="64"/>
      <c r="BV72" s="31"/>
      <c r="BW72" s="31"/>
      <c r="BX72" s="31"/>
      <c r="BY72" s="31"/>
      <c r="BZ72" s="31"/>
      <c r="CA72" s="64"/>
      <c r="CB72" s="31"/>
      <c r="CC72" s="31"/>
      <c r="CD72" s="31"/>
      <c r="CE72" s="31"/>
      <c r="CF72" s="31"/>
      <c r="CG72" s="64"/>
      <c r="CH72" s="31"/>
      <c r="CI72" s="31"/>
      <c r="CJ72" s="31"/>
      <c r="CK72" s="31"/>
      <c r="CL72" s="31"/>
      <c r="CM72" s="64"/>
      <c r="CN72" s="31"/>
      <c r="CO72" s="31"/>
      <c r="CP72" s="31"/>
      <c r="CQ72" s="31"/>
      <c r="CR72" s="31"/>
      <c r="CS72" s="64"/>
      <c r="CT72" s="31"/>
      <c r="CU72" s="31"/>
      <c r="CV72" s="31"/>
      <c r="CW72" s="31"/>
      <c r="CX72" s="31"/>
      <c r="CY72" s="64"/>
      <c r="CZ72" s="31"/>
      <c r="DA72" s="31"/>
      <c r="DB72" s="31"/>
      <c r="DC72" s="31"/>
      <c r="DD72" s="31"/>
      <c r="DE72" s="64"/>
      <c r="DF72" s="31"/>
      <c r="DG72" s="31"/>
      <c r="DH72" s="31"/>
      <c r="DI72" s="31"/>
      <c r="DJ72" s="31"/>
      <c r="DK72" s="64"/>
      <c r="DL72" s="31"/>
      <c r="DM72" s="31"/>
      <c r="DN72" s="31"/>
      <c r="DO72" s="31"/>
      <c r="DP72" s="31"/>
      <c r="DQ72" s="64"/>
      <c r="DR72" s="31"/>
      <c r="DS72" s="31"/>
      <c r="DT72" s="31"/>
      <c r="DU72" s="31"/>
      <c r="DV72" s="31"/>
      <c r="DW72" s="64"/>
      <c r="EJ72" s="656"/>
      <c r="EK72" s="656"/>
      <c r="EL72" s="656"/>
    </row>
    <row r="73" spans="1:142" s="500" customFormat="1" ht="9.9499999999999993" hidden="1" customHeight="1" outlineLevel="1">
      <c r="A73" s="26" t="s">
        <v>632</v>
      </c>
      <c r="B73" s="27"/>
      <c r="C73" s="37" t="e">
        <f>#REF!+#REF!</f>
        <v>#REF!</v>
      </c>
      <c r="D73" s="37" t="e">
        <f>#REF!+#REF!+#REF!</f>
        <v>#REF!</v>
      </c>
      <c r="E73" s="37" t="e">
        <f>#REF!+#REF!+#REF!</f>
        <v>#REF!</v>
      </c>
      <c r="F73" s="37" t="e">
        <f>#REF!+#REF!+#REF!</f>
        <v>#REF!</v>
      </c>
      <c r="G73" s="38" t="e">
        <f>SUM(C73:F73)</f>
        <v>#REF!</v>
      </c>
      <c r="H73" s="39"/>
      <c r="I73" s="37" t="e">
        <f>#REF!+#REF!+#REF!</f>
        <v>#REF!</v>
      </c>
      <c r="J73" s="37" t="e">
        <f>#REF!+#REF!+#REF!</f>
        <v>#REF!</v>
      </c>
      <c r="K73" s="37" t="e">
        <f>#REF!+#REF!+#REF!</f>
        <v>#REF!</v>
      </c>
      <c r="L73" s="37" t="e">
        <f>#REF!+#REF!+#REF!</f>
        <v>#REF!</v>
      </c>
      <c r="M73" s="38" t="e">
        <f>SUM(I73:L73)</f>
        <v>#REF!</v>
      </c>
      <c r="N73" s="39"/>
      <c r="O73" s="37" t="e">
        <f>#REF!+#REF!+#REF!</f>
        <v>#REF!</v>
      </c>
      <c r="P73" s="37" t="e">
        <f>#REF!+#REF!+#REF!</f>
        <v>#REF!</v>
      </c>
      <c r="Q73" s="37" t="e">
        <f>#REF!+#REF!+#REF!</f>
        <v>#REF!</v>
      </c>
      <c r="R73" s="37" t="e">
        <f>#REF!+#REF!+#REF!</f>
        <v>#REF!</v>
      </c>
      <c r="S73" s="38" t="e">
        <f>SUM(O73:R73)</f>
        <v>#REF!</v>
      </c>
      <c r="T73" s="39"/>
      <c r="U73" s="37" t="e">
        <f>#REF!+#REF!+#REF!</f>
        <v>#REF!</v>
      </c>
      <c r="V73" s="37" t="e">
        <f>#REF!+#REF!+#REF!</f>
        <v>#REF!</v>
      </c>
      <c r="W73" s="37" t="e">
        <f>#REF!+#REF!+#REF!</f>
        <v>#REF!</v>
      </c>
      <c r="X73" s="37" t="e">
        <f>#REF!+#REF!+#REF!</f>
        <v>#REF!</v>
      </c>
      <c r="Y73" s="38" t="e">
        <f>SUM(U73:X73)</f>
        <v>#REF!</v>
      </c>
      <c r="Z73" s="39"/>
      <c r="AA73" s="37" t="e">
        <f>#REF!+#REF!+#REF!</f>
        <v>#REF!</v>
      </c>
      <c r="AB73" s="37" t="e">
        <f>#REF!+#REF!+#REF!</f>
        <v>#REF!</v>
      </c>
      <c r="AC73" s="37" t="e">
        <f>#REF!+#REF!+#REF!</f>
        <v>#REF!</v>
      </c>
      <c r="AD73" s="37" t="e">
        <f>#REF!+#REF!+#REF!</f>
        <v>#REF!</v>
      </c>
      <c r="AE73" s="38" t="e">
        <f>SUM(AA73:AD73)</f>
        <v>#REF!</v>
      </c>
      <c r="AF73" s="39"/>
      <c r="AG73" s="37" t="e">
        <f>#REF!+#REF!+#REF!</f>
        <v>#REF!</v>
      </c>
      <c r="AH73" s="37" t="e">
        <f>#REF!+#REF!+#REF!</f>
        <v>#REF!</v>
      </c>
      <c r="AI73" s="37" t="e">
        <f>#REF!+#REF!+#REF!</f>
        <v>#REF!</v>
      </c>
      <c r="AJ73" s="37" t="e">
        <f>#REF!+#REF!+#REF!</f>
        <v>#REF!</v>
      </c>
      <c r="AK73" s="38" t="e">
        <f>SUM(AG73:AJ73)</f>
        <v>#REF!</v>
      </c>
      <c r="AL73" s="39"/>
      <c r="AM73" s="37" t="e">
        <f>#REF!+#REF!+#REF!</f>
        <v>#REF!</v>
      </c>
      <c r="AN73" s="37" t="e">
        <f>#REF!+#REF!+#REF!</f>
        <v>#REF!</v>
      </c>
      <c r="AO73" s="37" t="e">
        <f>#REF!+#REF!+#REF!</f>
        <v>#REF!</v>
      </c>
      <c r="AP73" s="37" t="e">
        <f>#REF!+#REF!+#REF!</f>
        <v>#REF!</v>
      </c>
      <c r="AQ73" s="65" t="e">
        <f>SUM(AM73:AP73)</f>
        <v>#REF!</v>
      </c>
      <c r="AR73" s="39"/>
      <c r="AS73" s="37" t="e">
        <f>#REF!+#REF!+#REF!</f>
        <v>#REF!</v>
      </c>
      <c r="AT73" s="37" t="e">
        <f>#REF!+#REF!+#REF!</f>
        <v>#REF!</v>
      </c>
      <c r="AU73" s="37" t="e">
        <f>#REF!+#REF!+#REF!</f>
        <v>#REF!</v>
      </c>
      <c r="AV73" s="37" t="e">
        <f>#REF!+#REF!+#REF!</f>
        <v>#REF!</v>
      </c>
      <c r="AW73" s="65" t="e">
        <f>SUM(AS73:AV73)</f>
        <v>#REF!</v>
      </c>
      <c r="AX73" s="39"/>
      <c r="AY73" s="37"/>
      <c r="AZ73" s="37"/>
      <c r="BA73" s="37"/>
      <c r="BB73" s="37"/>
      <c r="BC73" s="65"/>
      <c r="BD73" s="39"/>
      <c r="BE73" s="57">
        <f>BE58*BE54/1000000*3</f>
        <v>281.76799999999997</v>
      </c>
      <c r="BF73" s="57">
        <f>BF58*BF54/1000000*3</f>
        <v>293.44</v>
      </c>
      <c r="BG73" s="57">
        <f>BG58*BG54/1000000*3</f>
        <v>306.87</v>
      </c>
      <c r="BH73" s="57">
        <f>BH58*BH54/1000000*3</f>
        <v>327.39400000000001</v>
      </c>
      <c r="BI73" s="65">
        <f>SUM(BE73:BH73)</f>
        <v>1209.472</v>
      </c>
      <c r="BJ73" s="39"/>
      <c r="BK73" s="57">
        <f>BK58*BK54/1000000*3</f>
        <v>350.71199999999993</v>
      </c>
      <c r="BL73" s="57">
        <f>BL58*BL54/1000000*3</f>
        <v>368.95100000000002</v>
      </c>
      <c r="BM73" s="57">
        <f>BM58*BM54/1000000*3</f>
        <v>402.94799999999998</v>
      </c>
      <c r="BN73" s="57">
        <f>BN58*BN54/1000000*3</f>
        <v>428.53399999999999</v>
      </c>
      <c r="BO73" s="103">
        <f>SUM(BK73:BN73)</f>
        <v>1551.145</v>
      </c>
      <c r="BP73" s="39"/>
      <c r="BQ73" s="57">
        <f>BQ58*BQ54/1000000*3</f>
        <v>473.50400000000008</v>
      </c>
      <c r="BR73" s="57">
        <f>BR58*BR54/1000000*3</f>
        <v>509.27899999999994</v>
      </c>
      <c r="BS73" s="57">
        <f>BS58*BS54/1000000*3</f>
        <v>549.18200000000002</v>
      </c>
      <c r="BT73" s="57">
        <f>BT58*BT54/1000000*3</f>
        <v>594.26900000000001</v>
      </c>
      <c r="BU73" s="65">
        <f>SUM(BQ73:BT73)</f>
        <v>2126.2340000000004</v>
      </c>
      <c r="BV73" s="39"/>
      <c r="BW73" s="57">
        <f>BW58*BW54/1000000*3</f>
        <v>655.22</v>
      </c>
      <c r="BX73" s="57">
        <f>BX58*BX54/1000000*3</f>
        <v>687.49299999999994</v>
      </c>
      <c r="BY73" s="57">
        <f>BY58*BY54/1000000*3</f>
        <v>740.59999999999991</v>
      </c>
      <c r="BZ73" s="57">
        <f>BZ58*BZ54/1000000*3</f>
        <v>785.49499999999989</v>
      </c>
      <c r="CA73" s="65">
        <f>SUM(BW73:BZ73)</f>
        <v>2868.808</v>
      </c>
      <c r="CB73" s="39"/>
      <c r="CC73" s="57">
        <f>CC58*CC54/1000000*3</f>
        <v>842.22099999999989</v>
      </c>
      <c r="CD73" s="57">
        <f>CD58*CD54/1000000*3</f>
        <v>902.84399999999994</v>
      </c>
      <c r="CE73" s="57">
        <f>CE58*CE54/1000000*3</f>
        <v>1004.476</v>
      </c>
      <c r="CF73" s="57">
        <f>CF58*CF54/1000000*3</f>
        <v>1075.001</v>
      </c>
      <c r="CG73" s="65">
        <f>SUM(CC73:CF73)</f>
        <v>3824.5419999999995</v>
      </c>
      <c r="CH73" s="39"/>
      <c r="CI73" s="57">
        <f>CI58*CI54/1000000*3</f>
        <v>1147.3059999999998</v>
      </c>
      <c r="CJ73" s="57">
        <f>CJ58*CJ54/1000000*3</f>
        <v>1232.587</v>
      </c>
      <c r="CK73" s="57">
        <f>CK58*CK54/1000000*3</f>
        <v>1288.5129999999999</v>
      </c>
      <c r="CL73" s="57">
        <f>CL58*CL54/1000000*3</f>
        <v>1345.3579999999999</v>
      </c>
      <c r="CM73" s="65">
        <f>SUM(CI73:CL73)</f>
        <v>5013.7640000000001</v>
      </c>
      <c r="CN73" s="39"/>
      <c r="CO73" s="57">
        <f>CO58*CO54/1000000*3</f>
        <v>1405.2869999999998</v>
      </c>
      <c r="CP73" s="57">
        <f>CP58*CP54/1000000*3</f>
        <v>1521.319</v>
      </c>
      <c r="CQ73" s="57">
        <f>CQ58*CQ54/1000000*3</f>
        <v>1596.3330000000001</v>
      </c>
      <c r="CR73" s="57">
        <f>CR58*CR54/1000000*3</f>
        <v>1682.6599999999999</v>
      </c>
      <c r="CS73" s="65">
        <f>SUM(CO73:CR73)</f>
        <v>6205.5990000000002</v>
      </c>
      <c r="CT73" s="39"/>
      <c r="CU73" s="57">
        <f>CU58*CU54/1000000*3</f>
        <v>1775.4929999999999</v>
      </c>
      <c r="CV73" s="57">
        <f>CV58*CV54/1000000*3</f>
        <v>1886.08</v>
      </c>
      <c r="CW73" s="57">
        <f>CW58*CW54/1000000*3</f>
        <v>1983.981</v>
      </c>
      <c r="CX73" s="57">
        <f>CX58*CX54/1000000*3</f>
        <v>2110.6509999999998</v>
      </c>
      <c r="CY73" s="65">
        <f>SUM(CU73:CX73)</f>
        <v>7756.2049999999999</v>
      </c>
      <c r="CZ73" s="39"/>
      <c r="DA73" s="57">
        <f>DA58*DA54/1000000*3</f>
        <v>2200.9079999999994</v>
      </c>
      <c r="DB73" s="57">
        <f>DB58*DB54/1000000*3</f>
        <v>2368.4989999999993</v>
      </c>
      <c r="DC73" s="57">
        <f>DC58*DC54/1000000*3</f>
        <v>2486.1309999999994</v>
      </c>
      <c r="DD73" s="57">
        <f>DD58*DD54/1000000*3</f>
        <v>2655</v>
      </c>
      <c r="DE73" s="65">
        <f>SUM(DA73:DD73)</f>
        <v>9710.5379999999986</v>
      </c>
      <c r="DF73" s="39"/>
      <c r="DG73" s="57">
        <f>DG58*DG54/1000000*3</f>
        <v>2714.4341329999997</v>
      </c>
      <c r="DH73" s="57">
        <f>DH58*DH54/1000000*3</f>
        <v>2881.4206221293512</v>
      </c>
      <c r="DI73" s="57">
        <f>DI58*DI54/1000000*3</f>
        <v>3001.3236358982986</v>
      </c>
      <c r="DJ73" s="57">
        <f>DJ58*DJ54/1000000*3</f>
        <v>3182.3742666162302</v>
      </c>
      <c r="DK73" s="65">
        <f>SUM(DG73:DJ73)</f>
        <v>11779.552657643881</v>
      </c>
      <c r="DL73" s="39"/>
      <c r="DM73" s="57">
        <f>DM58*DM54/1000000*3</f>
        <v>3266.4215505057318</v>
      </c>
      <c r="DN73" s="57">
        <f>DN58*DN54/1000000*3</f>
        <v>3467.590916608699</v>
      </c>
      <c r="DO73" s="57">
        <f>DO58*DO54/1000000*3</f>
        <v>3611.4050863957277</v>
      </c>
      <c r="DP73" s="57">
        <f>DP58*DP54/1000000*3</f>
        <v>3810.6762624801022</v>
      </c>
      <c r="DQ73" s="65">
        <f>SUM(DM73:DP73)</f>
        <v>14156.093815990262</v>
      </c>
      <c r="DR73" s="39"/>
      <c r="DS73" s="57">
        <f>DS58*DS54/1000000*3</f>
        <v>3913.2871193794217</v>
      </c>
      <c r="DT73" s="57">
        <f>DT58*DT54/1000000*3</f>
        <v>4142.7695853623636</v>
      </c>
      <c r="DU73" s="57">
        <f>DU58*DU54/1000000*3</f>
        <v>4308.0032649533205</v>
      </c>
      <c r="DV73" s="57">
        <f>DV58*DV54/1000000*3</f>
        <v>4547.8810361409724</v>
      </c>
      <c r="DW73" s="65">
        <f>SUM(DS73:DV73)</f>
        <v>16911.941005836081</v>
      </c>
      <c r="EJ73" s="656"/>
      <c r="EK73" s="656"/>
      <c r="EL73" s="656"/>
    </row>
    <row r="74" spans="1:142" s="1356" customFormat="1" hidden="1" outlineLevel="1">
      <c r="A74" s="28" t="s">
        <v>233</v>
      </c>
      <c r="B74" s="28"/>
      <c r="C74" s="29" t="s">
        <v>88</v>
      </c>
      <c r="D74" s="29" t="s">
        <v>88</v>
      </c>
      <c r="E74" s="29" t="s">
        <v>88</v>
      </c>
      <c r="F74" s="29" t="s">
        <v>88</v>
      </c>
      <c r="G74" s="35" t="s">
        <v>88</v>
      </c>
      <c r="H74" s="28"/>
      <c r="I74" s="29" t="s">
        <v>88</v>
      </c>
      <c r="J74" s="29" t="s">
        <v>88</v>
      </c>
      <c r="K74" s="29" t="s">
        <v>88</v>
      </c>
      <c r="L74" s="29" t="s">
        <v>88</v>
      </c>
      <c r="M74" s="35" t="e">
        <f>(M73-M22)/M73</f>
        <v>#REF!</v>
      </c>
      <c r="N74" s="28"/>
      <c r="O74" s="29" t="e">
        <f>(O73-O22)/O73</f>
        <v>#REF!</v>
      </c>
      <c r="P74" s="29" t="e">
        <f>(P73-P22)/P73</f>
        <v>#REF!</v>
      </c>
      <c r="Q74" s="29" t="e">
        <f>(Q73-Q22)/Q73</f>
        <v>#REF!</v>
      </c>
      <c r="R74" s="29" t="e">
        <f>(R73-R22)/R73</f>
        <v>#REF!</v>
      </c>
      <c r="S74" s="35" t="e">
        <f>(S73-S22)/S73</f>
        <v>#REF!</v>
      </c>
      <c r="T74" s="28"/>
      <c r="U74" s="29" t="e">
        <f>(U73-U22)/U73</f>
        <v>#REF!</v>
      </c>
      <c r="V74" s="29" t="e">
        <f>(V73-V22)/V73</f>
        <v>#REF!</v>
      </c>
      <c r="W74" s="29" t="e">
        <f>(W73-W22)/W73</f>
        <v>#REF!</v>
      </c>
      <c r="X74" s="29" t="e">
        <f>(X73-X22)/X73</f>
        <v>#REF!</v>
      </c>
      <c r="Y74" s="35" t="e">
        <f>(Y73-Y22)/Y73</f>
        <v>#REF!</v>
      </c>
      <c r="Z74" s="28"/>
      <c r="AA74" s="29" t="e">
        <f>(AA73-AA22)/AA73</f>
        <v>#REF!</v>
      </c>
      <c r="AB74" s="32" t="e">
        <f>(AB73-AB22)/AB73</f>
        <v>#REF!</v>
      </c>
      <c r="AC74" s="29" t="e">
        <f>(AC73-AC22)/AC73</f>
        <v>#REF!</v>
      </c>
      <c r="AD74" s="29" t="e">
        <f>(AD73-AD22)/AD73</f>
        <v>#REF!</v>
      </c>
      <c r="AE74" s="35" t="e">
        <f>(AE73-AE22)/AE73</f>
        <v>#REF!</v>
      </c>
      <c r="AF74" s="28"/>
      <c r="AG74" s="29" t="e">
        <f>(AG73-AG22)/AG73</f>
        <v>#REF!</v>
      </c>
      <c r="AH74" s="29" t="e">
        <f>(AH73-AH22)/AH73</f>
        <v>#REF!</v>
      </c>
      <c r="AI74" s="29" t="e">
        <f>(AI73-AI22)/AI73</f>
        <v>#REF!</v>
      </c>
      <c r="AJ74" s="29" t="e">
        <f>(AJ73-AJ22)/AJ73</f>
        <v>#REF!</v>
      </c>
      <c r="AK74" s="35" t="e">
        <f>(AK73-AK22)/AK73</f>
        <v>#REF!</v>
      </c>
      <c r="AL74" s="28"/>
      <c r="AM74" s="29" t="e">
        <f>(AM73-AM22)/AM73</f>
        <v>#REF!</v>
      </c>
      <c r="AN74" s="29" t="e">
        <f>(AN73-AN22)/AN73</f>
        <v>#REF!</v>
      </c>
      <c r="AO74" s="29" t="e">
        <f>(AO73-AO22)/AO73</f>
        <v>#REF!</v>
      </c>
      <c r="AP74" s="29" t="e">
        <f>(AP73-AP22)/AP73</f>
        <v>#REF!</v>
      </c>
      <c r="AQ74" s="66" t="e">
        <f>(AQ73-AQ22)/AQ73</f>
        <v>#REF!</v>
      </c>
      <c r="AR74" s="28"/>
      <c r="AS74" s="29" t="e">
        <f>(AS73-AS22)/AS73</f>
        <v>#REF!</v>
      </c>
      <c r="AT74" s="29" t="e">
        <f>(AT73-AT22)/AT73</f>
        <v>#REF!</v>
      </c>
      <c r="AU74" s="29" t="e">
        <f>(AU73-AU22)/AU73</f>
        <v>#REF!</v>
      </c>
      <c r="AV74" s="29" t="e">
        <f>(AV73-AV22)/AV73</f>
        <v>#REF!</v>
      </c>
      <c r="AW74" s="66" t="e">
        <f>(AW73-AW22)/AW73</f>
        <v>#REF!</v>
      </c>
      <c r="AX74" s="28"/>
      <c r="AY74" s="29" t="e">
        <f>(AY73-AY22)/AY73</f>
        <v>#DIV/0!</v>
      </c>
      <c r="AZ74" s="29" t="e">
        <f>(AZ73-AZ22)/AZ73</f>
        <v>#DIV/0!</v>
      </c>
      <c r="BA74" s="29" t="e">
        <f>(BA73-BA22)/BA73</f>
        <v>#DIV/0!</v>
      </c>
      <c r="BB74" s="29" t="e">
        <f>(BB73-BB22)/BB73</f>
        <v>#DIV/0!</v>
      </c>
      <c r="BC74" s="66" t="e">
        <f>(BC73-BC22)/BC73</f>
        <v>#DIV/0!</v>
      </c>
      <c r="BD74" s="28"/>
      <c r="BE74" s="29">
        <f>(BE73-BE22)/BE73</f>
        <v>0</v>
      </c>
      <c r="BF74" s="29">
        <f>(BF73-BF22)/BF73</f>
        <v>0</v>
      </c>
      <c r="BG74" s="29">
        <f>(BG73-BG22)/BG73</f>
        <v>0</v>
      </c>
      <c r="BH74" s="29">
        <f>(BH73-BH22)/BH73</f>
        <v>0</v>
      </c>
      <c r="BI74" s="66">
        <f>(BI73-BI22)/BI73</f>
        <v>0</v>
      </c>
      <c r="BJ74" s="28"/>
      <c r="BK74" s="29">
        <f>(BK73-BK22)/BK73</f>
        <v>-1.6208005104133313E-16</v>
      </c>
      <c r="BL74" s="29">
        <f>(BL73-BL22)/BL73</f>
        <v>0</v>
      </c>
      <c r="BM74" s="29">
        <f>(BM73-BM22)/BM73</f>
        <v>0</v>
      </c>
      <c r="BN74" s="29">
        <f>(BN73-BN22)/BN73</f>
        <v>0</v>
      </c>
      <c r="BO74" s="104">
        <f>(BO73-BO22)/BO73</f>
        <v>0</v>
      </c>
      <c r="BP74" s="28"/>
      <c r="BQ74" s="29">
        <f>(BQ73-BQ22)/BQ73</f>
        <v>1.2004844491452661E-16</v>
      </c>
      <c r="BR74" s="29">
        <f>(BR73-BR22)/BR73</f>
        <v>-1.1161547768670615E-16</v>
      </c>
      <c r="BS74" s="29">
        <f>(BS73-BS22)/BS73</f>
        <v>0</v>
      </c>
      <c r="BT74" s="29">
        <f>(BT73-BT22)/BT73</f>
        <v>0</v>
      </c>
      <c r="BU74" s="66">
        <f>(BU73-BU22)/BU73</f>
        <v>0</v>
      </c>
      <c r="BV74" s="28"/>
      <c r="BW74" s="29">
        <f>(BW73-BW22)/BW73</f>
        <v>0</v>
      </c>
      <c r="BX74" s="29">
        <f>(BX73-BX22)/BX73</f>
        <v>-1.6536435675943761E-16</v>
      </c>
      <c r="BY74" s="29">
        <f>(BY73-BY22)/BY73</f>
        <v>-1.5350639713963819E-16</v>
      </c>
      <c r="BZ74" s="29">
        <f>(BZ73-BZ22)/BZ73</f>
        <v>-1.4473273250831138E-16</v>
      </c>
      <c r="CA74" s="66">
        <f>(CA73-CA22)/CA73</f>
        <v>0</v>
      </c>
      <c r="CB74" s="28"/>
      <c r="CC74" s="29">
        <f>(CC73-CC22)/CC73</f>
        <v>-1.3498456785287478E-16</v>
      </c>
      <c r="CD74" s="29">
        <f>(CD73-CD22)/CD73</f>
        <v>-1.2592079885519097E-16</v>
      </c>
      <c r="CE74" s="29">
        <f>(CE73-CE22)/CE73</f>
        <v>0</v>
      </c>
      <c r="CF74" s="29">
        <f>(CF73-CF22)/CF73</f>
        <v>0</v>
      </c>
      <c r="CG74" s="66">
        <f>(CG73-CG22)/CG73</f>
        <v>-2.3780486703321034E-16</v>
      </c>
      <c r="CH74" s="28"/>
      <c r="CI74" s="29">
        <f>(CI73-CI22)/CI73</f>
        <v>-1.9818049887582919E-16</v>
      </c>
      <c r="CJ74" s="29">
        <f>(CJ73-CJ22)/CJ73</f>
        <v>0</v>
      </c>
      <c r="CK74" s="29">
        <f>(CK73-CK22)/CK73</f>
        <v>0</v>
      </c>
      <c r="CL74" s="29">
        <f>(CL73-CL22)/CL73</f>
        <v>0</v>
      </c>
      <c r="CM74" s="66">
        <f>(CM73-CM22)/CM73</f>
        <v>0</v>
      </c>
      <c r="CN74" s="28"/>
      <c r="CO74" s="29">
        <f>(CO73-CO22)/CO73</f>
        <v>-1.6179874676363768E-16</v>
      </c>
      <c r="CP74" s="29">
        <f>(CP73-CP22)/CP73</f>
        <v>0</v>
      </c>
      <c r="CQ74" s="29">
        <f>(CQ73-CQ22)/CQ73</f>
        <v>0</v>
      </c>
      <c r="CR74" s="29">
        <f>(CR73-CR22)/CR73</f>
        <v>-1.3512752156896347E-16</v>
      </c>
      <c r="CS74" s="66">
        <f>(CS73-CS22)/CS73</f>
        <v>0</v>
      </c>
      <c r="CT74" s="28"/>
      <c r="CU74" s="29">
        <f>(CU73-CU22)/CU73</f>
        <v>0</v>
      </c>
      <c r="CV74" s="29">
        <f>(CV73-CV22)/CV73</f>
        <v>0</v>
      </c>
      <c r="CW74" s="29">
        <f>(CW73-CW22)/CW73</f>
        <v>0</v>
      </c>
      <c r="CX74" s="29">
        <f>(CX73-CX22)/CX73</f>
        <v>0</v>
      </c>
      <c r="CY74" s="66">
        <f>(CY73-CY22)/CY73</f>
        <v>0</v>
      </c>
      <c r="CZ74" s="28"/>
      <c r="DA74" s="29">
        <f>(DA73-DA22)/DA73</f>
        <v>-2.0661806440181244E-16</v>
      </c>
      <c r="DB74" s="29">
        <f>(DB73-DB22)/DB73</f>
        <v>-1.9199811816955137E-16</v>
      </c>
      <c r="DC74" s="29">
        <f>(DC73-DC22)/DC73</f>
        <v>-1.829136722427194E-16</v>
      </c>
      <c r="DD74" s="29">
        <f>(DD73-DD22)/DD73</f>
        <v>0</v>
      </c>
      <c r="DE74" s="66">
        <f>(DE73-DE22)/DE73</f>
        <v>0</v>
      </c>
      <c r="DF74" s="28"/>
      <c r="DG74" s="29">
        <f>(DG73-DG22)/DG73</f>
        <v>0</v>
      </c>
      <c r="DH74" s="29">
        <f>(DH73-DH22)/DH73</f>
        <v>1.578205373398101E-16</v>
      </c>
      <c r="DI74" s="29">
        <f>(DI73-DI22)/DI73</f>
        <v>0</v>
      </c>
      <c r="DJ74" s="29">
        <f>(DJ73-DJ22)/DJ73</f>
        <v>-1.4289562219530828E-16</v>
      </c>
      <c r="DK74" s="66">
        <f>(DK73-DK22)/DK73</f>
        <v>0</v>
      </c>
      <c r="DL74" s="28"/>
      <c r="DM74" s="29">
        <f>(DM73-DM22)/DM73</f>
        <v>0</v>
      </c>
      <c r="DN74" s="29">
        <f>(DN73-DN22)/DN73</f>
        <v>-1.3114215656419088E-16</v>
      </c>
      <c r="DO74" s="29">
        <f>(DO73-DO22)/DO73</f>
        <v>0</v>
      </c>
      <c r="DP74" s="29">
        <f>(DP73-DP22)/DP73</f>
        <v>0</v>
      </c>
      <c r="DQ74" s="66">
        <f>(DQ73-DQ22)/DQ73</f>
        <v>0</v>
      </c>
      <c r="DR74" s="28"/>
      <c r="DS74" s="29">
        <f>(DS73-DS22)/DS73</f>
        <v>-1.1620597646271839E-16</v>
      </c>
      <c r="DT74" s="29">
        <f>(DT73-DT22)/DT73</f>
        <v>0</v>
      </c>
      <c r="DU74" s="29">
        <f>(DU73-DU22)/DU73</f>
        <v>0</v>
      </c>
      <c r="DV74" s="29">
        <f>(DV73-DV22)/DV73</f>
        <v>-1.9998207836691011E-16</v>
      </c>
      <c r="DW74" s="66">
        <f>(DW73-DW22)/DW73</f>
        <v>0</v>
      </c>
      <c r="EJ74" s="656"/>
      <c r="EK74" s="656"/>
      <c r="EL74" s="656"/>
    </row>
    <row r="75" spans="1:142" ht="14.25" customHeight="1" collapsed="1">
      <c r="A75" s="1340"/>
      <c r="B75" s="1340"/>
      <c r="C75" s="1340"/>
      <c r="D75" s="1340"/>
      <c r="E75" s="1340"/>
      <c r="F75" s="1340"/>
      <c r="G75" s="853"/>
      <c r="H75" s="1340"/>
      <c r="I75" s="1340"/>
      <c r="J75" s="1340"/>
      <c r="K75" s="1340"/>
      <c r="L75" s="500"/>
      <c r="M75" s="853"/>
      <c r="N75" s="1340"/>
      <c r="O75" s="1340"/>
      <c r="P75" s="1340"/>
      <c r="Q75" s="1340"/>
      <c r="R75" s="1340"/>
      <c r="S75" s="853"/>
      <c r="T75" s="1340"/>
      <c r="U75" s="1340"/>
      <c r="V75" s="1340"/>
      <c r="W75" s="1340"/>
      <c r="X75" s="1340"/>
      <c r="Y75" s="853"/>
      <c r="Z75" s="1340"/>
      <c r="AA75" s="1340"/>
      <c r="AB75" s="1340"/>
      <c r="AC75" s="1340"/>
      <c r="AD75" s="1340"/>
      <c r="AE75" s="853"/>
      <c r="AF75" s="1340"/>
      <c r="AG75" s="1340"/>
      <c r="AH75" s="1340"/>
      <c r="AI75" s="1340"/>
      <c r="AJ75" s="1340"/>
      <c r="AK75" s="853"/>
      <c r="AL75" s="1340"/>
      <c r="AM75" s="1340"/>
      <c r="AN75" s="1340"/>
      <c r="AO75" s="1340"/>
      <c r="AP75" s="1340"/>
      <c r="AQ75" s="1341"/>
      <c r="AR75" s="1340"/>
      <c r="AS75" s="1340"/>
      <c r="AT75" s="1340"/>
      <c r="AU75" s="1471"/>
      <c r="AV75" s="1400"/>
      <c r="AW75" s="1472"/>
      <c r="AX75" s="1473"/>
      <c r="AY75" s="1400"/>
      <c r="AZ75" s="1400"/>
      <c r="BA75" s="1400"/>
      <c r="BB75" s="1400"/>
      <c r="BC75" s="1472"/>
      <c r="BD75" s="1473"/>
      <c r="BE75" s="1400"/>
      <c r="BF75" s="1400"/>
      <c r="BG75" s="1400"/>
      <c r="BH75" s="1400"/>
      <c r="BI75" s="1472"/>
      <c r="BJ75" s="1340"/>
      <c r="BK75" s="1400"/>
      <c r="BL75" s="1400"/>
      <c r="BM75" s="1400"/>
      <c r="BN75" s="1400"/>
      <c r="BO75" s="1474"/>
      <c r="BP75" s="1340"/>
      <c r="BQ75" s="1400"/>
      <c r="BR75" s="1400"/>
      <c r="BS75" s="1400"/>
      <c r="BT75" s="1400"/>
      <c r="BU75" s="1472"/>
      <c r="BV75" s="1340"/>
      <c r="BW75" s="1400"/>
      <c r="BX75" s="1400"/>
      <c r="BY75" s="1400"/>
      <c r="BZ75" s="1400"/>
      <c r="CA75" s="1472"/>
      <c r="CB75" s="1340"/>
      <c r="CC75" s="1400"/>
      <c r="CD75" s="1400"/>
      <c r="CE75" s="1400"/>
      <c r="CF75" s="1400"/>
      <c r="CG75" s="1472"/>
      <c r="CH75" s="1340"/>
      <c r="CI75" s="1400"/>
      <c r="CJ75" s="1400"/>
      <c r="CK75" s="1400"/>
      <c r="CL75" s="1400"/>
      <c r="CM75" s="1472"/>
      <c r="CN75" s="1340"/>
      <c r="CO75" s="1400"/>
      <c r="CP75" s="1400"/>
      <c r="CQ75" s="1400"/>
      <c r="CR75" s="1400"/>
      <c r="CS75" s="1472"/>
      <c r="CT75" s="1340"/>
      <c r="CU75" s="1400"/>
      <c r="CV75" s="1811"/>
      <c r="CW75" s="1811"/>
      <c r="CX75" s="1811"/>
      <c r="CY75" s="1472"/>
      <c r="CZ75" s="1340"/>
      <c r="DA75" s="1811"/>
      <c r="DB75" s="1811"/>
      <c r="DC75" s="1811"/>
      <c r="DD75" s="1811"/>
      <c r="DE75" s="1472"/>
      <c r="DF75" s="1340"/>
      <c r="DG75" s="1400"/>
      <c r="DH75" s="1400"/>
      <c r="DI75" s="1400"/>
      <c r="DJ75" s="1400"/>
      <c r="DK75" s="1472"/>
      <c r="DL75" s="1340"/>
      <c r="DM75" s="1400"/>
      <c r="DN75" s="1400"/>
      <c r="DO75" s="1400"/>
      <c r="DP75" s="1400"/>
      <c r="DQ75" s="1472"/>
      <c r="DR75" s="1340"/>
      <c r="DS75" s="1400"/>
      <c r="DT75" s="1400"/>
      <c r="DU75" s="1400"/>
      <c r="DV75" s="1400"/>
      <c r="DW75" s="1472"/>
      <c r="DX75" s="500"/>
      <c r="DY75" s="500"/>
      <c r="DZ75" s="500"/>
      <c r="EA75" s="500"/>
      <c r="EB75" s="500"/>
      <c r="EC75" s="500"/>
      <c r="ED75" s="500"/>
      <c r="EE75" s="500"/>
      <c r="EF75" s="500"/>
      <c r="EG75" s="500"/>
      <c r="EH75" s="500"/>
      <c r="EI75" s="500"/>
    </row>
    <row r="76" spans="1:142" ht="14.25" customHeight="1">
      <c r="A76" s="425" t="s">
        <v>1040</v>
      </c>
      <c r="B76" s="425"/>
      <c r="C76" s="425"/>
      <c r="D76" s="425"/>
      <c r="E76" s="425"/>
      <c r="F76" s="425"/>
      <c r="G76" s="425"/>
      <c r="H76" s="425"/>
      <c r="I76" s="426"/>
      <c r="J76" s="426"/>
      <c r="K76" s="426"/>
      <c r="L76" s="426"/>
      <c r="M76" s="425"/>
      <c r="N76" s="425"/>
      <c r="O76" s="426"/>
      <c r="P76" s="426"/>
      <c r="Q76" s="426"/>
      <c r="R76" s="426"/>
      <c r="S76" s="425"/>
      <c r="T76" s="426"/>
      <c r="U76" s="426"/>
      <c r="V76" s="426"/>
      <c r="W76" s="426"/>
      <c r="X76" s="426"/>
      <c r="Y76" s="425"/>
      <c r="Z76" s="426"/>
      <c r="AA76" s="426"/>
      <c r="AB76" s="426"/>
      <c r="AC76" s="426"/>
      <c r="AD76" s="426"/>
      <c r="AE76" s="425"/>
      <c r="AF76" s="426"/>
      <c r="AG76" s="426"/>
      <c r="AH76" s="426"/>
      <c r="AI76" s="426"/>
      <c r="AJ76" s="426"/>
      <c r="AK76" s="425"/>
      <c r="AL76" s="426"/>
      <c r="AM76" s="426"/>
      <c r="AN76" s="426"/>
      <c r="AO76" s="426"/>
      <c r="AP76" s="426"/>
      <c r="AQ76" s="427"/>
      <c r="AR76" s="426"/>
      <c r="AS76" s="426"/>
      <c r="AT76" s="426"/>
      <c r="AU76" s="426"/>
      <c r="AV76" s="426"/>
      <c r="AW76" s="427"/>
      <c r="AX76" s="426"/>
      <c r="AY76" s="426"/>
      <c r="AZ76" s="426"/>
      <c r="BA76" s="426"/>
      <c r="BB76" s="426"/>
      <c r="BC76" s="427"/>
      <c r="BD76" s="426"/>
      <c r="BE76" s="426"/>
      <c r="BF76" s="426"/>
      <c r="BG76" s="426"/>
      <c r="BH76" s="426"/>
      <c r="BI76" s="427"/>
      <c r="BJ76" s="426"/>
      <c r="BK76" s="426"/>
      <c r="BL76" s="426"/>
      <c r="BM76" s="426"/>
      <c r="BN76" s="426"/>
      <c r="BO76" s="428"/>
      <c r="BP76" s="426"/>
      <c r="BQ76" s="426"/>
      <c r="BR76" s="426"/>
      <c r="BS76" s="426"/>
      <c r="BT76" s="426"/>
      <c r="BU76" s="429"/>
      <c r="BV76" s="426"/>
      <c r="BW76" s="426"/>
      <c r="BX76" s="426"/>
      <c r="BY76" s="426"/>
      <c r="BZ76" s="426"/>
      <c r="CA76" s="429"/>
      <c r="CB76" s="426"/>
      <c r="CC76" s="426"/>
      <c r="CD76" s="426"/>
      <c r="CE76" s="426"/>
      <c r="CF76" s="426"/>
      <c r="CG76" s="429"/>
      <c r="CH76" s="426"/>
      <c r="CI76" s="426"/>
      <c r="CJ76" s="426"/>
      <c r="CK76" s="426"/>
      <c r="CL76" s="426"/>
      <c r="CM76" s="429"/>
      <c r="CN76" s="426"/>
      <c r="CO76" s="426"/>
      <c r="CP76" s="426"/>
      <c r="CQ76" s="426"/>
      <c r="CR76" s="426"/>
      <c r="CS76" s="429"/>
      <c r="CT76" s="426"/>
      <c r="CU76" s="426"/>
      <c r="CV76" s="426"/>
      <c r="CW76" s="426"/>
      <c r="CX76" s="426"/>
      <c r="CY76" s="429"/>
      <c r="CZ76" s="426"/>
      <c r="DA76" s="426"/>
      <c r="DB76" s="426"/>
      <c r="DC76" s="426"/>
      <c r="DD76" s="426"/>
      <c r="DE76" s="429"/>
      <c r="DF76" s="426"/>
      <c r="DG76" s="426"/>
      <c r="DH76" s="426"/>
      <c r="DI76" s="426"/>
      <c r="DJ76" s="426"/>
      <c r="DK76" s="429"/>
      <c r="DL76" s="426"/>
      <c r="DM76" s="426"/>
      <c r="DN76" s="426"/>
      <c r="DO76" s="426"/>
      <c r="DP76" s="426"/>
      <c r="DQ76" s="429"/>
      <c r="DR76" s="426"/>
      <c r="DS76" s="426"/>
      <c r="DT76" s="426"/>
      <c r="DU76" s="426"/>
      <c r="DV76" s="426"/>
      <c r="DW76" s="429"/>
      <c r="DX76" s="500"/>
      <c r="DY76" s="500"/>
      <c r="DZ76" s="500"/>
      <c r="EA76" s="500"/>
      <c r="EB76" s="500"/>
      <c r="EC76" s="500"/>
      <c r="ED76" s="500"/>
      <c r="EE76" s="500"/>
      <c r="EF76" s="500"/>
      <c r="EG76" s="500"/>
      <c r="EH76" s="500"/>
      <c r="EI76" s="500"/>
    </row>
    <row r="77" spans="1:142" ht="14.25" customHeight="1">
      <c r="A77" s="1340" t="s">
        <v>420</v>
      </c>
      <c r="B77" s="1340"/>
      <c r="C77" s="1340"/>
      <c r="D77" s="1340"/>
      <c r="E77" s="1340"/>
      <c r="F77" s="1340"/>
      <c r="G77" s="853"/>
      <c r="H77" s="1340"/>
      <c r="I77" s="1340"/>
      <c r="J77" s="1340"/>
      <c r="K77" s="1340"/>
      <c r="L77" s="500"/>
      <c r="M77" s="853"/>
      <c r="N77" s="1340"/>
      <c r="O77" s="1340"/>
      <c r="P77" s="1340"/>
      <c r="Q77" s="1340"/>
      <c r="R77" s="1340"/>
      <c r="S77" s="853"/>
      <c r="T77" s="1340"/>
      <c r="U77" s="1340"/>
      <c r="V77" s="1340"/>
      <c r="W77" s="1340"/>
      <c r="X77" s="1340"/>
      <c r="Y77" s="853"/>
      <c r="Z77" s="1340"/>
      <c r="AA77" s="1340"/>
      <c r="AB77" s="1340"/>
      <c r="AC77" s="1340"/>
      <c r="AD77" s="1340"/>
      <c r="AE77" s="853"/>
      <c r="AF77" s="1340"/>
      <c r="AG77" s="1340"/>
      <c r="AH77" s="1340"/>
      <c r="AI77" s="1340"/>
      <c r="AJ77" s="1340"/>
      <c r="AK77" s="853"/>
      <c r="AL77" s="1340"/>
      <c r="AM77" s="1340"/>
      <c r="AN77" s="1340"/>
      <c r="AO77" s="1340"/>
      <c r="AP77" s="1340"/>
      <c r="AQ77" s="1341"/>
      <c r="AR77" s="1340"/>
      <c r="AS77" s="1340"/>
      <c r="AT77" s="1340"/>
      <c r="AU77" s="1471"/>
      <c r="AV77" s="1400"/>
      <c r="AW77" s="1472"/>
      <c r="AX77" s="1473"/>
      <c r="AY77" s="1400"/>
      <c r="AZ77" s="1400"/>
      <c r="BA77" s="1400"/>
      <c r="BB77" s="1400"/>
      <c r="BC77" s="1472"/>
      <c r="BD77" s="1473"/>
      <c r="BE77" s="1400"/>
      <c r="BF77" s="1400"/>
      <c r="BG77" s="1400"/>
      <c r="BH77" s="1400"/>
      <c r="BI77" s="1472"/>
      <c r="BJ77" s="1340"/>
      <c r="BK77" s="1400"/>
      <c r="BL77" s="1400"/>
      <c r="BM77" s="1400"/>
      <c r="BN77" s="1400"/>
      <c r="BO77" s="1474"/>
      <c r="BP77" s="1340"/>
      <c r="BQ77" s="1400"/>
      <c r="BR77" s="1400"/>
      <c r="BS77" s="1400"/>
      <c r="BT77" s="1400"/>
      <c r="BU77" s="1472"/>
      <c r="BV77" s="1340"/>
      <c r="BW77" s="1400"/>
      <c r="BX77" s="1400"/>
      <c r="BY77" s="1400"/>
      <c r="BZ77" s="1400"/>
      <c r="CA77" s="1472"/>
      <c r="CB77" s="1340"/>
      <c r="CC77" s="1400"/>
      <c r="CD77" s="1400"/>
      <c r="CE77" s="1400"/>
      <c r="CF77" s="1778"/>
      <c r="CG77" s="1779"/>
      <c r="CH77" s="1340"/>
      <c r="CI77" s="1761">
        <v>576.6</v>
      </c>
      <c r="CJ77" s="1761">
        <v>610.1</v>
      </c>
      <c r="CK77" s="1761">
        <v>625</v>
      </c>
      <c r="CL77" s="1761">
        <v>631.29999999999995</v>
      </c>
      <c r="CM77" s="1762">
        <f>SUM(CI77:CL77)</f>
        <v>2443</v>
      </c>
      <c r="CN77" s="1763"/>
      <c r="CO77" s="1761">
        <v>630.4</v>
      </c>
      <c r="CP77" s="1761">
        <v>671</v>
      </c>
      <c r="CQ77" s="1761">
        <v>688.7</v>
      </c>
      <c r="CR77" s="1761">
        <v>708.9</v>
      </c>
      <c r="CS77" s="1762">
        <f>SUM(CO77:CR77)</f>
        <v>2699</v>
      </c>
      <c r="CT77" s="1763"/>
      <c r="CU77" s="1761">
        <v>724.6</v>
      </c>
      <c r="CV77" s="1761">
        <v>754.9</v>
      </c>
      <c r="CW77" s="1761">
        <v>776.2</v>
      </c>
      <c r="CX77" s="1761">
        <v>804.9</v>
      </c>
      <c r="CY77" s="1762">
        <f>SUM(CU77:CX77)</f>
        <v>3060.6</v>
      </c>
      <c r="CZ77" s="1763"/>
      <c r="DA77" s="1761">
        <v>829.6</v>
      </c>
      <c r="DB77" s="1761">
        <v>886.4</v>
      </c>
      <c r="DC77" s="1761">
        <v>906.5</v>
      </c>
      <c r="DD77" s="1761">
        <v>931.8</v>
      </c>
      <c r="DE77" s="1762">
        <f>SUM(DA77:DD77)</f>
        <v>3554.3</v>
      </c>
      <c r="DF77" s="1763"/>
      <c r="DG77" s="1761">
        <f>DG$22*DG92</f>
        <v>987.8822216609766</v>
      </c>
      <c r="DH77" s="1761">
        <f t="shared" ref="DH77:DJ77" si="0">DH$22*DH92</f>
        <v>977.50841183554508</v>
      </c>
      <c r="DI77" s="1761">
        <f t="shared" si="0"/>
        <v>989.31829039442152</v>
      </c>
      <c r="DJ77" s="1761">
        <f t="shared" si="0"/>
        <v>1000.7308502413904</v>
      </c>
      <c r="DK77" s="1762">
        <f>SUM(DG77:DJ77)</f>
        <v>3955.4397741323337</v>
      </c>
      <c r="DL77" s="1763"/>
      <c r="DM77" s="1761">
        <f>DM$22*DM92</f>
        <v>1146.3072249290494</v>
      </c>
      <c r="DN77" s="1761">
        <f t="shared" ref="DN77:DP77" si="1">DN$22*DN92</f>
        <v>1054.9982488760024</v>
      </c>
      <c r="DO77" s="1761">
        <f t="shared" si="1"/>
        <v>1064.0186307258509</v>
      </c>
      <c r="DP77" s="1761">
        <f t="shared" si="1"/>
        <v>1059.217296258523</v>
      </c>
      <c r="DQ77" s="1762">
        <f>SUM(DM77:DP77)</f>
        <v>4324.541400789426</v>
      </c>
      <c r="DR77" s="1763"/>
      <c r="DS77" s="1761">
        <f>DS$22*DS92</f>
        <v>1322.4433654489178</v>
      </c>
      <c r="DT77" s="1761">
        <f t="shared" ref="DT77:DV77" si="2">DT$22*DT92</f>
        <v>1115.421251998087</v>
      </c>
      <c r="DU77" s="1761">
        <f t="shared" si="2"/>
        <v>1118.4753764511231</v>
      </c>
      <c r="DV77" s="1761">
        <f t="shared" si="2"/>
        <v>1098.133410526051</v>
      </c>
      <c r="DW77" s="1762">
        <f>SUM(DS77:DV77)</f>
        <v>4654.4734044241795</v>
      </c>
      <c r="DX77" s="500"/>
      <c r="DY77" s="500"/>
      <c r="DZ77" s="500"/>
      <c r="EA77" s="500"/>
      <c r="EB77" s="500"/>
      <c r="EC77" s="500"/>
      <c r="ED77" s="500"/>
      <c r="EE77" s="500"/>
      <c r="EF77" s="500"/>
      <c r="EG77" s="500"/>
      <c r="EH77" s="500"/>
      <c r="EI77" s="500"/>
    </row>
    <row r="78" spans="1:142" ht="14.25" customHeight="1">
      <c r="A78" s="1602" t="s">
        <v>1056</v>
      </c>
      <c r="B78" s="1340"/>
      <c r="C78" s="1340"/>
      <c r="D78" s="1340"/>
      <c r="E78" s="1340"/>
      <c r="F78" s="1340"/>
      <c r="G78" s="853"/>
      <c r="H78" s="1340"/>
      <c r="I78" s="1340"/>
      <c r="J78" s="1340"/>
      <c r="K78" s="1340"/>
      <c r="L78" s="500"/>
      <c r="M78" s="853"/>
      <c r="N78" s="1340"/>
      <c r="O78" s="1340"/>
      <c r="P78" s="1340"/>
      <c r="Q78" s="1340"/>
      <c r="R78" s="1340"/>
      <c r="S78" s="853"/>
      <c r="T78" s="1340"/>
      <c r="U78" s="1340"/>
      <c r="V78" s="1340"/>
      <c r="W78" s="1340"/>
      <c r="X78" s="1340"/>
      <c r="Y78" s="853"/>
      <c r="Z78" s="1340"/>
      <c r="AA78" s="1340"/>
      <c r="AB78" s="1340"/>
      <c r="AC78" s="1340"/>
      <c r="AD78" s="1340"/>
      <c r="AE78" s="853"/>
      <c r="AF78" s="1340"/>
      <c r="AG78" s="1340"/>
      <c r="AH78" s="1340"/>
      <c r="AI78" s="1340"/>
      <c r="AJ78" s="1340"/>
      <c r="AK78" s="853"/>
      <c r="AL78" s="1340"/>
      <c r="AM78" s="1340"/>
      <c r="AN78" s="1340"/>
      <c r="AO78" s="1340"/>
      <c r="AP78" s="1340"/>
      <c r="AQ78" s="1341"/>
      <c r="AR78" s="1340"/>
      <c r="AS78" s="1340"/>
      <c r="AT78" s="1340"/>
      <c r="AU78" s="1471"/>
      <c r="AV78" s="1400"/>
      <c r="AW78" s="1472"/>
      <c r="AX78" s="1473"/>
      <c r="AY78" s="1400"/>
      <c r="AZ78" s="1400"/>
      <c r="BA78" s="1400"/>
      <c r="BB78" s="1400"/>
      <c r="BC78" s="1472"/>
      <c r="BD78" s="1473"/>
      <c r="BE78" s="1400"/>
      <c r="BF78" s="1400"/>
      <c r="BG78" s="1400"/>
      <c r="BH78" s="1400"/>
      <c r="BI78" s="1472"/>
      <c r="BJ78" s="1340"/>
      <c r="BK78" s="1400"/>
      <c r="BL78" s="1400"/>
      <c r="BM78" s="1400"/>
      <c r="BN78" s="1400"/>
      <c r="BO78" s="1474"/>
      <c r="BP78" s="1340"/>
      <c r="BQ78" s="1400"/>
      <c r="BR78" s="1400"/>
      <c r="BS78" s="1400"/>
      <c r="BT78" s="1400"/>
      <c r="BU78" s="1472"/>
      <c r="BV78" s="1340"/>
      <c r="BW78" s="1400"/>
      <c r="BX78" s="1400"/>
      <c r="BY78" s="1400"/>
      <c r="BZ78" s="1400"/>
      <c r="CA78" s="1472"/>
      <c r="CB78" s="1340"/>
      <c r="CC78" s="1400"/>
      <c r="CD78" s="1400"/>
      <c r="CE78" s="1400"/>
      <c r="CF78" s="1400"/>
      <c r="CG78" s="1775"/>
      <c r="CH78" s="1340"/>
      <c r="CI78" s="1761"/>
      <c r="CJ78" s="1764">
        <f>CJ77/CI77-1</f>
        <v>5.8099202219909829E-2</v>
      </c>
      <c r="CK78" s="1764">
        <f>CK77/CJ77-1</f>
        <v>2.442222586461229E-2</v>
      </c>
      <c r="CL78" s="1764">
        <f>CL77/CK77-1</f>
        <v>1.0079999999999867E-2</v>
      </c>
      <c r="CM78" s="1775"/>
      <c r="CN78" s="1763"/>
      <c r="CO78" s="1764">
        <f>CO77/CL77-1</f>
        <v>-1.4256296530967827E-3</v>
      </c>
      <c r="CP78" s="1764">
        <f>CP77/CO77-1</f>
        <v>6.4403553299492433E-2</v>
      </c>
      <c r="CQ78" s="1764">
        <f>CQ77/CP77-1</f>
        <v>2.6378539493293607E-2</v>
      </c>
      <c r="CR78" s="1764">
        <f>CR77/CQ77-1</f>
        <v>2.9330622912734139E-2</v>
      </c>
      <c r="CS78" s="1762"/>
      <c r="CT78" s="1763"/>
      <c r="CU78" s="1764">
        <f>CU77/CR77-1</f>
        <v>2.2146988291719572E-2</v>
      </c>
      <c r="CV78" s="1764">
        <f>CV77/CU77-1</f>
        <v>4.1816174441070775E-2</v>
      </c>
      <c r="CW78" s="1764">
        <f>CW77/CV77-1</f>
        <v>2.8215657703007047E-2</v>
      </c>
      <c r="CX78" s="1764">
        <f>CX77/CW77-1</f>
        <v>3.6975006441638758E-2</v>
      </c>
      <c r="CY78" s="1838">
        <f>28/CS77</f>
        <v>1.0374212671359764E-2</v>
      </c>
      <c r="CZ78" s="1763"/>
      <c r="DA78" s="1764">
        <f>DA77/CX77-1</f>
        <v>3.0687041868555198E-2</v>
      </c>
      <c r="DB78" s="1764">
        <f>DB77/DA77-1</f>
        <v>6.8466730954676924E-2</v>
      </c>
      <c r="DC78" s="1764">
        <f>DC77/DB77-1</f>
        <v>2.2675992779783494E-2</v>
      </c>
      <c r="DD78" s="1764">
        <f>DD77/DC77-1</f>
        <v>2.7909542195256432E-2</v>
      </c>
      <c r="DE78" s="1810"/>
      <c r="DF78" s="1763"/>
      <c r="DG78" s="1764">
        <f>DG77/DD77-1</f>
        <v>6.0186973235647923E-2</v>
      </c>
      <c r="DH78" s="1764">
        <f>DH77/DG77-1</f>
        <v>-1.0501059334775298E-2</v>
      </c>
      <c r="DI78" s="1764">
        <f>DI77/DH77-1</f>
        <v>1.2081613227961974E-2</v>
      </c>
      <c r="DJ78" s="1764">
        <f>DJ77/DI77-1</f>
        <v>1.1535781717346927E-2</v>
      </c>
      <c r="DK78" s="1810"/>
      <c r="DL78" s="1763"/>
      <c r="DM78" s="1764">
        <f>DM77/DJ77-1</f>
        <v>0.1454700578607564</v>
      </c>
      <c r="DN78" s="1764">
        <f>DN77/DM77-1</f>
        <v>-7.9654890126596323E-2</v>
      </c>
      <c r="DO78" s="1764">
        <f>DO77/DN77-1</f>
        <v>8.5501391679643213E-3</v>
      </c>
      <c r="DP78" s="1764">
        <f>DP77/DO77-1</f>
        <v>-4.5124533806824019E-3</v>
      </c>
      <c r="DQ78" s="1810"/>
      <c r="DR78" s="1763"/>
      <c r="DS78" s="1764">
        <f>DS77/DP77-1</f>
        <v>0.24850998007697678</v>
      </c>
      <c r="DT78" s="1764">
        <f>DT77/DS77-1</f>
        <v>-0.15654516394398099</v>
      </c>
      <c r="DU78" s="1764">
        <f>DU77/DT77-1</f>
        <v>2.7380906070824107E-3</v>
      </c>
      <c r="DV78" s="1764">
        <f>DV77/DU77-1</f>
        <v>-1.8187227321549426E-2</v>
      </c>
      <c r="DW78" s="1810"/>
      <c r="DX78" s="500"/>
      <c r="DY78" s="500"/>
      <c r="DZ78" s="500"/>
      <c r="EA78" s="500"/>
      <c r="EB78" s="500"/>
      <c r="EC78" s="500"/>
      <c r="ED78" s="500"/>
      <c r="EE78" s="500"/>
      <c r="EF78" s="500"/>
      <c r="EG78" s="500"/>
      <c r="EH78" s="500"/>
      <c r="EI78" s="500"/>
    </row>
    <row r="79" spans="1:142" ht="14.25" customHeight="1">
      <c r="A79" s="1602" t="s">
        <v>870</v>
      </c>
      <c r="B79" s="1340"/>
      <c r="C79" s="1340"/>
      <c r="D79" s="1340"/>
      <c r="E79" s="1340"/>
      <c r="F79" s="1340"/>
      <c r="G79" s="853"/>
      <c r="H79" s="1340"/>
      <c r="I79" s="1340"/>
      <c r="J79" s="1340"/>
      <c r="K79" s="1340"/>
      <c r="L79" s="500"/>
      <c r="M79" s="853"/>
      <c r="N79" s="1340"/>
      <c r="O79" s="1340"/>
      <c r="P79" s="1340"/>
      <c r="Q79" s="1340"/>
      <c r="R79" s="1340"/>
      <c r="S79" s="853"/>
      <c r="T79" s="1340"/>
      <c r="U79" s="1340"/>
      <c r="V79" s="1340"/>
      <c r="W79" s="1340"/>
      <c r="X79" s="1340"/>
      <c r="Y79" s="853"/>
      <c r="Z79" s="1340"/>
      <c r="AA79" s="1340"/>
      <c r="AB79" s="1340"/>
      <c r="AC79" s="1340"/>
      <c r="AD79" s="1340"/>
      <c r="AE79" s="853"/>
      <c r="AF79" s="1340"/>
      <c r="AG79" s="1340"/>
      <c r="AH79" s="1340"/>
      <c r="AI79" s="1340"/>
      <c r="AJ79" s="1340"/>
      <c r="AK79" s="853"/>
      <c r="AL79" s="1340"/>
      <c r="AM79" s="1340"/>
      <c r="AN79" s="1340"/>
      <c r="AO79" s="1340"/>
      <c r="AP79" s="1340"/>
      <c r="AQ79" s="1341"/>
      <c r="AR79" s="1340"/>
      <c r="AS79" s="1340"/>
      <c r="AT79" s="1340"/>
      <c r="AU79" s="1471"/>
      <c r="AV79" s="1400"/>
      <c r="AW79" s="1472"/>
      <c r="AX79" s="1473"/>
      <c r="AY79" s="1400"/>
      <c r="AZ79" s="1400"/>
      <c r="BA79" s="1400"/>
      <c r="BB79" s="1400"/>
      <c r="BC79" s="1472"/>
      <c r="BD79" s="1473"/>
      <c r="BE79" s="1400"/>
      <c r="BF79" s="1400"/>
      <c r="BG79" s="1400"/>
      <c r="BH79" s="1400"/>
      <c r="BI79" s="1472"/>
      <c r="BJ79" s="1340"/>
      <c r="BK79" s="1400"/>
      <c r="BL79" s="1400"/>
      <c r="BM79" s="1400"/>
      <c r="BN79" s="1400"/>
      <c r="BO79" s="1474"/>
      <c r="BP79" s="1340"/>
      <c r="BQ79" s="1400"/>
      <c r="BR79" s="1400"/>
      <c r="BS79" s="1400"/>
      <c r="BT79" s="1400"/>
      <c r="BU79" s="1472"/>
      <c r="BV79" s="1340"/>
      <c r="BW79" s="1400"/>
      <c r="BX79" s="1400"/>
      <c r="BY79" s="1400"/>
      <c r="BZ79" s="1400"/>
      <c r="CA79" s="1472"/>
      <c r="CB79" s="1340"/>
      <c r="CC79" s="1400"/>
      <c r="CD79" s="1400"/>
      <c r="CE79" s="1400"/>
      <c r="CF79" s="1400"/>
      <c r="CG79" s="1472"/>
      <c r="CH79" s="1340"/>
      <c r="CI79" s="1761"/>
      <c r="CJ79" s="1764"/>
      <c r="CK79" s="1764"/>
      <c r="CL79" s="1764"/>
      <c r="CM79" s="1762"/>
      <c r="CN79" s="1763"/>
      <c r="CO79" s="1764">
        <f>CO77/CI77-1</f>
        <v>9.3305584460631197E-2</v>
      </c>
      <c r="CP79" s="1764">
        <f>CP77/CJ77-1</f>
        <v>9.9819701688247831E-2</v>
      </c>
      <c r="CQ79" s="1764">
        <f>CQ77/CK77-1</f>
        <v>0.10192000000000001</v>
      </c>
      <c r="CR79" s="1764">
        <f>CR77/CL77-1</f>
        <v>0.12292095675590065</v>
      </c>
      <c r="CS79" s="1838">
        <f>CS77/CM77-1</f>
        <v>0.10478919361440853</v>
      </c>
      <c r="CT79" s="1763"/>
      <c r="CU79" s="1764">
        <f>CU77/CO77-1</f>
        <v>0.14942893401015245</v>
      </c>
      <c r="CV79" s="1764">
        <f>CV77/CP77-1</f>
        <v>0.12503725782414299</v>
      </c>
      <c r="CW79" s="1764">
        <f>CW77/CQ77-1</f>
        <v>0.12705096558733842</v>
      </c>
      <c r="CX79" s="1764">
        <f>CX77/CR77-1</f>
        <v>0.13542107490478217</v>
      </c>
      <c r="CY79" s="1766">
        <f>CY77/CS77-1</f>
        <v>0.13397554649870314</v>
      </c>
      <c r="CZ79" s="1763"/>
      <c r="DA79" s="1764">
        <f>DA77/CU77-1</f>
        <v>0.14490753519182986</v>
      </c>
      <c r="DB79" s="1764">
        <f>DB77/CV77-1</f>
        <v>0.17419525765001986</v>
      </c>
      <c r="DC79" s="1764">
        <f>DC77/CW77-1</f>
        <v>0.16786910590054105</v>
      </c>
      <c r="DD79" s="1764">
        <f>DD77/CX77-1</f>
        <v>0.15765933656354814</v>
      </c>
      <c r="DE79" s="1766">
        <f>DE77/CY77-1</f>
        <v>0.1613082402143371</v>
      </c>
      <c r="DF79" s="1763"/>
      <c r="DG79" s="1764">
        <f>DG77/DA77-1</f>
        <v>0.19079342051708847</v>
      </c>
      <c r="DH79" s="1764">
        <f>DH77/DB77-1</f>
        <v>0.10278476064479358</v>
      </c>
      <c r="DI79" s="1764">
        <f>DI77/DC77-1</f>
        <v>9.1360496849885786E-2</v>
      </c>
      <c r="DJ79" s="1764">
        <f>DJ77/DD77-1</f>
        <v>7.3976014425188197E-2</v>
      </c>
      <c r="DK79" s="1766">
        <f>DK77/DE77-1</f>
        <v>0.11286041530887481</v>
      </c>
      <c r="DL79" s="1763"/>
      <c r="DM79" s="1764">
        <f>DM77/DG77-1</f>
        <v>0.16036831091231174</v>
      </c>
      <c r="DN79" s="1764">
        <f>DN77/DH77-1</f>
        <v>7.9272808399621475E-2</v>
      </c>
      <c r="DO79" s="1764">
        <f>DO77/DI77-1</f>
        <v>7.5506882928089603E-2</v>
      </c>
      <c r="DP79" s="1764">
        <f>DP77/DJ77-1</f>
        <v>5.8443732401199489E-2</v>
      </c>
      <c r="DQ79" s="1766">
        <f>DQ77/DK77-1</f>
        <v>9.3314940369192856E-2</v>
      </c>
      <c r="DR79" s="1763"/>
      <c r="DS79" s="1764">
        <f>DS77/DM77-1</f>
        <v>0.15365526508896443</v>
      </c>
      <c r="DT79" s="1764">
        <f>DT77/DN77-1</f>
        <v>5.7273083805076785E-2</v>
      </c>
      <c r="DU79" s="1764">
        <f>DU77/DO77-1</f>
        <v>5.1180255827027121E-2</v>
      </c>
      <c r="DV79" s="1764">
        <f>DV77/DP77-1</f>
        <v>3.6740444481969448E-2</v>
      </c>
      <c r="DW79" s="1766">
        <f>DW77/DQ77-1</f>
        <v>7.6292946016085272E-2</v>
      </c>
      <c r="DX79" s="500"/>
      <c r="DY79" s="500"/>
      <c r="DZ79" s="500"/>
      <c r="EA79" s="500"/>
      <c r="EB79" s="500"/>
      <c r="EC79" s="500"/>
      <c r="ED79" s="500"/>
      <c r="EE79" s="500"/>
      <c r="EF79" s="500"/>
      <c r="EG79" s="500"/>
      <c r="EH79" s="500"/>
      <c r="EI79" s="500"/>
    </row>
    <row r="80" spans="1:142" ht="14.25" customHeight="1">
      <c r="A80" s="1340" t="s">
        <v>951</v>
      </c>
      <c r="B80" s="1340"/>
      <c r="C80" s="1340"/>
      <c r="D80" s="1340"/>
      <c r="E80" s="1340"/>
      <c r="F80" s="1340"/>
      <c r="G80" s="853"/>
      <c r="H80" s="1340"/>
      <c r="I80" s="1340"/>
      <c r="J80" s="1340"/>
      <c r="K80" s="1340"/>
      <c r="L80" s="500"/>
      <c r="M80" s="853"/>
      <c r="N80" s="1340"/>
      <c r="O80" s="1340"/>
      <c r="P80" s="1340"/>
      <c r="Q80" s="1340"/>
      <c r="R80" s="1340"/>
      <c r="S80" s="853"/>
      <c r="T80" s="1340"/>
      <c r="U80" s="1340"/>
      <c r="V80" s="1340"/>
      <c r="W80" s="1340"/>
      <c r="X80" s="1340"/>
      <c r="Y80" s="853"/>
      <c r="Z80" s="1340"/>
      <c r="AA80" s="1340"/>
      <c r="AB80" s="1340"/>
      <c r="AC80" s="1340"/>
      <c r="AD80" s="1340"/>
      <c r="AE80" s="853"/>
      <c r="AF80" s="1340"/>
      <c r="AG80" s="1340"/>
      <c r="AH80" s="1340"/>
      <c r="AI80" s="1340"/>
      <c r="AJ80" s="1340"/>
      <c r="AK80" s="853"/>
      <c r="AL80" s="1340"/>
      <c r="AM80" s="1340"/>
      <c r="AN80" s="1340"/>
      <c r="AO80" s="1340"/>
      <c r="AP80" s="1340"/>
      <c r="AQ80" s="1341"/>
      <c r="AR80" s="1340"/>
      <c r="AS80" s="1340"/>
      <c r="AT80" s="1340"/>
      <c r="AU80" s="1471"/>
      <c r="AV80" s="1400"/>
      <c r="AW80" s="1472"/>
      <c r="AX80" s="1473"/>
      <c r="AY80" s="1400"/>
      <c r="AZ80" s="1400"/>
      <c r="BA80" s="1400"/>
      <c r="BB80" s="1400"/>
      <c r="BC80" s="1472"/>
      <c r="BD80" s="1473"/>
      <c r="BE80" s="1400"/>
      <c r="BF80" s="1400"/>
      <c r="BG80" s="1400"/>
      <c r="BH80" s="1400"/>
      <c r="BI80" s="1472"/>
      <c r="BJ80" s="1340"/>
      <c r="BK80" s="1400"/>
      <c r="BL80" s="1400"/>
      <c r="BM80" s="1400"/>
      <c r="BN80" s="1400"/>
      <c r="BO80" s="1474"/>
      <c r="BP80" s="1340"/>
      <c r="BQ80" s="1400"/>
      <c r="BR80" s="1400"/>
      <c r="BS80" s="1400"/>
      <c r="BT80" s="1400"/>
      <c r="BU80" s="1472"/>
      <c r="BV80" s="1340"/>
      <c r="BW80" s="1400"/>
      <c r="BX80" s="1400"/>
      <c r="BY80" s="1400"/>
      <c r="BZ80" s="1400"/>
      <c r="CA80" s="1472"/>
      <c r="CB80" s="1340"/>
      <c r="CC80" s="1400"/>
      <c r="CD80" s="1400"/>
      <c r="CE80" s="1400"/>
      <c r="CF80" s="1400"/>
      <c r="CG80" s="1472"/>
      <c r="CH80" s="1340"/>
      <c r="CI80" s="1761">
        <v>294.8</v>
      </c>
      <c r="CJ80" s="1761">
        <v>318.7</v>
      </c>
      <c r="CK80" s="1761">
        <v>340</v>
      </c>
      <c r="CL80" s="1761">
        <v>367.1</v>
      </c>
      <c r="CM80" s="1762">
        <f>SUM(CI80:CL80)</f>
        <v>1320.6</v>
      </c>
      <c r="CN80" s="1763"/>
      <c r="CO80" s="1761">
        <v>407.7</v>
      </c>
      <c r="CP80" s="1761">
        <v>445.2</v>
      </c>
      <c r="CQ80" s="1761">
        <v>469.5</v>
      </c>
      <c r="CR80" s="1761">
        <v>495.3</v>
      </c>
      <c r="CS80" s="1762">
        <f>SUM(CO80:CR80)</f>
        <v>1817.7</v>
      </c>
      <c r="CT80" s="1763"/>
      <c r="CU80" s="1761">
        <v>540.1</v>
      </c>
      <c r="CV80" s="1761">
        <v>575.4</v>
      </c>
      <c r="CW80" s="1761">
        <v>589.9</v>
      </c>
      <c r="CX80" s="1761">
        <v>615.29999999999995</v>
      </c>
      <c r="CY80" s="1762">
        <f>SUM(CU80:CX80)</f>
        <v>2320.6999999999998</v>
      </c>
      <c r="CZ80" s="1763"/>
      <c r="DA80" s="1761">
        <v>651.20000000000005</v>
      </c>
      <c r="DB80" s="1761">
        <v>698.5</v>
      </c>
      <c r="DC80" s="1761">
        <v>738.1</v>
      </c>
      <c r="DD80" s="1761">
        <v>789.3</v>
      </c>
      <c r="DE80" s="1762">
        <f>SUM(DA80:DD80)</f>
        <v>2877.1000000000004</v>
      </c>
      <c r="DF80" s="1763"/>
      <c r="DG80" s="1761">
        <f t="shared" ref="DG80:DJ80" si="3">DG$22*DG93</f>
        <v>816.71611514662106</v>
      </c>
      <c r="DH80" s="1761">
        <f t="shared" si="3"/>
        <v>864.17375059105689</v>
      </c>
      <c r="DI80" s="1761">
        <f t="shared" si="3"/>
        <v>918.07702501001381</v>
      </c>
      <c r="DJ80" s="1761">
        <f t="shared" si="3"/>
        <v>960.4027966819541</v>
      </c>
      <c r="DK80" s="1762">
        <f>SUM(DG80:DJ80)</f>
        <v>3559.3696874296456</v>
      </c>
      <c r="DL80" s="1763"/>
      <c r="DM80" s="1761">
        <f t="shared" ref="DM80:DP80" si="4">DM$22*DM93</f>
        <v>999.12962224290663</v>
      </c>
      <c r="DN80" s="1761">
        <f t="shared" si="4"/>
        <v>1057.3114401988826</v>
      </c>
      <c r="DO80" s="1761">
        <f t="shared" si="4"/>
        <v>1137.1979202782989</v>
      </c>
      <c r="DP80" s="1761">
        <f t="shared" si="4"/>
        <v>1167.1649277843717</v>
      </c>
      <c r="DQ80" s="1762">
        <f>SUM(DM80:DP80)</f>
        <v>4360.80391050446</v>
      </c>
      <c r="DR80" s="1763"/>
      <c r="DS80" s="1761">
        <f t="shared" ref="DS80:DV80" si="5">DS$22*DS93</f>
        <v>1216.5586244061576</v>
      </c>
      <c r="DT80" s="1761">
        <f t="shared" si="5"/>
        <v>1283.8956309139</v>
      </c>
      <c r="DU80" s="1761">
        <f t="shared" si="5"/>
        <v>1395.322246338063</v>
      </c>
      <c r="DV80" s="1761">
        <f t="shared" si="5"/>
        <v>1413.4274681220161</v>
      </c>
      <c r="DW80" s="1762">
        <f>SUM(DS80:DV80)</f>
        <v>5309.2039697801365</v>
      </c>
      <c r="DX80" s="500"/>
      <c r="DY80" s="500"/>
      <c r="DZ80" s="500"/>
      <c r="EA80" s="500"/>
      <c r="EB80" s="500"/>
      <c r="EC80" s="500"/>
      <c r="ED80" s="500"/>
      <c r="EE80" s="500"/>
      <c r="EF80" s="500"/>
      <c r="EG80" s="500"/>
      <c r="EH80" s="500"/>
      <c r="EI80" s="500"/>
    </row>
    <row r="81" spans="1:139" ht="14.25" customHeight="1">
      <c r="A81" s="1602" t="s">
        <v>1056</v>
      </c>
      <c r="B81" s="1340"/>
      <c r="C81" s="1340"/>
      <c r="D81" s="1340"/>
      <c r="E81" s="1340"/>
      <c r="F81" s="1340"/>
      <c r="G81" s="853"/>
      <c r="H81" s="1340"/>
      <c r="I81" s="1340"/>
      <c r="J81" s="1340"/>
      <c r="K81" s="1340"/>
      <c r="L81" s="500"/>
      <c r="M81" s="853"/>
      <c r="N81" s="1340"/>
      <c r="O81" s="1340"/>
      <c r="P81" s="1340"/>
      <c r="Q81" s="1340"/>
      <c r="R81" s="1340"/>
      <c r="S81" s="853"/>
      <c r="T81" s="1340"/>
      <c r="U81" s="1340"/>
      <c r="V81" s="1340"/>
      <c r="W81" s="1340"/>
      <c r="X81" s="1340"/>
      <c r="Y81" s="853"/>
      <c r="Z81" s="1340"/>
      <c r="AA81" s="1340"/>
      <c r="AB81" s="1340"/>
      <c r="AC81" s="1340"/>
      <c r="AD81" s="1340"/>
      <c r="AE81" s="853"/>
      <c r="AF81" s="1340"/>
      <c r="AG81" s="1340"/>
      <c r="AH81" s="1340"/>
      <c r="AI81" s="1340"/>
      <c r="AJ81" s="1340"/>
      <c r="AK81" s="853"/>
      <c r="AL81" s="1340"/>
      <c r="AM81" s="1340"/>
      <c r="AN81" s="1340"/>
      <c r="AO81" s="1340"/>
      <c r="AP81" s="1340"/>
      <c r="AQ81" s="1341"/>
      <c r="AR81" s="1340"/>
      <c r="AS81" s="1340"/>
      <c r="AT81" s="1340"/>
      <c r="AU81" s="1471"/>
      <c r="AV81" s="1400"/>
      <c r="AW81" s="1472"/>
      <c r="AX81" s="1473"/>
      <c r="AY81" s="1400"/>
      <c r="AZ81" s="1400"/>
      <c r="BA81" s="1400"/>
      <c r="BB81" s="1400"/>
      <c r="BC81" s="1472"/>
      <c r="BD81" s="1473"/>
      <c r="BE81" s="1400"/>
      <c r="BF81" s="1400"/>
      <c r="BG81" s="1400"/>
      <c r="BH81" s="1400"/>
      <c r="BI81" s="1472"/>
      <c r="BJ81" s="1340"/>
      <c r="BK81" s="1400"/>
      <c r="BL81" s="1400"/>
      <c r="BM81" s="1400"/>
      <c r="BN81" s="1400"/>
      <c r="BO81" s="1474"/>
      <c r="BP81" s="1340"/>
      <c r="BQ81" s="1400"/>
      <c r="BR81" s="1400"/>
      <c r="BS81" s="1400"/>
      <c r="BT81" s="1400"/>
      <c r="BU81" s="1472"/>
      <c r="BV81" s="1340"/>
      <c r="BW81" s="1400"/>
      <c r="BX81" s="1400"/>
      <c r="BY81" s="1400"/>
      <c r="BZ81" s="1400"/>
      <c r="CA81" s="1472"/>
      <c r="CB81" s="1340"/>
      <c r="CC81" s="1400"/>
      <c r="CD81" s="1400"/>
      <c r="CE81" s="1400"/>
      <c r="CF81" s="1400"/>
      <c r="CG81" s="1472"/>
      <c r="CH81" s="1340"/>
      <c r="CI81" s="1761"/>
      <c r="CJ81" s="1764">
        <f>CJ80/CI80-1</f>
        <v>8.1071913161465226E-2</v>
      </c>
      <c r="CK81" s="1764">
        <f>CK80/CJ80-1</f>
        <v>6.6834013178537877E-2</v>
      </c>
      <c r="CL81" s="1764">
        <f>CL80/CK80-1</f>
        <v>7.9705882352941293E-2</v>
      </c>
      <c r="CM81" s="1762"/>
      <c r="CN81" s="1763"/>
      <c r="CO81" s="1764">
        <f>CO80/CL80-1</f>
        <v>0.11059656769272674</v>
      </c>
      <c r="CP81" s="1764">
        <f>CP80/CO80-1</f>
        <v>9.1979396615158304E-2</v>
      </c>
      <c r="CQ81" s="1764">
        <f>CQ80/CP80-1</f>
        <v>5.4582210242587692E-2</v>
      </c>
      <c r="CR81" s="1764">
        <f>CR80/CQ80-1</f>
        <v>5.4952076677316386E-2</v>
      </c>
      <c r="CS81" s="1762"/>
      <c r="CT81" s="1763"/>
      <c r="CU81" s="1764">
        <f>CU80/CR80-1</f>
        <v>9.0450232182515578E-2</v>
      </c>
      <c r="CV81" s="1764">
        <f>CV80/CU80-1</f>
        <v>6.5358266987594726E-2</v>
      </c>
      <c r="CW81" s="1764">
        <f>CW80/CV80-1</f>
        <v>2.5199860966284238E-2</v>
      </c>
      <c r="CX81" s="1764">
        <f>CX80/CW80-1</f>
        <v>4.3058145448380936E-2</v>
      </c>
      <c r="CY81" s="1810"/>
      <c r="CZ81" s="1763"/>
      <c r="DA81" s="1764">
        <f>DA80/CX80-1</f>
        <v>5.8345522509345216E-2</v>
      </c>
      <c r="DB81" s="1764">
        <f>DB80/DA80-1</f>
        <v>7.2635135135135087E-2</v>
      </c>
      <c r="DC81" s="1764">
        <f>DC80/DB80-1</f>
        <v>5.6692913385826715E-2</v>
      </c>
      <c r="DD81" s="1764">
        <f>DD80/DC80-1</f>
        <v>6.9367294404552027E-2</v>
      </c>
      <c r="DE81" s="1810"/>
      <c r="DF81" s="1763"/>
      <c r="DG81" s="1764">
        <f>DG80/DD80-1</f>
        <v>3.4734720824301402E-2</v>
      </c>
      <c r="DH81" s="1764">
        <f>DH80/DG80-1</f>
        <v>5.8107871957339796E-2</v>
      </c>
      <c r="DI81" s="1764">
        <f>DI80/DH80-1</f>
        <v>6.2375505368092332E-2</v>
      </c>
      <c r="DJ81" s="1764">
        <f>DJ80/DI80-1</f>
        <v>4.6102636836466537E-2</v>
      </c>
      <c r="DK81" s="1810"/>
      <c r="DL81" s="1763"/>
      <c r="DM81" s="1764">
        <f>DM80/DJ80-1</f>
        <v>4.0323524353269136E-2</v>
      </c>
      <c r="DN81" s="1764">
        <f>DN80/DM80-1</f>
        <v>5.8232502230657346E-2</v>
      </c>
      <c r="DO81" s="1764">
        <f>DO80/DN80-1</f>
        <v>7.5556242978312538E-2</v>
      </c>
      <c r="DP81" s="1764">
        <f>DP80/DO80-1</f>
        <v>2.6351620040546031E-2</v>
      </c>
      <c r="DQ81" s="1810"/>
      <c r="DR81" s="1763"/>
      <c r="DS81" s="1764">
        <f>DS80/DP80-1</f>
        <v>4.2319380445700938E-2</v>
      </c>
      <c r="DT81" s="1764">
        <f>DT80/DS80-1</f>
        <v>5.5350400019244406E-2</v>
      </c>
      <c r="DU81" s="1764">
        <f>DU80/DT80-1</f>
        <v>8.6787907631438399E-2</v>
      </c>
      <c r="DV81" s="1764">
        <f>DV80/DU80-1</f>
        <v>1.2975656219535781E-2</v>
      </c>
      <c r="DW81" s="1810"/>
      <c r="DX81" s="500"/>
      <c r="DY81" s="500"/>
      <c r="DZ81" s="500"/>
      <c r="EA81" s="500"/>
      <c r="EB81" s="500"/>
      <c r="EC81" s="500"/>
      <c r="ED81" s="500"/>
      <c r="EE81" s="500"/>
      <c r="EF81" s="500"/>
      <c r="EG81" s="500"/>
      <c r="EH81" s="500"/>
      <c r="EI81" s="500"/>
    </row>
    <row r="82" spans="1:139" ht="14.25" customHeight="1">
      <c r="A82" s="1602" t="s">
        <v>870</v>
      </c>
      <c r="B82" s="1340"/>
      <c r="C82" s="1340"/>
      <c r="D82" s="1340"/>
      <c r="E82" s="1340"/>
      <c r="F82" s="1340"/>
      <c r="G82" s="853"/>
      <c r="H82" s="1340"/>
      <c r="I82" s="1340"/>
      <c r="J82" s="1340"/>
      <c r="K82" s="1340"/>
      <c r="L82" s="500"/>
      <c r="M82" s="853"/>
      <c r="N82" s="1340"/>
      <c r="O82" s="1340"/>
      <c r="P82" s="1340"/>
      <c r="Q82" s="1340"/>
      <c r="R82" s="1340"/>
      <c r="S82" s="853"/>
      <c r="T82" s="1340"/>
      <c r="U82" s="1340"/>
      <c r="V82" s="1340"/>
      <c r="W82" s="1340"/>
      <c r="X82" s="1340"/>
      <c r="Y82" s="853"/>
      <c r="Z82" s="1340"/>
      <c r="AA82" s="1340"/>
      <c r="AB82" s="1340"/>
      <c r="AC82" s="1340"/>
      <c r="AD82" s="1340"/>
      <c r="AE82" s="853"/>
      <c r="AF82" s="1340"/>
      <c r="AG82" s="1340"/>
      <c r="AH82" s="1340"/>
      <c r="AI82" s="1340"/>
      <c r="AJ82" s="1340"/>
      <c r="AK82" s="853"/>
      <c r="AL82" s="1340"/>
      <c r="AM82" s="1340"/>
      <c r="AN82" s="1340"/>
      <c r="AO82" s="1340"/>
      <c r="AP82" s="1340"/>
      <c r="AQ82" s="1341"/>
      <c r="AR82" s="1340"/>
      <c r="AS82" s="1340"/>
      <c r="AT82" s="1340"/>
      <c r="AU82" s="1471"/>
      <c r="AV82" s="1400"/>
      <c r="AW82" s="1472"/>
      <c r="AX82" s="1473"/>
      <c r="AY82" s="1400"/>
      <c r="AZ82" s="1400"/>
      <c r="BA82" s="1400"/>
      <c r="BB82" s="1400"/>
      <c r="BC82" s="1472"/>
      <c r="BD82" s="1473"/>
      <c r="BE82" s="1400"/>
      <c r="BF82" s="1400"/>
      <c r="BG82" s="1400"/>
      <c r="BH82" s="1400"/>
      <c r="BI82" s="1472"/>
      <c r="BJ82" s="1340"/>
      <c r="BK82" s="1400"/>
      <c r="BL82" s="1400"/>
      <c r="BM82" s="1400"/>
      <c r="BN82" s="1400"/>
      <c r="BO82" s="1474"/>
      <c r="BP82" s="1340"/>
      <c r="BQ82" s="1400"/>
      <c r="BR82" s="1400"/>
      <c r="BS82" s="1400"/>
      <c r="BT82" s="1400"/>
      <c r="BU82" s="1472"/>
      <c r="BV82" s="1340"/>
      <c r="BW82" s="1400"/>
      <c r="BX82" s="1400"/>
      <c r="BY82" s="1400"/>
      <c r="BZ82" s="1400"/>
      <c r="CA82" s="1472"/>
      <c r="CB82" s="1340"/>
      <c r="CC82" s="1400"/>
      <c r="CD82" s="1400"/>
      <c r="CE82" s="1400"/>
      <c r="CF82" s="1400"/>
      <c r="CG82" s="1472"/>
      <c r="CH82" s="1340"/>
      <c r="CI82" s="1761"/>
      <c r="CJ82" s="1764"/>
      <c r="CK82" s="1764"/>
      <c r="CL82" s="1764"/>
      <c r="CM82" s="1762"/>
      <c r="CN82" s="1763"/>
      <c r="CO82" s="1764">
        <f>CO80/CI80-1</f>
        <v>0.3829715061058343</v>
      </c>
      <c r="CP82" s="1764">
        <f>CP80/CJ80-1</f>
        <v>0.39692500784436779</v>
      </c>
      <c r="CQ82" s="1764">
        <f>CQ80/CK80-1</f>
        <v>0.38088235294117645</v>
      </c>
      <c r="CR82" s="1764">
        <f>CR80/CL80-1</f>
        <v>0.34922364478343759</v>
      </c>
      <c r="CS82" s="1838">
        <f>CS80/CM80-1</f>
        <v>0.37641980917764672</v>
      </c>
      <c r="CT82" s="1763"/>
      <c r="CU82" s="1764">
        <f>CU80/CO80-1</f>
        <v>0.32474858964925191</v>
      </c>
      <c r="CV82" s="1764">
        <f>CV80/CP80-1</f>
        <v>0.29245283018867929</v>
      </c>
      <c r="CW82" s="1764">
        <f>CW80/CQ80-1</f>
        <v>0.25644302449414269</v>
      </c>
      <c r="CX82" s="1764">
        <f>CX80/CR80-1</f>
        <v>0.24227740763173822</v>
      </c>
      <c r="CY82" s="1765">
        <f>CY80/CS80-1</f>
        <v>0.27672333168289587</v>
      </c>
      <c r="CZ82" s="1763"/>
      <c r="DA82" s="1764">
        <f>DA80/CU80-1</f>
        <v>0.20570264765784119</v>
      </c>
      <c r="DB82" s="1764">
        <f>DB80/CV80-1</f>
        <v>0.21393812999652417</v>
      </c>
      <c r="DC82" s="1764">
        <f>DC80/CW80-1</f>
        <v>0.25122902186811324</v>
      </c>
      <c r="DD82" s="1764">
        <f>DD80/CX80-1</f>
        <v>0.28278888347147735</v>
      </c>
      <c r="DE82" s="1765">
        <f>DE80/CY80-1</f>
        <v>0.23975524626190392</v>
      </c>
      <c r="DF82" s="1763"/>
      <c r="DG82" s="1764">
        <f>DG80/DA80-1</f>
        <v>0.25417093849296846</v>
      </c>
      <c r="DH82" s="1764">
        <f>DH80/DB80-1</f>
        <v>0.23718504021625897</v>
      </c>
      <c r="DI82" s="1764">
        <f>DI80/DC80-1</f>
        <v>0.24383826718603685</v>
      </c>
      <c r="DJ82" s="1764">
        <f>DJ80/DD80-1</f>
        <v>0.21677790026853438</v>
      </c>
      <c r="DK82" s="1765">
        <f>DK80/DE80-1</f>
        <v>0.2371379817975201</v>
      </c>
      <c r="DL82" s="1763"/>
      <c r="DM82" s="1764">
        <f>DM80/DG80-1</f>
        <v>0.22334995442515271</v>
      </c>
      <c r="DN82" s="1764">
        <f>DN80/DH80-1</f>
        <v>0.22349404789919625</v>
      </c>
      <c r="DO82" s="1764">
        <f>DO80/DI80-1</f>
        <v>0.23867375971628846</v>
      </c>
      <c r="DP82" s="1764">
        <f>DP80/DJ80-1</f>
        <v>0.21528688985158029</v>
      </c>
      <c r="DQ82" s="1765">
        <f>DQ80/DK80-1</f>
        <v>0.22516183859888961</v>
      </c>
      <c r="DR82" s="1763"/>
      <c r="DS82" s="1764">
        <f>DS80/DM80-1</f>
        <v>0.21761841238892821</v>
      </c>
      <c r="DT82" s="1764">
        <f>DT80/DN80-1</f>
        <v>0.21430222174877489</v>
      </c>
      <c r="DU82" s="1764">
        <f>DU80/DO80-1</f>
        <v>0.22698276303266107</v>
      </c>
      <c r="DV82" s="1764">
        <f>DV80/DP80-1</f>
        <v>0.21099206673826676</v>
      </c>
      <c r="DW82" s="1765">
        <f>DW80/DQ80-1</f>
        <v>0.21748284920382144</v>
      </c>
      <c r="DX82" s="500"/>
      <c r="DY82" s="500"/>
      <c r="DZ82" s="500"/>
      <c r="EA82" s="500"/>
      <c r="EB82" s="500"/>
      <c r="EC82" s="500"/>
      <c r="ED82" s="500"/>
      <c r="EE82" s="500"/>
      <c r="EF82" s="500"/>
      <c r="EG82" s="500"/>
      <c r="EH82" s="500"/>
      <c r="EI82" s="500"/>
    </row>
    <row r="83" spans="1:139" ht="14.25" customHeight="1">
      <c r="A83" s="1340" t="s">
        <v>1041</v>
      </c>
      <c r="B83" s="1340"/>
      <c r="C83" s="1340"/>
      <c r="D83" s="1340"/>
      <c r="E83" s="1340"/>
      <c r="F83" s="1340"/>
      <c r="G83" s="853"/>
      <c r="H83" s="1340"/>
      <c r="I83" s="1340"/>
      <c r="J83" s="1340"/>
      <c r="K83" s="1340"/>
      <c r="L83" s="500"/>
      <c r="M83" s="853"/>
      <c r="N83" s="1340"/>
      <c r="O83" s="1340"/>
      <c r="P83" s="1340"/>
      <c r="Q83" s="1340"/>
      <c r="R83" s="1340"/>
      <c r="S83" s="853"/>
      <c r="T83" s="1340"/>
      <c r="U83" s="1340"/>
      <c r="V83" s="1340"/>
      <c r="W83" s="1340"/>
      <c r="X83" s="1340"/>
      <c r="Y83" s="853"/>
      <c r="Z83" s="1340"/>
      <c r="AA83" s="1340"/>
      <c r="AB83" s="1340"/>
      <c r="AC83" s="1340"/>
      <c r="AD83" s="1340"/>
      <c r="AE83" s="853"/>
      <c r="AF83" s="1340"/>
      <c r="AG83" s="1340"/>
      <c r="AH83" s="1340"/>
      <c r="AI83" s="1340"/>
      <c r="AJ83" s="1340"/>
      <c r="AK83" s="853"/>
      <c r="AL83" s="1340"/>
      <c r="AM83" s="1340"/>
      <c r="AN83" s="1340"/>
      <c r="AO83" s="1340"/>
      <c r="AP83" s="1340"/>
      <c r="AQ83" s="1341"/>
      <c r="AR83" s="1340"/>
      <c r="AS83" s="1340"/>
      <c r="AT83" s="1340"/>
      <c r="AU83" s="1471"/>
      <c r="AV83" s="1400"/>
      <c r="AW83" s="1472"/>
      <c r="AX83" s="1473"/>
      <c r="AY83" s="1400"/>
      <c r="AZ83" s="1400"/>
      <c r="BA83" s="1400"/>
      <c r="BB83" s="1400"/>
      <c r="BC83" s="1472"/>
      <c r="BD83" s="1473"/>
      <c r="BE83" s="1400"/>
      <c r="BF83" s="1400"/>
      <c r="BG83" s="1400"/>
      <c r="BH83" s="1400"/>
      <c r="BI83" s="1472"/>
      <c r="BJ83" s="1340"/>
      <c r="BK83" s="1400"/>
      <c r="BL83" s="1400"/>
      <c r="BM83" s="1400"/>
      <c r="BN83" s="1400"/>
      <c r="BO83" s="1474"/>
      <c r="BP83" s="1340"/>
      <c r="BQ83" s="1400"/>
      <c r="BR83" s="1400"/>
      <c r="BS83" s="1400"/>
      <c r="BT83" s="1400"/>
      <c r="BU83" s="1472"/>
      <c r="BV83" s="1340"/>
      <c r="BW83" s="1400"/>
      <c r="BX83" s="1400"/>
      <c r="BY83" s="1400"/>
      <c r="BZ83" s="1400"/>
      <c r="CA83" s="1472"/>
      <c r="CB83" s="1340"/>
      <c r="CC83" s="1400"/>
      <c r="CD83" s="1400"/>
      <c r="CE83" s="1400"/>
      <c r="CF83" s="1400"/>
      <c r="CG83" s="1472"/>
      <c r="CH83" s="1340"/>
      <c r="CI83" s="1761">
        <v>111</v>
      </c>
      <c r="CJ83" s="1761">
        <v>122.4</v>
      </c>
      <c r="CK83" s="1761">
        <v>132</v>
      </c>
      <c r="CL83" s="1761">
        <v>140.4</v>
      </c>
      <c r="CM83" s="1762">
        <f>SUM(CI83:CL83)</f>
        <v>505.79999999999995</v>
      </c>
      <c r="CN83" s="1763"/>
      <c r="CO83" s="1761">
        <v>143.19999999999999</v>
      </c>
      <c r="CP83" s="1761">
        <v>157.9</v>
      </c>
      <c r="CQ83" s="1761">
        <v>169</v>
      </c>
      <c r="CR83" s="1761">
        <v>184</v>
      </c>
      <c r="CS83" s="1762">
        <f>SUM(CO83:CR83)</f>
        <v>654.1</v>
      </c>
      <c r="CT83" s="1763"/>
      <c r="CU83" s="1761">
        <v>184.9</v>
      </c>
      <c r="CV83" s="1761">
        <v>202.4</v>
      </c>
      <c r="CW83" s="1761">
        <v>247.2</v>
      </c>
      <c r="CX83" s="1761">
        <v>298.8</v>
      </c>
      <c r="CY83" s="1762">
        <f>SUM(CU83:CX83)</f>
        <v>933.3</v>
      </c>
      <c r="CZ83" s="1763"/>
      <c r="DA83" s="1761">
        <v>289</v>
      </c>
      <c r="DB83" s="1761">
        <f>317.1</f>
        <v>317.10000000000002</v>
      </c>
      <c r="DC83" s="1761">
        <v>346.2</v>
      </c>
      <c r="DD83" s="1761">
        <v>397.6</v>
      </c>
      <c r="DE83" s="1762">
        <f>SUM(DA83:DD83)</f>
        <v>1349.9</v>
      </c>
      <c r="DF83" s="1763"/>
      <c r="DG83" s="1761">
        <f t="shared" ref="DG83:DJ83" si="6">DG$22*DG94</f>
        <v>356.43212523831158</v>
      </c>
      <c r="DH83" s="1761">
        <f t="shared" si="6"/>
        <v>385.77094333004737</v>
      </c>
      <c r="DI83" s="1761">
        <f t="shared" si="6"/>
        <v>417.94708288000925</v>
      </c>
      <c r="DJ83" s="1761">
        <f t="shared" si="6"/>
        <v>492.48889898152311</v>
      </c>
      <c r="DK83" s="1762">
        <f>SUM(DG83:DJ83)</f>
        <v>1652.6390504298913</v>
      </c>
      <c r="DL83" s="1763"/>
      <c r="DM83" s="1761">
        <f t="shared" ref="DM83:DP83" si="7">DM$22*DM94</f>
        <v>461.57776364270853</v>
      </c>
      <c r="DN83" s="1761">
        <f t="shared" si="7"/>
        <v>509.32739614712222</v>
      </c>
      <c r="DO83" s="1761">
        <f t="shared" si="7"/>
        <v>539.01757079887579</v>
      </c>
      <c r="DP83" s="1761">
        <f t="shared" si="7"/>
        <v>589.72188675951486</v>
      </c>
      <c r="DQ83" s="1762">
        <f>SUM(DM83:DP83)</f>
        <v>2099.6446173482213</v>
      </c>
      <c r="DR83" s="1763"/>
      <c r="DS83" s="1761">
        <f t="shared" ref="DS83:DV83" si="8">DS$22*DS94</f>
        <v>642.99188831616368</v>
      </c>
      <c r="DT83" s="1761">
        <f t="shared" si="8"/>
        <v>662.35513166755561</v>
      </c>
      <c r="DU83" s="1761">
        <f t="shared" si="8"/>
        <v>642.98781203364467</v>
      </c>
      <c r="DV83" s="1761">
        <f t="shared" si="8"/>
        <v>640.13780889305542</v>
      </c>
      <c r="DW83" s="1762">
        <f>SUM(DS83:DV83)</f>
        <v>2588.4726409104196</v>
      </c>
      <c r="DX83" s="500"/>
      <c r="DY83" s="500"/>
      <c r="DZ83" s="500"/>
      <c r="EA83" s="500"/>
      <c r="EB83" s="500"/>
      <c r="EC83" s="500"/>
      <c r="ED83" s="500"/>
      <c r="EE83" s="500"/>
      <c r="EF83" s="500"/>
      <c r="EG83" s="500"/>
      <c r="EH83" s="500"/>
      <c r="EI83" s="500"/>
    </row>
    <row r="84" spans="1:139" ht="14.25" customHeight="1">
      <c r="A84" s="1602" t="s">
        <v>1056</v>
      </c>
      <c r="B84" s="1340"/>
      <c r="C84" s="1340"/>
      <c r="D84" s="1340"/>
      <c r="E84" s="1340"/>
      <c r="F84" s="1340"/>
      <c r="G84" s="853"/>
      <c r="H84" s="1340"/>
      <c r="I84" s="1340"/>
      <c r="J84" s="1340"/>
      <c r="K84" s="1340"/>
      <c r="L84" s="500"/>
      <c r="M84" s="853"/>
      <c r="N84" s="1340"/>
      <c r="O84" s="1340"/>
      <c r="P84" s="1340"/>
      <c r="Q84" s="1340"/>
      <c r="R84" s="1340"/>
      <c r="S84" s="853"/>
      <c r="T84" s="1340"/>
      <c r="U84" s="1340"/>
      <c r="V84" s="1340"/>
      <c r="W84" s="1340"/>
      <c r="X84" s="1340"/>
      <c r="Y84" s="853"/>
      <c r="Z84" s="1340"/>
      <c r="AA84" s="1340"/>
      <c r="AB84" s="1340"/>
      <c r="AC84" s="1340"/>
      <c r="AD84" s="1340"/>
      <c r="AE84" s="853"/>
      <c r="AF84" s="1340"/>
      <c r="AG84" s="1340"/>
      <c r="AH84" s="1340"/>
      <c r="AI84" s="1340"/>
      <c r="AJ84" s="1340"/>
      <c r="AK84" s="853"/>
      <c r="AL84" s="1340"/>
      <c r="AM84" s="1340"/>
      <c r="AN84" s="1340"/>
      <c r="AO84" s="1340"/>
      <c r="AP84" s="1340"/>
      <c r="AQ84" s="1341"/>
      <c r="AR84" s="1340"/>
      <c r="AS84" s="1340"/>
      <c r="AT84" s="1340"/>
      <c r="AU84" s="1471"/>
      <c r="AV84" s="1400"/>
      <c r="AW84" s="1472"/>
      <c r="AX84" s="1473"/>
      <c r="AY84" s="1400"/>
      <c r="AZ84" s="1400"/>
      <c r="BA84" s="1400"/>
      <c r="BB84" s="1400"/>
      <c r="BC84" s="1472"/>
      <c r="BD84" s="1473"/>
      <c r="BE84" s="1400"/>
      <c r="BF84" s="1400"/>
      <c r="BG84" s="1400"/>
      <c r="BH84" s="1400"/>
      <c r="BI84" s="1472"/>
      <c r="BJ84" s="1340"/>
      <c r="BK84" s="1400"/>
      <c r="BL84" s="1400"/>
      <c r="BM84" s="1400"/>
      <c r="BN84" s="1400"/>
      <c r="BO84" s="1474"/>
      <c r="BP84" s="1340"/>
      <c r="BQ84" s="1400"/>
      <c r="BR84" s="1400"/>
      <c r="BS84" s="1400"/>
      <c r="BT84" s="1400"/>
      <c r="BU84" s="1472"/>
      <c r="BV84" s="1340"/>
      <c r="BW84" s="1400"/>
      <c r="BX84" s="1400"/>
      <c r="BY84" s="1400"/>
      <c r="BZ84" s="1400"/>
      <c r="CA84" s="1472"/>
      <c r="CB84" s="1340"/>
      <c r="CC84" s="1400"/>
      <c r="CD84" s="1400"/>
      <c r="CE84" s="1400"/>
      <c r="CF84" s="1400"/>
      <c r="CG84" s="1472"/>
      <c r="CH84" s="1340"/>
      <c r="CI84" s="1761"/>
      <c r="CJ84" s="1764">
        <f>CJ83/CI83-1</f>
        <v>0.10270270270270276</v>
      </c>
      <c r="CK84" s="1764">
        <f>CK83/CJ83-1</f>
        <v>7.8431372549019551E-2</v>
      </c>
      <c r="CL84" s="1764">
        <f>CL83/CK83-1</f>
        <v>6.3636363636363713E-2</v>
      </c>
      <c r="CM84" s="1762"/>
      <c r="CN84" s="1763"/>
      <c r="CO84" s="1764">
        <f>CO83/CL83-1</f>
        <v>1.9943019943019724E-2</v>
      </c>
      <c r="CP84" s="1764">
        <f>CP83/CO83-1</f>
        <v>0.10265363128491622</v>
      </c>
      <c r="CQ84" s="1764">
        <f>CQ83/CP83-1</f>
        <v>7.0297656744775061E-2</v>
      </c>
      <c r="CR84" s="1764">
        <f>CR83/CQ83-1</f>
        <v>8.8757396449704151E-2</v>
      </c>
      <c r="CS84" s="1762"/>
      <c r="CT84" s="1763"/>
      <c r="CU84" s="1764">
        <f>CU83/CR83-1</f>
        <v>4.891304347826031E-3</v>
      </c>
      <c r="CV84" s="1764">
        <f>CV83/CU83-1</f>
        <v>9.464575446187129E-2</v>
      </c>
      <c r="CW84" s="1764">
        <f>CW83/CV83-1</f>
        <v>0.22134387351778639</v>
      </c>
      <c r="CX84" s="1764">
        <f>CX83/CW83-1</f>
        <v>0.20873786407767003</v>
      </c>
      <c r="CY84" s="1810"/>
      <c r="CZ84" s="1763"/>
      <c r="DA84" s="1764">
        <f>DA83/CX83-1</f>
        <v>-3.2797858099062993E-2</v>
      </c>
      <c r="DB84" s="1764">
        <f>DB83/DA83-1</f>
        <v>9.7231833910034648E-2</v>
      </c>
      <c r="DC84" s="1764">
        <f>DC83/DB83-1</f>
        <v>9.1769157994323391E-2</v>
      </c>
      <c r="DD84" s="1764">
        <f>DD83/DC83-1</f>
        <v>0.14846909300982092</v>
      </c>
      <c r="DE84" s="1810"/>
      <c r="DF84" s="1763"/>
      <c r="DG84" s="1764">
        <f>DG83/DD83-1</f>
        <v>-0.10354093249921636</v>
      </c>
      <c r="DH84" s="1764">
        <f>DH83/DG83-1</f>
        <v>8.2312496585765782E-2</v>
      </c>
      <c r="DI84" s="1764">
        <f>DI83/DH83-1</f>
        <v>8.3407369337388015E-2</v>
      </c>
      <c r="DJ84" s="1764">
        <f>DJ83/DI83-1</f>
        <v>0.17835228227424782</v>
      </c>
      <c r="DK84" s="1810"/>
      <c r="DL84" s="1763"/>
      <c r="DM84" s="1764">
        <f>DM83/DJ83-1</f>
        <v>-6.2765141311285189E-2</v>
      </c>
      <c r="DN84" s="1764">
        <f>DN83/DM83-1</f>
        <v>0.10344872796206661</v>
      </c>
      <c r="DO84" s="1764">
        <f>DO83/DN83-1</f>
        <v>5.8292907226960455E-2</v>
      </c>
      <c r="DP84" s="1764">
        <f>DP83/DO83-1</f>
        <v>9.4068020612928072E-2</v>
      </c>
      <c r="DQ84" s="1810"/>
      <c r="DR84" s="1763"/>
      <c r="DS84" s="1764">
        <f>DS83/DP83-1</f>
        <v>9.0330718178638802E-2</v>
      </c>
      <c r="DT84" s="1764">
        <f>DT83/DS83-1</f>
        <v>3.0114288692038471E-2</v>
      </c>
      <c r="DU84" s="1764">
        <f>DU83/DT83-1</f>
        <v>-2.9240083918654736E-2</v>
      </c>
      <c r="DV84" s="1764">
        <f>DV83/DU83-1</f>
        <v>-4.4324372674736656E-3</v>
      </c>
      <c r="DW84" s="1810"/>
      <c r="DX84" s="500"/>
      <c r="DY84" s="500"/>
      <c r="DZ84" s="500"/>
      <c r="EA84" s="500"/>
      <c r="EB84" s="500"/>
      <c r="EC84" s="500"/>
      <c r="ED84" s="500"/>
      <c r="EE84" s="500"/>
      <c r="EF84" s="500"/>
      <c r="EG84" s="500"/>
      <c r="EH84" s="500"/>
      <c r="EI84" s="500"/>
    </row>
    <row r="85" spans="1:139" ht="14.25" customHeight="1">
      <c r="A85" s="1602" t="s">
        <v>870</v>
      </c>
      <c r="B85" s="1340"/>
      <c r="C85" s="1340"/>
      <c r="D85" s="1340"/>
      <c r="E85" s="1340"/>
      <c r="F85" s="1340"/>
      <c r="G85" s="853"/>
      <c r="H85" s="1340"/>
      <c r="I85" s="1340"/>
      <c r="J85" s="1340"/>
      <c r="K85" s="1340"/>
      <c r="L85" s="500"/>
      <c r="M85" s="853"/>
      <c r="N85" s="1340"/>
      <c r="O85" s="1340"/>
      <c r="P85" s="1340"/>
      <c r="Q85" s="1340"/>
      <c r="R85" s="1340"/>
      <c r="S85" s="853"/>
      <c r="T85" s="1340"/>
      <c r="U85" s="1340"/>
      <c r="V85" s="1340"/>
      <c r="W85" s="1340"/>
      <c r="X85" s="1340"/>
      <c r="Y85" s="853"/>
      <c r="Z85" s="1340"/>
      <c r="AA85" s="1340"/>
      <c r="AB85" s="1340"/>
      <c r="AC85" s="1340"/>
      <c r="AD85" s="1340"/>
      <c r="AE85" s="853"/>
      <c r="AF85" s="1340"/>
      <c r="AG85" s="1340"/>
      <c r="AH85" s="1340"/>
      <c r="AI85" s="1340"/>
      <c r="AJ85" s="1340"/>
      <c r="AK85" s="853"/>
      <c r="AL85" s="1340"/>
      <c r="AM85" s="1340"/>
      <c r="AN85" s="1340"/>
      <c r="AO85" s="1340"/>
      <c r="AP85" s="1340"/>
      <c r="AQ85" s="1341"/>
      <c r="AR85" s="1340"/>
      <c r="AS85" s="1340"/>
      <c r="AT85" s="1340"/>
      <c r="AU85" s="1471"/>
      <c r="AV85" s="1400"/>
      <c r="AW85" s="1472"/>
      <c r="AX85" s="1473"/>
      <c r="AY85" s="1400"/>
      <c r="AZ85" s="1400"/>
      <c r="BA85" s="1400"/>
      <c r="BB85" s="1400"/>
      <c r="BC85" s="1472"/>
      <c r="BD85" s="1473"/>
      <c r="BE85" s="1400"/>
      <c r="BF85" s="1400"/>
      <c r="BG85" s="1400"/>
      <c r="BH85" s="1400"/>
      <c r="BI85" s="1472"/>
      <c r="BJ85" s="1340"/>
      <c r="BK85" s="1400"/>
      <c r="BL85" s="1400"/>
      <c r="BM85" s="1400"/>
      <c r="BN85" s="1400"/>
      <c r="BO85" s="1474"/>
      <c r="BP85" s="1340"/>
      <c r="BQ85" s="1400"/>
      <c r="BR85" s="1400"/>
      <c r="BS85" s="1400"/>
      <c r="BT85" s="1400"/>
      <c r="BU85" s="1472"/>
      <c r="BV85" s="1340"/>
      <c r="BW85" s="1400"/>
      <c r="BX85" s="1400"/>
      <c r="BY85" s="1400"/>
      <c r="BZ85" s="1400"/>
      <c r="CA85" s="1472"/>
      <c r="CB85" s="1340"/>
      <c r="CC85" s="1400"/>
      <c r="CD85" s="1400"/>
      <c r="CE85" s="1400"/>
      <c r="CF85" s="1400"/>
      <c r="CG85" s="1472"/>
      <c r="CH85" s="1340"/>
      <c r="CI85" s="1761"/>
      <c r="CJ85" s="1764"/>
      <c r="CK85" s="1764"/>
      <c r="CL85" s="1764"/>
      <c r="CM85" s="1762"/>
      <c r="CN85" s="1763"/>
      <c r="CO85" s="1764">
        <f>CO83/CI83-1</f>
        <v>0.29009009009009001</v>
      </c>
      <c r="CP85" s="1764">
        <f>CP83/CJ83-1</f>
        <v>0.29003267973856217</v>
      </c>
      <c r="CQ85" s="1764">
        <f>CQ83/CK83-1</f>
        <v>0.28030303030303028</v>
      </c>
      <c r="CR85" s="1764">
        <f>CR83/CL83-1</f>
        <v>0.3105413105413104</v>
      </c>
      <c r="CS85" s="1838">
        <f>CS83/CM83-1</f>
        <v>0.29319889284302114</v>
      </c>
      <c r="CT85" s="1763"/>
      <c r="CU85" s="1764">
        <f>CU83/CO83-1</f>
        <v>0.2912011173184359</v>
      </c>
      <c r="CV85" s="1764">
        <f>CV83/CP83-1</f>
        <v>0.28182393920202653</v>
      </c>
      <c r="CW85" s="1764">
        <f>CW83/CQ83-1</f>
        <v>0.46272189349112414</v>
      </c>
      <c r="CX85" s="1764">
        <f>CX83/CR83-1</f>
        <v>0.62391304347826093</v>
      </c>
      <c r="CY85" s="1765">
        <f>CY83/CS83-1</f>
        <v>0.42684604800489212</v>
      </c>
      <c r="CZ85" s="1763"/>
      <c r="DA85" s="1764">
        <f>DA83/CU83-1</f>
        <v>0.56300703082747416</v>
      </c>
      <c r="DB85" s="1764">
        <f>DB83/CV83-1</f>
        <v>0.56669960474308301</v>
      </c>
      <c r="DC85" s="1764">
        <f>DC83/CW83-1</f>
        <v>0.40048543689320382</v>
      </c>
      <c r="DD85" s="1764">
        <f>DD83/CX83-1</f>
        <v>0.33065595716198137</v>
      </c>
      <c r="DE85" s="1765">
        <f>DE83/CY83-1</f>
        <v>0.44637308475302717</v>
      </c>
      <c r="DF85" s="1763"/>
      <c r="DG85" s="1764">
        <f>DG83/DA83-1</f>
        <v>0.23332915307374247</v>
      </c>
      <c r="DH85" s="1764">
        <f>DH83/DB83-1</f>
        <v>0.21655926625685074</v>
      </c>
      <c r="DI85" s="1764">
        <f>DI83/DC83-1</f>
        <v>0.20724171831314053</v>
      </c>
      <c r="DJ85" s="1764">
        <f>DJ83/DD83-1</f>
        <v>0.2386541724887401</v>
      </c>
      <c r="DK85" s="1765">
        <f>DK83/DE83-1</f>
        <v>0.22426776089331901</v>
      </c>
      <c r="DL85" s="1763"/>
      <c r="DM85" s="1764">
        <f>DM83/DG83-1</f>
        <v>0.29499484182043423</v>
      </c>
      <c r="DN85" s="1764">
        <f>DN83/DH83-1</f>
        <v>0.32028449771388257</v>
      </c>
      <c r="DO85" s="1764">
        <f>DO83/DI83-1</f>
        <v>0.28967898779096246</v>
      </c>
      <c r="DP85" s="1764">
        <f>DP83/DJ83-1</f>
        <v>0.19743183649229756</v>
      </c>
      <c r="DQ85" s="1765">
        <f>DQ83/DK83-1</f>
        <v>0.27047985269502917</v>
      </c>
      <c r="DR85" s="1763"/>
      <c r="DS85" s="1764">
        <f>DS83/DM83-1</f>
        <v>0.39303046845619183</v>
      </c>
      <c r="DT85" s="1764">
        <f>DT83/DN83-1</f>
        <v>0.3004506269995153</v>
      </c>
      <c r="DU85" s="1764">
        <f>DU83/DO83-1</f>
        <v>0.19288840822141484</v>
      </c>
      <c r="DV85" s="1764">
        <f>DV83/DP83-1</f>
        <v>8.549101409576787E-2</v>
      </c>
      <c r="DW85" s="1765">
        <f>DW83/DQ83-1</f>
        <v>0.23281464849969291</v>
      </c>
      <c r="DX85" s="500"/>
      <c r="DY85" s="500"/>
      <c r="DZ85" s="500"/>
      <c r="EA85" s="500"/>
      <c r="EB85" s="500"/>
      <c r="EC85" s="500"/>
      <c r="ED85" s="500"/>
      <c r="EE85" s="500"/>
      <c r="EF85" s="500"/>
      <c r="EG85" s="500"/>
      <c r="EH85" s="500"/>
      <c r="EI85" s="500"/>
    </row>
    <row r="86" spans="1:139" ht="14.25" customHeight="1">
      <c r="A86" s="1340" t="s">
        <v>1129</v>
      </c>
      <c r="B86" s="1340"/>
      <c r="C86" s="1340"/>
      <c r="D86" s="1340"/>
      <c r="E86" s="1340"/>
      <c r="F86" s="1340"/>
      <c r="G86" s="853"/>
      <c r="H86" s="1340"/>
      <c r="I86" s="1340"/>
      <c r="J86" s="1340"/>
      <c r="K86" s="1340"/>
      <c r="L86" s="500"/>
      <c r="M86" s="853"/>
      <c r="N86" s="1340"/>
      <c r="O86" s="1340"/>
      <c r="P86" s="1340"/>
      <c r="Q86" s="1340"/>
      <c r="R86" s="1340"/>
      <c r="S86" s="853"/>
      <c r="T86" s="1340"/>
      <c r="U86" s="1340"/>
      <c r="V86" s="1340"/>
      <c r="W86" s="1340"/>
      <c r="X86" s="1340"/>
      <c r="Y86" s="853"/>
      <c r="Z86" s="1340"/>
      <c r="AA86" s="1340"/>
      <c r="AB86" s="1340"/>
      <c r="AC86" s="1340"/>
      <c r="AD86" s="1340"/>
      <c r="AE86" s="853"/>
      <c r="AF86" s="1340"/>
      <c r="AG86" s="1340"/>
      <c r="AH86" s="1340"/>
      <c r="AI86" s="1340"/>
      <c r="AJ86" s="1340"/>
      <c r="AK86" s="853"/>
      <c r="AL86" s="1340"/>
      <c r="AM86" s="1340"/>
      <c r="AN86" s="1340"/>
      <c r="AO86" s="1340"/>
      <c r="AP86" s="1340"/>
      <c r="AQ86" s="1341"/>
      <c r="AR86" s="1340"/>
      <c r="AS86" s="1340"/>
      <c r="AT86" s="1340"/>
      <c r="AU86" s="1471"/>
      <c r="AV86" s="1400"/>
      <c r="AW86" s="1472"/>
      <c r="AX86" s="1473"/>
      <c r="AY86" s="1400"/>
      <c r="AZ86" s="1400"/>
      <c r="BA86" s="1400"/>
      <c r="BB86" s="1400"/>
      <c r="BC86" s="1472"/>
      <c r="BD86" s="1473"/>
      <c r="BE86" s="1400"/>
      <c r="BF86" s="1400"/>
      <c r="BG86" s="1400"/>
      <c r="BH86" s="1400"/>
      <c r="BI86" s="1472"/>
      <c r="BJ86" s="1340"/>
      <c r="BK86" s="1400"/>
      <c r="BL86" s="1400"/>
      <c r="BM86" s="1400"/>
      <c r="BN86" s="1400"/>
      <c r="BO86" s="1474"/>
      <c r="BP86" s="1340"/>
      <c r="BQ86" s="1400"/>
      <c r="BR86" s="1400"/>
      <c r="BS86" s="1400"/>
      <c r="BT86" s="1400"/>
      <c r="BU86" s="1472"/>
      <c r="BV86" s="1340"/>
      <c r="BW86" s="1400"/>
      <c r="BX86" s="1400"/>
      <c r="BY86" s="1400"/>
      <c r="BZ86" s="1400"/>
      <c r="CA86" s="1472"/>
      <c r="CB86" s="1340"/>
      <c r="CC86" s="1400"/>
      <c r="CD86" s="1400"/>
      <c r="CE86" s="1400"/>
      <c r="CF86" s="1400"/>
      <c r="CG86" s="1777"/>
      <c r="CH86" s="1340"/>
      <c r="CI86" s="1761">
        <v>164.9</v>
      </c>
      <c r="CJ86" s="1761">
        <v>181.4</v>
      </c>
      <c r="CK86" s="1761">
        <v>192</v>
      </c>
      <c r="CL86" s="1761">
        <v>206.6</v>
      </c>
      <c r="CM86" s="1762">
        <f>SUM(CI86:CL86)</f>
        <v>744.9</v>
      </c>
      <c r="CN86" s="1763"/>
      <c r="CO86" s="1761">
        <v>224</v>
      </c>
      <c r="CP86" s="1761">
        <v>247.2</v>
      </c>
      <c r="CQ86" s="1761">
        <v>269.10000000000002</v>
      </c>
      <c r="CR86" s="1761">
        <v>294.5</v>
      </c>
      <c r="CS86" s="1762">
        <f>SUM(CO86:CR86)</f>
        <v>1034.8</v>
      </c>
      <c r="CT86" s="1763"/>
      <c r="CU86" s="1761">
        <v>325.89999999999998</v>
      </c>
      <c r="CV86" s="1761">
        <v>353.4</v>
      </c>
      <c r="CW86" s="1761">
        <v>370.7</v>
      </c>
      <c r="CX86" s="1761">
        <v>391.7</v>
      </c>
      <c r="CY86" s="1762">
        <f>SUM(CU86:CX86)</f>
        <v>1441.7</v>
      </c>
      <c r="CZ86" s="1763"/>
      <c r="DA86" s="1761">
        <v>431.1</v>
      </c>
      <c r="DB86" s="1761">
        <v>466.5</v>
      </c>
      <c r="DC86" s="1761">
        <v>495.3</v>
      </c>
      <c r="DD86" s="1761">
        <v>536.29999999999995</v>
      </c>
      <c r="DE86" s="1762">
        <f>SUM(DA86:DD86)</f>
        <v>1929.2</v>
      </c>
      <c r="DF86" s="1763"/>
      <c r="DG86" s="1761">
        <f t="shared" ref="DG86:DJ86" si="9">DG$22*DG95</f>
        <v>553.40367095409067</v>
      </c>
      <c r="DH86" s="1761">
        <f t="shared" si="9"/>
        <v>653.96751637270143</v>
      </c>
      <c r="DI86" s="1761">
        <f t="shared" si="9"/>
        <v>675.9812376138542</v>
      </c>
      <c r="DJ86" s="1761">
        <f t="shared" si="9"/>
        <v>728.7517207113633</v>
      </c>
      <c r="DK86" s="1762">
        <f>SUM(DG86:DJ86)</f>
        <v>2612.1041456520097</v>
      </c>
      <c r="DL86" s="1763"/>
      <c r="DM86" s="1761">
        <f t="shared" ref="DM86:DP86" si="10">DM$22*DM95</f>
        <v>659.40693969106735</v>
      </c>
      <c r="DN86" s="1761">
        <f t="shared" si="10"/>
        <v>845.95383138669229</v>
      </c>
      <c r="DO86" s="1761">
        <f t="shared" si="10"/>
        <v>871.17096459270238</v>
      </c>
      <c r="DP86" s="1761">
        <f t="shared" si="10"/>
        <v>994.57215167769277</v>
      </c>
      <c r="DQ86" s="1762">
        <f>SUM(DM86:DP86)</f>
        <v>3371.1038873481548</v>
      </c>
      <c r="DR86" s="1763"/>
      <c r="DS86" s="1761">
        <f t="shared" ref="DS86:DV86" si="11">DS$22*DS95</f>
        <v>731.29324120818308</v>
      </c>
      <c r="DT86" s="1761">
        <f t="shared" si="11"/>
        <v>1081.0975707828211</v>
      </c>
      <c r="DU86" s="1761">
        <f t="shared" si="11"/>
        <v>1151.2178301304898</v>
      </c>
      <c r="DV86" s="1761">
        <f t="shared" si="11"/>
        <v>1396.1823485998509</v>
      </c>
      <c r="DW86" s="1762">
        <f>SUM(DS86:DV86)</f>
        <v>4359.7909907213452</v>
      </c>
      <c r="DX86" s="500"/>
      <c r="DY86" s="500"/>
      <c r="DZ86" s="500"/>
      <c r="EA86" s="500"/>
      <c r="EB86" s="500"/>
      <c r="EC86" s="500"/>
      <c r="ED86" s="500"/>
      <c r="EE86" s="500"/>
      <c r="EF86" s="500"/>
      <c r="EG86" s="500"/>
      <c r="EH86" s="500"/>
      <c r="EI86" s="500"/>
    </row>
    <row r="87" spans="1:139" ht="14.25" customHeight="1">
      <c r="A87" s="1602" t="s">
        <v>1056</v>
      </c>
      <c r="B87" s="1340"/>
      <c r="C87" s="1340"/>
      <c r="D87" s="1340"/>
      <c r="E87" s="1340"/>
      <c r="F87" s="1340"/>
      <c r="G87" s="853"/>
      <c r="H87" s="1340"/>
      <c r="I87" s="1340"/>
      <c r="J87" s="1340"/>
      <c r="K87" s="1340"/>
      <c r="L87" s="500"/>
      <c r="M87" s="853"/>
      <c r="N87" s="1340"/>
      <c r="O87" s="1340"/>
      <c r="P87" s="1340"/>
      <c r="Q87" s="1340"/>
      <c r="R87" s="1340"/>
      <c r="S87" s="853"/>
      <c r="T87" s="1340"/>
      <c r="U87" s="1340"/>
      <c r="V87" s="1340"/>
      <c r="W87" s="1340"/>
      <c r="X87" s="1340"/>
      <c r="Y87" s="853"/>
      <c r="Z87" s="1340"/>
      <c r="AA87" s="1340"/>
      <c r="AB87" s="1340"/>
      <c r="AC87" s="1340"/>
      <c r="AD87" s="1340"/>
      <c r="AE87" s="853"/>
      <c r="AF87" s="1340"/>
      <c r="AG87" s="1340"/>
      <c r="AH87" s="1340"/>
      <c r="AI87" s="1340"/>
      <c r="AJ87" s="1340"/>
      <c r="AK87" s="853"/>
      <c r="AL87" s="1340"/>
      <c r="AM87" s="1340"/>
      <c r="AN87" s="1340"/>
      <c r="AO87" s="1340"/>
      <c r="AP87" s="1340"/>
      <c r="AQ87" s="1341"/>
      <c r="AR87" s="1340"/>
      <c r="AS87" s="1340"/>
      <c r="AT87" s="1340"/>
      <c r="AU87" s="1471"/>
      <c r="AV87" s="1400"/>
      <c r="AW87" s="1472"/>
      <c r="AX87" s="1473"/>
      <c r="AY87" s="1400"/>
      <c r="AZ87" s="1400"/>
      <c r="BA87" s="1400"/>
      <c r="BB87" s="1400"/>
      <c r="BC87" s="1472"/>
      <c r="BD87" s="1473"/>
      <c r="BE87" s="1400"/>
      <c r="BF87" s="1400"/>
      <c r="BG87" s="1400"/>
      <c r="BH87" s="1400"/>
      <c r="BI87" s="1472"/>
      <c r="BJ87" s="1340"/>
      <c r="BK87" s="1400"/>
      <c r="BL87" s="1400"/>
      <c r="BM87" s="1400"/>
      <c r="BN87" s="1400"/>
      <c r="BO87" s="1474"/>
      <c r="BP87" s="1340"/>
      <c r="BQ87" s="1400"/>
      <c r="BR87" s="1400"/>
      <c r="BS87" s="1400"/>
      <c r="BT87" s="1400"/>
      <c r="BU87" s="1472"/>
      <c r="BV87" s="1340"/>
      <c r="BW87" s="1400"/>
      <c r="BX87" s="1400"/>
      <c r="BY87" s="1400"/>
      <c r="BZ87" s="1400"/>
      <c r="CA87" s="1472"/>
      <c r="CB87" s="1340"/>
      <c r="CC87" s="1400"/>
      <c r="CD87" s="1400"/>
      <c r="CE87" s="1400"/>
      <c r="CF87" s="1400"/>
      <c r="CG87" s="1472"/>
      <c r="CH87" s="1340"/>
      <c r="CI87" s="1761"/>
      <c r="CJ87" s="1764">
        <f>CJ86/CI86-1</f>
        <v>0.10006064281382665</v>
      </c>
      <c r="CK87" s="1764">
        <f>CK86/CJ86-1</f>
        <v>5.8434399117971214E-2</v>
      </c>
      <c r="CL87" s="1764">
        <f>CL86/CK86-1</f>
        <v>7.6041666666666563E-2</v>
      </c>
      <c r="CM87" s="1762"/>
      <c r="CN87" s="1763"/>
      <c r="CO87" s="1764">
        <f>CO86/CL86-1</f>
        <v>8.4220716360116299E-2</v>
      </c>
      <c r="CP87" s="1764">
        <f>CP86/CO86-1</f>
        <v>0.10357142857142843</v>
      </c>
      <c r="CQ87" s="1764">
        <f>CQ86/CP86-1</f>
        <v>8.8592233009708865E-2</v>
      </c>
      <c r="CR87" s="1764">
        <f>CR86/CQ86-1</f>
        <v>9.4388703084355097E-2</v>
      </c>
      <c r="CS87" s="1762"/>
      <c r="CT87" s="1763"/>
      <c r="CU87" s="1764">
        <f>CU86/CR86-1</f>
        <v>0.10662139219015265</v>
      </c>
      <c r="CV87" s="1764">
        <f>CV86/CU86-1</f>
        <v>8.4381712181650803E-2</v>
      </c>
      <c r="CW87" s="1764">
        <f>CW86/CV86-1</f>
        <v>4.8953027730616938E-2</v>
      </c>
      <c r="CX87" s="1764">
        <f>CX86/CW86-1</f>
        <v>5.6649581872133759E-2</v>
      </c>
      <c r="CY87" s="1810"/>
      <c r="CZ87" s="1763"/>
      <c r="DA87" s="1764">
        <f>DA86/CX86-1</f>
        <v>0.100587184069441</v>
      </c>
      <c r="DB87" s="1764">
        <f>DB86/DA86-1</f>
        <v>8.21155184411968E-2</v>
      </c>
      <c r="DC87" s="1764">
        <f>DC86/DB86-1</f>
        <v>6.1736334405144699E-2</v>
      </c>
      <c r="DD87" s="1764">
        <f>DD86/DC86-1</f>
        <v>8.277811427417725E-2</v>
      </c>
      <c r="DE87" s="1810"/>
      <c r="DF87" s="1763"/>
      <c r="DG87" s="1764">
        <f>DG86/DD86-1</f>
        <v>3.1891983878595376E-2</v>
      </c>
      <c r="DH87" s="1764">
        <f>DH86/DG86-1</f>
        <v>0.18171878991195434</v>
      </c>
      <c r="DI87" s="1764">
        <f>DI86/DH86-1</f>
        <v>3.366179617491416E-2</v>
      </c>
      <c r="DJ87" s="1764">
        <f>DJ86/DI86-1</f>
        <v>7.806501151390477E-2</v>
      </c>
      <c r="DK87" s="1762"/>
      <c r="DL87" s="1763"/>
      <c r="DM87" s="1764">
        <f>DM86/DJ86-1</f>
        <v>-9.5155564027493145E-2</v>
      </c>
      <c r="DN87" s="1764">
        <f>DN86/DM86-1</f>
        <v>0.28290101372457843</v>
      </c>
      <c r="DO87" s="1764">
        <f>DO86/DN86-1</f>
        <v>2.9809112826729489E-2</v>
      </c>
      <c r="DP87" s="1764">
        <f>DP86/DO86-1</f>
        <v>0.14164979332464789</v>
      </c>
      <c r="DQ87" s="1762"/>
      <c r="DR87" s="1763"/>
      <c r="DS87" s="1764">
        <f>DS86/DP86-1</f>
        <v>-0.26471574739489534</v>
      </c>
      <c r="DT87" s="1764">
        <f>DT86/DS86-1</f>
        <v>0.47833660953398094</v>
      </c>
      <c r="DU87" s="1764">
        <f>DU86/DT86-1</f>
        <v>6.4860250584870549E-2</v>
      </c>
      <c r="DV87" s="1764">
        <f>DV86/DU86-1</f>
        <v>0.21278728669585889</v>
      </c>
      <c r="DW87" s="1762"/>
      <c r="DX87" s="500"/>
      <c r="DY87" s="500"/>
      <c r="DZ87" s="500"/>
      <c r="EA87" s="500"/>
      <c r="EB87" s="500"/>
      <c r="EC87" s="500"/>
      <c r="ED87" s="500"/>
      <c r="EE87" s="500"/>
      <c r="EF87" s="500"/>
      <c r="EG87" s="500"/>
      <c r="EH87" s="500"/>
      <c r="EI87" s="500"/>
    </row>
    <row r="88" spans="1:139" ht="14.25" customHeight="1" thickBot="1">
      <c r="A88" s="1603" t="s">
        <v>870</v>
      </c>
      <c r="B88" s="1579"/>
      <c r="C88" s="1579"/>
      <c r="D88" s="1579"/>
      <c r="E88" s="1579"/>
      <c r="F88" s="1579"/>
      <c r="G88" s="1580"/>
      <c r="H88" s="1579"/>
      <c r="I88" s="1579"/>
      <c r="J88" s="1579"/>
      <c r="K88" s="1579"/>
      <c r="L88" s="1581"/>
      <c r="M88" s="1580"/>
      <c r="N88" s="1579"/>
      <c r="O88" s="1579"/>
      <c r="P88" s="1579"/>
      <c r="Q88" s="1579"/>
      <c r="R88" s="1579"/>
      <c r="S88" s="1580"/>
      <c r="T88" s="1579"/>
      <c r="U88" s="1579"/>
      <c r="V88" s="1579"/>
      <c r="W88" s="1579"/>
      <c r="X88" s="1579"/>
      <c r="Y88" s="1580"/>
      <c r="Z88" s="1579"/>
      <c r="AA88" s="1579"/>
      <c r="AB88" s="1579"/>
      <c r="AC88" s="1579"/>
      <c r="AD88" s="1579"/>
      <c r="AE88" s="1580"/>
      <c r="AF88" s="1579"/>
      <c r="AG88" s="1579"/>
      <c r="AH88" s="1579"/>
      <c r="AI88" s="1579"/>
      <c r="AJ88" s="1579"/>
      <c r="AK88" s="1580"/>
      <c r="AL88" s="1579"/>
      <c r="AM88" s="1579"/>
      <c r="AN88" s="1579"/>
      <c r="AO88" s="1579"/>
      <c r="AP88" s="1579"/>
      <c r="AQ88" s="1582"/>
      <c r="AR88" s="1579"/>
      <c r="AS88" s="1579"/>
      <c r="AT88" s="1579"/>
      <c r="AU88" s="1583"/>
      <c r="AV88" s="1584"/>
      <c r="AW88" s="1585"/>
      <c r="AX88" s="1586"/>
      <c r="AY88" s="1584"/>
      <c r="AZ88" s="1584"/>
      <c r="BA88" s="1584"/>
      <c r="BB88" s="1584"/>
      <c r="BC88" s="1585"/>
      <c r="BD88" s="1586"/>
      <c r="BE88" s="1584"/>
      <c r="BF88" s="1584"/>
      <c r="BG88" s="1584"/>
      <c r="BH88" s="1584"/>
      <c r="BI88" s="1585"/>
      <c r="BJ88" s="1579"/>
      <c r="BK88" s="1584"/>
      <c r="BL88" s="1584"/>
      <c r="BM88" s="1584"/>
      <c r="BN88" s="1584"/>
      <c r="BO88" s="1587"/>
      <c r="BP88" s="1579"/>
      <c r="BQ88" s="1584"/>
      <c r="BR88" s="1584"/>
      <c r="BS88" s="1584"/>
      <c r="BT88" s="1584"/>
      <c r="BU88" s="1585"/>
      <c r="BV88" s="1579"/>
      <c r="BW88" s="1584"/>
      <c r="BX88" s="1584"/>
      <c r="BY88" s="1584"/>
      <c r="BZ88" s="1584"/>
      <c r="CA88" s="1585"/>
      <c r="CB88" s="1579"/>
      <c r="CC88" s="1584"/>
      <c r="CD88" s="1584"/>
      <c r="CE88" s="1584"/>
      <c r="CF88" s="1584"/>
      <c r="CG88" s="1585"/>
      <c r="CH88" s="1579"/>
      <c r="CI88" s="1767"/>
      <c r="CJ88" s="1768"/>
      <c r="CK88" s="1768"/>
      <c r="CL88" s="1768"/>
      <c r="CM88" s="1769"/>
      <c r="CN88" s="1770"/>
      <c r="CO88" s="1768">
        <f>CO86/CI86-1</f>
        <v>0.35839902971497883</v>
      </c>
      <c r="CP88" s="1768">
        <f>CP86/CJ86-1</f>
        <v>0.36273428886438808</v>
      </c>
      <c r="CQ88" s="1768">
        <f>CQ86/CK86-1</f>
        <v>0.40156250000000004</v>
      </c>
      <c r="CR88" s="1768">
        <f>CR86/CL86-1</f>
        <v>0.42545982575024199</v>
      </c>
      <c r="CS88" s="1839">
        <f>CS86/CM86-1</f>
        <v>0.38917975567190233</v>
      </c>
      <c r="CT88" s="1770"/>
      <c r="CU88" s="1768">
        <f>CU86/CO86-1</f>
        <v>0.45491071428571428</v>
      </c>
      <c r="CV88" s="1768">
        <f>CV86/CP86-1</f>
        <v>0.42961165048543681</v>
      </c>
      <c r="CW88" s="1768">
        <f>CW86/CQ86-1</f>
        <v>0.37755481233742083</v>
      </c>
      <c r="CX88" s="1768">
        <f>CX86/CR86-1</f>
        <v>0.33005093378607797</v>
      </c>
      <c r="CY88" s="1771">
        <f>CY86/CS86-1</f>
        <v>0.39321608040201017</v>
      </c>
      <c r="CZ88" s="1770"/>
      <c r="DA88" s="1768">
        <f>DA86/CU86-1</f>
        <v>0.32279840441853347</v>
      </c>
      <c r="DB88" s="1768">
        <f>DB86/CV86-1</f>
        <v>0.32003395585738548</v>
      </c>
      <c r="DC88" s="1768">
        <f>DC86/CW86-1</f>
        <v>0.33612085244132728</v>
      </c>
      <c r="DD88" s="1768">
        <f>DD86/CX86-1</f>
        <v>0.3691600714832779</v>
      </c>
      <c r="DE88" s="1771">
        <f>DE86/CY86-1</f>
        <v>0.33814247069431924</v>
      </c>
      <c r="DF88" s="1770"/>
      <c r="DG88" s="1768">
        <f>DG86/DA86-1</f>
        <v>0.28370139400160199</v>
      </c>
      <c r="DH88" s="1768">
        <f>DH86/DB86-1</f>
        <v>0.40185962780857754</v>
      </c>
      <c r="DI88" s="1768">
        <f>DI86/DC86-1</f>
        <v>0.36479151547315602</v>
      </c>
      <c r="DJ88" s="1768">
        <f>DJ86/DD86-1</f>
        <v>0.35885086837845126</v>
      </c>
      <c r="DK88" s="1771">
        <f>DK86/DE86-1</f>
        <v>0.35398307363259884</v>
      </c>
      <c r="DL88" s="1770"/>
      <c r="DM88" s="1768">
        <f>DM86/DG86-1</f>
        <v>0.19154782358820044</v>
      </c>
      <c r="DN88" s="1768">
        <f>DN86/DH86-1</f>
        <v>0.29357163805147812</v>
      </c>
      <c r="DO88" s="1768">
        <f>DO86/DI86-1</f>
        <v>0.2887502139376652</v>
      </c>
      <c r="DP88" s="1768">
        <f>DP86/DJ86-1</f>
        <v>0.36476130815423891</v>
      </c>
      <c r="DQ88" s="1771">
        <f>DQ86/DK86-1</f>
        <v>0.29057024504920359</v>
      </c>
      <c r="DR88" s="1770"/>
      <c r="DS88" s="1768">
        <f>DS86/DM86-1</f>
        <v>0.10901659838580779</v>
      </c>
      <c r="DT88" s="1768">
        <f>DT86/DN86-1</f>
        <v>0.27796285172050084</v>
      </c>
      <c r="DU88" s="1768">
        <f>DU86/DO86-1</f>
        <v>0.32146028382467673</v>
      </c>
      <c r="DV88" s="1768">
        <f>DV86/DP86-1</f>
        <v>0.40380197278267094</v>
      </c>
      <c r="DW88" s="1771">
        <f>DW86/DQ86-1</f>
        <v>0.29328289379741768</v>
      </c>
      <c r="DX88" s="500"/>
      <c r="DY88" s="500"/>
      <c r="DZ88" s="500"/>
      <c r="EA88" s="500"/>
      <c r="EB88" s="500"/>
      <c r="EC88" s="500"/>
      <c r="ED88" s="500"/>
      <c r="EE88" s="500"/>
      <c r="EF88" s="500"/>
      <c r="EG88" s="500"/>
      <c r="EH88" s="500"/>
      <c r="EI88" s="500"/>
    </row>
    <row r="89" spans="1:139" ht="14.25" customHeight="1" thickTop="1">
      <c r="A89" s="853" t="s">
        <v>283</v>
      </c>
      <c r="B89" s="1340"/>
      <c r="C89" s="1340"/>
      <c r="D89" s="1340"/>
      <c r="E89" s="1340"/>
      <c r="F89" s="1340"/>
      <c r="G89" s="853"/>
      <c r="H89" s="1340"/>
      <c r="I89" s="1340"/>
      <c r="J89" s="1340"/>
      <c r="K89" s="1340"/>
      <c r="L89" s="500"/>
      <c r="M89" s="853"/>
      <c r="N89" s="1340"/>
      <c r="O89" s="1340"/>
      <c r="P89" s="1340"/>
      <c r="Q89" s="1340"/>
      <c r="R89" s="1340"/>
      <c r="S89" s="853"/>
      <c r="T89" s="1340"/>
      <c r="U89" s="1340"/>
      <c r="V89" s="1340"/>
      <c r="W89" s="1340"/>
      <c r="X89" s="1340"/>
      <c r="Y89" s="853"/>
      <c r="Z89" s="1340"/>
      <c r="AA89" s="1340"/>
      <c r="AB89" s="1340"/>
      <c r="AC89" s="1340"/>
      <c r="AD89" s="1340"/>
      <c r="AE89" s="853"/>
      <c r="AF89" s="1340"/>
      <c r="AG89" s="1340"/>
      <c r="AH89" s="1340"/>
      <c r="AI89" s="1340"/>
      <c r="AJ89" s="1340"/>
      <c r="AK89" s="853"/>
      <c r="AL89" s="1340"/>
      <c r="AM89" s="1340"/>
      <c r="AN89" s="1340"/>
      <c r="AO89" s="1340"/>
      <c r="AP89" s="1340"/>
      <c r="AQ89" s="1341"/>
      <c r="AR89" s="1340"/>
      <c r="AS89" s="1340"/>
      <c r="AT89" s="1340"/>
      <c r="AU89" s="1471"/>
      <c r="AV89" s="1400"/>
      <c r="AW89" s="1472"/>
      <c r="AX89" s="1473"/>
      <c r="AY89" s="1400"/>
      <c r="AZ89" s="1400"/>
      <c r="BA89" s="1400"/>
      <c r="BB89" s="1400"/>
      <c r="BC89" s="1472"/>
      <c r="BD89" s="1473"/>
      <c r="BE89" s="1400"/>
      <c r="BF89" s="1400"/>
      <c r="BG89" s="1400"/>
      <c r="BH89" s="1400"/>
      <c r="BI89" s="1472"/>
      <c r="BJ89" s="1340"/>
      <c r="BK89" s="1400"/>
      <c r="BL89" s="1400"/>
      <c r="BM89" s="1400"/>
      <c r="BN89" s="1400"/>
      <c r="BO89" s="1474"/>
      <c r="BP89" s="1340"/>
      <c r="BQ89" s="1400"/>
      <c r="BR89" s="1400"/>
      <c r="BS89" s="1400"/>
      <c r="BT89" s="1400"/>
      <c r="BU89" s="1472"/>
      <c r="BV89" s="1340"/>
      <c r="BW89" s="1400"/>
      <c r="BX89" s="1400"/>
      <c r="BY89" s="1400"/>
      <c r="BZ89" s="1400"/>
      <c r="CA89" s="1472"/>
      <c r="CB89" s="1340"/>
      <c r="CC89" s="1400"/>
      <c r="CD89" s="1400"/>
      <c r="CE89" s="1400"/>
      <c r="CF89" s="1400"/>
      <c r="CG89" s="1757"/>
      <c r="CH89" s="1340"/>
      <c r="CI89" s="1772">
        <f>CI86+CI83+CI80+CI77</f>
        <v>1147.3000000000002</v>
      </c>
      <c r="CJ89" s="1772">
        <f>CJ86+CJ83+CJ80+CJ77</f>
        <v>1232.5999999999999</v>
      </c>
      <c r="CK89" s="1772">
        <f>CK86+CK83+CK80+CK77</f>
        <v>1289</v>
      </c>
      <c r="CL89" s="1772">
        <f>CL86+CL83+CL80+CL77</f>
        <v>1345.4</v>
      </c>
      <c r="CM89" s="1773">
        <f>CM86+CM83+CM80+CM77</f>
        <v>5014.2999999999993</v>
      </c>
      <c r="CN89" s="1763"/>
      <c r="CO89" s="1772">
        <f>CO86+CO83+CO80+CO77</f>
        <v>1405.3</v>
      </c>
      <c r="CP89" s="1772">
        <f>CP86+CP83+CP80+CP77</f>
        <v>1521.3</v>
      </c>
      <c r="CQ89" s="1772">
        <f>CQ86+CQ83+CQ80+CQ77</f>
        <v>1596.3000000000002</v>
      </c>
      <c r="CR89" s="1772">
        <f>CR86+CR83+CR80+CR77</f>
        <v>1682.6999999999998</v>
      </c>
      <c r="CS89" s="1773">
        <f>CS86+CS83+CS80+CS77</f>
        <v>6205.6</v>
      </c>
      <c r="CT89" s="1763"/>
      <c r="CU89" s="1772">
        <f t="shared" ref="CU89:DJ89" si="12">CU86+CU83+CU80+CU77</f>
        <v>1775.5</v>
      </c>
      <c r="CV89" s="1772">
        <f t="shared" si="12"/>
        <v>1886.1</v>
      </c>
      <c r="CW89" s="1772">
        <f t="shared" si="12"/>
        <v>1984</v>
      </c>
      <c r="CX89" s="1772">
        <f t="shared" si="12"/>
        <v>2110.6999999999998</v>
      </c>
      <c r="CY89" s="1773">
        <f>CY86+CY83+CY80+CY77</f>
        <v>7756.2999999999993</v>
      </c>
      <c r="CZ89" s="1763"/>
      <c r="DA89" s="1772">
        <f t="shared" si="12"/>
        <v>2200.9</v>
      </c>
      <c r="DB89" s="1772">
        <f t="shared" ref="DB89" si="13">DB86+DB83+DB80+DB77</f>
        <v>2368.5</v>
      </c>
      <c r="DC89" s="1772">
        <f t="shared" si="12"/>
        <v>2486.1</v>
      </c>
      <c r="DD89" s="1772">
        <f t="shared" ref="DD89" si="14">DD86+DD83+DD80+DD77</f>
        <v>2655</v>
      </c>
      <c r="DE89" s="1773">
        <f>DE86+DE83+DE80+DE77</f>
        <v>9710.5</v>
      </c>
      <c r="DF89" s="1763"/>
      <c r="DG89" s="1772">
        <f t="shared" si="12"/>
        <v>2714.4341329999997</v>
      </c>
      <c r="DH89" s="1772">
        <f t="shared" si="12"/>
        <v>2881.4206221293507</v>
      </c>
      <c r="DI89" s="1772">
        <f t="shared" si="12"/>
        <v>3001.3236358982986</v>
      </c>
      <c r="DJ89" s="1772">
        <f t="shared" si="12"/>
        <v>3182.3742666162307</v>
      </c>
      <c r="DK89" s="1773">
        <f>DK86+DK83+DK80+DK77</f>
        <v>11779.552657643881</v>
      </c>
      <c r="DL89" s="1763"/>
      <c r="DM89" s="1772">
        <f t="shared" ref="DM89:DP89" si="15">DM86+DM83+DM80+DM77</f>
        <v>3266.4215505057323</v>
      </c>
      <c r="DN89" s="1772">
        <f t="shared" si="15"/>
        <v>3467.5909166086994</v>
      </c>
      <c r="DO89" s="1772">
        <f t="shared" si="15"/>
        <v>3611.4050863957282</v>
      </c>
      <c r="DP89" s="1772">
        <f t="shared" si="15"/>
        <v>3810.6762624801022</v>
      </c>
      <c r="DQ89" s="1773">
        <f>DQ86+DQ83+DQ80+DQ77</f>
        <v>14156.093815990262</v>
      </c>
      <c r="DR89" s="1763"/>
      <c r="DS89" s="1772">
        <f t="shared" ref="DS89:DV89" si="16">DS86+DS83+DS80+DS77</f>
        <v>3913.2871193794217</v>
      </c>
      <c r="DT89" s="1772">
        <f t="shared" si="16"/>
        <v>4142.7695853623645</v>
      </c>
      <c r="DU89" s="1772">
        <f t="shared" si="16"/>
        <v>4308.0032649533205</v>
      </c>
      <c r="DV89" s="1772">
        <f t="shared" si="16"/>
        <v>4547.8810361409733</v>
      </c>
      <c r="DW89" s="1773">
        <f>DW86+DW83+DW80+DW77</f>
        <v>16911.941005836081</v>
      </c>
      <c r="DX89" s="500"/>
      <c r="DY89" s="500"/>
      <c r="DZ89" s="500"/>
      <c r="EA89" s="500"/>
      <c r="EB89" s="500"/>
      <c r="EC89" s="500"/>
      <c r="ED89" s="500"/>
      <c r="EE89" s="500"/>
      <c r="EF89" s="500"/>
      <c r="EG89" s="500"/>
      <c r="EH89" s="500"/>
      <c r="EI89" s="500"/>
    </row>
    <row r="90" spans="1:139" ht="14.25" customHeight="1">
      <c r="A90" s="853"/>
      <c r="B90" s="1340"/>
      <c r="C90" s="1340"/>
      <c r="D90" s="1340"/>
      <c r="E90" s="1340"/>
      <c r="F90" s="1340"/>
      <c r="G90" s="853"/>
      <c r="H90" s="1340"/>
      <c r="I90" s="1340"/>
      <c r="J90" s="1340"/>
      <c r="K90" s="1340"/>
      <c r="L90" s="500"/>
      <c r="M90" s="853"/>
      <c r="N90" s="1340"/>
      <c r="O90" s="1340"/>
      <c r="P90" s="1340"/>
      <c r="Q90" s="1340"/>
      <c r="R90" s="1340"/>
      <c r="S90" s="853"/>
      <c r="T90" s="1340"/>
      <c r="U90" s="1340"/>
      <c r="V90" s="1340"/>
      <c r="W90" s="1340"/>
      <c r="X90" s="1340"/>
      <c r="Y90" s="853"/>
      <c r="Z90" s="1340"/>
      <c r="AA90" s="1340"/>
      <c r="AB90" s="1340"/>
      <c r="AC90" s="1340"/>
      <c r="AD90" s="1340"/>
      <c r="AE90" s="853"/>
      <c r="AF90" s="1340"/>
      <c r="AG90" s="1340"/>
      <c r="AH90" s="1340"/>
      <c r="AI90" s="1340"/>
      <c r="AJ90" s="1340"/>
      <c r="AK90" s="853"/>
      <c r="AL90" s="1340"/>
      <c r="AM90" s="1340"/>
      <c r="AN90" s="1340"/>
      <c r="AO90" s="1340"/>
      <c r="AP90" s="1340"/>
      <c r="AQ90" s="853"/>
      <c r="AR90" s="1340"/>
      <c r="AS90" s="1340"/>
      <c r="AT90" s="1340"/>
      <c r="AU90" s="1471"/>
      <c r="AV90" s="1400"/>
      <c r="AW90" s="1473"/>
      <c r="AX90" s="1473"/>
      <c r="AY90" s="1400"/>
      <c r="AZ90" s="1400"/>
      <c r="BA90" s="1400"/>
      <c r="BB90" s="1400"/>
      <c r="BC90" s="1473"/>
      <c r="BD90" s="1473"/>
      <c r="BE90" s="1400"/>
      <c r="BF90" s="1400"/>
      <c r="BG90" s="1400"/>
      <c r="BH90" s="1400"/>
      <c r="BI90" s="1473"/>
      <c r="BJ90" s="1340"/>
      <c r="BK90" s="1400"/>
      <c r="BL90" s="1400"/>
      <c r="BM90" s="1400"/>
      <c r="BN90" s="1400"/>
      <c r="BO90" s="1473"/>
      <c r="BP90" s="1340"/>
      <c r="BQ90" s="1400"/>
      <c r="BR90" s="1400"/>
      <c r="BS90" s="1400"/>
      <c r="BT90" s="1400"/>
      <c r="BU90" s="1473"/>
      <c r="BV90" s="1340"/>
      <c r="BW90" s="1400"/>
      <c r="BX90" s="1400"/>
      <c r="BY90" s="1400"/>
      <c r="BZ90" s="1400"/>
      <c r="CA90" s="1473"/>
      <c r="CB90" s="1340"/>
      <c r="CC90" s="1400"/>
      <c r="CD90" s="1400"/>
      <c r="CE90" s="1400"/>
      <c r="CF90" s="1400"/>
      <c r="CG90" s="1472"/>
      <c r="CH90" s="1340"/>
      <c r="CI90" s="1400"/>
      <c r="CJ90" s="1400"/>
      <c r="CK90" s="1400"/>
      <c r="CL90" s="1400"/>
      <c r="CM90" s="1472"/>
      <c r="CN90" s="1340"/>
      <c r="CO90" s="1400"/>
      <c r="CP90" s="1400"/>
      <c r="CQ90" s="1400"/>
      <c r="CR90" s="1400"/>
      <c r="CS90" s="1759"/>
      <c r="CT90" s="1340"/>
      <c r="CU90" s="1400"/>
      <c r="CV90" s="1400"/>
      <c r="CW90" s="1400"/>
      <c r="CX90" s="1400"/>
      <c r="CY90" s="1759"/>
      <c r="CZ90" s="1340"/>
      <c r="DA90" s="1400"/>
      <c r="DB90" s="1400"/>
      <c r="DC90" s="1400"/>
      <c r="DD90" s="1400"/>
      <c r="DE90" s="1472"/>
      <c r="DF90" s="1340"/>
      <c r="DG90" s="1400"/>
      <c r="DH90" s="1400"/>
      <c r="DI90" s="1400"/>
      <c r="DJ90" s="1400"/>
      <c r="DK90" s="1472"/>
      <c r="DL90" s="1340"/>
      <c r="DM90" s="1400"/>
      <c r="DN90" s="1400"/>
      <c r="DO90" s="1400"/>
      <c r="DP90" s="1400"/>
      <c r="DQ90" s="1472"/>
      <c r="DR90" s="1340"/>
      <c r="DS90" s="1400"/>
      <c r="DT90" s="1400"/>
      <c r="DU90" s="1400"/>
      <c r="DV90" s="1400"/>
      <c r="DW90" s="1472"/>
      <c r="DX90" s="500"/>
      <c r="DY90" s="500"/>
      <c r="DZ90" s="500"/>
      <c r="EA90" s="500"/>
      <c r="EB90" s="500"/>
      <c r="EC90" s="500"/>
      <c r="ED90" s="500"/>
      <c r="EE90" s="500"/>
      <c r="EF90" s="500"/>
      <c r="EG90" s="500"/>
      <c r="EH90" s="500"/>
      <c r="EI90" s="500"/>
    </row>
    <row r="91" spans="1:139" ht="14.25" customHeight="1">
      <c r="A91" s="425" t="s">
        <v>1124</v>
      </c>
      <c r="B91" s="425"/>
      <c r="C91" s="425"/>
      <c r="D91" s="425"/>
      <c r="E91" s="425"/>
      <c r="F91" s="425"/>
      <c r="G91" s="425"/>
      <c r="H91" s="425"/>
      <c r="I91" s="426"/>
      <c r="J91" s="426"/>
      <c r="K91" s="426"/>
      <c r="L91" s="426"/>
      <c r="M91" s="425"/>
      <c r="N91" s="425"/>
      <c r="O91" s="426"/>
      <c r="P91" s="426"/>
      <c r="Q91" s="426"/>
      <c r="R91" s="426"/>
      <c r="S91" s="425"/>
      <c r="T91" s="426"/>
      <c r="U91" s="426"/>
      <c r="V91" s="426"/>
      <c r="W91" s="426"/>
      <c r="X91" s="426"/>
      <c r="Y91" s="425"/>
      <c r="Z91" s="426"/>
      <c r="AA91" s="426"/>
      <c r="AB91" s="426"/>
      <c r="AC91" s="426"/>
      <c r="AD91" s="426"/>
      <c r="AE91" s="425"/>
      <c r="AF91" s="426"/>
      <c r="AG91" s="426"/>
      <c r="AH91" s="426"/>
      <c r="AI91" s="426"/>
      <c r="AJ91" s="426"/>
      <c r="AK91" s="425"/>
      <c r="AL91" s="426"/>
      <c r="AM91" s="426"/>
      <c r="AN91" s="426"/>
      <c r="AO91" s="426"/>
      <c r="AP91" s="426"/>
      <c r="AQ91" s="427"/>
      <c r="AR91" s="426"/>
      <c r="AS91" s="426"/>
      <c r="AT91" s="426"/>
      <c r="AU91" s="426"/>
      <c r="AV91" s="426"/>
      <c r="AW91" s="427"/>
      <c r="AX91" s="426"/>
      <c r="AY91" s="426"/>
      <c r="AZ91" s="426"/>
      <c r="BA91" s="426"/>
      <c r="BB91" s="426"/>
      <c r="BC91" s="427"/>
      <c r="BD91" s="426"/>
      <c r="BE91" s="426"/>
      <c r="BF91" s="426"/>
      <c r="BG91" s="426"/>
      <c r="BH91" s="426"/>
      <c r="BI91" s="427"/>
      <c r="BJ91" s="426"/>
      <c r="BK91" s="426"/>
      <c r="BL91" s="426"/>
      <c r="BM91" s="426"/>
      <c r="BN91" s="426"/>
      <c r="BO91" s="428"/>
      <c r="BP91" s="426"/>
      <c r="BQ91" s="426"/>
      <c r="BR91" s="426"/>
      <c r="BS91" s="426"/>
      <c r="BT91" s="426"/>
      <c r="BU91" s="429"/>
      <c r="BV91" s="426"/>
      <c r="BW91" s="426"/>
      <c r="BX91" s="426"/>
      <c r="BY91" s="426"/>
      <c r="BZ91" s="426"/>
      <c r="CA91" s="429"/>
      <c r="CB91" s="426"/>
      <c r="CC91" s="426"/>
      <c r="CD91" s="426"/>
      <c r="CE91" s="426"/>
      <c r="CF91" s="426"/>
      <c r="CG91" s="429"/>
      <c r="CH91" s="426"/>
      <c r="CI91" s="426"/>
      <c r="CJ91" s="426"/>
      <c r="CK91" s="426"/>
      <c r="CL91" s="426"/>
      <c r="CM91" s="429"/>
      <c r="CN91" s="426"/>
      <c r="CO91" s="426"/>
      <c r="CP91" s="426"/>
      <c r="CQ91" s="426"/>
      <c r="CR91" s="426"/>
      <c r="CS91" s="429"/>
      <c r="CT91" s="426"/>
      <c r="CU91" s="426"/>
      <c r="CV91" s="426"/>
      <c r="CW91" s="426"/>
      <c r="CX91" s="426"/>
      <c r="CY91" s="429"/>
      <c r="CZ91" s="426"/>
      <c r="DA91" s="426"/>
      <c r="DB91" s="426"/>
      <c r="DC91" s="426"/>
      <c r="DD91" s="426"/>
      <c r="DE91" s="429"/>
      <c r="DF91" s="426"/>
      <c r="DG91" s="426"/>
      <c r="DH91" s="426"/>
      <c r="DI91" s="426"/>
      <c r="DJ91" s="426"/>
      <c r="DK91" s="429"/>
      <c r="DL91" s="426"/>
      <c r="DM91" s="426"/>
      <c r="DN91" s="426"/>
      <c r="DO91" s="426"/>
      <c r="DP91" s="426"/>
      <c r="DQ91" s="429"/>
      <c r="DR91" s="426"/>
      <c r="DS91" s="426"/>
      <c r="DT91" s="426"/>
      <c r="DU91" s="426"/>
      <c r="DV91" s="426"/>
      <c r="DW91" s="429"/>
      <c r="DX91" s="500"/>
      <c r="DY91" s="500"/>
      <c r="DZ91" s="500"/>
      <c r="EA91" s="500"/>
      <c r="EB91" s="500"/>
      <c r="EC91" s="500"/>
      <c r="ED91" s="500"/>
      <c r="EE91" s="500"/>
      <c r="EF91" s="500"/>
      <c r="EG91" s="500"/>
      <c r="EH91" s="500"/>
      <c r="EI91" s="500"/>
    </row>
    <row r="92" spans="1:139" ht="14.25" customHeight="1">
      <c r="A92" s="1340" t="s">
        <v>420</v>
      </c>
      <c r="B92" s="1340"/>
      <c r="C92" s="1340"/>
      <c r="D92" s="1340"/>
      <c r="E92" s="1340"/>
      <c r="F92" s="1340"/>
      <c r="G92" s="853"/>
      <c r="H92" s="1340"/>
      <c r="I92" s="1340"/>
      <c r="J92" s="1340"/>
      <c r="K92" s="1340"/>
      <c r="L92" s="500"/>
      <c r="M92" s="853"/>
      <c r="N92" s="1340"/>
      <c r="O92" s="1340"/>
      <c r="P92" s="1340"/>
      <c r="Q92" s="1340"/>
      <c r="R92" s="1340"/>
      <c r="S92" s="853"/>
      <c r="T92" s="1340"/>
      <c r="U92" s="1340"/>
      <c r="V92" s="1340"/>
      <c r="W92" s="1340"/>
      <c r="X92" s="1340"/>
      <c r="Y92" s="853"/>
      <c r="Z92" s="1340"/>
      <c r="AA92" s="1340"/>
      <c r="AB92" s="1340"/>
      <c r="AC92" s="1340"/>
      <c r="AD92" s="1340"/>
      <c r="AE92" s="853"/>
      <c r="AF92" s="1340"/>
      <c r="AG92" s="1340"/>
      <c r="AH92" s="1340"/>
      <c r="AI92" s="1340"/>
      <c r="AJ92" s="1340"/>
      <c r="AK92" s="853"/>
      <c r="AL92" s="1340"/>
      <c r="AM92" s="1340"/>
      <c r="AN92" s="1340"/>
      <c r="AO92" s="1340"/>
      <c r="AP92" s="1340"/>
      <c r="AQ92" s="1341"/>
      <c r="AR92" s="1340"/>
      <c r="AS92" s="1340"/>
      <c r="AT92" s="1340"/>
      <c r="AU92" s="1471"/>
      <c r="AV92" s="1400"/>
      <c r="AW92" s="1472"/>
      <c r="AX92" s="1473"/>
      <c r="AY92" s="1400"/>
      <c r="AZ92" s="1400"/>
      <c r="BA92" s="1400"/>
      <c r="BB92" s="1400"/>
      <c r="BC92" s="1472"/>
      <c r="BD92" s="1473"/>
      <c r="BE92" s="1400"/>
      <c r="BF92" s="1400"/>
      <c r="BG92" s="1400"/>
      <c r="BH92" s="1400"/>
      <c r="BI92" s="1472"/>
      <c r="BJ92" s="1340"/>
      <c r="BK92" s="1400"/>
      <c r="BL92" s="1400"/>
      <c r="BM92" s="1400"/>
      <c r="BN92" s="1400"/>
      <c r="BO92" s="1474"/>
      <c r="BP92" s="1340"/>
      <c r="BQ92" s="1400"/>
      <c r="BR92" s="1400"/>
      <c r="BS92" s="1400"/>
      <c r="BT92" s="1400"/>
      <c r="BU92" s="1472"/>
      <c r="BV92" s="1340"/>
      <c r="BW92" s="1400"/>
      <c r="BX92" s="1400"/>
      <c r="BY92" s="1400"/>
      <c r="BZ92" s="1400"/>
      <c r="CA92" s="1472"/>
      <c r="CB92" s="1340"/>
      <c r="CC92" s="1400"/>
      <c r="CD92" s="1400"/>
      <c r="CE92" s="1400"/>
      <c r="CF92" s="1400"/>
      <c r="CG92" s="1472"/>
      <c r="CH92" s="1340"/>
      <c r="CI92" s="1753">
        <f>CI77/CI$89</f>
        <v>0.50257125424910654</v>
      </c>
      <c r="CJ92" s="1753">
        <f t="shared" ref="CJ92:CR92" si="17">CJ77/CJ$89</f>
        <v>0.49496998215154964</v>
      </c>
      <c r="CK92" s="1753">
        <f t="shared" si="17"/>
        <v>0.48487199379363849</v>
      </c>
      <c r="CL92" s="1753">
        <f t="shared" si="17"/>
        <v>0.46922848223576624</v>
      </c>
      <c r="CM92" s="1774">
        <f t="shared" si="17"/>
        <v>0.48720658915501674</v>
      </c>
      <c r="CN92" s="257"/>
      <c r="CO92" s="1753">
        <f t="shared" si="17"/>
        <v>0.44858749021561234</v>
      </c>
      <c r="CP92" s="1753">
        <f t="shared" si="17"/>
        <v>0.44107013738250184</v>
      </c>
      <c r="CQ92" s="1753">
        <f t="shared" si="17"/>
        <v>0.43143519388586105</v>
      </c>
      <c r="CR92" s="1753">
        <f t="shared" si="17"/>
        <v>0.42128721697272242</v>
      </c>
      <c r="CS92" s="1597">
        <f t="shared" ref="CS92" si="18">CS77/CS$89</f>
        <v>0.43492974087920583</v>
      </c>
      <c r="CT92" s="1340"/>
      <c r="CU92" s="1753">
        <f t="shared" ref="CU92:CV92" si="19">CU77/CU$89</f>
        <v>0.40811039143903127</v>
      </c>
      <c r="CV92" s="1753">
        <f t="shared" si="19"/>
        <v>0.40024388950744927</v>
      </c>
      <c r="CW92" s="1753">
        <f t="shared" ref="CW92:CX92" si="20">CW77/CW$89</f>
        <v>0.39122983870967742</v>
      </c>
      <c r="CX92" s="1753">
        <f t="shared" si="20"/>
        <v>0.38134268252238596</v>
      </c>
      <c r="CY92" s="1597">
        <f t="shared" ref="CY92" si="21">CY77/CY$89</f>
        <v>0.39459536119025829</v>
      </c>
      <c r="CZ92" s="1756"/>
      <c r="DA92" s="1753">
        <f t="shared" ref="DA92:DE92" si="22">DA77/DA$89</f>
        <v>0.37693670771048204</v>
      </c>
      <c r="DB92" s="1753">
        <f t="shared" si="22"/>
        <v>0.3742453029343466</v>
      </c>
      <c r="DC92" s="1753">
        <f t="shared" si="22"/>
        <v>0.36462732794336511</v>
      </c>
      <c r="DD92" s="1753">
        <f t="shared" si="22"/>
        <v>0.35096045197740111</v>
      </c>
      <c r="DE92" s="1597">
        <f t="shared" si="22"/>
        <v>0.36602646619638535</v>
      </c>
      <c r="DF92" s="1756"/>
      <c r="DG92" s="1754">
        <f>DA92+DG98</f>
        <v>0.36393670771048203</v>
      </c>
      <c r="DH92" s="1754">
        <f t="shared" ref="DH92:DJ92" si="23">DB92+DH98</f>
        <v>0.33924530293434663</v>
      </c>
      <c r="DI92" s="1754">
        <f t="shared" si="23"/>
        <v>0.32962732794336513</v>
      </c>
      <c r="DJ92" s="1754">
        <f t="shared" si="23"/>
        <v>0.31446045197740113</v>
      </c>
      <c r="DK92" s="1755">
        <f t="shared" ref="DK92" si="24">DK77/DK$89</f>
        <v>0.33578862365079759</v>
      </c>
      <c r="DL92" s="1756"/>
      <c r="DM92" s="1754">
        <f>DG92+DM98</f>
        <v>0.35093670771048202</v>
      </c>
      <c r="DN92" s="1754">
        <f t="shared" ref="DN92:DN94" si="25">DH92+DN98</f>
        <v>0.3042453029343466</v>
      </c>
      <c r="DO92" s="1754">
        <f t="shared" ref="DO92:DO94" si="26">DI92+DO98</f>
        <v>0.2946273279433651</v>
      </c>
      <c r="DP92" s="1754">
        <f t="shared" ref="DP92:DP94" si="27">DJ92+DP98</f>
        <v>0.27796045197740116</v>
      </c>
      <c r="DQ92" s="1755">
        <f t="shared" ref="DQ92" si="28">DQ77/DQ$89</f>
        <v>0.30548973869504631</v>
      </c>
      <c r="DR92" s="1756"/>
      <c r="DS92" s="1754">
        <f>DM92+DS98</f>
        <v>0.33793670771048201</v>
      </c>
      <c r="DT92" s="1754">
        <f t="shared" ref="DT92:DT94" si="29">DN92+DT98</f>
        <v>0.26924530293434656</v>
      </c>
      <c r="DU92" s="1754">
        <f t="shared" ref="DU92:DU94" si="30">DO92+DU98</f>
        <v>0.25962732794336507</v>
      </c>
      <c r="DV92" s="1754">
        <f t="shared" ref="DV92:DV94" si="31">DP92+DV98</f>
        <v>0.24146045197740115</v>
      </c>
      <c r="DW92" s="1755">
        <f t="shared" ref="DW92" si="32">DW77/DW$89</f>
        <v>0.27521816702281449</v>
      </c>
      <c r="DX92" s="1726"/>
      <c r="DY92" s="1726"/>
      <c r="DZ92" s="1726"/>
      <c r="EA92" s="500"/>
      <c r="EB92" s="500"/>
      <c r="EC92" s="500"/>
      <c r="ED92" s="500"/>
      <c r="EE92" s="500"/>
      <c r="EF92" s="500"/>
      <c r="EG92" s="500"/>
      <c r="EH92" s="500"/>
      <c r="EI92" s="500"/>
    </row>
    <row r="93" spans="1:139" ht="14.25" customHeight="1">
      <c r="A93" s="1340" t="s">
        <v>951</v>
      </c>
      <c r="B93" s="1340"/>
      <c r="C93" s="1340"/>
      <c r="D93" s="1340"/>
      <c r="E93" s="1340"/>
      <c r="F93" s="1340"/>
      <c r="G93" s="853"/>
      <c r="H93" s="1340"/>
      <c r="I93" s="1340"/>
      <c r="J93" s="1340"/>
      <c r="K93" s="1340"/>
      <c r="L93" s="500"/>
      <c r="M93" s="853"/>
      <c r="N93" s="1340"/>
      <c r="O93" s="1340"/>
      <c r="P93" s="1340"/>
      <c r="Q93" s="1340"/>
      <c r="R93" s="1340"/>
      <c r="S93" s="853"/>
      <c r="T93" s="1340"/>
      <c r="U93" s="1340"/>
      <c r="V93" s="1340"/>
      <c r="W93" s="1340"/>
      <c r="X93" s="1340"/>
      <c r="Y93" s="853"/>
      <c r="Z93" s="1340"/>
      <c r="AA93" s="1340"/>
      <c r="AB93" s="1340"/>
      <c r="AC93" s="1340"/>
      <c r="AD93" s="1340"/>
      <c r="AE93" s="853"/>
      <c r="AF93" s="1340"/>
      <c r="AG93" s="1340"/>
      <c r="AH93" s="1340"/>
      <c r="AI93" s="1340"/>
      <c r="AJ93" s="1340"/>
      <c r="AK93" s="853"/>
      <c r="AL93" s="1340"/>
      <c r="AM93" s="1340"/>
      <c r="AN93" s="1340"/>
      <c r="AO93" s="1340"/>
      <c r="AP93" s="1340"/>
      <c r="AQ93" s="1341"/>
      <c r="AR93" s="1340"/>
      <c r="AS93" s="1340"/>
      <c r="AT93" s="1340"/>
      <c r="AU93" s="1471"/>
      <c r="AV93" s="1400"/>
      <c r="AW93" s="1472"/>
      <c r="AX93" s="1473"/>
      <c r="AY93" s="1400"/>
      <c r="AZ93" s="1400"/>
      <c r="BA93" s="1400"/>
      <c r="BB93" s="1400"/>
      <c r="BC93" s="1472"/>
      <c r="BD93" s="1473"/>
      <c r="BE93" s="1400"/>
      <c r="BF93" s="1400"/>
      <c r="BG93" s="1400"/>
      <c r="BH93" s="1400"/>
      <c r="BI93" s="1472"/>
      <c r="BJ93" s="1340"/>
      <c r="BK93" s="1400"/>
      <c r="BL93" s="1400"/>
      <c r="BM93" s="1400"/>
      <c r="BN93" s="1400"/>
      <c r="BO93" s="1474"/>
      <c r="BP93" s="1340"/>
      <c r="BQ93" s="1400"/>
      <c r="BR93" s="1400"/>
      <c r="BS93" s="1400"/>
      <c r="BT93" s="1400"/>
      <c r="BU93" s="1472"/>
      <c r="BV93" s="1340"/>
      <c r="BW93" s="1400"/>
      <c r="BX93" s="1400"/>
      <c r="BY93" s="1400"/>
      <c r="BZ93" s="1400"/>
      <c r="CA93" s="1472"/>
      <c r="CB93" s="1340"/>
      <c r="CC93" s="1400"/>
      <c r="CD93" s="1400"/>
      <c r="CE93" s="1400"/>
      <c r="CF93" s="1400"/>
      <c r="CG93" s="1472"/>
      <c r="CH93" s="1340"/>
      <c r="CI93" s="1604">
        <f>CI80/CI$89</f>
        <v>0.25695110258868648</v>
      </c>
      <c r="CJ93" s="1604">
        <f t="shared" ref="CJ93:CR93" si="33">CJ80/CJ$89</f>
        <v>0.25855914327437934</v>
      </c>
      <c r="CK93" s="1604">
        <f t="shared" si="33"/>
        <v>0.26377036462373932</v>
      </c>
      <c r="CL93" s="1604">
        <f t="shared" si="33"/>
        <v>0.27285565631039094</v>
      </c>
      <c r="CM93" s="1774">
        <f t="shared" si="33"/>
        <v>0.26336677103484035</v>
      </c>
      <c r="CN93" s="257"/>
      <c r="CO93" s="1604">
        <f t="shared" si="33"/>
        <v>0.29011598946844092</v>
      </c>
      <c r="CP93" s="1604">
        <f t="shared" si="33"/>
        <v>0.29264444882666141</v>
      </c>
      <c r="CQ93" s="1604">
        <f t="shared" si="33"/>
        <v>0.29411764705882348</v>
      </c>
      <c r="CR93" s="1604">
        <f t="shared" si="33"/>
        <v>0.29434836869317171</v>
      </c>
      <c r="CS93" s="1597">
        <f t="shared" ref="CS93" si="34">CS80/CS$89</f>
        <v>0.29291285290705171</v>
      </c>
      <c r="CT93" s="1340"/>
      <c r="CU93" s="1806">
        <f t="shared" ref="CU93:CV93" si="35">CU80/CU$89</f>
        <v>0.30419600112644329</v>
      </c>
      <c r="CV93" s="1806">
        <f t="shared" si="35"/>
        <v>0.30507396214410687</v>
      </c>
      <c r="CW93" s="1806">
        <f t="shared" ref="CW93:CX93" si="36">CW80/CW$89</f>
        <v>0.29732862903225804</v>
      </c>
      <c r="CX93" s="1604">
        <f t="shared" si="36"/>
        <v>0.29151466338181647</v>
      </c>
      <c r="CY93" s="1774">
        <f t="shared" ref="CY93" si="37">CY80/CY$89</f>
        <v>0.29920193906888592</v>
      </c>
      <c r="CZ93" s="1756"/>
      <c r="DA93" s="1806">
        <f t="shared" ref="DA93:DE93" si="38">DA80/DA$89</f>
        <v>0.29587895860784225</v>
      </c>
      <c r="DB93" s="1806">
        <f t="shared" si="38"/>
        <v>0.2949123918091619</v>
      </c>
      <c r="DC93" s="1806">
        <f t="shared" si="38"/>
        <v>0.29689071236072567</v>
      </c>
      <c r="DD93" s="1604">
        <f t="shared" si="38"/>
        <v>0.29728813559322032</v>
      </c>
      <c r="DE93" s="1774">
        <f t="shared" si="38"/>
        <v>0.29628752381442774</v>
      </c>
      <c r="DF93" s="1756"/>
      <c r="DG93" s="1754">
        <f t="shared" ref="DG93:DG94" si="39">DA93+DG99</f>
        <v>0.30087895860784225</v>
      </c>
      <c r="DH93" s="1754">
        <f t="shared" ref="DH93:DH94" si="40">DB93+DH99</f>
        <v>0.2999123918091619</v>
      </c>
      <c r="DI93" s="1754">
        <f t="shared" ref="DI93:DI94" si="41">DC93+DI99</f>
        <v>0.30589071236072568</v>
      </c>
      <c r="DJ93" s="1754">
        <f t="shared" ref="DJ93:DJ94" si="42">DD93+DJ99</f>
        <v>0.30178813559322032</v>
      </c>
      <c r="DK93" s="1755">
        <f t="shared" ref="DK93" si="43">DK80/DK$89</f>
        <v>0.3021650983596505</v>
      </c>
      <c r="DL93" s="1756"/>
      <c r="DM93" s="1754">
        <f t="shared" ref="DM93:DM94" si="44">DG93+DM99</f>
        <v>0.30587895860784226</v>
      </c>
      <c r="DN93" s="1754">
        <f t="shared" si="25"/>
        <v>0.30491239180916191</v>
      </c>
      <c r="DO93" s="1754">
        <f t="shared" si="26"/>
        <v>0.31489071236072569</v>
      </c>
      <c r="DP93" s="1754">
        <f t="shared" si="27"/>
        <v>0.30628813559322032</v>
      </c>
      <c r="DQ93" s="1755">
        <f t="shared" ref="DQ93" si="45">DQ80/DQ$89</f>
        <v>0.30805135704728365</v>
      </c>
      <c r="DR93" s="1756"/>
      <c r="DS93" s="1754">
        <f t="shared" ref="DS93:DS94" si="46">DM93+DS99</f>
        <v>0.31087895860784226</v>
      </c>
      <c r="DT93" s="1754">
        <f t="shared" si="29"/>
        <v>0.30991239180916191</v>
      </c>
      <c r="DU93" s="1754">
        <f t="shared" si="30"/>
        <v>0.3238907123607257</v>
      </c>
      <c r="DV93" s="1754">
        <f t="shared" si="31"/>
        <v>0.31078813559322033</v>
      </c>
      <c r="DW93" s="1755">
        <f t="shared" ref="DW93" si="47">DW80/DW$89</f>
        <v>0.31393226643517752</v>
      </c>
      <c r="DX93" s="499"/>
      <c r="DY93" s="499"/>
      <c r="DZ93" s="499"/>
      <c r="EA93" s="499"/>
      <c r="EB93" s="499"/>
      <c r="EC93" s="499"/>
      <c r="ED93" s="500"/>
      <c r="EE93" s="500"/>
      <c r="EF93" s="500"/>
      <c r="EG93" s="500"/>
      <c r="EH93" s="500"/>
      <c r="EI93" s="500"/>
    </row>
    <row r="94" spans="1:139" ht="14.25" customHeight="1">
      <c r="A94" s="1340" t="s">
        <v>1041</v>
      </c>
      <c r="B94" s="1340"/>
      <c r="C94" s="1340"/>
      <c r="D94" s="1340"/>
      <c r="E94" s="1340"/>
      <c r="F94" s="1340"/>
      <c r="G94" s="853"/>
      <c r="H94" s="1340"/>
      <c r="I94" s="1340"/>
      <c r="J94" s="1340"/>
      <c r="K94" s="1340"/>
      <c r="L94" s="500"/>
      <c r="M94" s="853"/>
      <c r="N94" s="1340"/>
      <c r="O94" s="1340"/>
      <c r="P94" s="1340"/>
      <c r="Q94" s="1340"/>
      <c r="R94" s="1340"/>
      <c r="S94" s="853"/>
      <c r="T94" s="1340"/>
      <c r="U94" s="1340"/>
      <c r="V94" s="1340"/>
      <c r="W94" s="1340"/>
      <c r="X94" s="1340"/>
      <c r="Y94" s="853"/>
      <c r="Z94" s="1340"/>
      <c r="AA94" s="1340"/>
      <c r="AB94" s="1340"/>
      <c r="AC94" s="1340"/>
      <c r="AD94" s="1340"/>
      <c r="AE94" s="853"/>
      <c r="AF94" s="1340"/>
      <c r="AG94" s="1340"/>
      <c r="AH94" s="1340"/>
      <c r="AI94" s="1340"/>
      <c r="AJ94" s="1340"/>
      <c r="AK94" s="853"/>
      <c r="AL94" s="1340"/>
      <c r="AM94" s="1340"/>
      <c r="AN94" s="1340"/>
      <c r="AO94" s="1340"/>
      <c r="AP94" s="1340"/>
      <c r="AQ94" s="1341"/>
      <c r="AR94" s="1340"/>
      <c r="AS94" s="1340"/>
      <c r="AT94" s="1340"/>
      <c r="AU94" s="1471"/>
      <c r="AV94" s="1400"/>
      <c r="AW94" s="1472"/>
      <c r="AX94" s="1473"/>
      <c r="AY94" s="1400"/>
      <c r="AZ94" s="1400"/>
      <c r="BA94" s="1400"/>
      <c r="BB94" s="1400"/>
      <c r="BC94" s="1472"/>
      <c r="BD94" s="1473"/>
      <c r="BE94" s="1400"/>
      <c r="BF94" s="1400"/>
      <c r="BG94" s="1400"/>
      <c r="BH94" s="1400"/>
      <c r="BI94" s="1472"/>
      <c r="BJ94" s="1340"/>
      <c r="BK94" s="1400"/>
      <c r="BL94" s="1400"/>
      <c r="BM94" s="1400"/>
      <c r="BN94" s="1400"/>
      <c r="BO94" s="1474"/>
      <c r="BP94" s="1340"/>
      <c r="BQ94" s="1400"/>
      <c r="BR94" s="1400"/>
      <c r="BS94" s="1400"/>
      <c r="BT94" s="1400"/>
      <c r="BU94" s="1472"/>
      <c r="BV94" s="1340"/>
      <c r="BW94" s="1400"/>
      <c r="BX94" s="1400"/>
      <c r="BY94" s="1400"/>
      <c r="BZ94" s="1400"/>
      <c r="CA94" s="1472"/>
      <c r="CB94" s="1340"/>
      <c r="CC94" s="1400"/>
      <c r="CD94" s="1400"/>
      <c r="CE94" s="1400"/>
      <c r="CF94" s="1400"/>
      <c r="CG94" s="1472"/>
      <c r="CH94" s="1340"/>
      <c r="CI94" s="1604">
        <f>CI83/CI$89</f>
        <v>9.6748888695197405E-2</v>
      </c>
      <c r="CJ94" s="1604">
        <f t="shared" ref="CJ94:CR94" si="48">CJ83/CJ$89</f>
        <v>9.9302287846827861E-2</v>
      </c>
      <c r="CK94" s="1604">
        <f t="shared" si="48"/>
        <v>0.10240496508921644</v>
      </c>
      <c r="CL94" s="1604">
        <f t="shared" si="48"/>
        <v>0.10435558198305336</v>
      </c>
      <c r="CM94" s="1774">
        <f t="shared" si="48"/>
        <v>0.10087150748858266</v>
      </c>
      <c r="CN94" s="257"/>
      <c r="CO94" s="1604">
        <f t="shared" si="48"/>
        <v>0.10189995018857183</v>
      </c>
      <c r="CP94" s="1604">
        <f t="shared" si="48"/>
        <v>0.1037928087819628</v>
      </c>
      <c r="CQ94" s="1604">
        <f t="shared" si="48"/>
        <v>0.10586982396792581</v>
      </c>
      <c r="CR94" s="1604">
        <f t="shared" si="48"/>
        <v>0.10934807155167292</v>
      </c>
      <c r="CS94" s="1774">
        <f t="shared" ref="CS94" si="49">CS83/CS$89</f>
        <v>0.10540479566842852</v>
      </c>
      <c r="CT94" s="1760"/>
      <c r="CU94" s="1806">
        <f t="shared" ref="CU94:CV94" si="50">CU83/CU$89</f>
        <v>0.10413967896367221</v>
      </c>
      <c r="CV94" s="1806">
        <f t="shared" si="50"/>
        <v>0.10731138327766292</v>
      </c>
      <c r="CW94" s="1806">
        <f t="shared" ref="CW94:CX94" si="51">CW83/CW$89</f>
        <v>0.12459677419354838</v>
      </c>
      <c r="CX94" s="1604">
        <f t="shared" si="51"/>
        <v>0.14156440991140382</v>
      </c>
      <c r="CY94" s="1597">
        <f t="shared" ref="CY94" si="52">CY83/CY$89</f>
        <v>0.12032799143921716</v>
      </c>
      <c r="CZ94" s="1756"/>
      <c r="DA94" s="1806">
        <f t="shared" ref="DA94:DE94" si="53">DA83/DA$89</f>
        <v>0.13130991866963515</v>
      </c>
      <c r="DB94" s="1806">
        <f t="shared" si="53"/>
        <v>0.1338822039265358</v>
      </c>
      <c r="DC94" s="1806">
        <f t="shared" si="53"/>
        <v>0.13925425365029565</v>
      </c>
      <c r="DD94" s="1604">
        <f t="shared" si="53"/>
        <v>0.14975517890772128</v>
      </c>
      <c r="DE94" s="1597">
        <f t="shared" si="53"/>
        <v>0.1390144688738994</v>
      </c>
      <c r="DF94" s="1756"/>
      <c r="DG94" s="1754">
        <f t="shared" si="39"/>
        <v>0.13130991866963515</v>
      </c>
      <c r="DH94" s="1754">
        <f t="shared" si="40"/>
        <v>0.1338822039265358</v>
      </c>
      <c r="DI94" s="1754">
        <f t="shared" si="41"/>
        <v>0.13925425365029565</v>
      </c>
      <c r="DJ94" s="1754">
        <f t="shared" si="42"/>
        <v>0.15475517890772128</v>
      </c>
      <c r="DK94" s="1755">
        <f t="shared" ref="DK94" si="54">DK83/DK$89</f>
        <v>0.14029726751613744</v>
      </c>
      <c r="DL94" s="1756"/>
      <c r="DM94" s="1754">
        <f t="shared" si="44"/>
        <v>0.14130991866963516</v>
      </c>
      <c r="DN94" s="1754">
        <f t="shared" si="25"/>
        <v>0.14688220392653581</v>
      </c>
      <c r="DO94" s="1754">
        <f t="shared" si="26"/>
        <v>0.14925425365029565</v>
      </c>
      <c r="DP94" s="1754">
        <f t="shared" si="27"/>
        <v>0.15475517890772128</v>
      </c>
      <c r="DQ94" s="1755">
        <f t="shared" ref="DQ94" si="55">DQ83/DQ$89</f>
        <v>0.14832090297229672</v>
      </c>
      <c r="DR94" s="1756"/>
      <c r="DS94" s="1754">
        <f t="shared" si="46"/>
        <v>0.16430991866963515</v>
      </c>
      <c r="DT94" s="1754">
        <f t="shared" si="29"/>
        <v>0.15988220392653582</v>
      </c>
      <c r="DU94" s="1754">
        <f t="shared" si="30"/>
        <v>0.14925425365029565</v>
      </c>
      <c r="DV94" s="1754">
        <f t="shared" si="31"/>
        <v>0.14075517890772127</v>
      </c>
      <c r="DW94" s="1755">
        <f t="shared" ref="DW94" si="56">DW83/DW$89</f>
        <v>0.1530559171189855</v>
      </c>
      <c r="DX94" s="1726"/>
      <c r="DY94" s="1726"/>
      <c r="DZ94" s="1726"/>
      <c r="EA94" s="1726"/>
      <c r="EB94" s="1726"/>
      <c r="EC94" s="1726"/>
      <c r="ED94" s="500"/>
      <c r="EE94" s="500"/>
      <c r="EF94" s="500"/>
      <c r="EG94" s="500"/>
      <c r="EH94" s="500"/>
      <c r="EI94" s="500"/>
    </row>
    <row r="95" spans="1:139" ht="14.25" customHeight="1">
      <c r="A95" s="1340" t="s">
        <v>1129</v>
      </c>
      <c r="B95" s="1340"/>
      <c r="C95" s="1340"/>
      <c r="D95" s="1340"/>
      <c r="E95" s="1340"/>
      <c r="F95" s="1340"/>
      <c r="G95" s="853"/>
      <c r="H95" s="1340"/>
      <c r="I95" s="1340"/>
      <c r="J95" s="1340"/>
      <c r="K95" s="1340"/>
      <c r="L95" s="500"/>
      <c r="M95" s="853"/>
      <c r="N95" s="1340"/>
      <c r="O95" s="1340"/>
      <c r="P95" s="1340"/>
      <c r="Q95" s="1340"/>
      <c r="R95" s="1340"/>
      <c r="S95" s="853"/>
      <c r="T95" s="1340"/>
      <c r="U95" s="1340"/>
      <c r="V95" s="1340"/>
      <c r="W95" s="1340"/>
      <c r="X95" s="1340"/>
      <c r="Y95" s="853"/>
      <c r="Z95" s="1340"/>
      <c r="AA95" s="1340"/>
      <c r="AB95" s="1340"/>
      <c r="AC95" s="1340"/>
      <c r="AD95" s="1340"/>
      <c r="AE95" s="853"/>
      <c r="AF95" s="1340"/>
      <c r="AG95" s="1340"/>
      <c r="AH95" s="1340"/>
      <c r="AI95" s="1340"/>
      <c r="AJ95" s="1340"/>
      <c r="AK95" s="853"/>
      <c r="AL95" s="1340"/>
      <c r="AM95" s="1340"/>
      <c r="AN95" s="1340"/>
      <c r="AO95" s="1340"/>
      <c r="AP95" s="1340"/>
      <c r="AQ95" s="1341"/>
      <c r="AR95" s="1340"/>
      <c r="AS95" s="1340"/>
      <c r="AT95" s="1340"/>
      <c r="AU95" s="1471"/>
      <c r="AV95" s="1400"/>
      <c r="AW95" s="1472"/>
      <c r="AX95" s="1473"/>
      <c r="AY95" s="1400"/>
      <c r="AZ95" s="1400"/>
      <c r="BA95" s="1400"/>
      <c r="BB95" s="1400"/>
      <c r="BC95" s="1472"/>
      <c r="BD95" s="1473"/>
      <c r="BE95" s="1400"/>
      <c r="BF95" s="1400"/>
      <c r="BG95" s="1400"/>
      <c r="BH95" s="1400"/>
      <c r="BI95" s="1472"/>
      <c r="BJ95" s="1340"/>
      <c r="BK95" s="1400"/>
      <c r="BL95" s="1400"/>
      <c r="BM95" s="1400"/>
      <c r="BN95" s="1400"/>
      <c r="BO95" s="1474"/>
      <c r="BP95" s="1340"/>
      <c r="BQ95" s="1400"/>
      <c r="BR95" s="1400"/>
      <c r="BS95" s="1400"/>
      <c r="BT95" s="1400"/>
      <c r="BU95" s="1472"/>
      <c r="BV95" s="1340"/>
      <c r="BW95" s="1400"/>
      <c r="BX95" s="1400"/>
      <c r="BY95" s="1400"/>
      <c r="BZ95" s="1400"/>
      <c r="CA95" s="1472"/>
      <c r="CB95" s="1340"/>
      <c r="CC95" s="1400"/>
      <c r="CD95" s="1400"/>
      <c r="CE95" s="1400"/>
      <c r="CF95" s="1400"/>
      <c r="CG95" s="1472"/>
      <c r="CH95" s="1340"/>
      <c r="CI95" s="1753">
        <f>CI86/CI$89</f>
        <v>0.14372875446700947</v>
      </c>
      <c r="CJ95" s="1753">
        <f t="shared" ref="CJ95:CR95" si="57">CJ86/CJ$89</f>
        <v>0.14716858672724323</v>
      </c>
      <c r="CK95" s="1753">
        <f t="shared" si="57"/>
        <v>0.14895267649340574</v>
      </c>
      <c r="CL95" s="1753">
        <f t="shared" si="57"/>
        <v>0.15356027947078935</v>
      </c>
      <c r="CM95" s="1774">
        <f t="shared" si="57"/>
        <v>0.14855513232156037</v>
      </c>
      <c r="CN95" s="257"/>
      <c r="CO95" s="1753">
        <f t="shared" si="57"/>
        <v>0.15939657012737493</v>
      </c>
      <c r="CP95" s="1753">
        <f t="shared" si="57"/>
        <v>0.162492605008874</v>
      </c>
      <c r="CQ95" s="1753">
        <f t="shared" si="57"/>
        <v>0.16857733508738959</v>
      </c>
      <c r="CR95" s="1753">
        <f t="shared" si="57"/>
        <v>0.17501634278243303</v>
      </c>
      <c r="CS95" s="1597">
        <f t="shared" ref="CS95" si="58">CS86/CS$89</f>
        <v>0.1667526105453139</v>
      </c>
      <c r="CT95" s="1340"/>
      <c r="CU95" s="1806">
        <f t="shared" ref="CU95:CV95" si="59">CU86/CU$89</f>
        <v>0.18355392847085328</v>
      </c>
      <c r="CV95" s="1806">
        <f t="shared" si="59"/>
        <v>0.18737076507078099</v>
      </c>
      <c r="CW95" s="1806">
        <f t="shared" ref="CW95:CX95" si="60">CW86/CW$89</f>
        <v>0.18684475806451611</v>
      </c>
      <c r="CX95" s="1753">
        <f t="shared" si="60"/>
        <v>0.18557824418439381</v>
      </c>
      <c r="CY95" s="1597">
        <f t="shared" ref="CY95" si="61">CY86/CY$89</f>
        <v>0.18587470830163869</v>
      </c>
      <c r="CZ95" s="1756"/>
      <c r="DA95" s="1806">
        <f t="shared" ref="DA95:DE95" si="62">DA86/DA$89</f>
        <v>0.19587441501204053</v>
      </c>
      <c r="DB95" s="1806">
        <f t="shared" si="62"/>
        <v>0.19696010132995567</v>
      </c>
      <c r="DC95" s="1806">
        <f t="shared" si="62"/>
        <v>0.19922770604561363</v>
      </c>
      <c r="DD95" s="1753">
        <f t="shared" si="62"/>
        <v>0.20199623352165724</v>
      </c>
      <c r="DE95" s="1597">
        <f t="shared" si="62"/>
        <v>0.19867154111528759</v>
      </c>
      <c r="DF95" s="1756"/>
      <c r="DG95" s="1754">
        <f>1-SUM(DG92:DG94)</f>
        <v>0.20387441501204062</v>
      </c>
      <c r="DH95" s="1754">
        <f t="shared" ref="DH95:DJ95" si="63">1-SUM(DH92:DH94)</f>
        <v>0.2269601013299557</v>
      </c>
      <c r="DI95" s="1754">
        <f t="shared" si="63"/>
        <v>0.2252277060456136</v>
      </c>
      <c r="DJ95" s="1754">
        <f t="shared" si="63"/>
        <v>0.22899623352165732</v>
      </c>
      <c r="DK95" s="1755">
        <f t="shared" ref="DK95" si="64">DK86/DK$89</f>
        <v>0.22174901047341444</v>
      </c>
      <c r="DL95" s="1756"/>
      <c r="DM95" s="1754">
        <f>1-SUM(DM92:DM94)</f>
        <v>0.20187441501204062</v>
      </c>
      <c r="DN95" s="1754">
        <f t="shared" ref="DN95:DP95" si="65">1-SUM(DN92:DN94)</f>
        <v>0.24396010132995571</v>
      </c>
      <c r="DO95" s="1754">
        <f t="shared" si="65"/>
        <v>0.24122770604561361</v>
      </c>
      <c r="DP95" s="1754">
        <f t="shared" si="65"/>
        <v>0.26099623352165724</v>
      </c>
      <c r="DQ95" s="1755">
        <f t="shared" ref="DQ95" si="66">DQ86/DQ$89</f>
        <v>0.23813800128537335</v>
      </c>
      <c r="DR95" s="1756"/>
      <c r="DS95" s="1754">
        <f>1-SUM(DS92:DS94)</f>
        <v>0.18687441501204061</v>
      </c>
      <c r="DT95" s="1754">
        <f t="shared" ref="DT95:DV95" si="67">1-SUM(DT92:DT94)</f>
        <v>0.26096010132995573</v>
      </c>
      <c r="DU95" s="1754">
        <f t="shared" si="67"/>
        <v>0.26722770604561363</v>
      </c>
      <c r="DV95" s="1754">
        <f t="shared" si="67"/>
        <v>0.30699623352165728</v>
      </c>
      <c r="DW95" s="1755">
        <f t="shared" ref="DW95" si="68">DW86/DW$89</f>
        <v>0.25779364942302252</v>
      </c>
      <c r="DX95" s="651"/>
      <c r="DY95" s="651"/>
      <c r="DZ95" s="651"/>
      <c r="EA95" s="1726"/>
      <c r="EB95" s="1726"/>
      <c r="EC95" s="1726"/>
      <c r="ED95" s="500"/>
      <c r="EE95" s="500"/>
      <c r="EF95" s="1807"/>
      <c r="EG95" s="500"/>
      <c r="EH95" s="500"/>
      <c r="EI95" s="500"/>
    </row>
    <row r="96" spans="1:139" ht="14.25" customHeight="1">
      <c r="A96" s="1340"/>
      <c r="B96" s="1340"/>
      <c r="C96" s="1340"/>
      <c r="D96" s="1340"/>
      <c r="E96" s="1340"/>
      <c r="F96" s="1340"/>
      <c r="G96" s="853"/>
      <c r="H96" s="1340"/>
      <c r="I96" s="1340"/>
      <c r="J96" s="1340"/>
      <c r="K96" s="1340"/>
      <c r="L96" s="500"/>
      <c r="M96" s="853"/>
      <c r="N96" s="1340"/>
      <c r="O96" s="1340"/>
      <c r="P96" s="1340"/>
      <c r="Q96" s="1340"/>
      <c r="R96" s="1340"/>
      <c r="S96" s="853"/>
      <c r="T96" s="1340"/>
      <c r="U96" s="1340"/>
      <c r="V96" s="1340"/>
      <c r="W96" s="1340"/>
      <c r="X96" s="1340"/>
      <c r="Y96" s="853"/>
      <c r="Z96" s="1340"/>
      <c r="AA96" s="1340"/>
      <c r="AB96" s="1340"/>
      <c r="AC96" s="1340"/>
      <c r="AD96" s="1340"/>
      <c r="AE96" s="853"/>
      <c r="AF96" s="1340"/>
      <c r="AG96" s="1340"/>
      <c r="AH96" s="1340"/>
      <c r="AI96" s="1340"/>
      <c r="AJ96" s="1340"/>
      <c r="AK96" s="853"/>
      <c r="AL96" s="1340"/>
      <c r="AM96" s="1340"/>
      <c r="AN96" s="1340"/>
      <c r="AO96" s="1340"/>
      <c r="AP96" s="1340"/>
      <c r="AQ96" s="853"/>
      <c r="AR96" s="1340"/>
      <c r="AS96" s="1340"/>
      <c r="AT96" s="1340"/>
      <c r="AU96" s="1471"/>
      <c r="AV96" s="1400"/>
      <c r="AW96" s="1473"/>
      <c r="AX96" s="1473"/>
      <c r="AY96" s="1400"/>
      <c r="AZ96" s="1400"/>
      <c r="BA96" s="1400"/>
      <c r="BB96" s="1400"/>
      <c r="BC96" s="1473"/>
      <c r="BD96" s="1473"/>
      <c r="BE96" s="1400"/>
      <c r="BF96" s="1400"/>
      <c r="BG96" s="1400"/>
      <c r="BH96" s="1400"/>
      <c r="BI96" s="1473"/>
      <c r="BJ96" s="1340"/>
      <c r="BK96" s="1400"/>
      <c r="BL96" s="1400"/>
      <c r="BM96" s="1400"/>
      <c r="BN96" s="1400"/>
      <c r="BO96" s="1473"/>
      <c r="BP96" s="1340"/>
      <c r="BQ96" s="1400"/>
      <c r="BR96" s="1400"/>
      <c r="BS96" s="1400"/>
      <c r="BT96" s="1400"/>
      <c r="BU96" s="1473"/>
      <c r="BV96" s="1340"/>
      <c r="BW96" s="1400"/>
      <c r="BX96" s="1400"/>
      <c r="BY96" s="1400"/>
      <c r="BZ96" s="1400"/>
      <c r="CA96" s="1473"/>
      <c r="CB96" s="1340"/>
      <c r="CC96" s="1400"/>
      <c r="CD96" s="1400"/>
      <c r="CE96" s="1400"/>
      <c r="CF96" s="1400"/>
      <c r="CG96" s="1472"/>
      <c r="CH96" s="1340"/>
      <c r="CI96" s="1753"/>
      <c r="CJ96" s="1753"/>
      <c r="CK96" s="1753"/>
      <c r="CL96" s="1753"/>
      <c r="CM96" s="1597"/>
      <c r="CN96" s="257"/>
      <c r="CO96" s="1753"/>
      <c r="CP96" s="1753"/>
      <c r="CQ96" s="1753"/>
      <c r="CR96" s="1753"/>
      <c r="CS96" s="1597"/>
      <c r="CT96" s="1340"/>
      <c r="CU96" s="1758"/>
      <c r="CV96" s="1758"/>
      <c r="CW96" s="1758"/>
      <c r="CX96" s="1753"/>
      <c r="CY96" s="1597"/>
      <c r="CZ96" s="1756"/>
      <c r="DA96" s="1758"/>
      <c r="DB96" s="1758"/>
      <c r="DC96" s="1758"/>
      <c r="DD96" s="1753"/>
      <c r="DE96" s="1597"/>
      <c r="DF96" s="1756"/>
      <c r="DG96" s="1754"/>
      <c r="DH96" s="1754"/>
      <c r="DI96" s="1754"/>
      <c r="DJ96" s="1754"/>
      <c r="DK96" s="1755"/>
      <c r="DL96" s="1756"/>
      <c r="DM96" s="1754"/>
      <c r="DN96" s="1754"/>
      <c r="DO96" s="1754"/>
      <c r="DP96" s="1754"/>
      <c r="DQ96" s="1755"/>
      <c r="DR96" s="1756"/>
      <c r="DS96" s="1754"/>
      <c r="DT96" s="1754"/>
      <c r="DU96" s="1754"/>
      <c r="DV96" s="1754"/>
      <c r="DW96" s="1755"/>
      <c r="DX96" s="500"/>
      <c r="DY96" s="500"/>
      <c r="DZ96" s="500"/>
      <c r="EA96" s="500"/>
      <c r="EB96" s="500"/>
      <c r="EC96" s="500"/>
      <c r="ED96" s="500"/>
      <c r="EE96" s="500"/>
      <c r="EF96" s="500"/>
      <c r="EG96" s="500"/>
      <c r="EH96" s="500"/>
      <c r="EI96" s="500"/>
    </row>
    <row r="97" spans="1:142" ht="14.25" customHeight="1">
      <c r="A97" s="425" t="s">
        <v>1125</v>
      </c>
      <c r="B97" s="425"/>
      <c r="C97" s="425"/>
      <c r="D97" s="425"/>
      <c r="E97" s="425"/>
      <c r="F97" s="425"/>
      <c r="G97" s="425"/>
      <c r="H97" s="425"/>
      <c r="I97" s="426"/>
      <c r="J97" s="426"/>
      <c r="K97" s="426"/>
      <c r="L97" s="426"/>
      <c r="M97" s="425"/>
      <c r="N97" s="425"/>
      <c r="O97" s="426"/>
      <c r="P97" s="426"/>
      <c r="Q97" s="426"/>
      <c r="R97" s="426"/>
      <c r="S97" s="425"/>
      <c r="T97" s="426"/>
      <c r="U97" s="426"/>
      <c r="V97" s="426"/>
      <c r="W97" s="426"/>
      <c r="X97" s="426"/>
      <c r="Y97" s="425"/>
      <c r="Z97" s="426"/>
      <c r="AA97" s="426"/>
      <c r="AB97" s="426"/>
      <c r="AC97" s="426"/>
      <c r="AD97" s="426"/>
      <c r="AE97" s="425"/>
      <c r="AF97" s="426"/>
      <c r="AG97" s="426"/>
      <c r="AH97" s="426"/>
      <c r="AI97" s="426"/>
      <c r="AJ97" s="426"/>
      <c r="AK97" s="425"/>
      <c r="AL97" s="426"/>
      <c r="AM97" s="426"/>
      <c r="AN97" s="426"/>
      <c r="AO97" s="426"/>
      <c r="AP97" s="426"/>
      <c r="AQ97" s="427"/>
      <c r="AR97" s="426"/>
      <c r="AS97" s="426"/>
      <c r="AT97" s="426"/>
      <c r="AU97" s="426"/>
      <c r="AV97" s="426"/>
      <c r="AW97" s="427"/>
      <c r="AX97" s="426"/>
      <c r="AY97" s="426"/>
      <c r="AZ97" s="426"/>
      <c r="BA97" s="426"/>
      <c r="BB97" s="426"/>
      <c r="BC97" s="427"/>
      <c r="BD97" s="426"/>
      <c r="BE97" s="426"/>
      <c r="BF97" s="426"/>
      <c r="BG97" s="426"/>
      <c r="BH97" s="426"/>
      <c r="BI97" s="427"/>
      <c r="BJ97" s="426"/>
      <c r="BK97" s="426"/>
      <c r="BL97" s="426"/>
      <c r="BM97" s="426"/>
      <c r="BN97" s="426"/>
      <c r="BO97" s="428"/>
      <c r="BP97" s="426"/>
      <c r="BQ97" s="426"/>
      <c r="BR97" s="426"/>
      <c r="BS97" s="426"/>
      <c r="BT97" s="426"/>
      <c r="BU97" s="429"/>
      <c r="BV97" s="426"/>
      <c r="BW97" s="426"/>
      <c r="BX97" s="426"/>
      <c r="BY97" s="426"/>
      <c r="BZ97" s="426"/>
      <c r="CA97" s="429"/>
      <c r="CB97" s="426"/>
      <c r="CC97" s="426"/>
      <c r="CD97" s="426"/>
      <c r="CE97" s="426"/>
      <c r="CF97" s="426"/>
      <c r="CG97" s="429"/>
      <c r="CH97" s="426"/>
      <c r="CI97" s="426"/>
      <c r="CJ97" s="426"/>
      <c r="CK97" s="426"/>
      <c r="CL97" s="426"/>
      <c r="CM97" s="429"/>
      <c r="CN97" s="426"/>
      <c r="CO97" s="426"/>
      <c r="CP97" s="426"/>
      <c r="CQ97" s="426"/>
      <c r="CR97" s="426"/>
      <c r="CS97" s="429"/>
      <c r="CT97" s="426"/>
      <c r="CU97" s="426"/>
      <c r="CV97" s="426"/>
      <c r="CW97" s="426"/>
      <c r="CX97" s="426"/>
      <c r="CY97" s="1941"/>
      <c r="CZ97" s="426"/>
      <c r="DA97" s="426"/>
      <c r="DB97" s="426"/>
      <c r="DC97" s="426"/>
      <c r="DD97" s="426"/>
      <c r="DE97" s="1941"/>
      <c r="DF97" s="426"/>
      <c r="DG97" s="426"/>
      <c r="DH97" s="426"/>
      <c r="DI97" s="426"/>
      <c r="DJ97" s="426"/>
      <c r="DK97" s="429"/>
      <c r="DL97" s="426"/>
      <c r="DM97" s="426"/>
      <c r="DN97" s="426"/>
      <c r="DO97" s="426"/>
      <c r="DP97" s="426"/>
      <c r="DQ97" s="429"/>
      <c r="DR97" s="426"/>
      <c r="DS97" s="426"/>
      <c r="DT97" s="426"/>
      <c r="DU97" s="426"/>
      <c r="DV97" s="426"/>
      <c r="DW97" s="429"/>
      <c r="DX97" s="500"/>
      <c r="DY97" s="500"/>
      <c r="DZ97" s="500"/>
      <c r="EA97" s="500"/>
      <c r="EB97" s="500"/>
      <c r="EC97" s="500"/>
      <c r="ED97" s="500"/>
      <c r="EE97" s="500"/>
      <c r="EF97" s="500"/>
      <c r="EG97" s="500"/>
      <c r="EH97" s="500"/>
      <c r="EI97" s="500"/>
    </row>
    <row r="98" spans="1:142" ht="14.25" customHeight="1">
      <c r="A98" s="1340" t="s">
        <v>420</v>
      </c>
      <c r="B98" s="1340"/>
      <c r="C98" s="1340"/>
      <c r="D98" s="1340"/>
      <c r="E98" s="1340"/>
      <c r="F98" s="1340"/>
      <c r="G98" s="853"/>
      <c r="H98" s="1340"/>
      <c r="I98" s="1340"/>
      <c r="J98" s="1340"/>
      <c r="K98" s="1340"/>
      <c r="L98" s="500"/>
      <c r="M98" s="853"/>
      <c r="N98" s="1340"/>
      <c r="O98" s="1340"/>
      <c r="P98" s="1340"/>
      <c r="Q98" s="1340"/>
      <c r="R98" s="1340"/>
      <c r="S98" s="853"/>
      <c r="T98" s="1340"/>
      <c r="U98" s="1340"/>
      <c r="V98" s="1340"/>
      <c r="W98" s="1340"/>
      <c r="X98" s="1340"/>
      <c r="Y98" s="853"/>
      <c r="Z98" s="1340"/>
      <c r="AA98" s="1340"/>
      <c r="AB98" s="1340"/>
      <c r="AC98" s="1340"/>
      <c r="AD98" s="1340"/>
      <c r="AE98" s="853"/>
      <c r="AF98" s="1340"/>
      <c r="AG98" s="1340"/>
      <c r="AH98" s="1340"/>
      <c r="AI98" s="1340"/>
      <c r="AJ98" s="1340"/>
      <c r="AK98" s="853"/>
      <c r="AL98" s="1340"/>
      <c r="AM98" s="1340"/>
      <c r="AN98" s="1340"/>
      <c r="AO98" s="1340"/>
      <c r="AP98" s="1340"/>
      <c r="AQ98" s="1341"/>
      <c r="AR98" s="1340"/>
      <c r="AS98" s="1340"/>
      <c r="AT98" s="1340"/>
      <c r="AU98" s="1471"/>
      <c r="AV98" s="1400"/>
      <c r="AW98" s="1472"/>
      <c r="AX98" s="1473"/>
      <c r="AY98" s="1400"/>
      <c r="AZ98" s="1400"/>
      <c r="BA98" s="1400"/>
      <c r="BB98" s="1400"/>
      <c r="BC98" s="1472"/>
      <c r="BD98" s="1473"/>
      <c r="BE98" s="1400"/>
      <c r="BF98" s="1400"/>
      <c r="BG98" s="1400"/>
      <c r="BH98" s="1400"/>
      <c r="BI98" s="1472"/>
      <c r="BJ98" s="1340"/>
      <c r="BK98" s="1400"/>
      <c r="BL98" s="1400"/>
      <c r="BM98" s="1400"/>
      <c r="BN98" s="1400"/>
      <c r="BO98" s="1474"/>
      <c r="BP98" s="1340"/>
      <c r="BQ98" s="1400"/>
      <c r="BR98" s="1400"/>
      <c r="BS98" s="1400"/>
      <c r="BT98" s="1400"/>
      <c r="BU98" s="1472"/>
      <c r="BV98" s="1340"/>
      <c r="BW98" s="1400"/>
      <c r="BX98" s="1400"/>
      <c r="BY98" s="1400"/>
      <c r="BZ98" s="1400"/>
      <c r="CA98" s="1472"/>
      <c r="CB98" s="1340"/>
      <c r="CC98" s="1400"/>
      <c r="CD98" s="1400"/>
      <c r="CE98" s="1400"/>
      <c r="CF98" s="1400"/>
      <c r="CG98" s="1472"/>
      <c r="CH98" s="1340"/>
      <c r="CI98" s="1753"/>
      <c r="CJ98" s="1753"/>
      <c r="CK98" s="1753"/>
      <c r="CL98" s="1753"/>
      <c r="CM98" s="1597"/>
      <c r="CN98" s="257"/>
      <c r="CO98" s="1753">
        <f>CO92-CI92</f>
        <v>-5.3983764033494197E-2</v>
      </c>
      <c r="CP98" s="1753">
        <f t="shared" ref="CP98:CS98" si="69">CP92-CJ92</f>
        <v>-5.38998447690478E-2</v>
      </c>
      <c r="CQ98" s="1753">
        <f t="shared" si="69"/>
        <v>-5.3436799907777444E-2</v>
      </c>
      <c r="CR98" s="1753">
        <f t="shared" si="69"/>
        <v>-4.794126526304382E-2</v>
      </c>
      <c r="CS98" s="1597">
        <f t="shared" si="69"/>
        <v>-5.2276848275810917E-2</v>
      </c>
      <c r="CT98" s="1340"/>
      <c r="CU98" s="1753">
        <f>CU92-CO92</f>
        <v>-4.0477098776581066E-2</v>
      </c>
      <c r="CV98" s="1753">
        <f t="shared" ref="CV98:CX101" si="70">CV92-CP92</f>
        <v>-4.0826247875052568E-2</v>
      </c>
      <c r="CW98" s="1753">
        <f t="shared" si="70"/>
        <v>-4.0205355176183621E-2</v>
      </c>
      <c r="CX98" s="1753">
        <f t="shared" si="70"/>
        <v>-3.9944534450336466E-2</v>
      </c>
      <c r="CY98" s="1597">
        <f>CY92-CS92</f>
        <v>-4.0334379688947541E-2</v>
      </c>
      <c r="CZ98" s="1756"/>
      <c r="DA98" s="1753">
        <f>DA92-CU92</f>
        <v>-3.1173683728549229E-2</v>
      </c>
      <c r="DB98" s="1753">
        <f t="shared" ref="DB98:DE101" si="71">DB92-CV92</f>
        <v>-2.5998586573102667E-2</v>
      </c>
      <c r="DC98" s="1753">
        <f t="shared" si="71"/>
        <v>-2.6602510766312315E-2</v>
      </c>
      <c r="DD98" s="1753">
        <f t="shared" si="71"/>
        <v>-3.0382230544984845E-2</v>
      </c>
      <c r="DE98" s="1597">
        <f>DE92-CY92</f>
        <v>-2.856889499387294E-2</v>
      </c>
      <c r="DF98" s="1756"/>
      <c r="DG98" s="1754">
        <v>-1.2999999999999999E-2</v>
      </c>
      <c r="DH98" s="1754">
        <v>-3.5000000000000003E-2</v>
      </c>
      <c r="DI98" s="1754">
        <v>-3.5000000000000003E-2</v>
      </c>
      <c r="DJ98" s="1754">
        <v>-3.6499999999999998E-2</v>
      </c>
      <c r="DK98" s="1755">
        <f>DK92-DE92</f>
        <v>-3.0237842545587756E-2</v>
      </c>
      <c r="DL98" s="1756"/>
      <c r="DM98" s="1754">
        <v>-1.2999999999999999E-2</v>
      </c>
      <c r="DN98" s="1754">
        <v>-3.5000000000000003E-2</v>
      </c>
      <c r="DO98" s="1754">
        <v>-3.5000000000000003E-2</v>
      </c>
      <c r="DP98" s="1754">
        <v>-3.6499999999999998E-2</v>
      </c>
      <c r="DQ98" s="1755">
        <f>DQ92-DK92</f>
        <v>-3.0298884955751282E-2</v>
      </c>
      <c r="DR98" s="1756"/>
      <c r="DS98" s="1754">
        <v>-1.2999999999999999E-2</v>
      </c>
      <c r="DT98" s="1754">
        <v>-3.5000000000000003E-2</v>
      </c>
      <c r="DU98" s="1754">
        <v>-3.5000000000000003E-2</v>
      </c>
      <c r="DV98" s="1754">
        <v>-3.6499999999999998E-2</v>
      </c>
      <c r="DW98" s="1755">
        <f>DW92-DQ92</f>
        <v>-3.0271571672231823E-2</v>
      </c>
      <c r="DX98" s="500"/>
      <c r="DY98" s="500"/>
      <c r="DZ98" s="500"/>
      <c r="EA98" s="500"/>
      <c r="EB98" s="500"/>
      <c r="EC98" s="500"/>
      <c r="ED98" s="500"/>
      <c r="EE98" s="500"/>
      <c r="EF98" s="500"/>
      <c r="EG98" s="500"/>
      <c r="EH98" s="500"/>
      <c r="EI98" s="500"/>
    </row>
    <row r="99" spans="1:142" ht="14.25" customHeight="1">
      <c r="A99" s="1340" t="s">
        <v>951</v>
      </c>
      <c r="B99" s="1340"/>
      <c r="C99" s="1340"/>
      <c r="D99" s="1340"/>
      <c r="E99" s="1340"/>
      <c r="F99" s="1340"/>
      <c r="G99" s="853"/>
      <c r="H99" s="1340"/>
      <c r="I99" s="1340"/>
      <c r="J99" s="1340"/>
      <c r="K99" s="1340"/>
      <c r="L99" s="500"/>
      <c r="M99" s="853"/>
      <c r="N99" s="1340"/>
      <c r="O99" s="1340"/>
      <c r="P99" s="1340"/>
      <c r="Q99" s="1340"/>
      <c r="R99" s="1340"/>
      <c r="S99" s="853"/>
      <c r="T99" s="1340"/>
      <c r="U99" s="1340"/>
      <c r="V99" s="1340"/>
      <c r="W99" s="1340"/>
      <c r="X99" s="1340"/>
      <c r="Y99" s="853"/>
      <c r="Z99" s="1340"/>
      <c r="AA99" s="1340"/>
      <c r="AB99" s="1340"/>
      <c r="AC99" s="1340"/>
      <c r="AD99" s="1340"/>
      <c r="AE99" s="853"/>
      <c r="AF99" s="1340"/>
      <c r="AG99" s="1340"/>
      <c r="AH99" s="1340"/>
      <c r="AI99" s="1340"/>
      <c r="AJ99" s="1340"/>
      <c r="AK99" s="853"/>
      <c r="AL99" s="1340"/>
      <c r="AM99" s="1340"/>
      <c r="AN99" s="1340"/>
      <c r="AO99" s="1340"/>
      <c r="AP99" s="1340"/>
      <c r="AQ99" s="1341"/>
      <c r="AR99" s="1340"/>
      <c r="AS99" s="1340"/>
      <c r="AT99" s="1340"/>
      <c r="AU99" s="1471"/>
      <c r="AV99" s="1400"/>
      <c r="AW99" s="1472"/>
      <c r="AX99" s="1473"/>
      <c r="AY99" s="1400"/>
      <c r="AZ99" s="1400"/>
      <c r="BA99" s="1400"/>
      <c r="BB99" s="1400"/>
      <c r="BC99" s="1472"/>
      <c r="BD99" s="1473"/>
      <c r="BE99" s="1400"/>
      <c r="BF99" s="1400"/>
      <c r="BG99" s="1400"/>
      <c r="BH99" s="1400"/>
      <c r="BI99" s="1472"/>
      <c r="BJ99" s="1340"/>
      <c r="BK99" s="1400"/>
      <c r="BL99" s="1400"/>
      <c r="BM99" s="1400"/>
      <c r="BN99" s="1400"/>
      <c r="BO99" s="1474"/>
      <c r="BP99" s="1340"/>
      <c r="BQ99" s="1400"/>
      <c r="BR99" s="1400"/>
      <c r="BS99" s="1400"/>
      <c r="BT99" s="1400"/>
      <c r="BU99" s="1472"/>
      <c r="BV99" s="1340"/>
      <c r="BW99" s="1400"/>
      <c r="BX99" s="1400"/>
      <c r="BY99" s="1400"/>
      <c r="BZ99" s="1400"/>
      <c r="CA99" s="1472"/>
      <c r="CB99" s="1340"/>
      <c r="CC99" s="1400"/>
      <c r="CD99" s="1400"/>
      <c r="CE99" s="1400"/>
      <c r="CF99" s="1400"/>
      <c r="CG99" s="1472"/>
      <c r="CH99" s="1340"/>
      <c r="CI99" s="1753"/>
      <c r="CJ99" s="1753"/>
      <c r="CK99" s="1753"/>
      <c r="CL99" s="1753"/>
      <c r="CM99" s="1597"/>
      <c r="CN99" s="257"/>
      <c r="CO99" s="1753">
        <f t="shared" ref="CO99:CO101" si="72">CO93-CI93</f>
        <v>3.316488687975444E-2</v>
      </c>
      <c r="CP99" s="1753">
        <f t="shared" ref="CP99:CP101" si="73">CP93-CJ93</f>
        <v>3.4085305552282064E-2</v>
      </c>
      <c r="CQ99" s="1753">
        <f t="shared" ref="CQ99:CQ101" si="74">CQ93-CK93</f>
        <v>3.0347282435084166E-2</v>
      </c>
      <c r="CR99" s="1753">
        <f t="shared" ref="CR99:CR101" si="75">CR93-CL93</f>
        <v>2.1492712382780776E-2</v>
      </c>
      <c r="CS99" s="1597">
        <f t="shared" ref="CS99:CS101" si="76">CS93-CM93</f>
        <v>2.9546081872211361E-2</v>
      </c>
      <c r="CT99" s="1340"/>
      <c r="CU99" s="1753">
        <f t="shared" ref="CU99:CU101" si="77">CU93-CO93</f>
        <v>1.4080011658002378E-2</v>
      </c>
      <c r="CV99" s="1753">
        <f t="shared" si="70"/>
        <v>1.2429513317445462E-2</v>
      </c>
      <c r="CW99" s="1753">
        <f t="shared" si="70"/>
        <v>3.2109819734345568E-3</v>
      </c>
      <c r="CX99" s="1753">
        <f t="shared" si="70"/>
        <v>-2.8337053113552391E-3</v>
      </c>
      <c r="CY99" s="1597">
        <f>CY93-CS93</f>
        <v>6.289086161834212E-3</v>
      </c>
      <c r="CZ99" s="1756"/>
      <c r="DA99" s="1753">
        <f t="shared" ref="DA99:DA101" si="78">DA93-CU93</f>
        <v>-8.3170425186010477E-3</v>
      </c>
      <c r="DB99" s="1753">
        <f t="shared" si="71"/>
        <v>-1.0161570334944969E-2</v>
      </c>
      <c r="DC99" s="1753">
        <f t="shared" si="71"/>
        <v>-4.3791667153236791E-4</v>
      </c>
      <c r="DD99" s="1753">
        <f t="shared" si="71"/>
        <v>5.7734722114038406E-3</v>
      </c>
      <c r="DE99" s="1597">
        <f>DE93-CY93</f>
        <v>-2.9144152544581803E-3</v>
      </c>
      <c r="DF99" s="1756"/>
      <c r="DG99" s="1754">
        <v>4.9999999999999992E-3</v>
      </c>
      <c r="DH99" s="1758">
        <v>4.9999999999999992E-3</v>
      </c>
      <c r="DI99" s="1754">
        <v>8.9999999999999993E-3</v>
      </c>
      <c r="DJ99" s="1754">
        <v>4.4999999999999997E-3</v>
      </c>
      <c r="DK99" s="1755">
        <f>DK93-DE93</f>
        <v>5.8775745452227524E-3</v>
      </c>
      <c r="DL99" s="1756"/>
      <c r="DM99" s="1754">
        <v>4.9999999999999992E-3</v>
      </c>
      <c r="DN99" s="1758">
        <v>4.9999999999999992E-3</v>
      </c>
      <c r="DO99" s="1754">
        <v>8.9999999999999993E-3</v>
      </c>
      <c r="DP99" s="1754">
        <v>4.4999999999999997E-3</v>
      </c>
      <c r="DQ99" s="1755">
        <f>DQ93-DK93</f>
        <v>5.8862586876331502E-3</v>
      </c>
      <c r="DR99" s="1756"/>
      <c r="DS99" s="1754">
        <v>4.9999999999999992E-3</v>
      </c>
      <c r="DT99" s="1758">
        <v>4.9999999999999992E-3</v>
      </c>
      <c r="DU99" s="1754">
        <v>8.9999999999999993E-3</v>
      </c>
      <c r="DV99" s="1754">
        <v>4.4999999999999997E-3</v>
      </c>
      <c r="DW99" s="1755">
        <f>DW93-DQ93</f>
        <v>5.8809093878938734E-3</v>
      </c>
      <c r="DX99" s="500"/>
      <c r="DY99" s="500"/>
      <c r="DZ99" s="500"/>
      <c r="EA99" s="500"/>
      <c r="EB99" s="500"/>
      <c r="EC99" s="500"/>
      <c r="ED99" s="500"/>
      <c r="EE99" s="500"/>
      <c r="EF99" s="500"/>
      <c r="EG99" s="500"/>
      <c r="EH99" s="500"/>
      <c r="EI99" s="500"/>
    </row>
    <row r="100" spans="1:142" ht="14.25" customHeight="1">
      <c r="A100" s="1340" t="s">
        <v>1041</v>
      </c>
      <c r="B100" s="1340"/>
      <c r="C100" s="1340"/>
      <c r="D100" s="1340"/>
      <c r="E100" s="1340"/>
      <c r="F100" s="1340"/>
      <c r="G100" s="853"/>
      <c r="H100" s="1340"/>
      <c r="I100" s="1340"/>
      <c r="J100" s="1340"/>
      <c r="K100" s="1340"/>
      <c r="L100" s="500"/>
      <c r="M100" s="853"/>
      <c r="N100" s="1340"/>
      <c r="O100" s="1340"/>
      <c r="P100" s="1340"/>
      <c r="Q100" s="1340"/>
      <c r="R100" s="1340"/>
      <c r="S100" s="853"/>
      <c r="T100" s="1340"/>
      <c r="U100" s="1340"/>
      <c r="V100" s="1340"/>
      <c r="W100" s="1340"/>
      <c r="X100" s="1340"/>
      <c r="Y100" s="853"/>
      <c r="Z100" s="1340"/>
      <c r="AA100" s="1340"/>
      <c r="AB100" s="1340"/>
      <c r="AC100" s="1340"/>
      <c r="AD100" s="1340"/>
      <c r="AE100" s="853"/>
      <c r="AF100" s="1340"/>
      <c r="AG100" s="1340"/>
      <c r="AH100" s="1340"/>
      <c r="AI100" s="1340"/>
      <c r="AJ100" s="1340"/>
      <c r="AK100" s="853"/>
      <c r="AL100" s="1340"/>
      <c r="AM100" s="1340"/>
      <c r="AN100" s="1340"/>
      <c r="AO100" s="1340"/>
      <c r="AP100" s="1340"/>
      <c r="AQ100" s="1341"/>
      <c r="AR100" s="1340"/>
      <c r="AS100" s="1340"/>
      <c r="AT100" s="1340"/>
      <c r="AU100" s="1471"/>
      <c r="AV100" s="1400"/>
      <c r="AW100" s="1472"/>
      <c r="AX100" s="1473"/>
      <c r="AY100" s="1400"/>
      <c r="AZ100" s="1400"/>
      <c r="BA100" s="1400"/>
      <c r="BB100" s="1400"/>
      <c r="BC100" s="1472"/>
      <c r="BD100" s="1473"/>
      <c r="BE100" s="1400"/>
      <c r="BF100" s="1400"/>
      <c r="BG100" s="1400"/>
      <c r="BH100" s="1400"/>
      <c r="BI100" s="1472"/>
      <c r="BJ100" s="1340"/>
      <c r="BK100" s="1400"/>
      <c r="BL100" s="1400"/>
      <c r="BM100" s="1400"/>
      <c r="BN100" s="1400"/>
      <c r="BO100" s="1474"/>
      <c r="BP100" s="1340"/>
      <c r="BQ100" s="1400"/>
      <c r="BR100" s="1400"/>
      <c r="BS100" s="1400"/>
      <c r="BT100" s="1400"/>
      <c r="BU100" s="1472"/>
      <c r="BV100" s="1340"/>
      <c r="BW100" s="1400"/>
      <c r="BX100" s="1400"/>
      <c r="BY100" s="1400"/>
      <c r="BZ100" s="1400"/>
      <c r="CA100" s="1472"/>
      <c r="CB100" s="1340"/>
      <c r="CC100" s="1400"/>
      <c r="CD100" s="1400"/>
      <c r="CE100" s="1400"/>
      <c r="CF100" s="1400"/>
      <c r="CG100" s="1472"/>
      <c r="CH100" s="1340"/>
      <c r="CI100" s="1753"/>
      <c r="CJ100" s="1753"/>
      <c r="CK100" s="1753"/>
      <c r="CL100" s="1753"/>
      <c r="CM100" s="1597"/>
      <c r="CN100" s="257"/>
      <c r="CO100" s="1753">
        <f t="shared" si="72"/>
        <v>5.1510614933744231E-3</v>
      </c>
      <c r="CP100" s="1753">
        <f t="shared" si="73"/>
        <v>4.4905209351349396E-3</v>
      </c>
      <c r="CQ100" s="1753">
        <f t="shared" si="74"/>
        <v>3.4648588787093704E-3</v>
      </c>
      <c r="CR100" s="1753">
        <f t="shared" si="75"/>
        <v>4.9924895686195569E-3</v>
      </c>
      <c r="CS100" s="1597">
        <f t="shared" si="76"/>
        <v>4.5332881798458569E-3</v>
      </c>
      <c r="CT100" s="1340"/>
      <c r="CU100" s="1753">
        <f t="shared" si="77"/>
        <v>2.239728775100383E-3</v>
      </c>
      <c r="CV100" s="1753">
        <f t="shared" si="70"/>
        <v>3.5185744957001164E-3</v>
      </c>
      <c r="CW100" s="1753">
        <f t="shared" si="70"/>
        <v>1.8726950225622568E-2</v>
      </c>
      <c r="CX100" s="1753">
        <f t="shared" si="70"/>
        <v>3.2216338359730895E-2</v>
      </c>
      <c r="CY100" s="1597">
        <f>CY94-CS94</f>
        <v>1.4923195770788641E-2</v>
      </c>
      <c r="CZ100" s="1756"/>
      <c r="DA100" s="1753">
        <f t="shared" si="78"/>
        <v>2.717023970596294E-2</v>
      </c>
      <c r="DB100" s="1753">
        <f t="shared" si="71"/>
        <v>2.6570820648872881E-2</v>
      </c>
      <c r="DC100" s="1753">
        <f t="shared" si="71"/>
        <v>1.4657479456747266E-2</v>
      </c>
      <c r="DD100" s="1753">
        <f t="shared" si="71"/>
        <v>8.1907689963174601E-3</v>
      </c>
      <c r="DE100" s="1597">
        <f>DE94-CY94</f>
        <v>1.8686477434682242E-2</v>
      </c>
      <c r="DF100" s="1756"/>
      <c r="DG100" s="1754">
        <v>0</v>
      </c>
      <c r="DH100" s="1754">
        <v>0</v>
      </c>
      <c r="DI100" s="1754">
        <v>0</v>
      </c>
      <c r="DJ100" s="1754">
        <v>5.0000000000000001E-3</v>
      </c>
      <c r="DK100" s="1755">
        <f>DK94-DE94</f>
        <v>1.2827986422380422E-3</v>
      </c>
      <c r="DL100" s="1756"/>
      <c r="DM100" s="1754">
        <v>0.01</v>
      </c>
      <c r="DN100" s="1754">
        <v>1.2999999999999999E-2</v>
      </c>
      <c r="DO100" s="1754">
        <v>0.01</v>
      </c>
      <c r="DP100" s="1754">
        <v>0</v>
      </c>
      <c r="DQ100" s="1755">
        <f>DQ94-DK94</f>
        <v>8.0236354561592782E-3</v>
      </c>
      <c r="DR100" s="1756"/>
      <c r="DS100" s="1754">
        <v>2.3E-2</v>
      </c>
      <c r="DT100" s="1754">
        <v>1.2999999999999999E-2</v>
      </c>
      <c r="DU100" s="1754">
        <v>0</v>
      </c>
      <c r="DV100" s="1754">
        <v>-1.4E-2</v>
      </c>
      <c r="DW100" s="1755">
        <f>DW94-DQ94</f>
        <v>4.7350141466887818E-3</v>
      </c>
      <c r="DX100" s="500"/>
      <c r="DY100" s="500"/>
      <c r="DZ100" s="500"/>
      <c r="EA100" s="500"/>
      <c r="EB100" s="500"/>
      <c r="EC100" s="500"/>
      <c r="ED100" s="500"/>
      <c r="EE100" s="500"/>
      <c r="EF100" s="500"/>
      <c r="EG100" s="500"/>
      <c r="EH100" s="500"/>
      <c r="EI100" s="500"/>
    </row>
    <row r="101" spans="1:142" ht="14.25" customHeight="1">
      <c r="A101" s="1340" t="s">
        <v>1042</v>
      </c>
      <c r="B101" s="1340"/>
      <c r="C101" s="1340"/>
      <c r="D101" s="1340"/>
      <c r="E101" s="1340"/>
      <c r="F101" s="1340"/>
      <c r="G101" s="853"/>
      <c r="H101" s="1340"/>
      <c r="I101" s="1340"/>
      <c r="J101" s="1340"/>
      <c r="K101" s="1340"/>
      <c r="L101" s="500"/>
      <c r="M101" s="853"/>
      <c r="N101" s="1340"/>
      <c r="O101" s="1340"/>
      <c r="P101" s="1340"/>
      <c r="Q101" s="1340"/>
      <c r="R101" s="1340"/>
      <c r="S101" s="853"/>
      <c r="T101" s="1340"/>
      <c r="U101" s="1340"/>
      <c r="V101" s="1340"/>
      <c r="W101" s="1340"/>
      <c r="X101" s="1340"/>
      <c r="Y101" s="853"/>
      <c r="Z101" s="1340"/>
      <c r="AA101" s="1340"/>
      <c r="AB101" s="1340"/>
      <c r="AC101" s="1340"/>
      <c r="AD101" s="1340"/>
      <c r="AE101" s="853"/>
      <c r="AF101" s="1340"/>
      <c r="AG101" s="1340"/>
      <c r="AH101" s="1340"/>
      <c r="AI101" s="1340"/>
      <c r="AJ101" s="1340"/>
      <c r="AK101" s="853"/>
      <c r="AL101" s="1340"/>
      <c r="AM101" s="1340"/>
      <c r="AN101" s="1340"/>
      <c r="AO101" s="1340"/>
      <c r="AP101" s="1340"/>
      <c r="AQ101" s="1341"/>
      <c r="AR101" s="1340"/>
      <c r="AS101" s="1340"/>
      <c r="AT101" s="1340"/>
      <c r="AU101" s="1471"/>
      <c r="AV101" s="1400"/>
      <c r="AW101" s="1472"/>
      <c r="AX101" s="1473"/>
      <c r="AY101" s="1400"/>
      <c r="AZ101" s="1400"/>
      <c r="BA101" s="1400"/>
      <c r="BB101" s="1400"/>
      <c r="BC101" s="1472"/>
      <c r="BD101" s="1473"/>
      <c r="BE101" s="1400"/>
      <c r="BF101" s="1400"/>
      <c r="BG101" s="1400"/>
      <c r="BH101" s="1400"/>
      <c r="BI101" s="1472"/>
      <c r="BJ101" s="1340"/>
      <c r="BK101" s="1400"/>
      <c r="BL101" s="1400"/>
      <c r="BM101" s="1400"/>
      <c r="BN101" s="1400"/>
      <c r="BO101" s="1474"/>
      <c r="BP101" s="1340"/>
      <c r="BQ101" s="1400"/>
      <c r="BR101" s="1400"/>
      <c r="BS101" s="1400"/>
      <c r="BT101" s="1400"/>
      <c r="BU101" s="1472"/>
      <c r="BV101" s="1340"/>
      <c r="BW101" s="1400"/>
      <c r="BX101" s="1400"/>
      <c r="BY101" s="1400"/>
      <c r="BZ101" s="1400"/>
      <c r="CA101" s="1472"/>
      <c r="CB101" s="1340"/>
      <c r="CC101" s="1400"/>
      <c r="CD101" s="1400"/>
      <c r="CE101" s="1400"/>
      <c r="CF101" s="1400"/>
      <c r="CG101" s="1472"/>
      <c r="CH101" s="1340"/>
      <c r="CI101" s="1753"/>
      <c r="CJ101" s="1753"/>
      <c r="CK101" s="1753"/>
      <c r="CL101" s="1753"/>
      <c r="CM101" s="1597"/>
      <c r="CN101" s="257"/>
      <c r="CO101" s="1753">
        <f t="shared" si="72"/>
        <v>1.5667815660365458E-2</v>
      </c>
      <c r="CP101" s="1753">
        <f t="shared" si="73"/>
        <v>1.5324018281630769E-2</v>
      </c>
      <c r="CQ101" s="1753">
        <f t="shared" si="74"/>
        <v>1.9624658593983851E-2</v>
      </c>
      <c r="CR101" s="1753">
        <f t="shared" si="75"/>
        <v>2.1456063311643681E-2</v>
      </c>
      <c r="CS101" s="1597">
        <f t="shared" si="76"/>
        <v>1.8197478223753533E-2</v>
      </c>
      <c r="CT101" s="1340"/>
      <c r="CU101" s="1753">
        <f t="shared" si="77"/>
        <v>2.4157358343478347E-2</v>
      </c>
      <c r="CV101" s="1753">
        <f t="shared" si="70"/>
        <v>2.487816006190699E-2</v>
      </c>
      <c r="CW101" s="1753">
        <f t="shared" si="70"/>
        <v>1.8267422977126524E-2</v>
      </c>
      <c r="CX101" s="1753">
        <f t="shared" si="70"/>
        <v>1.0561901401960783E-2</v>
      </c>
      <c r="CY101" s="1597">
        <f t="shared" ref="CY101" si="79">CY95-CS95</f>
        <v>1.9122097756324785E-2</v>
      </c>
      <c r="CZ101" s="1756"/>
      <c r="DA101" s="1753">
        <f t="shared" si="78"/>
        <v>1.2320486541187253E-2</v>
      </c>
      <c r="DB101" s="1753">
        <f t="shared" si="71"/>
        <v>9.5893362591746856E-3</v>
      </c>
      <c r="DC101" s="1753">
        <f t="shared" si="71"/>
        <v>1.2382947981097514E-2</v>
      </c>
      <c r="DD101" s="1753">
        <f t="shared" si="71"/>
        <v>1.6417989337263433E-2</v>
      </c>
      <c r="DE101" s="1597">
        <f t="shared" si="71"/>
        <v>1.2796832813648906E-2</v>
      </c>
      <c r="DF101" s="1756"/>
      <c r="DG101" s="1754">
        <f>DG95-DA95</f>
        <v>8.0000000000000904E-3</v>
      </c>
      <c r="DH101" s="1754">
        <f>DH95-DB95</f>
        <v>3.0000000000000027E-2</v>
      </c>
      <c r="DI101" s="1754">
        <f>DI95-DC95</f>
        <v>2.5999999999999968E-2</v>
      </c>
      <c r="DJ101" s="1754">
        <f>DJ95-DD95</f>
        <v>2.7000000000000079E-2</v>
      </c>
      <c r="DK101" s="1755">
        <f t="shared" ref="DK101" si="80">DK95-DE95</f>
        <v>2.3077469358126851E-2</v>
      </c>
      <c r="DL101" s="1756"/>
      <c r="DM101" s="1754">
        <f>DM95-DG95</f>
        <v>-2.0000000000000018E-3</v>
      </c>
      <c r="DN101" s="1754">
        <f>DN95-DH95</f>
        <v>1.7000000000000015E-2</v>
      </c>
      <c r="DO101" s="1754">
        <f>DO95-DI95</f>
        <v>1.6000000000000014E-2</v>
      </c>
      <c r="DP101" s="1754">
        <f>DP95-DJ95</f>
        <v>3.1999999999999917E-2</v>
      </c>
      <c r="DQ101" s="1755">
        <f t="shared" ref="DQ101" si="81">DQ95-DK95</f>
        <v>1.6388990811958909E-2</v>
      </c>
      <c r="DR101" s="1756"/>
      <c r="DS101" s="1754">
        <f>DS95-DM95</f>
        <v>-1.5000000000000013E-2</v>
      </c>
      <c r="DT101" s="1754">
        <f>DT95-DN95</f>
        <v>1.7000000000000015E-2</v>
      </c>
      <c r="DU101" s="1754">
        <f>DU95-DO95</f>
        <v>2.6000000000000023E-2</v>
      </c>
      <c r="DV101" s="1754">
        <f>DV95-DP95</f>
        <v>4.6000000000000041E-2</v>
      </c>
      <c r="DW101" s="1755">
        <f t="shared" ref="DW101" si="82">DW95-DQ95</f>
        <v>1.9655648137649168E-2</v>
      </c>
      <c r="DX101" s="500"/>
      <c r="DY101" s="500"/>
      <c r="DZ101" s="500"/>
      <c r="EA101" s="500"/>
      <c r="EB101" s="500"/>
      <c r="EC101" s="500"/>
      <c r="ED101" s="500"/>
      <c r="EE101" s="500"/>
      <c r="EF101" s="500"/>
      <c r="EG101" s="500"/>
      <c r="EH101" s="500"/>
      <c r="EI101" s="500"/>
    </row>
    <row r="102" spans="1:142" s="1575" customFormat="1" ht="14.25" customHeight="1">
      <c r="A102" s="1340"/>
      <c r="B102" s="1340"/>
      <c r="C102" s="1340"/>
      <c r="D102" s="1340"/>
      <c r="E102" s="1340"/>
      <c r="F102" s="1340"/>
      <c r="G102" s="853"/>
      <c r="H102" s="1340"/>
      <c r="I102" s="1340"/>
      <c r="J102" s="1340"/>
      <c r="K102" s="1340"/>
      <c r="L102" s="500"/>
      <c r="M102" s="853"/>
      <c r="N102" s="1340"/>
      <c r="O102" s="1340"/>
      <c r="P102" s="1340"/>
      <c r="Q102" s="1340"/>
      <c r="R102" s="1340"/>
      <c r="S102" s="853"/>
      <c r="T102" s="1340"/>
      <c r="U102" s="1340"/>
      <c r="V102" s="1340"/>
      <c r="W102" s="1340"/>
      <c r="X102" s="1340"/>
      <c r="Y102" s="853"/>
      <c r="Z102" s="1340"/>
      <c r="AA102" s="1340"/>
      <c r="AB102" s="1340"/>
      <c r="AC102" s="1340"/>
      <c r="AD102" s="1340"/>
      <c r="AE102" s="853"/>
      <c r="AF102" s="1340"/>
      <c r="AG102" s="1340"/>
      <c r="AH102" s="1340"/>
      <c r="AI102" s="1340"/>
      <c r="AJ102" s="1340"/>
      <c r="AK102" s="853"/>
      <c r="AL102" s="1340"/>
      <c r="AM102" s="1340"/>
      <c r="AN102" s="1340"/>
      <c r="AO102" s="1340"/>
      <c r="AP102" s="1340"/>
      <c r="AQ102" s="853"/>
      <c r="AR102" s="1340"/>
      <c r="AS102" s="1340"/>
      <c r="AT102" s="1340"/>
      <c r="AU102" s="1471"/>
      <c r="AV102" s="1400"/>
      <c r="AW102" s="1473"/>
      <c r="AX102" s="1473"/>
      <c r="AY102" s="1400"/>
      <c r="AZ102" s="1400"/>
      <c r="BA102" s="1400"/>
      <c r="BB102" s="1400"/>
      <c r="BC102" s="1473"/>
      <c r="BD102" s="1473"/>
      <c r="BE102" s="1400"/>
      <c r="BF102" s="1400"/>
      <c r="BG102" s="1400"/>
      <c r="BH102" s="1400"/>
      <c r="BI102" s="1473"/>
      <c r="BJ102" s="1340"/>
      <c r="BK102" s="1400"/>
      <c r="BL102" s="1400"/>
      <c r="BM102" s="1400"/>
      <c r="BN102" s="1400"/>
      <c r="BO102" s="1473"/>
      <c r="BP102" s="1340"/>
      <c r="BQ102" s="1400"/>
      <c r="BR102" s="1400"/>
      <c r="BS102" s="1400"/>
      <c r="BT102" s="1400"/>
      <c r="BU102" s="1473"/>
      <c r="BV102" s="1340"/>
      <c r="BW102" s="1400"/>
      <c r="BX102" s="1400"/>
      <c r="BY102" s="1400"/>
      <c r="BZ102" s="1400"/>
      <c r="CA102" s="1473"/>
      <c r="CB102" s="1340"/>
      <c r="CC102" s="1400"/>
      <c r="CD102" s="1400"/>
      <c r="CE102" s="1400"/>
      <c r="CF102" s="1400"/>
      <c r="CG102" s="1472"/>
      <c r="CH102" s="1340"/>
      <c r="CI102" s="1400"/>
      <c r="CJ102" s="1400"/>
      <c r="CK102" s="1400"/>
      <c r="CL102" s="1400"/>
      <c r="CM102" s="1472"/>
      <c r="CN102" s="1340"/>
      <c r="CO102" s="1400"/>
      <c r="CP102" s="1400"/>
      <c r="CQ102" s="1400"/>
      <c r="CR102" s="1400"/>
      <c r="CS102" s="1472"/>
      <c r="CT102" s="1340"/>
      <c r="CU102" s="1400"/>
      <c r="CV102" s="1400"/>
      <c r="CW102" s="1400"/>
      <c r="CX102" s="1400"/>
      <c r="CY102" s="1472"/>
      <c r="CZ102" s="1340"/>
      <c r="DA102" s="1400"/>
      <c r="DB102" s="1400"/>
      <c r="DC102" s="1400"/>
      <c r="DD102" s="1400"/>
      <c r="DE102" s="1472"/>
      <c r="DF102" s="1340"/>
      <c r="DG102" s="1400"/>
      <c r="DH102" s="1400"/>
      <c r="DI102" s="1400"/>
      <c r="DJ102" s="1400"/>
      <c r="DK102" s="1472"/>
      <c r="DL102" s="1340"/>
      <c r="DM102" s="1400"/>
      <c r="DN102" s="1400"/>
      <c r="DO102" s="1400"/>
      <c r="DP102" s="1400"/>
      <c r="DQ102" s="1472"/>
      <c r="DR102" s="1340"/>
      <c r="DS102" s="1400"/>
      <c r="DT102" s="1400"/>
      <c r="DU102" s="1400"/>
      <c r="DV102" s="1400"/>
      <c r="DW102" s="1472"/>
      <c r="DX102" s="500"/>
      <c r="DY102" s="500"/>
      <c r="DZ102" s="500"/>
      <c r="EA102" s="500"/>
      <c r="EB102" s="500"/>
      <c r="EC102" s="500"/>
      <c r="ED102" s="500"/>
      <c r="EE102" s="500"/>
      <c r="EF102" s="500"/>
      <c r="EG102" s="500"/>
      <c r="EH102" s="500"/>
      <c r="EI102" s="500"/>
    </row>
    <row r="103" spans="1:142" s="475" customFormat="1" ht="15">
      <c r="A103" s="425" t="s">
        <v>875</v>
      </c>
      <c r="B103" s="425"/>
      <c r="C103" s="425"/>
      <c r="D103" s="425"/>
      <c r="E103" s="425"/>
      <c r="F103" s="425"/>
      <c r="G103" s="425"/>
      <c r="H103" s="425"/>
      <c r="I103" s="426"/>
      <c r="J103" s="426"/>
      <c r="K103" s="426"/>
      <c r="L103" s="426"/>
      <c r="M103" s="425"/>
      <c r="N103" s="425"/>
      <c r="O103" s="426"/>
      <c r="P103" s="426"/>
      <c r="Q103" s="426"/>
      <c r="R103" s="426"/>
      <c r="S103" s="425"/>
      <c r="T103" s="426"/>
      <c r="U103" s="426"/>
      <c r="V103" s="426"/>
      <c r="W103" s="426"/>
      <c r="X103" s="426"/>
      <c r="Y103" s="425"/>
      <c r="Z103" s="426"/>
      <c r="AA103" s="426"/>
      <c r="AB103" s="426"/>
      <c r="AC103" s="426"/>
      <c r="AD103" s="426"/>
      <c r="AE103" s="425"/>
      <c r="AF103" s="426"/>
      <c r="AG103" s="426"/>
      <c r="AH103" s="426"/>
      <c r="AI103" s="426"/>
      <c r="AJ103" s="426"/>
      <c r="AK103" s="425"/>
      <c r="AL103" s="426"/>
      <c r="AM103" s="426"/>
      <c r="AN103" s="426"/>
      <c r="AO103" s="426"/>
      <c r="AP103" s="426"/>
      <c r="AQ103" s="427"/>
      <c r="AR103" s="426"/>
      <c r="AS103" s="426"/>
      <c r="AT103" s="426"/>
      <c r="AU103" s="426"/>
      <c r="AV103" s="426"/>
      <c r="AW103" s="427"/>
      <c r="AX103" s="426"/>
      <c r="AY103" s="426"/>
      <c r="AZ103" s="426"/>
      <c r="BA103" s="426"/>
      <c r="BB103" s="426"/>
      <c r="BC103" s="427"/>
      <c r="BD103" s="426"/>
      <c r="BE103" s="426"/>
      <c r="BF103" s="426"/>
      <c r="BG103" s="426"/>
      <c r="BH103" s="426"/>
      <c r="BI103" s="427"/>
      <c r="BJ103" s="426"/>
      <c r="BK103" s="426"/>
      <c r="BL103" s="426"/>
      <c r="BM103" s="426"/>
      <c r="BN103" s="426"/>
      <c r="BO103" s="428"/>
      <c r="BP103" s="426"/>
      <c r="BQ103" s="426"/>
      <c r="BR103" s="426"/>
      <c r="BS103" s="426"/>
      <c r="BT103" s="426"/>
      <c r="BU103" s="429"/>
      <c r="BV103" s="426"/>
      <c r="BW103" s="426"/>
      <c r="BX103" s="426"/>
      <c r="BY103" s="426"/>
      <c r="BZ103" s="426"/>
      <c r="CA103" s="429"/>
      <c r="CB103" s="426"/>
      <c r="CC103" s="426"/>
      <c r="CD103" s="426"/>
      <c r="CE103" s="426"/>
      <c r="CF103" s="426"/>
      <c r="CG103" s="429"/>
      <c r="CH103" s="426"/>
      <c r="CI103" s="426"/>
      <c r="CJ103" s="426"/>
      <c r="CK103" s="426"/>
      <c r="CL103" s="426"/>
      <c r="CM103" s="429"/>
      <c r="CN103" s="426"/>
      <c r="CO103" s="426"/>
      <c r="CP103" s="426"/>
      <c r="CQ103" s="426"/>
      <c r="CR103" s="426"/>
      <c r="CS103" s="429"/>
      <c r="CT103" s="426"/>
      <c r="CU103" s="426"/>
      <c r="CV103" s="426"/>
      <c r="CW103" s="426"/>
      <c r="CX103" s="426"/>
      <c r="CY103" s="429"/>
      <c r="CZ103" s="426"/>
      <c r="DA103" s="426"/>
      <c r="DB103" s="426"/>
      <c r="DC103" s="426"/>
      <c r="DD103" s="426"/>
      <c r="DE103" s="429"/>
      <c r="DF103" s="426"/>
      <c r="DG103" s="426"/>
      <c r="DH103" s="426"/>
      <c r="DI103" s="426"/>
      <c r="DJ103" s="426"/>
      <c r="DK103" s="429"/>
      <c r="DL103" s="426"/>
      <c r="DM103" s="426"/>
      <c r="DN103" s="426"/>
      <c r="DO103" s="426"/>
      <c r="DP103" s="426"/>
      <c r="DQ103" s="429"/>
      <c r="DR103" s="426"/>
      <c r="DS103" s="426"/>
      <c r="DT103" s="426"/>
      <c r="DU103" s="426"/>
      <c r="DV103" s="426"/>
      <c r="DW103" s="429"/>
      <c r="EJ103" s="656"/>
      <c r="EK103" s="656"/>
      <c r="EL103" s="656"/>
    </row>
    <row r="104" spans="1:142" ht="5.25" customHeight="1">
      <c r="A104" s="1340"/>
      <c r="B104" s="1340"/>
      <c r="C104" s="1340"/>
      <c r="D104" s="1340"/>
      <c r="E104" s="1340"/>
      <c r="F104" s="1340"/>
      <c r="G104" s="853"/>
      <c r="H104" s="1340"/>
      <c r="I104" s="1340"/>
      <c r="J104" s="1340"/>
      <c r="K104" s="1340"/>
      <c r="L104" s="500"/>
      <c r="M104" s="853"/>
      <c r="N104" s="1340"/>
      <c r="O104" s="1340"/>
      <c r="P104" s="1340"/>
      <c r="Q104" s="1340"/>
      <c r="R104" s="1340"/>
      <c r="S104" s="853"/>
      <c r="T104" s="1340"/>
      <c r="U104" s="1340"/>
      <c r="V104" s="1340"/>
      <c r="W104" s="1340"/>
      <c r="X104" s="1340"/>
      <c r="Y104" s="853"/>
      <c r="Z104" s="1340"/>
      <c r="AA104" s="1340"/>
      <c r="AB104" s="1340"/>
      <c r="AC104" s="1340"/>
      <c r="AD104" s="1340"/>
      <c r="AE104" s="853"/>
      <c r="AF104" s="1340"/>
      <c r="AG104" s="1340"/>
      <c r="AH104" s="1340"/>
      <c r="AI104" s="1340"/>
      <c r="AJ104" s="1340"/>
      <c r="AK104" s="853"/>
      <c r="AL104" s="1340"/>
      <c r="AM104" s="1340"/>
      <c r="AN104" s="1340"/>
      <c r="AO104" s="1340"/>
      <c r="AP104" s="1340"/>
      <c r="AQ104" s="1341"/>
      <c r="AR104" s="1340"/>
      <c r="AS104" s="1340"/>
      <c r="AT104" s="1340"/>
      <c r="AU104" s="1471"/>
      <c r="AV104" s="1400"/>
      <c r="AW104" s="1472"/>
      <c r="AX104" s="1473"/>
      <c r="AY104" s="1400"/>
      <c r="AZ104" s="1400"/>
      <c r="BA104" s="1400"/>
      <c r="BB104" s="1400"/>
      <c r="BC104" s="1472"/>
      <c r="BD104" s="1473"/>
      <c r="BE104" s="1400"/>
      <c r="BF104" s="1400"/>
      <c r="BG104" s="1400"/>
      <c r="BH104" s="1400"/>
      <c r="BI104" s="1472"/>
      <c r="BJ104" s="1340"/>
      <c r="BK104" s="1400"/>
      <c r="BL104" s="1400"/>
      <c r="BM104" s="1400"/>
      <c r="BN104" s="1400"/>
      <c r="BO104" s="1474"/>
      <c r="BP104" s="1340"/>
      <c r="BQ104" s="1400"/>
      <c r="BR104" s="1400"/>
      <c r="BS104" s="1400"/>
      <c r="BT104" s="1400"/>
      <c r="BU104" s="1472"/>
      <c r="BV104" s="1340"/>
      <c r="BW104" s="1400"/>
      <c r="BX104" s="1400"/>
      <c r="BY104" s="1400"/>
      <c r="BZ104" s="1400"/>
      <c r="CA104" s="1472"/>
      <c r="CB104" s="1340"/>
      <c r="CC104" s="1400"/>
      <c r="CD104" s="1400"/>
      <c r="CE104" s="1400"/>
      <c r="CF104" s="1400"/>
      <c r="CG104" s="1472"/>
      <c r="CH104" s="1340"/>
      <c r="CI104" s="1400"/>
      <c r="CJ104" s="1400"/>
      <c r="CK104" s="1400"/>
      <c r="CL104" s="1400"/>
      <c r="CM104" s="1472"/>
      <c r="CN104" s="1340"/>
      <c r="CO104" s="1400"/>
      <c r="CP104" s="1400"/>
      <c r="CQ104" s="1400"/>
      <c r="CR104" s="1400"/>
      <c r="CS104" s="1472"/>
      <c r="CT104" s="1340"/>
      <c r="CU104" s="1400"/>
      <c r="CV104" s="1400"/>
      <c r="CW104" s="1400"/>
      <c r="CX104" s="1400"/>
      <c r="CY104" s="1472"/>
      <c r="CZ104" s="1340"/>
      <c r="DA104" s="1400"/>
      <c r="DB104" s="1400"/>
      <c r="DC104" s="1400"/>
      <c r="DD104" s="1400"/>
      <c r="DE104" s="1472"/>
      <c r="DF104" s="1340"/>
      <c r="DG104" s="1400"/>
      <c r="DH104" s="1400"/>
      <c r="DI104" s="1400"/>
      <c r="DJ104" s="1400"/>
      <c r="DK104" s="1472"/>
      <c r="DL104" s="1340"/>
      <c r="DM104" s="1400"/>
      <c r="DN104" s="1400"/>
      <c r="DO104" s="1400"/>
      <c r="DP104" s="1400"/>
      <c r="DQ104" s="1472"/>
      <c r="DR104" s="1340"/>
      <c r="DS104" s="1400"/>
      <c r="DT104" s="1400"/>
      <c r="DU104" s="1400"/>
      <c r="DV104" s="1400"/>
      <c r="DW104" s="1472"/>
      <c r="DX104" s="500"/>
      <c r="DY104" s="500"/>
      <c r="DZ104" s="500"/>
      <c r="EA104" s="500"/>
      <c r="EB104" s="500"/>
      <c r="EC104" s="500"/>
      <c r="ED104" s="500"/>
      <c r="EE104" s="500"/>
      <c r="EF104" s="500"/>
      <c r="EG104" s="500"/>
      <c r="EH104" s="500"/>
      <c r="EI104" s="500"/>
    </row>
    <row r="105" spans="1:142" ht="14.25" customHeight="1">
      <c r="A105" s="1475" t="s">
        <v>6</v>
      </c>
      <c r="B105" s="1340"/>
      <c r="C105" s="1340"/>
      <c r="D105" s="1340"/>
      <c r="E105" s="1340"/>
      <c r="F105" s="1340"/>
      <c r="G105" s="853"/>
      <c r="H105" s="1340"/>
      <c r="I105" s="1340"/>
      <c r="J105" s="1340"/>
      <c r="K105" s="1340"/>
      <c r="L105" s="500"/>
      <c r="M105" s="853"/>
      <c r="N105" s="1340"/>
      <c r="O105" s="1473">
        <f>Model!G16</f>
        <v>0.54100000000000004</v>
      </c>
      <c r="P105" s="1473">
        <f>Model!H16</f>
        <v>0.60799999999999998</v>
      </c>
      <c r="Q105" s="1473">
        <f>Model!I16</f>
        <v>1.254</v>
      </c>
      <c r="R105" s="1473">
        <f>Model!J16</f>
        <v>0.93200000000000005</v>
      </c>
      <c r="S105" s="1473">
        <f>SUM(O105:R105)</f>
        <v>3.335</v>
      </c>
      <c r="T105" s="1473"/>
      <c r="U105" s="1473">
        <f>Model!M16</f>
        <v>1.9910000000000001</v>
      </c>
      <c r="V105" s="1473">
        <f>Model!N16</f>
        <v>2.0310000000000001</v>
      </c>
      <c r="W105" s="1473">
        <f>Model!O16</f>
        <v>2.9540000000000002</v>
      </c>
      <c r="X105" s="1473">
        <f>Model!P16</f>
        <v>3.2509999999999999</v>
      </c>
      <c r="Y105" s="1473">
        <f>SUM(U105:X105)</f>
        <v>10.227</v>
      </c>
      <c r="Z105" s="1473"/>
      <c r="AA105" s="1473">
        <f>Model!S16</f>
        <v>3.7229999999999999</v>
      </c>
      <c r="AB105" s="1473">
        <f>Model!T16</f>
        <v>4.5640000000000001</v>
      </c>
      <c r="AC105" s="1473">
        <f>Model!U16</f>
        <v>4.8959999999999999</v>
      </c>
      <c r="AD105" s="1473">
        <f>Model!V16</f>
        <v>5.2149999999999999</v>
      </c>
      <c r="AE105" s="1473">
        <f>SUM(AA105:AD105)</f>
        <v>18.398</v>
      </c>
      <c r="AF105" s="1473"/>
      <c r="AG105" s="1473">
        <f>Model!Y16</f>
        <v>5.9870000000000001</v>
      </c>
      <c r="AH105" s="1473">
        <f>Model!Z16</f>
        <v>6.3049999999999997</v>
      </c>
      <c r="AI105" s="1473">
        <f>Model!AA16</f>
        <v>8.2870000000000008</v>
      </c>
      <c r="AJ105" s="1473">
        <f>Model!AB16</f>
        <v>8.6389999999999993</v>
      </c>
      <c r="AK105" s="1473">
        <f>SUM(AG105:AJ105)</f>
        <v>29.218</v>
      </c>
      <c r="AL105" s="1473"/>
      <c r="AM105" s="1473">
        <f>Model!AE16</f>
        <v>10.193</v>
      </c>
      <c r="AN105" s="1473">
        <f>Model!AF16</f>
        <v>11.474</v>
      </c>
      <c r="AO105" s="1473">
        <f>Model!AG16</f>
        <v>11.62</v>
      </c>
      <c r="AP105" s="1473">
        <f>Model!AH16</f>
        <v>12.151</v>
      </c>
      <c r="AQ105" s="1472">
        <f>SUM(AM105:AP105)</f>
        <v>45.438000000000002</v>
      </c>
      <c r="AR105" s="1473"/>
      <c r="AS105" s="1473">
        <f>Model!AK16</f>
        <v>14.722</v>
      </c>
      <c r="AT105" s="1473">
        <f>Model!AL16</f>
        <v>16.581</v>
      </c>
      <c r="AU105" s="1473">
        <f>Model!AM16</f>
        <v>16.427</v>
      </c>
      <c r="AV105" s="1473">
        <f>Model!AN16</f>
        <v>20.388999999999999</v>
      </c>
      <c r="AW105" s="1472">
        <f>SUM(AS105:AV105)</f>
        <v>68.119</v>
      </c>
      <c r="AX105" s="1473"/>
      <c r="AY105" s="1473">
        <f>Model!AQ16</f>
        <v>22.280999999999999</v>
      </c>
      <c r="AZ105" s="1473">
        <f>Model!AR16</f>
        <v>23.356999999999999</v>
      </c>
      <c r="BA105" s="1473">
        <f>Model!AS16</f>
        <v>23.084</v>
      </c>
      <c r="BB105" s="1473">
        <f>Model!AT16</f>
        <v>23.472999999999999</v>
      </c>
      <c r="BC105" s="1472">
        <f>SUM(AY105:BB105)</f>
        <v>92.194999999999993</v>
      </c>
      <c r="BD105" s="1473"/>
      <c r="BE105" s="1473">
        <f>Model!AW16</f>
        <v>23.155999999999999</v>
      </c>
      <c r="BF105" s="1473">
        <f>Model!AX16</f>
        <v>22.620999999999999</v>
      </c>
      <c r="BG105" s="1473">
        <f>Model!AY16</f>
        <v>23.678999999999998</v>
      </c>
      <c r="BH105" s="1473">
        <f>Model!AZ16</f>
        <v>26.655000000000001</v>
      </c>
      <c r="BI105" s="1472">
        <f>SUM(BE105:BH105)</f>
        <v>96.111000000000004</v>
      </c>
      <c r="BJ105" s="1399"/>
      <c r="BK105" s="1473">
        <f>Model!BC16</f>
        <v>26.100999999999999</v>
      </c>
      <c r="BL105" s="1473">
        <f>Model!BD16</f>
        <v>25.420999999999999</v>
      </c>
      <c r="BM105" s="1473">
        <f>Model!BE16</f>
        <v>26.138999999999999</v>
      </c>
      <c r="BN105" s="1473">
        <f>Model!BF16</f>
        <v>28.332999999999998</v>
      </c>
      <c r="BO105" s="1474">
        <f>SUM(BK105:BN105)</f>
        <v>105.994</v>
      </c>
      <c r="BP105" s="1399"/>
      <c r="BQ105" s="1473">
        <f>Model!BI16</f>
        <v>30.86</v>
      </c>
      <c r="BR105" s="1473">
        <f>Model!BJ16</f>
        <v>36.722999999999999</v>
      </c>
      <c r="BS105" s="1473">
        <f>Model!BK16</f>
        <v>35.078000000000003</v>
      </c>
      <c r="BT105" s="1473">
        <f>Model!BL16</f>
        <v>37.643999999999998</v>
      </c>
      <c r="BU105" s="1472">
        <f>SUM(BQ105:BT105)</f>
        <v>140.30500000000001</v>
      </c>
      <c r="BV105" s="1399"/>
      <c r="BW105" s="1473">
        <f>Model!BO16</f>
        <v>40.247</v>
      </c>
      <c r="BX105" s="1473">
        <f>Model!BP16</f>
        <v>44.155999999999999</v>
      </c>
      <c r="BY105" s="1473">
        <f>Model!BQ16</f>
        <v>47.798000000000002</v>
      </c>
      <c r="BZ105" s="1473">
        <f>Model!BR16</f>
        <v>49.186</v>
      </c>
      <c r="CA105" s="1472">
        <f>SUM(BW105:BZ105)</f>
        <v>181.387</v>
      </c>
      <c r="CB105" s="1399"/>
      <c r="CC105" s="1473">
        <f>Model!BU16</f>
        <v>50.411999999999999</v>
      </c>
      <c r="CD105" s="1473">
        <f>Model!BV16</f>
        <v>54.25</v>
      </c>
      <c r="CE105" s="1473">
        <f>Model!BW16</f>
        <v>71.558000000000007</v>
      </c>
      <c r="CF105" s="1473">
        <f>Model!BX16</f>
        <v>70.241</v>
      </c>
      <c r="CG105" s="1472">
        <f>SUM(CC105:CF105)</f>
        <v>246.46100000000001</v>
      </c>
      <c r="CH105" s="1399"/>
      <c r="CI105" s="1473">
        <f>Model!CA16</f>
        <v>79.465999999999994</v>
      </c>
      <c r="CJ105" s="1473">
        <f>Model!CB16</f>
        <v>85.963999999999999</v>
      </c>
      <c r="CK105" s="1473">
        <f>Model!CC16</f>
        <v>95.141999999999996</v>
      </c>
      <c r="CL105" s="1473">
        <f>Model!CD16</f>
        <v>99.25</v>
      </c>
      <c r="CM105" s="1472">
        <f>SUM(CI105:CL105)</f>
        <v>359.822</v>
      </c>
      <c r="CN105" s="1399"/>
      <c r="CO105" s="1473">
        <f>Model!CG16</f>
        <v>105.88</v>
      </c>
      <c r="CP105" s="1473">
        <f>Model!CH16</f>
        <v>113.36499999999999</v>
      </c>
      <c r="CQ105" s="1473">
        <f>Model!CI16</f>
        <v>115.634</v>
      </c>
      <c r="CR105" s="1473">
        <f>Model!CJ16</f>
        <v>126.738</v>
      </c>
      <c r="CS105" s="1472">
        <f>SUM(CO105:CR105)</f>
        <v>461.61700000000002</v>
      </c>
      <c r="CT105" s="1399"/>
      <c r="CU105" s="1473">
        <f>Model!CM16</f>
        <v>141.11000000000001</v>
      </c>
      <c r="CV105" s="1473">
        <f>Model!CN16</f>
        <v>150.53800000000001</v>
      </c>
      <c r="CW105" s="1473">
        <f>Model!CO16</f>
        <v>160.79400000000001</v>
      </c>
      <c r="CX105" s="1473">
        <f>Model!CP16</f>
        <v>183.33699999999999</v>
      </c>
      <c r="CY105" s="1472">
        <f>SUM(CU105:CX105)</f>
        <v>635.779</v>
      </c>
      <c r="CZ105" s="1399"/>
      <c r="DA105" s="1473">
        <f>Model!CS16</f>
        <v>186.67099999999999</v>
      </c>
      <c r="DB105" s="1473">
        <f>Model!CT16</f>
        <v>193.09</v>
      </c>
      <c r="DC105" s="1473">
        <f>Model!CU16</f>
        <v>193.71</v>
      </c>
      <c r="DD105" s="1473">
        <f>Model!CV16</f>
        <v>196.00299999999999</v>
      </c>
      <c r="DE105" s="1472">
        <f>SUM(DA105:DD105)</f>
        <v>769.47399999999993</v>
      </c>
      <c r="DF105" s="1399"/>
      <c r="DG105" s="1400">
        <f>(DG22+DD22)*DG108</f>
        <v>229.78749055984653</v>
      </c>
      <c r="DH105" s="1400">
        <f>(DH22+DG22)*DH108</f>
        <v>235.34555952011107</v>
      </c>
      <c r="DI105" s="1400">
        <f>(DI22+DH22)*DI108</f>
        <v>234.14565796915548</v>
      </c>
      <c r="DJ105" s="1400">
        <f>(DJ22+DI22)*DJ108</f>
        <v>230.803373654854</v>
      </c>
      <c r="DK105" s="1472">
        <f>SUM(DG105:DJ105)</f>
        <v>930.08208170396699</v>
      </c>
      <c r="DL105" s="1399"/>
      <c r="DM105" s="1400">
        <f>(DM22+DJ22)*DM108</f>
        <v>272.75488989794627</v>
      </c>
      <c r="DN105" s="1400">
        <f>(DN22+DM22)*DN108</f>
        <v>281.86639749818693</v>
      </c>
      <c r="DO105" s="1400">
        <f>(DO22+DN22)*DO108</f>
        <v>281.05110677204539</v>
      </c>
      <c r="DP105" s="1400">
        <f>(DP22+DO22)*DP108</f>
        <v>271.08773976234909</v>
      </c>
      <c r="DQ105" s="1472">
        <f>SUM(DM105:DP105)</f>
        <v>1106.7601339305277</v>
      </c>
      <c r="DR105" s="1399"/>
      <c r="DS105" s="1400">
        <f>(DS22+DP22)*DS108</f>
        <v>322.82672757186185</v>
      </c>
      <c r="DT105" s="1400">
        <f>(DT22+DS22)*DT108</f>
        <v>334.78655059382123</v>
      </c>
      <c r="DU105" s="1400">
        <f>(DU22+DT22)*DU108</f>
        <v>335.51354763477042</v>
      </c>
      <c r="DV105" s="1400">
        <f>(DV22+DU22)*DV108</f>
        <v>318.14313149758146</v>
      </c>
      <c r="DW105" s="1472">
        <f>SUM(DS105:DV105)</f>
        <v>1311.269957298035</v>
      </c>
      <c r="DX105" s="500"/>
      <c r="DY105" s="500"/>
      <c r="DZ105" s="500"/>
      <c r="EA105" s="500"/>
      <c r="EB105" s="500"/>
      <c r="EC105" s="500"/>
      <c r="ED105" s="500"/>
      <c r="EE105" s="500"/>
      <c r="EF105" s="500"/>
      <c r="EG105" s="500"/>
      <c r="EH105" s="500"/>
      <c r="EI105" s="500"/>
    </row>
    <row r="106" spans="1:142" s="1408" customFormat="1">
      <c r="A106" s="1402" t="s">
        <v>877</v>
      </c>
      <c r="B106" s="1403"/>
      <c r="C106" s="1404"/>
      <c r="D106" s="1404"/>
      <c r="E106" s="1404"/>
      <c r="F106" s="1404"/>
      <c r="G106" s="1405"/>
      <c r="H106" s="1350"/>
      <c r="I106" s="1404"/>
      <c r="J106" s="1404"/>
      <c r="K106" s="1404"/>
      <c r="L106" s="1404"/>
      <c r="M106" s="1352"/>
      <c r="N106" s="1350"/>
      <c r="O106" s="1404"/>
      <c r="P106" s="1404"/>
      <c r="Q106" s="1404"/>
      <c r="R106" s="1404"/>
      <c r="S106" s="1352"/>
      <c r="T106" s="1350"/>
      <c r="U106" s="1351">
        <f>U105/O105-1</f>
        <v>2.6802218114602585</v>
      </c>
      <c r="V106" s="1351">
        <f>V105/P105-1</f>
        <v>2.3404605263157898</v>
      </c>
      <c r="W106" s="1351">
        <f>W105/Q105-1</f>
        <v>1.3556618819776718</v>
      </c>
      <c r="X106" s="1351">
        <f>X105/R105-1</f>
        <v>2.4881974248927037</v>
      </c>
      <c r="Y106" s="1352">
        <f>Y105/S105-1</f>
        <v>2.0665667166416792</v>
      </c>
      <c r="Z106" s="1350"/>
      <c r="AA106" s="1351">
        <f>AA105/U105-1</f>
        <v>0.86991461577096918</v>
      </c>
      <c r="AB106" s="1351">
        <f>AB105/V105-1</f>
        <v>1.2471688823239782</v>
      </c>
      <c r="AC106" s="1351">
        <f>AC105/W105-1</f>
        <v>0.6574136763710221</v>
      </c>
      <c r="AD106" s="1351">
        <f>AD105/X105-1</f>
        <v>0.60412180867425413</v>
      </c>
      <c r="AE106" s="1352">
        <f>AE105/Y105-1</f>
        <v>0.79896352791629988</v>
      </c>
      <c r="AF106" s="1350"/>
      <c r="AG106" s="1351">
        <f>AG105/AA105-1</f>
        <v>0.6081117378458234</v>
      </c>
      <c r="AH106" s="1351">
        <f>AH105/AB105-1</f>
        <v>0.38146362839614367</v>
      </c>
      <c r="AI106" s="1351">
        <f>AI105/AC105-1</f>
        <v>0.69260620915032689</v>
      </c>
      <c r="AJ106" s="1351">
        <f>AJ105/AD105-1</f>
        <v>0.65656759348034499</v>
      </c>
      <c r="AK106" s="1352">
        <f>AK105/AE105-1</f>
        <v>0.58810740297858466</v>
      </c>
      <c r="AL106" s="1350"/>
      <c r="AM106" s="1351">
        <f>AM105/AG105-1</f>
        <v>0.70252213128444962</v>
      </c>
      <c r="AN106" s="1351">
        <f>AN105/AH105-1</f>
        <v>0.81982553528945301</v>
      </c>
      <c r="AO106" s="1406">
        <f>AO105/AI105-1</f>
        <v>0.40219621093278612</v>
      </c>
      <c r="AP106" s="1406">
        <f>AP105/AJ105-1</f>
        <v>0.406528533395069</v>
      </c>
      <c r="AQ106" s="1354">
        <f>AQ105/AK105-1</f>
        <v>0.55513724416455612</v>
      </c>
      <c r="AR106" s="1350"/>
      <c r="AS106" s="1406">
        <f>AS105/AM105-1</f>
        <v>0.4443245364465811</v>
      </c>
      <c r="AT106" s="1406">
        <f>AT105/AN105-1</f>
        <v>0.44509325431410129</v>
      </c>
      <c r="AU106" s="1406">
        <f>AU105/AO105-1</f>
        <v>0.41368330464716019</v>
      </c>
      <c r="AV106" s="1406">
        <f>AV105/AP105-1</f>
        <v>0.67796889144926342</v>
      </c>
      <c r="AW106" s="1354">
        <f>AW105/AQ105-1</f>
        <v>0.49916369558519302</v>
      </c>
      <c r="AX106" s="1350"/>
      <c r="AY106" s="1406">
        <f>AY105/AS105-1</f>
        <v>0.5134492596114657</v>
      </c>
      <c r="AZ106" s="1406">
        <f>AZ105/AT105-1</f>
        <v>0.40866051504734324</v>
      </c>
      <c r="BA106" s="1406">
        <f>BA105/AU105-1</f>
        <v>0.40524745845254762</v>
      </c>
      <c r="BB106" s="1406">
        <f>BB105/AV105-1</f>
        <v>0.15125803129138249</v>
      </c>
      <c r="BC106" s="1354">
        <f>BC105/AW105-1</f>
        <v>0.35344030299916307</v>
      </c>
      <c r="BD106" s="1350"/>
      <c r="BE106" s="1406">
        <f>BE105/AY105-1</f>
        <v>3.9271127866792321E-2</v>
      </c>
      <c r="BF106" s="1406">
        <f>BF105/AZ105-1</f>
        <v>-3.1510896091107576E-2</v>
      </c>
      <c r="BG106" s="1406">
        <f>BG105/BA105-1</f>
        <v>2.5775428868480388E-2</v>
      </c>
      <c r="BH106" s="1406">
        <f>BH105/BB105-1</f>
        <v>0.13556000511225674</v>
      </c>
      <c r="BI106" s="1354">
        <f>BI105/BC105-1</f>
        <v>4.2475188459244029E-2</v>
      </c>
      <c r="BJ106" s="1407"/>
      <c r="BK106" s="1406">
        <f>BK105/BE105-1</f>
        <v>0.12718086025220243</v>
      </c>
      <c r="BL106" s="1406">
        <f>BL105/BF105-1</f>
        <v>0.12377878962026445</v>
      </c>
      <c r="BM106" s="1406">
        <f>BM105/BG105-1</f>
        <v>0.10388952236158633</v>
      </c>
      <c r="BN106" s="1406">
        <f>BN105/BH105-1</f>
        <v>6.2952541737009815E-2</v>
      </c>
      <c r="BO106" s="1355">
        <f>BO105/BI105-1</f>
        <v>0.1028290206115845</v>
      </c>
      <c r="BP106" s="1407"/>
      <c r="BQ106" s="1406">
        <f>BQ105/BK105-1</f>
        <v>0.18233017892034797</v>
      </c>
      <c r="BR106" s="1406">
        <f>BR105/BL105-1</f>
        <v>0.44459305298768736</v>
      </c>
      <c r="BS106" s="1406">
        <f>BS105/BM105-1</f>
        <v>0.34197941772829887</v>
      </c>
      <c r="BT106" s="1406">
        <f>BT105/BN105-1</f>
        <v>0.32862739561641896</v>
      </c>
      <c r="BU106" s="1354">
        <f>BU105/BO105-1</f>
        <v>0.32370700228314808</v>
      </c>
      <c r="BV106" s="1407"/>
      <c r="BW106" s="1406">
        <f>BW105/BQ105-1</f>
        <v>0.3041801685029164</v>
      </c>
      <c r="BX106" s="1406">
        <f>BX105/BR105-1</f>
        <v>0.20240721073986334</v>
      </c>
      <c r="BY106" s="1406">
        <f>BY105/BS105-1</f>
        <v>0.36262044586350406</v>
      </c>
      <c r="BZ106" s="1406">
        <f>BZ105/BT105-1</f>
        <v>0.30660928700456913</v>
      </c>
      <c r="CA106" s="1354">
        <f>CA105/BU105-1</f>
        <v>0.29280496062150307</v>
      </c>
      <c r="CB106" s="1407"/>
      <c r="CC106" s="1406">
        <f>CC105/BW105-1</f>
        <v>0.25256540860188337</v>
      </c>
      <c r="CD106" s="1406">
        <f>CD105/BX105-1</f>
        <v>0.22859860494610018</v>
      </c>
      <c r="CE106" s="1406">
        <f>CE105/BY105-1</f>
        <v>0.49709192853257478</v>
      </c>
      <c r="CF106" s="1406">
        <f>CF105/BZ105-1</f>
        <v>0.42806896271296702</v>
      </c>
      <c r="CG106" s="1354">
        <f>CG105/CA105-1</f>
        <v>0.35875779410872899</v>
      </c>
      <c r="CH106" s="1407"/>
      <c r="CI106" s="1406">
        <f>CI105/CC105-1</f>
        <v>0.57633103229389815</v>
      </c>
      <c r="CJ106" s="1406">
        <f>CJ105/CD105-1</f>
        <v>0.58458986175115202</v>
      </c>
      <c r="CK106" s="1406">
        <f>CK105/CE105-1</f>
        <v>0.32957880320858579</v>
      </c>
      <c r="CL106" s="1406">
        <f>CL105/CF105-1</f>
        <v>0.41299241183923918</v>
      </c>
      <c r="CM106" s="1354">
        <f>CM105/CG105-1</f>
        <v>0.45995512474590283</v>
      </c>
      <c r="CN106" s="1407"/>
      <c r="CO106" s="1406">
        <f>CO105/CI105-1</f>
        <v>0.3323937281353031</v>
      </c>
      <c r="CP106" s="1406">
        <f>CP105/CJ105-1</f>
        <v>0.31874970918058709</v>
      </c>
      <c r="CQ106" s="1406">
        <f>CQ105/CK105-1</f>
        <v>0.21538332177166764</v>
      </c>
      <c r="CR106" s="1406">
        <f>CR105/CL105-1</f>
        <v>0.27695717884130988</v>
      </c>
      <c r="CS106" s="1354">
        <f>CS105/CM105-1</f>
        <v>0.28290376908582582</v>
      </c>
      <c r="CT106" s="1407"/>
      <c r="CU106" s="1406">
        <f>CU105/CO105-1</f>
        <v>0.33273517189270896</v>
      </c>
      <c r="CV106" s="1406">
        <f>CV105/CP105-1</f>
        <v>0.32790543818638929</v>
      </c>
      <c r="CW106" s="1406">
        <f>CW105/CQ105-1</f>
        <v>0.39054257398343051</v>
      </c>
      <c r="CX106" s="1406">
        <f>CX105/CR105-1</f>
        <v>0.44658271394530447</v>
      </c>
      <c r="CY106" s="1354">
        <f>CY105/CS105-1</f>
        <v>0.37728679836314516</v>
      </c>
      <c r="CZ106" s="1407"/>
      <c r="DA106" s="1406">
        <f>DA105/CU105-1</f>
        <v>0.32287577067535955</v>
      </c>
      <c r="DB106" s="1406">
        <f>DB105/CV105-1</f>
        <v>0.28266617066787125</v>
      </c>
      <c r="DC106" s="1406">
        <f>DC105/CW105-1</f>
        <v>0.20470913093772158</v>
      </c>
      <c r="DD106" s="1406">
        <f>DD105/CX105-1</f>
        <v>6.9085891009452505E-2</v>
      </c>
      <c r="DE106" s="1354">
        <f>DE105/CY105-1</f>
        <v>0.21028533499848212</v>
      </c>
      <c r="DF106" s="1407"/>
      <c r="DG106" s="1406">
        <f>DG105/DA105-1</f>
        <v>0.23097583748866479</v>
      </c>
      <c r="DH106" s="1406">
        <f>DH105/DB105-1</f>
        <v>0.21883867377964195</v>
      </c>
      <c r="DI106" s="1406">
        <f>DI105/DC105-1</f>
        <v>0.20874326554723788</v>
      </c>
      <c r="DJ106" s="1406">
        <f>DJ105/DD105-1</f>
        <v>0.17755020920523679</v>
      </c>
      <c r="DK106" s="1354">
        <f>DK105/DE105-1</f>
        <v>0.20872450752587746</v>
      </c>
      <c r="DL106" s="1407"/>
      <c r="DM106" s="1406">
        <f>DM105/DG105-1</f>
        <v>0.18698754763984504</v>
      </c>
      <c r="DN106" s="1406">
        <f>DN105/DH105-1</f>
        <v>0.19767034514241821</v>
      </c>
      <c r="DO106" s="1406">
        <f>DO105/DI105-1</f>
        <v>0.20032593903180063</v>
      </c>
      <c r="DP106" s="1406">
        <f>DP105/DJ105-1</f>
        <v>0.17453976287078365</v>
      </c>
      <c r="DQ106" s="1354">
        <f>DQ105/DK105-1</f>
        <v>0.1899596344258947</v>
      </c>
      <c r="DR106" s="1407"/>
      <c r="DS106" s="1406">
        <f>DS105/DM105-1</f>
        <v>0.18357814847114362</v>
      </c>
      <c r="DT106" s="1406">
        <f>DT105/DN105-1</f>
        <v>0.18774906681089831</v>
      </c>
      <c r="DU106" s="1406">
        <f>DU105/DO105-1</f>
        <v>0.19378127162793346</v>
      </c>
      <c r="DV106" s="1406">
        <f>DV105/DP105-1</f>
        <v>0.17357993311126418</v>
      </c>
      <c r="DW106" s="1354">
        <f>DW105/DQ105-1</f>
        <v>0.18478242674066592</v>
      </c>
      <c r="EJ106" s="656"/>
      <c r="EK106" s="656"/>
      <c r="EL106" s="656"/>
    </row>
    <row r="107" spans="1:142" s="1408" customFormat="1">
      <c r="A107" s="1402" t="s">
        <v>878</v>
      </c>
      <c r="B107" s="1403"/>
      <c r="C107" s="1404"/>
      <c r="D107" s="1404"/>
      <c r="E107" s="1404"/>
      <c r="F107" s="1404"/>
      <c r="G107" s="1405"/>
      <c r="H107" s="1350"/>
      <c r="I107" s="1404"/>
      <c r="J107" s="1404"/>
      <c r="K107" s="1404"/>
      <c r="L107" s="1404"/>
      <c r="M107" s="1405"/>
      <c r="N107" s="1350"/>
      <c r="O107" s="1404"/>
      <c r="P107" s="1351"/>
      <c r="Q107" s="1351"/>
      <c r="R107" s="1351"/>
      <c r="S107" s="1405"/>
      <c r="T107" s="1350"/>
      <c r="U107" s="1351">
        <f>U105/R105-1</f>
        <v>1.1362660944206007</v>
      </c>
      <c r="V107" s="1351">
        <f>V105/U105-1</f>
        <v>2.0090406830738372E-2</v>
      </c>
      <c r="W107" s="1351">
        <f>W105/V105-1</f>
        <v>0.45445593303791232</v>
      </c>
      <c r="X107" s="1351">
        <f>X105/W105-1</f>
        <v>0.10054163845633024</v>
      </c>
      <c r="Y107" s="1405" t="s">
        <v>88</v>
      </c>
      <c r="Z107" s="1350"/>
      <c r="AA107" s="1351">
        <f>AA105/X105-1</f>
        <v>0.14518609658566595</v>
      </c>
      <c r="AB107" s="1351">
        <f>AB105/AA105-1</f>
        <v>0.22589309696481341</v>
      </c>
      <c r="AC107" s="1351">
        <f>AC105/AB105-1</f>
        <v>7.2743207712532731E-2</v>
      </c>
      <c r="AD107" s="1351">
        <f>AD105/AC105-1</f>
        <v>6.5155228758170036E-2</v>
      </c>
      <c r="AE107" s="1405" t="s">
        <v>88</v>
      </c>
      <c r="AF107" s="1350"/>
      <c r="AG107" s="1351">
        <f>AG105/AD105-1</f>
        <v>0.14803451581975069</v>
      </c>
      <c r="AH107" s="1351">
        <f>AH105/AG105-1</f>
        <v>5.3115082679138004E-2</v>
      </c>
      <c r="AI107" s="1351">
        <f>AI105/AH105-1</f>
        <v>0.31435368754956405</v>
      </c>
      <c r="AJ107" s="1351">
        <f>AJ105/AI105-1</f>
        <v>4.2476167491251271E-2</v>
      </c>
      <c r="AK107" s="1405" t="s">
        <v>88</v>
      </c>
      <c r="AL107" s="1350"/>
      <c r="AM107" s="1351">
        <f>AM105/AJ105-1</f>
        <v>0.17988193077902537</v>
      </c>
      <c r="AN107" s="1351">
        <f>AN105/AM105-1</f>
        <v>0.12567448248798208</v>
      </c>
      <c r="AO107" s="1351">
        <f>AO105/AN105-1</f>
        <v>1.2724420428795513E-2</v>
      </c>
      <c r="AP107" s="1351">
        <f>AP105/AO105-1</f>
        <v>4.5697074010327077E-2</v>
      </c>
      <c r="AQ107" s="1441" t="s">
        <v>88</v>
      </c>
      <c r="AR107" s="1350"/>
      <c r="AS107" s="1351">
        <f>AS105/AP105-1</f>
        <v>0.21158752366060396</v>
      </c>
      <c r="AT107" s="1351">
        <f>AT105/AS105-1</f>
        <v>0.12627360412987376</v>
      </c>
      <c r="AU107" s="1351">
        <f>AU105/AT105-1</f>
        <v>-9.2877389783486697E-3</v>
      </c>
      <c r="AV107" s="1351">
        <f>AV105/AU105-1</f>
        <v>0.24118828757533328</v>
      </c>
      <c r="AW107" s="1441" t="s">
        <v>88</v>
      </c>
      <c r="AX107" s="1350"/>
      <c r="AY107" s="1351">
        <f>AY105/AV105-1</f>
        <v>9.2795134631418863E-2</v>
      </c>
      <c r="AZ107" s="1351">
        <f>AZ105/AY105-1</f>
        <v>4.8292266953906982E-2</v>
      </c>
      <c r="BA107" s="1351">
        <f>BA105/AZ105-1</f>
        <v>-1.1688144881620066E-2</v>
      </c>
      <c r="BB107" s="1351">
        <f>BB105/BA105-1</f>
        <v>1.6851498873678761E-2</v>
      </c>
      <c r="BC107" s="1441" t="s">
        <v>88</v>
      </c>
      <c r="BD107" s="1350"/>
      <c r="BE107" s="1351">
        <f>BE105/BB105-1</f>
        <v>-1.3504877944872873E-2</v>
      </c>
      <c r="BF107" s="1351">
        <f>BF105/BE105-1</f>
        <v>-2.3104163067887429E-2</v>
      </c>
      <c r="BG107" s="1351">
        <f>BG105/BF105-1</f>
        <v>4.6770699792228365E-2</v>
      </c>
      <c r="BH107" s="1351">
        <f>BH105/BG105-1</f>
        <v>0.12568098314962639</v>
      </c>
      <c r="BI107" s="1441" t="s">
        <v>88</v>
      </c>
      <c r="BJ107" s="1407"/>
      <c r="BK107" s="1351">
        <f>BK105/BH105-1</f>
        <v>-2.0784093040705387E-2</v>
      </c>
      <c r="BL107" s="1351">
        <f>BL105/BK105-1</f>
        <v>-2.6052641661238995E-2</v>
      </c>
      <c r="BM107" s="1351">
        <f>BM105/BL105-1</f>
        <v>2.8244364895165353E-2</v>
      </c>
      <c r="BN107" s="1351">
        <f>BN105/BM105-1</f>
        <v>8.3935881250239097E-2</v>
      </c>
      <c r="BO107" s="1442" t="s">
        <v>88</v>
      </c>
      <c r="BP107" s="1407"/>
      <c r="BQ107" s="1351">
        <f>BQ105/BN105-1</f>
        <v>8.9189284579818562E-2</v>
      </c>
      <c r="BR107" s="1351">
        <f>BR105/BQ105-1</f>
        <v>0.1899870382372002</v>
      </c>
      <c r="BS107" s="1351">
        <f>BS105/BR105-1</f>
        <v>-4.4794815238406338E-2</v>
      </c>
      <c r="BT107" s="1351">
        <f>BT105/BS105-1</f>
        <v>7.3151262899823211E-2</v>
      </c>
      <c r="BU107" s="1441" t="s">
        <v>88</v>
      </c>
      <c r="BV107" s="1407"/>
      <c r="BW107" s="1351">
        <f>BW105/BT105-1</f>
        <v>6.9147805759218084E-2</v>
      </c>
      <c r="BX107" s="1351">
        <f>BX105/BW105-1</f>
        <v>9.7125251571545723E-2</v>
      </c>
      <c r="BY107" s="1351">
        <f>BY105/BX105-1</f>
        <v>8.2480297128363134E-2</v>
      </c>
      <c r="BZ107" s="1351">
        <f>BZ105/BY105-1</f>
        <v>2.9038871919327081E-2</v>
      </c>
      <c r="CA107" s="1441" t="s">
        <v>88</v>
      </c>
      <c r="CB107" s="1407"/>
      <c r="CC107" s="1351">
        <f>CC105/BZ105-1</f>
        <v>2.4925791892001836E-2</v>
      </c>
      <c r="CD107" s="1351">
        <f>CD105/CC105-1</f>
        <v>7.6132666825359019E-2</v>
      </c>
      <c r="CE107" s="1351">
        <f>CE105/CD105-1</f>
        <v>0.31904147465437793</v>
      </c>
      <c r="CF107" s="1351">
        <f>CF105/CE105-1</f>
        <v>-1.8404650772799735E-2</v>
      </c>
      <c r="CG107" s="1441" t="s">
        <v>88</v>
      </c>
      <c r="CH107" s="1407"/>
      <c r="CI107" s="1351">
        <f>CI105/CF105-1</f>
        <v>0.13133355162939009</v>
      </c>
      <c r="CJ107" s="1351">
        <f>CJ105/CI105-1</f>
        <v>8.1770820225002039E-2</v>
      </c>
      <c r="CK107" s="1351">
        <f>CK105/CJ105-1</f>
        <v>0.10676562281885427</v>
      </c>
      <c r="CL107" s="1351">
        <f>CL105/CK105-1</f>
        <v>4.3177566164259717E-2</v>
      </c>
      <c r="CM107" s="1441" t="s">
        <v>88</v>
      </c>
      <c r="CN107" s="1407"/>
      <c r="CO107" s="1351">
        <f>CO105/CL105-1</f>
        <v>6.6801007556674952E-2</v>
      </c>
      <c r="CP107" s="1351">
        <f>CP105/CO105-1</f>
        <v>7.0693237627502903E-2</v>
      </c>
      <c r="CQ107" s="1351">
        <f>CQ105/CP105-1</f>
        <v>2.0014995809994218E-2</v>
      </c>
      <c r="CR107" s="1351">
        <f>CR105/CQ105-1</f>
        <v>9.6027120051195958E-2</v>
      </c>
      <c r="CS107" s="1441" t="s">
        <v>88</v>
      </c>
      <c r="CT107" s="1407"/>
      <c r="CU107" s="1351">
        <f>CU105/CR105-1</f>
        <v>0.11339929618583233</v>
      </c>
      <c r="CV107" s="1351">
        <f>CV105/CU105-1</f>
        <v>6.6813124512791422E-2</v>
      </c>
      <c r="CW107" s="1351">
        <f>CW105/CV105-1</f>
        <v>6.8128977401054946E-2</v>
      </c>
      <c r="CX107" s="1351">
        <f>CX105/CW105-1</f>
        <v>0.14019801733895521</v>
      </c>
      <c r="CY107" s="1441" t="s">
        <v>88</v>
      </c>
      <c r="CZ107" s="1407"/>
      <c r="DA107" s="1351">
        <f>DA105/CX105-1</f>
        <v>1.8185090843637619E-2</v>
      </c>
      <c r="DB107" s="1351">
        <f>DB105/DA105-1</f>
        <v>3.43867017372812E-2</v>
      </c>
      <c r="DC107" s="1351">
        <f>DC105/DB105-1</f>
        <v>3.2109379046041386E-3</v>
      </c>
      <c r="DD107" s="1351">
        <f>DD105/DC105-1</f>
        <v>1.1837282535749116E-2</v>
      </c>
      <c r="DE107" s="1441" t="s">
        <v>88</v>
      </c>
      <c r="DF107" s="1407"/>
      <c r="DG107" s="1351">
        <f>DG105/DD105-1</f>
        <v>0.17236721152148982</v>
      </c>
      <c r="DH107" s="1351">
        <f>DH105/DG105-1</f>
        <v>2.4187865695922017E-2</v>
      </c>
      <c r="DI107" s="1351">
        <f>DI105/DH105-1</f>
        <v>-5.0984669241360692E-3</v>
      </c>
      <c r="DJ107" s="1351">
        <f>DJ105/DI105-1</f>
        <v>-1.4274380927199459E-2</v>
      </c>
      <c r="DK107" s="1441" t="s">
        <v>88</v>
      </c>
      <c r="DL107" s="1407"/>
      <c r="DM107" s="1351">
        <f>DM105/DJ105-1</f>
        <v>0.18176301142732454</v>
      </c>
      <c r="DN107" s="1351">
        <f>DN105/DM105-1</f>
        <v>3.340547846328179E-2</v>
      </c>
      <c r="DO107" s="1351">
        <f>DO105/DN105-1</f>
        <v>-2.8924722257707147E-3</v>
      </c>
      <c r="DP107" s="1351">
        <f>DP105/DO105-1</f>
        <v>-3.5450374574676147E-2</v>
      </c>
      <c r="DQ107" s="1441" t="s">
        <v>88</v>
      </c>
      <c r="DR107" s="1407"/>
      <c r="DS107" s="1351">
        <f>DS105/DP105-1</f>
        <v>0.19085698178335209</v>
      </c>
      <c r="DT107" s="1351">
        <f>DT105/DS105-1</f>
        <v>3.7047189716647999E-2</v>
      </c>
      <c r="DU107" s="1351">
        <f>DU105/DT105-1</f>
        <v>2.1715240342232711E-3</v>
      </c>
      <c r="DV107" s="1351">
        <f>DV105/DU105-1</f>
        <v>-5.1772622177682859E-2</v>
      </c>
      <c r="DW107" s="1441" t="s">
        <v>88</v>
      </c>
      <c r="EJ107" s="656"/>
      <c r="EK107" s="656"/>
      <c r="EL107" s="656"/>
    </row>
    <row r="108" spans="1:142" ht="14.25" customHeight="1">
      <c r="A108" s="430" t="s">
        <v>876</v>
      </c>
      <c r="B108" s="430"/>
      <c r="C108" s="430"/>
      <c r="D108" s="430"/>
      <c r="E108" s="430"/>
      <c r="F108" s="430"/>
      <c r="G108" s="431"/>
      <c r="H108" s="430"/>
      <c r="I108" s="430"/>
      <c r="J108" s="430"/>
      <c r="K108" s="430"/>
      <c r="L108" s="432"/>
      <c r="M108" s="431"/>
      <c r="N108" s="430"/>
      <c r="O108" s="430"/>
      <c r="P108" s="430"/>
      <c r="Q108" s="430"/>
      <c r="R108" s="430"/>
      <c r="S108" s="431"/>
      <c r="T108" s="430"/>
      <c r="U108" s="433">
        <f>U105/(U22+R22)</f>
        <v>6.3094181772087712E-2</v>
      </c>
      <c r="V108" s="433">
        <f>V105/(V22+U22)</f>
        <v>5.5622500958536464E-2</v>
      </c>
      <c r="W108" s="433">
        <f>W105/(W22+V22)</f>
        <v>7.0212968244913479E-2</v>
      </c>
      <c r="X108" s="433">
        <f>X105/(X22+W22)</f>
        <v>6.5967290288543493E-2</v>
      </c>
      <c r="Y108" s="431"/>
      <c r="Z108" s="430"/>
      <c r="AA108" s="433">
        <f>AA105/(AA22+X22)</f>
        <v>6.4280534548844914E-2</v>
      </c>
      <c r="AB108" s="433">
        <f>AB105/(AB22+AA22)</f>
        <v>6.7984448780778445E-2</v>
      </c>
      <c r="AC108" s="433">
        <f>AC105/(AC22+AB22)</f>
        <v>6.3188869672956297E-2</v>
      </c>
      <c r="AD108" s="433">
        <f>AD105/(AD22+AC22)</f>
        <v>5.7406102769583023E-2</v>
      </c>
      <c r="AE108" s="431"/>
      <c r="AF108" s="430"/>
      <c r="AG108" s="433">
        <f>AG105/(AG22+AD22)</f>
        <v>5.5657299035967618E-2</v>
      </c>
      <c r="AH108" s="433">
        <f>AH105/(AH22+AG22)</f>
        <v>5.0917401556998414E-2</v>
      </c>
      <c r="AI108" s="433">
        <f>AI105/(AI22+AH22)</f>
        <v>5.9182711535165404E-2</v>
      </c>
      <c r="AJ108" s="433">
        <f>AJ105/(AJ22+AI22)</f>
        <v>5.5091798406999515E-2</v>
      </c>
      <c r="AK108" s="431"/>
      <c r="AL108" s="430"/>
      <c r="AM108" s="433">
        <f>AM105/(AM22+AJ22)</f>
        <v>5.7614261974474043E-2</v>
      </c>
      <c r="AN108" s="433">
        <f>AN105/(AN22+AM22)</f>
        <v>5.7040307025393228E-2</v>
      </c>
      <c r="AO108" s="433">
        <f>AO105/(AO22+AN22)</f>
        <v>5.162241887905604E-2</v>
      </c>
      <c r="AP108" s="433">
        <f>AP105/(AP22+AO22)</f>
        <v>4.8506211477661029E-2</v>
      </c>
      <c r="AQ108" s="434"/>
      <c r="AR108" s="430"/>
      <c r="AS108" s="433">
        <f>AS105/(AS22+AP22)</f>
        <v>5.262348933553998E-2</v>
      </c>
      <c r="AT108" s="433">
        <f>AT105/(AT22+AS22)</f>
        <v>5.3889004446062247E-2</v>
      </c>
      <c r="AU108" s="433">
        <f>AU105/(AU22+AT22)</f>
        <v>4.8835522364986589E-2</v>
      </c>
      <c r="AV108" s="433">
        <f>AV105/(AV22+AU22)</f>
        <v>5.4677883467911699E-2</v>
      </c>
      <c r="AW108" s="435"/>
      <c r="AX108" s="436"/>
      <c r="AY108" s="433">
        <f>AY105/(AY22+AV22)</f>
        <v>5.2816350525532282E-2</v>
      </c>
      <c r="AZ108" s="433">
        <f>AZ105/(AZ22+AY22)</f>
        <v>5.0223519065240897E-2</v>
      </c>
      <c r="BA108" s="433">
        <f>BA105/(BA22+AZ22)</f>
        <v>4.6811850187478583E-2</v>
      </c>
      <c r="BB108" s="433">
        <f>BB105/(BB22+BA22)</f>
        <v>4.5182699951685515E-2</v>
      </c>
      <c r="BC108" s="435"/>
      <c r="BD108" s="436"/>
      <c r="BE108" s="433">
        <f>BE105/(BE22+BB22)</f>
        <v>4.2264883787996602E-2</v>
      </c>
      <c r="BF108" s="433">
        <f>BF105/(BF22+BE22)</f>
        <v>3.932664357936607E-2</v>
      </c>
      <c r="BG108" s="433">
        <f>BG105/(BG22+BF22)</f>
        <v>3.9444620279522245E-2</v>
      </c>
      <c r="BH108" s="433">
        <f>BH105/(BH22+BG22)</f>
        <v>4.2025087345332543E-2</v>
      </c>
      <c r="BI108" s="435"/>
      <c r="BJ108" s="430"/>
      <c r="BK108" s="433">
        <f>BK105/(BK22+BH22)</f>
        <v>3.8491032375469324E-2</v>
      </c>
      <c r="BL108" s="433">
        <f>BL105/(BL22+BK22)</f>
        <v>3.5323477794467685E-2</v>
      </c>
      <c r="BM108" s="433">
        <f>BM105/(BM22+BL22)</f>
        <v>3.3863238584322559E-2</v>
      </c>
      <c r="BN108" s="433">
        <f>BN105/(BN22+BM22)</f>
        <v>3.4075301690235024E-2</v>
      </c>
      <c r="BO108" s="437"/>
      <c r="BP108" s="430"/>
      <c r="BQ108" s="433">
        <f>BQ105/(BQ22+BN22)</f>
        <v>3.4211419031127288E-2</v>
      </c>
      <c r="BR108" s="433">
        <f>BR105/(BR22+BQ22)</f>
        <v>3.736633621053681E-2</v>
      </c>
      <c r="BS108" s="433">
        <f>BS105/(BS22+BR22)</f>
        <v>3.3140569184882583E-2</v>
      </c>
      <c r="BT108" s="433">
        <f>BT105/(BT22+BS22)</f>
        <v>3.2921393221047514E-2</v>
      </c>
      <c r="BU108" s="435"/>
      <c r="BV108" s="430"/>
      <c r="BW108" s="433">
        <f>BW105/(BW22+BT22)</f>
        <v>3.2210767761861048E-2</v>
      </c>
      <c r="BX108" s="433">
        <f>BX105/(BX22+BW22)</f>
        <v>3.2885657620057296E-2</v>
      </c>
      <c r="BY108" s="433">
        <f>BY105/(BY22+BX22)</f>
        <v>3.3469809039047178E-2</v>
      </c>
      <c r="BZ108" s="433">
        <f>BZ105/(BZ22+BY22)</f>
        <v>3.2229972577067612E-2</v>
      </c>
      <c r="CA108" s="435"/>
      <c r="CB108" s="430"/>
      <c r="CC108" s="433">
        <f>CC105/(CC22+BZ22)</f>
        <v>3.0971004769873862E-2</v>
      </c>
      <c r="CD108" s="433">
        <f>CD105/(CD22+CC22)</f>
        <v>3.1087667221564811E-2</v>
      </c>
      <c r="CE108" s="433">
        <f>CE105/(CE22+CD22)</f>
        <v>3.7517563911666635E-2</v>
      </c>
      <c r="CF108" s="433">
        <f>CF105/(CF22+CE22)</f>
        <v>3.3778204808228227E-2</v>
      </c>
      <c r="CG108" s="435"/>
      <c r="CH108" s="430"/>
      <c r="CI108" s="433">
        <f>CI105/(CI22+CF22)</f>
        <v>3.5758335819488486E-2</v>
      </c>
      <c r="CJ108" s="433">
        <f>CJ105/(CJ22+CI22)</f>
        <v>3.6120951656229923E-2</v>
      </c>
      <c r="CK108" s="433">
        <f>CK105/(CK22+CJ22)</f>
        <v>3.773828884217207E-2</v>
      </c>
      <c r="CL108" s="433">
        <f>CL105/(CL22+CK22)</f>
        <v>3.7682179575233558E-2</v>
      </c>
      <c r="CM108" s="435"/>
      <c r="CN108" s="430"/>
      <c r="CO108" s="433">
        <f>CO105/(CO22+CL22)</f>
        <v>3.8492789872920714E-2</v>
      </c>
      <c r="CP108" s="433">
        <f>CP105/(CP22+CO22)</f>
        <v>3.8735996577605597E-2</v>
      </c>
      <c r="CQ108" s="433">
        <f>CQ105/(CQ22+CP22)</f>
        <v>3.7090092159099218E-2</v>
      </c>
      <c r="CR108" s="433">
        <f>CR105/(CR22+CQ22)</f>
        <v>3.8651500628394141E-2</v>
      </c>
      <c r="CS108" s="435"/>
      <c r="CT108" s="430"/>
      <c r="CU108" s="433">
        <f>CU105/(CU22+CR22)</f>
        <v>4.0805019326790919E-2</v>
      </c>
      <c r="CV108" s="433">
        <f>CV105/(CV22+CU22)</f>
        <v>4.1112931518776222E-2</v>
      </c>
      <c r="CW108" s="433">
        <f>CW105/(CW22+CV22)</f>
        <v>4.1548182315472554E-2</v>
      </c>
      <c r="CX108" s="433">
        <f>CX105/(CX22+CW22)</f>
        <v>4.4774963903960116E-2</v>
      </c>
      <c r="CY108" s="435"/>
      <c r="CZ108" s="430"/>
      <c r="DA108" s="433">
        <f>DA105/(DA22+CX22)</f>
        <v>4.329547618390471E-2</v>
      </c>
      <c r="DB108" s="433">
        <f>DB105/(DB22+DA22)</f>
        <v>4.2257124392727552E-2</v>
      </c>
      <c r="DC108" s="433">
        <f>DC105/(DC22+DB22)</f>
        <v>3.9902114064305633E-2</v>
      </c>
      <c r="DD108" s="433">
        <f>DD105/(DD22+DC22)</f>
        <v>3.8124490506077358E-2</v>
      </c>
      <c r="DE108" s="435"/>
      <c r="DF108" s="430"/>
      <c r="DG108" s="438">
        <f>DA108-0.05%</f>
        <v>4.279547618390471E-2</v>
      </c>
      <c r="DH108" s="438">
        <f>DB108-0.02%</f>
        <v>4.2057124392727553E-2</v>
      </c>
      <c r="DI108" s="438">
        <f t="shared" ref="DI108" si="83">DC108-0.01%</f>
        <v>3.980211406430563E-2</v>
      </c>
      <c r="DJ108" s="438">
        <f>DD108-0.08%</f>
        <v>3.7324490506077355E-2</v>
      </c>
      <c r="DK108" s="435"/>
      <c r="DL108" s="430"/>
      <c r="DM108" s="438">
        <f>DG108-0.05%</f>
        <v>4.2295476183904709E-2</v>
      </c>
      <c r="DN108" s="438">
        <f>DH108-0.02%</f>
        <v>4.1857124392727554E-2</v>
      </c>
      <c r="DO108" s="438">
        <f t="shared" ref="DO108" si="84">DI108-0.01%</f>
        <v>3.9702114064305627E-2</v>
      </c>
      <c r="DP108" s="438">
        <f>DJ108-0.08%</f>
        <v>3.6524490506077353E-2</v>
      </c>
      <c r="DQ108" s="435"/>
      <c r="DR108" s="430"/>
      <c r="DS108" s="438">
        <f>DM108-0.05%</f>
        <v>4.1795476183904709E-2</v>
      </c>
      <c r="DT108" s="438">
        <f>DN108-0.03%</f>
        <v>4.1557124392727553E-2</v>
      </c>
      <c r="DU108" s="438">
        <f>DO108</f>
        <v>3.9702114064305627E-2</v>
      </c>
      <c r="DV108" s="438">
        <f>DP108-0.06%</f>
        <v>3.592449050607735E-2</v>
      </c>
      <c r="DW108" s="435"/>
      <c r="DX108" s="500"/>
      <c r="DY108" s="500"/>
      <c r="DZ108" s="500"/>
      <c r="EA108" s="500"/>
      <c r="EB108" s="500"/>
      <c r="EC108" s="500"/>
      <c r="ED108" s="500"/>
      <c r="EE108" s="500"/>
      <c r="EF108" s="500"/>
      <c r="EG108" s="500"/>
      <c r="EH108" s="500"/>
      <c r="EI108" s="500"/>
    </row>
    <row r="109" spans="1:142" ht="10.5" customHeight="1">
      <c r="A109" s="1340"/>
      <c r="B109" s="1340"/>
      <c r="C109" s="1340"/>
      <c r="D109" s="1340"/>
      <c r="E109" s="1340"/>
      <c r="F109" s="1340"/>
      <c r="G109" s="853"/>
      <c r="H109" s="1340"/>
      <c r="I109" s="1340"/>
      <c r="J109" s="1340"/>
      <c r="K109" s="1340"/>
      <c r="L109" s="500"/>
      <c r="M109" s="853"/>
      <c r="N109" s="1340"/>
      <c r="O109" s="1340"/>
      <c r="P109" s="1340"/>
      <c r="Q109" s="1340"/>
      <c r="R109" s="1340"/>
      <c r="S109" s="853"/>
      <c r="T109" s="1340"/>
      <c r="U109" s="1340"/>
      <c r="V109" s="1340"/>
      <c r="W109" s="1340"/>
      <c r="X109" s="1340"/>
      <c r="Y109" s="853"/>
      <c r="Z109" s="1340"/>
      <c r="AA109" s="1340"/>
      <c r="AB109" s="1340"/>
      <c r="AC109" s="1340"/>
      <c r="AD109" s="1340"/>
      <c r="AE109" s="853"/>
      <c r="AF109" s="1340"/>
      <c r="AG109" s="1340"/>
      <c r="AH109" s="1340"/>
      <c r="AI109" s="1340"/>
      <c r="AJ109" s="1340"/>
      <c r="AK109" s="1476">
        <f>AK111/AK139</f>
        <v>0.52298111355877352</v>
      </c>
      <c r="AL109" s="1340"/>
      <c r="AM109" s="1340"/>
      <c r="AN109" s="1340"/>
      <c r="AO109" s="1340"/>
      <c r="AP109" s="1340"/>
      <c r="AQ109" s="1476"/>
      <c r="AR109" s="1340"/>
      <c r="AS109" s="1340"/>
      <c r="AT109" s="1340"/>
      <c r="AU109" s="1471"/>
      <c r="AV109" s="1400"/>
      <c r="AW109" s="1476"/>
      <c r="AX109" s="1473"/>
      <c r="AY109" s="1400"/>
      <c r="AZ109" s="1400"/>
      <c r="BA109" s="1400"/>
      <c r="BB109" s="1400"/>
      <c r="BC109" s="1476"/>
      <c r="BD109" s="1473"/>
      <c r="BE109" s="1400"/>
      <c r="BF109" s="1400"/>
      <c r="BG109" s="1400"/>
      <c r="BH109" s="1400"/>
      <c r="BI109" s="1472"/>
      <c r="BJ109" s="1340"/>
      <c r="BK109" s="1400"/>
      <c r="BL109" s="1400"/>
      <c r="BM109" s="1400"/>
      <c r="BN109" s="1400"/>
      <c r="BO109" s="1474"/>
      <c r="BP109" s="1340"/>
      <c r="BQ109" s="1400"/>
      <c r="BR109" s="1400"/>
      <c r="BS109" s="1400"/>
      <c r="BT109" s="1400"/>
      <c r="BU109" s="1472"/>
      <c r="BV109" s="1340"/>
      <c r="BW109" s="1400"/>
      <c r="BX109" s="1400"/>
      <c r="BY109" s="1400"/>
      <c r="BZ109" s="1400"/>
      <c r="CA109" s="1472"/>
      <c r="CB109" s="1340"/>
      <c r="CC109" s="1400"/>
      <c r="CD109" s="1400"/>
      <c r="CE109" s="1400"/>
      <c r="CF109" s="1400"/>
      <c r="CG109" s="1597">
        <f>(CG111/(CG139-CG119))</f>
        <v>0.34916270496305368</v>
      </c>
      <c r="CH109" s="1340"/>
      <c r="CI109" s="1400"/>
      <c r="CJ109" s="1400"/>
      <c r="CK109" s="1400"/>
      <c r="CL109" s="1400"/>
      <c r="CM109" s="1597"/>
      <c r="CN109" s="1340"/>
      <c r="CO109" s="1400"/>
      <c r="CP109" s="1400"/>
      <c r="CQ109" s="1400"/>
      <c r="CR109" s="1400"/>
      <c r="CS109" s="1472"/>
      <c r="CT109" s="1340"/>
      <c r="CU109" s="1400"/>
      <c r="CV109" s="1400"/>
      <c r="CW109" s="1400"/>
      <c r="CX109" s="1400"/>
      <c r="CY109" s="1472"/>
      <c r="CZ109" s="1340"/>
      <c r="DA109" s="1400"/>
      <c r="DB109" s="1400"/>
      <c r="DC109" s="1400"/>
      <c r="DD109" s="1400"/>
      <c r="DE109" s="1472"/>
      <c r="DF109" s="1340"/>
      <c r="DG109" s="1400"/>
      <c r="DH109" s="1400"/>
      <c r="DI109" s="1400"/>
      <c r="DJ109" s="1400"/>
      <c r="DK109" s="1472"/>
      <c r="DL109" s="1340"/>
      <c r="DM109" s="1400"/>
      <c r="DN109" s="1400"/>
      <c r="DO109" s="1400"/>
      <c r="DP109" s="1400"/>
      <c r="DQ109" s="1472"/>
      <c r="DR109" s="1340"/>
      <c r="DS109" s="1400"/>
      <c r="DT109" s="1400"/>
      <c r="DU109" s="1400"/>
      <c r="DV109" s="1400"/>
      <c r="DW109" s="1472"/>
      <c r="DX109" s="500"/>
      <c r="DY109" s="500"/>
      <c r="DZ109" s="500"/>
      <c r="EA109" s="500"/>
      <c r="EB109" s="500"/>
      <c r="EC109" s="500"/>
      <c r="ED109" s="500"/>
      <c r="EE109" s="500"/>
      <c r="EF109" s="500"/>
      <c r="EG109" s="500"/>
      <c r="EH109" s="500"/>
      <c r="EI109" s="500"/>
    </row>
    <row r="110" spans="1:142" s="475" customFormat="1" ht="4.5" customHeight="1" thickBot="1">
      <c r="G110" s="476"/>
      <c r="M110" s="476"/>
      <c r="S110" s="476"/>
      <c r="Y110" s="476"/>
      <c r="AE110" s="476"/>
      <c r="AK110" s="476"/>
      <c r="AQ110" s="481"/>
      <c r="AW110" s="481"/>
      <c r="BC110" s="481"/>
      <c r="BI110" s="481"/>
      <c r="BO110" s="513"/>
      <c r="BU110" s="481"/>
      <c r="CA110" s="481"/>
      <c r="CG110" s="481"/>
      <c r="CM110" s="481"/>
      <c r="CS110" s="481"/>
      <c r="CY110" s="481"/>
      <c r="DE110" s="481"/>
      <c r="DK110" s="481"/>
      <c r="DQ110" s="481"/>
      <c r="DW110" s="481"/>
      <c r="EJ110" s="656"/>
      <c r="EK110" s="656"/>
      <c r="EL110" s="656"/>
    </row>
    <row r="111" spans="1:142" s="475" customFormat="1" ht="12" customHeight="1">
      <c r="A111" s="1477" t="s">
        <v>239</v>
      </c>
      <c r="B111" s="1478"/>
      <c r="C111" s="1478"/>
      <c r="D111" s="1478"/>
      <c r="E111" s="1478"/>
      <c r="F111" s="1478"/>
      <c r="G111" s="1479"/>
      <c r="H111" s="1478"/>
      <c r="I111" s="1478"/>
      <c r="J111" s="1478"/>
      <c r="K111" s="1478"/>
      <c r="L111" s="1478"/>
      <c r="M111" s="1479"/>
      <c r="N111" s="1478"/>
      <c r="O111" s="1478"/>
      <c r="P111" s="1478"/>
      <c r="Q111" s="1478"/>
      <c r="R111" s="1478"/>
      <c r="S111" s="1479"/>
      <c r="T111" s="1478"/>
      <c r="U111" s="1480">
        <f>U139-O139</f>
        <v>11.213999999999999</v>
      </c>
      <c r="V111" s="1480">
        <f>V139-P139</f>
        <v>10.265000000000001</v>
      </c>
      <c r="W111" s="1480">
        <f>W139-Q139</f>
        <v>17.056000000000004</v>
      </c>
      <c r="X111" s="1480">
        <f>X139-R139</f>
        <v>24.832000000000001</v>
      </c>
      <c r="Y111" s="1481">
        <f>Y139-S139</f>
        <v>63.366999999999997</v>
      </c>
      <c r="Z111" s="1478"/>
      <c r="AA111" s="1480">
        <f>AA139-AA124</f>
        <v>17.665100000000002</v>
      </c>
      <c r="AB111" s="1480">
        <f>AB139-AB124</f>
        <v>27.955449999999999</v>
      </c>
      <c r="AC111" s="1480">
        <f>AC139-AC124</f>
        <v>34.482549999999996</v>
      </c>
      <c r="AD111" s="1480">
        <f>AD139-AD124</f>
        <v>38.602500000000006</v>
      </c>
      <c r="AE111" s="1481">
        <f>SUM(AA111:AD111)</f>
        <v>118.7056</v>
      </c>
      <c r="AF111" s="1478"/>
      <c r="AG111" s="1480">
        <f>AG139-AG124</f>
        <v>42.899349999999977</v>
      </c>
      <c r="AH111" s="1480">
        <f>AH139-AH124</f>
        <v>44.047800000000024</v>
      </c>
      <c r="AI111" s="1480">
        <f>AI139-AI124</f>
        <v>43.882349999999995</v>
      </c>
      <c r="AJ111" s="1480">
        <f>AJ139-AJ124</f>
        <v>69.541300000000007</v>
      </c>
      <c r="AK111" s="1481">
        <f>SUM(AG111:AJ111)</f>
        <v>200.3708</v>
      </c>
      <c r="AL111" s="1478"/>
      <c r="AM111" s="1480">
        <f>AM139-AM124</f>
        <v>57.448599999999999</v>
      </c>
      <c r="AN111" s="1480">
        <f>AN139-AN124</f>
        <v>69.3553</v>
      </c>
      <c r="AO111" s="1480">
        <f>AO139-AO124</f>
        <v>71.039900000000003</v>
      </c>
      <c r="AP111" s="1480">
        <f>AP139-AP124</f>
        <v>97.512299999999968</v>
      </c>
      <c r="AQ111" s="1482">
        <f>SUM(AM111:AP111)</f>
        <v>295.35609999999997</v>
      </c>
      <c r="AR111" s="1478"/>
      <c r="AS111" s="1480">
        <f>AS139-AS124</f>
        <v>77.978850000000051</v>
      </c>
      <c r="AT111" s="1480">
        <f>AT139-AT124</f>
        <v>88.107999999999919</v>
      </c>
      <c r="AU111" s="1480">
        <f>AU139-AU124</f>
        <v>90.472750000000019</v>
      </c>
      <c r="AV111" s="1480">
        <f>AV139-AV124</f>
        <v>181.11625000000004</v>
      </c>
      <c r="AW111" s="1482">
        <f>SUM(AS111:AV111)</f>
        <v>437.67585000000003</v>
      </c>
      <c r="AX111" s="1478"/>
      <c r="AY111" s="1480">
        <f>AY139-AY124</f>
        <v>94.492449999999991</v>
      </c>
      <c r="AZ111" s="1480">
        <f>AZ139-AZ124</f>
        <v>104.69650000000001</v>
      </c>
      <c r="BA111" s="1480">
        <f>BA139-BA124</f>
        <v>92.45909999999995</v>
      </c>
      <c r="BB111" s="1480">
        <f>BB139-BB124</f>
        <v>118.69684000000007</v>
      </c>
      <c r="BC111" s="1482">
        <f>SUM(AY111:BB111)</f>
        <v>410.34489000000002</v>
      </c>
      <c r="BD111" s="1478"/>
      <c r="BE111" s="1480">
        <f>BE139-BE124</f>
        <v>78.195899999999938</v>
      </c>
      <c r="BF111" s="1480">
        <f>BF139-BF124</f>
        <v>106.44937999999996</v>
      </c>
      <c r="BG111" s="1480">
        <f>BG139-BG124</f>
        <v>120.25697499999998</v>
      </c>
      <c r="BH111" s="1480">
        <f>BH139-BH124</f>
        <v>176.90797000000003</v>
      </c>
      <c r="BI111" s="1482">
        <f>SUM(BE111:BH111)</f>
        <v>481.81022499999989</v>
      </c>
      <c r="BJ111" s="1478"/>
      <c r="BK111" s="1480">
        <f>BK139-BK124</f>
        <v>140.67867249999978</v>
      </c>
      <c r="BL111" s="1480">
        <f>BL139-BL124</f>
        <v>169.60833799999986</v>
      </c>
      <c r="BM111" s="1480">
        <f>BM139-BM124</f>
        <v>188.31434799999977</v>
      </c>
      <c r="BN111" s="1480">
        <f>BN139-BN124</f>
        <v>288.27714799999973</v>
      </c>
      <c r="BO111" s="1483">
        <f>SUM(BK111:BN111)</f>
        <v>786.87850649999905</v>
      </c>
      <c r="BP111" s="1478"/>
      <c r="BQ111" s="1480">
        <f>BQ139-BQ124</f>
        <v>221.56411499999996</v>
      </c>
      <c r="BR111" s="1480">
        <f>BR139-BR124</f>
        <v>237.30884099999969</v>
      </c>
      <c r="BS111" s="1480">
        <f>BS139-BS124</f>
        <v>213.78079399999984</v>
      </c>
      <c r="BT111" s="1480">
        <f>BT139-BT124-BT130</f>
        <v>366.20561174999989</v>
      </c>
      <c r="BU111" s="1482">
        <f>SUM(BQ111:BT111)</f>
        <v>1038.8593617499994</v>
      </c>
      <c r="BV111" s="1478"/>
      <c r="BW111" s="1480">
        <f>BW139-BW124-BW130</f>
        <v>264.16516535999978</v>
      </c>
      <c r="BX111" s="1480">
        <f>BX139-BX124</f>
        <v>288.53177362500003</v>
      </c>
      <c r="BY111" s="1480">
        <f>BY139-BY124</f>
        <v>280.11970751999991</v>
      </c>
      <c r="BZ111" s="1480">
        <f>BZ139-BZ124</f>
        <v>497.39120695749966</v>
      </c>
      <c r="CA111" s="1482">
        <f>SUM(BW111:BZ111)</f>
        <v>1330.2078534624993</v>
      </c>
      <c r="CB111" s="1478"/>
      <c r="CC111" s="1480">
        <f>CC139-CC124-CC130</f>
        <v>297.3434264</v>
      </c>
      <c r="CD111" s="1480">
        <f>CD139-CD124</f>
        <v>365.29317062500002</v>
      </c>
      <c r="CE111" s="1480">
        <f>CE139-CE124</f>
        <v>312.95579450000002</v>
      </c>
      <c r="CF111" s="1480">
        <f>CF139-CF124</f>
        <v>568.53009006999991</v>
      </c>
      <c r="CG111" s="1482">
        <f>SUM(CC111:CF111)</f>
        <v>1544.122481595</v>
      </c>
      <c r="CH111" s="1478"/>
      <c r="CI111" s="1480">
        <f>CI139-CI124-CI130</f>
        <v>335.47145870999998</v>
      </c>
      <c r="CJ111" s="1480">
        <f>CJ139-CJ124</f>
        <v>525.27989877999983</v>
      </c>
      <c r="CK111" s="1480">
        <f>CK139-CK124</f>
        <v>339.35235894999994</v>
      </c>
      <c r="CL111" s="1480">
        <f>CL139-CL124</f>
        <v>882.0601992500001</v>
      </c>
      <c r="CM111" s="1482">
        <f>SUM(CI111:CL111)</f>
        <v>2082.1639156900001</v>
      </c>
      <c r="CN111" s="1478"/>
      <c r="CO111" s="1480">
        <f>CO139-CO124-CO130</f>
        <v>371.42401010000015</v>
      </c>
      <c r="CP111" s="1480">
        <f>CP139-CP124</f>
        <v>508.6846982080001</v>
      </c>
      <c r="CQ111" s="1480">
        <f>CQ139-CQ124</f>
        <v>456.23271923200014</v>
      </c>
      <c r="CR111" s="1480">
        <f>CR139-CR124</f>
        <v>1028.9288838950006</v>
      </c>
      <c r="CS111" s="1482">
        <f>SUM(CO111:CR111)</f>
        <v>2365.2703114350011</v>
      </c>
      <c r="CT111" s="1478"/>
      <c r="CU111" s="1480">
        <f>CU139-CU124</f>
        <v>591.13850990800006</v>
      </c>
      <c r="CV111" s="1480">
        <f>CV139-CV124</f>
        <v>472.59611455000004</v>
      </c>
      <c r="CW111" s="1480">
        <f>CW139-CW124</f>
        <v>546.46830875000069</v>
      </c>
      <c r="CX111" s="1480">
        <f>CX139-CX124</f>
        <v>1585.7186421199999</v>
      </c>
      <c r="CY111" s="1482">
        <f>SUM(CU111:CX111)</f>
        <v>3195.9215753280005</v>
      </c>
      <c r="CZ111" s="1478"/>
      <c r="DA111" s="1480">
        <f>DA139-DA124</f>
        <v>523.88228999999956</v>
      </c>
      <c r="DB111" s="1480">
        <f>DB139-DB124</f>
        <v>696.63590999999997</v>
      </c>
      <c r="DC111" s="1480">
        <f>DC139-DC124</f>
        <v>773.43564999999944</v>
      </c>
      <c r="DD111" s="1480">
        <f>DD139-DD124</f>
        <v>2001.4133100000004</v>
      </c>
      <c r="DE111" s="1482">
        <f>SUM(DA111:DD111)</f>
        <v>3995.3671599999993</v>
      </c>
      <c r="DF111" s="1478"/>
      <c r="DG111" s="1480">
        <f>DA111*(1+DG112)</f>
        <v>550.07640449999951</v>
      </c>
      <c r="DH111" s="1480">
        <f>DB111*(1+DH112)</f>
        <v>822.03037379999989</v>
      </c>
      <c r="DI111" s="1480">
        <f>DC111*(1+DI112)</f>
        <v>873.98228449999931</v>
      </c>
      <c r="DJ111" s="1480">
        <f>DD111*(1+DJ112)</f>
        <v>2301.6253065000001</v>
      </c>
      <c r="DK111" s="1482">
        <f>SUM(DG111:DJ111)</f>
        <v>4547.7143692999989</v>
      </c>
      <c r="DL111" s="1478"/>
      <c r="DM111" s="1480">
        <f>DG111*(1+DM112)</f>
        <v>688.09057438904949</v>
      </c>
      <c r="DN111" s="1480">
        <f>DH111*(1+DN112)</f>
        <v>1028.3682179275379</v>
      </c>
      <c r="DO111" s="1480">
        <f>DI111*(1+DO112)</f>
        <v>1006.3032023732992</v>
      </c>
      <c r="DP111" s="1480">
        <f>DJ111*(1+DP112)</f>
        <v>2418.0875470088999</v>
      </c>
      <c r="DQ111" s="1482">
        <f>SUM(DM111:DP111)</f>
        <v>5140.8495416987862</v>
      </c>
      <c r="DR111" s="1478"/>
      <c r="DS111" s="1480">
        <f>DM111*(1+DS112)</f>
        <v>788.48298919241176</v>
      </c>
      <c r="DT111" s="1480">
        <f>DN111*(1+DT112)</f>
        <v>1232.9106564733252</v>
      </c>
      <c r="DU111" s="1480">
        <f>DO111*(1+DU112)</f>
        <v>1206.8594306062978</v>
      </c>
      <c r="DV111" s="1480">
        <f>DP111*(1+DV112)</f>
        <v>2828.7997168683619</v>
      </c>
      <c r="DW111" s="1482">
        <f>SUM(DS111:DV111)</f>
        <v>6057.0527931403967</v>
      </c>
      <c r="EJ111" s="656"/>
      <c r="EK111" s="656"/>
      <c r="EL111" s="656"/>
    </row>
    <row r="112" spans="1:142" s="475" customFormat="1" ht="12" customHeight="1">
      <c r="A112" s="1484" t="s">
        <v>877</v>
      </c>
      <c r="G112" s="476"/>
      <c r="M112" s="476"/>
      <c r="S112" s="476"/>
      <c r="Y112" s="476"/>
      <c r="AA112" s="483">
        <f>AA111/U111-1</f>
        <v>0.57527198145175706</v>
      </c>
      <c r="AB112" s="483">
        <f>AB111/V111-1</f>
        <v>1.7233755479785677</v>
      </c>
      <c r="AC112" s="483">
        <f>AC111/W111-1</f>
        <v>1.021725492495309</v>
      </c>
      <c r="AD112" s="483">
        <f>AD111/X111-1</f>
        <v>0.55454655283505172</v>
      </c>
      <c r="AE112" s="483">
        <f>AE111/Y111-1</f>
        <v>0.87330313885776523</v>
      </c>
      <c r="AG112" s="483">
        <f>AG111/AA111-1</f>
        <v>1.428480450153125</v>
      </c>
      <c r="AH112" s="483">
        <f>AH111/AB111-1</f>
        <v>0.57564267432647398</v>
      </c>
      <c r="AI112" s="483">
        <f>AI111/AC111-1</f>
        <v>0.27259584920488766</v>
      </c>
      <c r="AJ112" s="483">
        <f>AJ111/AD111-1</f>
        <v>0.80147140729227373</v>
      </c>
      <c r="AK112" s="483">
        <f>AK111/AE111-1</f>
        <v>0.68796417355204809</v>
      </c>
      <c r="AM112" s="483">
        <f>AM111/AG111-1</f>
        <v>0.33914849525692192</v>
      </c>
      <c r="AN112" s="483">
        <f>AN111/AH111-1</f>
        <v>0.57454628835038224</v>
      </c>
      <c r="AO112" s="483">
        <f>AO111/AI111-1</f>
        <v>0.61887182432116816</v>
      </c>
      <c r="AP112" s="483">
        <f>AP111/AJ111-1</f>
        <v>0.40222141374981435</v>
      </c>
      <c r="AQ112" s="1485">
        <f>AQ111/AK111-1</f>
        <v>0.47404761572045406</v>
      </c>
      <c r="AS112" s="483">
        <f>AS111/AM111-1</f>
        <v>0.35736728136107843</v>
      </c>
      <c r="AT112" s="483">
        <f>AT111/AN111-1</f>
        <v>0.27038596906076284</v>
      </c>
      <c r="AU112" s="483">
        <f>AU111/AO111-1</f>
        <v>0.273548386188607</v>
      </c>
      <c r="AV112" s="483">
        <f>AV111/AP111-1</f>
        <v>0.85736824995410932</v>
      </c>
      <c r="AW112" s="1485">
        <f>AW111/AQ111-1</f>
        <v>0.48185817052703528</v>
      </c>
      <c r="AY112" s="483">
        <f>AY111/AS111-1</f>
        <v>0.21177024282866364</v>
      </c>
      <c r="AZ112" s="483">
        <f>AZ111/AT111-1</f>
        <v>0.18827461751486929</v>
      </c>
      <c r="BA112" s="483">
        <f>BA111/AU111-1</f>
        <v>2.1955229613335847E-2</v>
      </c>
      <c r="BB112" s="483">
        <f>BB111/AV111-1</f>
        <v>-0.34463727026150304</v>
      </c>
      <c r="BC112" s="1485">
        <f>BC111/AW111-1</f>
        <v>-6.244566612482727E-2</v>
      </c>
      <c r="BE112" s="483">
        <f>BE111/AY111-1</f>
        <v>-0.17246404342357569</v>
      </c>
      <c r="BF112" s="483">
        <f>BF111/AZ111-1</f>
        <v>1.6742489003929828E-2</v>
      </c>
      <c r="BG112" s="483">
        <f>BG111/BA111-1</f>
        <v>0.30065050384440317</v>
      </c>
      <c r="BH112" s="483">
        <f>BH111/BB111-1</f>
        <v>0.49041853178231154</v>
      </c>
      <c r="BI112" s="1485">
        <f>BI111/BC111-1</f>
        <v>0.17415919325813922</v>
      </c>
      <c r="BK112" s="483">
        <f>BK111/BE111-1</f>
        <v>0.79905433021424255</v>
      </c>
      <c r="BL112" s="483">
        <f>BL111/BF111-1</f>
        <v>0.59332386905400414</v>
      </c>
      <c r="BM112" s="483">
        <f>BM111/BG111-1</f>
        <v>0.56593285337503119</v>
      </c>
      <c r="BN112" s="483">
        <f>BN111/BH111-1</f>
        <v>0.6295317164059917</v>
      </c>
      <c r="BO112" s="1486">
        <f>BO111/BI111-1</f>
        <v>0.63317104052741757</v>
      </c>
      <c r="BQ112" s="483">
        <f>BQ111/BK111-1</f>
        <v>0.5749659210069693</v>
      </c>
      <c r="BR112" s="483">
        <f>BR111/BL111-1</f>
        <v>0.39915787041082784</v>
      </c>
      <c r="BS112" s="483">
        <f>BS111/BM111-1</f>
        <v>0.13523369977098132</v>
      </c>
      <c r="BT112" s="483">
        <f>BT111/BN111-1</f>
        <v>0.27032480476045317</v>
      </c>
      <c r="BU112" s="1486">
        <f>BU111/BO111-1</f>
        <v>0.32022841285982007</v>
      </c>
      <c r="BW112" s="483">
        <f>BW111/BQ111-1</f>
        <v>0.1922741431300814</v>
      </c>
      <c r="BX112" s="483">
        <f>BX111/BR111-1</f>
        <v>0.21584923852457916</v>
      </c>
      <c r="BY112" s="483">
        <f>BY111/BS111-1</f>
        <v>0.31031278478645796</v>
      </c>
      <c r="BZ112" s="483">
        <f>BZ111/BT111-1</f>
        <v>0.35822934165481102</v>
      </c>
      <c r="CA112" s="1485">
        <f>CA111/BU111-1</f>
        <v>0.28045036935674528</v>
      </c>
      <c r="CC112" s="483">
        <f>CC111/BW111-1</f>
        <v>0.12559665463379877</v>
      </c>
      <c r="CD112" s="483">
        <f>CD111/BX111-1</f>
        <v>0.26604140000111576</v>
      </c>
      <c r="CE112" s="483">
        <f>CE111/BY111-1</f>
        <v>0.11722162382186441</v>
      </c>
      <c r="CF112" s="483">
        <f>CF111/BZ111-1</f>
        <v>0.14302400629004053</v>
      </c>
      <c r="CG112" s="1485">
        <f>CG111/CA111-1</f>
        <v>0.16081293429119814</v>
      </c>
      <c r="CI112" s="483">
        <f>CI111/CC111-1</f>
        <v>0.12822893975368532</v>
      </c>
      <c r="CJ112" s="483">
        <f>CJ111/CD111-1</f>
        <v>0.43796802409765778</v>
      </c>
      <c r="CK112" s="483">
        <f>CK111/CE111-1</f>
        <v>8.4345984045998801E-2</v>
      </c>
      <c r="CL112" s="483">
        <f>CL111/CF111-1</f>
        <v>0.55147496087919801</v>
      </c>
      <c r="CM112" s="1485">
        <f>CM111/CG111-1</f>
        <v>0.34844479016925578</v>
      </c>
      <c r="CO112" s="483">
        <f>CO111/CI111-1</f>
        <v>0.1071702240430521</v>
      </c>
      <c r="CP112" s="483">
        <f>CP111/CJ111-1</f>
        <v>-3.1593062309338782E-2</v>
      </c>
      <c r="CQ112" s="483">
        <f>CQ111/CK111-1</f>
        <v>0.34442182940364141</v>
      </c>
      <c r="CR112" s="483">
        <f>CR111/CL111-1</f>
        <v>0.16650641846200553</v>
      </c>
      <c r="CS112" s="1485">
        <f>CS111/CM111-1</f>
        <v>0.13596739123739132</v>
      </c>
      <c r="CU112" s="483">
        <f>CU111/CO111-1</f>
        <v>0.59154630242898198</v>
      </c>
      <c r="CV112" s="483">
        <f>CV111/CP111-1</f>
        <v>-7.0944897271597362E-2</v>
      </c>
      <c r="CW112" s="483">
        <f>CW111/CQ111-1</f>
        <v>0.19778412576348914</v>
      </c>
      <c r="CX112" s="483">
        <f>CX111/CR111-1</f>
        <v>0.54113531745486321</v>
      </c>
      <c r="CY112" s="1485">
        <f>CY111/CS111-1</f>
        <v>0.35118661062846823</v>
      </c>
      <c r="DA112" s="483">
        <f>DA111/CU111-1</f>
        <v>-0.11377404581282935</v>
      </c>
      <c r="DB112" s="483">
        <f>DB111/CV111-1</f>
        <v>0.47406186498872871</v>
      </c>
      <c r="DC112" s="483">
        <f>DC111/CW111-1</f>
        <v>0.41533486501562566</v>
      </c>
      <c r="DD112" s="483">
        <f>DD111/CX111-1</f>
        <v>0.26214907035730151</v>
      </c>
      <c r="DE112" s="1485">
        <f>DE111/CY111-1</f>
        <v>0.2501455576518492</v>
      </c>
      <c r="DG112" s="480">
        <v>0.05</v>
      </c>
      <c r="DH112" s="480">
        <v>0.18</v>
      </c>
      <c r="DI112" s="480">
        <v>0.13</v>
      </c>
      <c r="DJ112" s="480">
        <v>0.15</v>
      </c>
      <c r="DK112" s="1485">
        <f>DK111/DE111-1</f>
        <v>0.13824692129170923</v>
      </c>
      <c r="DM112" s="480">
        <v>0.25090000000000001</v>
      </c>
      <c r="DN112" s="480">
        <v>0.25101000000000001</v>
      </c>
      <c r="DO112" s="480">
        <v>0.15140000000000001</v>
      </c>
      <c r="DP112" s="480">
        <v>5.0599999999999999E-2</v>
      </c>
      <c r="DQ112" s="1485">
        <f>DQ111/DK111-1</f>
        <v>0.13042489572406568</v>
      </c>
      <c r="DS112" s="480">
        <v>0.1459</v>
      </c>
      <c r="DT112" s="480">
        <v>0.19889999999999999</v>
      </c>
      <c r="DU112" s="480">
        <v>0.1993</v>
      </c>
      <c r="DV112" s="480">
        <v>0.16985</v>
      </c>
      <c r="DW112" s="1485">
        <f>DW111/DQ111-1</f>
        <v>0.17822020349166889</v>
      </c>
      <c r="EJ112" s="656"/>
      <c r="EK112" s="656"/>
      <c r="EL112" s="656"/>
    </row>
    <row r="113" spans="1:142" s="475" customFormat="1" ht="12" customHeight="1" thickBot="1">
      <c r="A113" s="1487" t="s">
        <v>878</v>
      </c>
      <c r="B113" s="1488"/>
      <c r="C113" s="1488"/>
      <c r="D113" s="1488"/>
      <c r="E113" s="1488"/>
      <c r="F113" s="1488"/>
      <c r="G113" s="1489"/>
      <c r="H113" s="1488"/>
      <c r="I113" s="1488"/>
      <c r="J113" s="1488"/>
      <c r="K113" s="1488"/>
      <c r="L113" s="1488"/>
      <c r="M113" s="1489"/>
      <c r="N113" s="1488"/>
      <c r="O113" s="1488"/>
      <c r="P113" s="1488"/>
      <c r="Q113" s="1488"/>
      <c r="R113" s="1488"/>
      <c r="S113" s="1489"/>
      <c r="T113" s="1488"/>
      <c r="U113" s="1488"/>
      <c r="V113" s="1490">
        <f>V111/U111-1</f>
        <v>-8.4626359907258641E-2</v>
      </c>
      <c r="W113" s="1490">
        <f>W111/V111-1</f>
        <v>0.66156843643448648</v>
      </c>
      <c r="X113" s="1490">
        <f>X111/W111-1</f>
        <v>0.45590994371482152</v>
      </c>
      <c r="Y113" s="1489"/>
      <c r="Z113" s="1488"/>
      <c r="AA113" s="1490">
        <f>AA111/X111-1</f>
        <v>-0.28861549613402049</v>
      </c>
      <c r="AB113" s="1490">
        <f>AB111/AA111-1</f>
        <v>0.58252429932465688</v>
      </c>
      <c r="AC113" s="1490">
        <f>AC111/AB111-1</f>
        <v>0.23348220114503593</v>
      </c>
      <c r="AD113" s="1490">
        <f>AD111/AC111-1</f>
        <v>0.11947927284960103</v>
      </c>
      <c r="AE113" s="1489"/>
      <c r="AF113" s="1488"/>
      <c r="AG113" s="1490">
        <f>AG111/AD111-1</f>
        <v>0.11131014830645602</v>
      </c>
      <c r="AH113" s="1490">
        <f>AH111/AG111-1</f>
        <v>2.6770801888607698E-2</v>
      </c>
      <c r="AI113" s="1490">
        <f>AI111/AH111-1</f>
        <v>-3.7561467315059271E-3</v>
      </c>
      <c r="AJ113" s="1490">
        <f>AJ111/AI111-1</f>
        <v>0.58472141988749504</v>
      </c>
      <c r="AK113" s="1489"/>
      <c r="AL113" s="1488"/>
      <c r="AM113" s="1490">
        <f>AM111/AJ111-1</f>
        <v>-0.1738923488631936</v>
      </c>
      <c r="AN113" s="1490">
        <f>AN111/AM111-1</f>
        <v>0.20725831438886244</v>
      </c>
      <c r="AO113" s="1490">
        <f>AO111/AN111-1</f>
        <v>2.4289419842463467E-2</v>
      </c>
      <c r="AP113" s="1490">
        <f>AP111/AO111-1</f>
        <v>0.37264129031713122</v>
      </c>
      <c r="AQ113" s="1491"/>
      <c r="AR113" s="1488"/>
      <c r="AS113" s="1490">
        <f>AS111/AP111-1</f>
        <v>-0.20031780606138838</v>
      </c>
      <c r="AT113" s="1490">
        <f>AT111/AS111-1</f>
        <v>0.12989611926823574</v>
      </c>
      <c r="AU113" s="1490">
        <f>AU111/AT111-1</f>
        <v>2.6839220048124002E-2</v>
      </c>
      <c r="AV113" s="1490">
        <f>AV111/AU111-1</f>
        <v>1.0018873086094984</v>
      </c>
      <c r="AW113" s="1491"/>
      <c r="AX113" s="1488"/>
      <c r="AY113" s="1490">
        <f>AY111/AV111-1</f>
        <v>-0.47827734949238421</v>
      </c>
      <c r="AZ113" s="1490">
        <f>AZ111/AY111-1</f>
        <v>0.10798799269147974</v>
      </c>
      <c r="BA113" s="1490">
        <f>BA111/AZ111-1</f>
        <v>-0.11688451858467153</v>
      </c>
      <c r="BB113" s="1490">
        <f>BB111/BA111-1</f>
        <v>0.28377671857069919</v>
      </c>
      <c r="BC113" s="1491"/>
      <c r="BD113" s="1488"/>
      <c r="BE113" s="1490">
        <f>BE111/BB111-1</f>
        <v>-0.34121329599002048</v>
      </c>
      <c r="BF113" s="1490">
        <f>BF111/BE111-1</f>
        <v>0.36131664192112445</v>
      </c>
      <c r="BG113" s="1490">
        <f>BG111/BF111-1</f>
        <v>0.12971043138062455</v>
      </c>
      <c r="BH113" s="1490">
        <f>BH111/BG111-1</f>
        <v>0.47108282076777708</v>
      </c>
      <c r="BI113" s="1491"/>
      <c r="BJ113" s="1488"/>
      <c r="BK113" s="1490">
        <f>BK111/BH111-1</f>
        <v>-0.20479177676393123</v>
      </c>
      <c r="BL113" s="1490">
        <f>BL111/BK111-1</f>
        <v>0.20564357756503648</v>
      </c>
      <c r="BM113" s="1490">
        <f>BM111/BL111-1</f>
        <v>0.11028944815201203</v>
      </c>
      <c r="BN113" s="1490">
        <f>BN111/BM111-1</f>
        <v>0.5308294405692342</v>
      </c>
      <c r="BO113" s="1492"/>
      <c r="BP113" s="1488"/>
      <c r="BQ113" s="1490">
        <f>BQ111/BN111-1</f>
        <v>-0.2314197759442238</v>
      </c>
      <c r="BR113" s="1490">
        <f>BR111/BQ111-1</f>
        <v>7.1061715025466654E-2</v>
      </c>
      <c r="BS113" s="1490">
        <f>BS111/BR111-1</f>
        <v>-9.9145261090377468E-2</v>
      </c>
      <c r="BT113" s="1490">
        <f>BT111/BS111-1</f>
        <v>0.7129958444723532</v>
      </c>
      <c r="BU113" s="1491"/>
      <c r="BV113" s="1488"/>
      <c r="BW113" s="1490">
        <f>BW111/BT111-1</f>
        <v>-0.27864249786445316</v>
      </c>
      <c r="BX113" s="1490">
        <f>BX111/BW111-1</f>
        <v>9.2240050772000259E-2</v>
      </c>
      <c r="BY113" s="1490">
        <f>BY111/BX111-1</f>
        <v>-2.9154730514820648E-2</v>
      </c>
      <c r="BZ113" s="1490">
        <f>BZ111/BY111-1</f>
        <v>0.7756380347569336</v>
      </c>
      <c r="CA113" s="1491"/>
      <c r="CB113" s="1488"/>
      <c r="CC113" s="1490">
        <f>CC111/BZ111-1</f>
        <v>-0.40219404315805096</v>
      </c>
      <c r="CD113" s="1490">
        <f>CD111/CC111-1</f>
        <v>0.22852277263258181</v>
      </c>
      <c r="CE113" s="1490">
        <f>CE111/CD111-1</f>
        <v>-0.14327499207130845</v>
      </c>
      <c r="CF113" s="1490">
        <f>CF111/CE111-1</f>
        <v>0.81664663208528609</v>
      </c>
      <c r="CG113" s="1491"/>
      <c r="CH113" s="1488"/>
      <c r="CI113" s="1490">
        <f>CI111/CF111-1</f>
        <v>-0.40993191992934752</v>
      </c>
      <c r="CJ113" s="1490">
        <f>CJ111/CI111-1</f>
        <v>0.56579609126772468</v>
      </c>
      <c r="CK113" s="1490">
        <f>CK111/CJ111-1</f>
        <v>-0.35395898503222745</v>
      </c>
      <c r="CL113" s="1490">
        <f>CL111/CK111-1</f>
        <v>1.5992458162931542</v>
      </c>
      <c r="CM113" s="1491"/>
      <c r="CN113" s="1488"/>
      <c r="CO113" s="1490">
        <f>CO111/CL111-1</f>
        <v>-0.57891308278526199</v>
      </c>
      <c r="CP113" s="1490">
        <f>CP111/CO111-1</f>
        <v>0.36955254473464083</v>
      </c>
      <c r="CQ113" s="1490">
        <f>CQ111/CP111-1</f>
        <v>-0.10311294827774131</v>
      </c>
      <c r="CR113" s="1490">
        <f>CR111/CQ111-1</f>
        <v>1.2552720147451266</v>
      </c>
      <c r="CS113" s="1491"/>
      <c r="CT113" s="1488"/>
      <c r="CU113" s="1490">
        <f>CU111/CR111-1</f>
        <v>-0.42548166432042334</v>
      </c>
      <c r="CV113" s="1490">
        <f>CV111/CU111-1</f>
        <v>-0.20053235133750458</v>
      </c>
      <c r="CW113" s="1490">
        <f>CW111/CV111-1</f>
        <v>0.15631147173171489</v>
      </c>
      <c r="CX113" s="1490">
        <f>CX111/CW111-1</f>
        <v>1.9017577354983222</v>
      </c>
      <c r="CY113" s="1491"/>
      <c r="CZ113" s="1488"/>
      <c r="DA113" s="1490">
        <f>DA111/CX111-1</f>
        <v>-0.66962468871551895</v>
      </c>
      <c r="DB113" s="1490">
        <f>DB111/DA111-1</f>
        <v>0.32975655657304337</v>
      </c>
      <c r="DC113" s="1490">
        <f>DC111/DB111-1</f>
        <v>0.11024372832000506</v>
      </c>
      <c r="DD113" s="1490">
        <f>DD111/DC111-1</f>
        <v>1.5876920853079399</v>
      </c>
      <c r="DE113" s="1491"/>
      <c r="DF113" s="1488"/>
      <c r="DG113" s="1490">
        <f>DG111/DD111-1</f>
        <v>-0.72515601762436588</v>
      </c>
      <c r="DH113" s="1490">
        <f>DH111/DG111-1</f>
        <v>0.49439308262494408</v>
      </c>
      <c r="DI113" s="1490">
        <f>DI111/DH111-1</f>
        <v>6.3199502543733743E-2</v>
      </c>
      <c r="DJ113" s="1490">
        <f>DJ111/DI111-1</f>
        <v>1.6334919452248942</v>
      </c>
      <c r="DK113" s="1491"/>
      <c r="DL113" s="1488"/>
      <c r="DM113" s="1490">
        <f>DM111/DJ111-1</f>
        <v>-0.70104144560549497</v>
      </c>
      <c r="DN113" s="1490">
        <f>DN111/DM111-1</f>
        <v>0.49452449459959302</v>
      </c>
      <c r="DO113" s="1490">
        <f>DO111/DN111-1</f>
        <v>-2.1456337496219113E-2</v>
      </c>
      <c r="DP113" s="1490">
        <f>DP111/DO111-1</f>
        <v>1.4029413215678943</v>
      </c>
      <c r="DQ113" s="1491"/>
      <c r="DR113" s="1488"/>
      <c r="DS113" s="1490">
        <f>DS111/DP111-1</f>
        <v>-0.67392289407894224</v>
      </c>
      <c r="DT113" s="1490">
        <f>DT111/DS111-1</f>
        <v>0.56364902397718142</v>
      </c>
      <c r="DU113" s="1490">
        <f>DU111/DT111-1</f>
        <v>-2.1129857001597752E-2</v>
      </c>
      <c r="DV113" s="1490">
        <f>DV111/DU111-1</f>
        <v>1.3439347161145681</v>
      </c>
      <c r="DW113" s="1491"/>
      <c r="EJ113" s="656"/>
      <c r="EK113" s="656"/>
      <c r="EL113" s="656"/>
    </row>
    <row r="114" spans="1:142" s="475" customFormat="1" ht="14.1" customHeight="1">
      <c r="G114" s="476"/>
      <c r="M114" s="476"/>
      <c r="S114" s="476"/>
      <c r="V114" s="483"/>
      <c r="W114" s="483"/>
      <c r="X114" s="483"/>
      <c r="Y114" s="476"/>
      <c r="AA114" s="483"/>
      <c r="AB114" s="483"/>
      <c r="AC114" s="483"/>
      <c r="AD114" s="483"/>
      <c r="AE114" s="476"/>
      <c r="AG114" s="483"/>
      <c r="AH114" s="483"/>
      <c r="AI114" s="483"/>
      <c r="AJ114" s="483"/>
      <c r="AK114" s="476"/>
      <c r="AM114" s="483"/>
      <c r="AN114" s="483"/>
      <c r="AO114" s="483"/>
      <c r="AP114" s="483"/>
      <c r="AQ114" s="481"/>
      <c r="AS114" s="477"/>
      <c r="AT114" s="477"/>
      <c r="AU114" s="483"/>
      <c r="AV114" s="483"/>
      <c r="AW114" s="481"/>
      <c r="AY114" s="477"/>
      <c r="AZ114" s="477"/>
      <c r="BA114" s="485"/>
      <c r="BB114" s="485"/>
      <c r="BC114" s="481"/>
      <c r="BE114" s="483"/>
      <c r="BF114" s="477"/>
      <c r="BG114" s="483"/>
      <c r="BH114" s="483"/>
      <c r="BI114" s="481"/>
      <c r="BK114" s="483"/>
      <c r="BL114" s="483"/>
      <c r="BM114" s="483"/>
      <c r="BN114" s="483"/>
      <c r="BO114" s="513"/>
      <c r="BQ114" s="483"/>
      <c r="BR114" s="483"/>
      <c r="BS114" s="483"/>
      <c r="BT114" s="483"/>
      <c r="BU114" s="481"/>
      <c r="BW114" s="483"/>
      <c r="BX114" s="483"/>
      <c r="BY114" s="483"/>
      <c r="BZ114" s="483"/>
      <c r="CA114" s="481"/>
      <c r="CC114" s="483"/>
      <c r="CD114" s="483"/>
      <c r="CE114" s="483"/>
      <c r="CF114" s="483"/>
      <c r="CG114" s="481"/>
      <c r="CI114" s="483"/>
      <c r="CJ114" s="483"/>
      <c r="CK114" s="483"/>
      <c r="CL114" s="483"/>
      <c r="CM114" s="481"/>
      <c r="CO114" s="483"/>
      <c r="CP114" s="483"/>
      <c r="CQ114" s="483"/>
      <c r="CR114" s="483"/>
      <c r="CS114" s="481"/>
      <c r="CU114" s="483"/>
      <c r="CV114" s="483"/>
      <c r="CW114" s="483"/>
      <c r="CX114" s="483"/>
      <c r="CY114" s="481"/>
      <c r="DA114" s="483"/>
      <c r="DB114" s="483"/>
      <c r="DC114" s="483"/>
      <c r="DD114" s="483"/>
      <c r="DE114" s="481"/>
      <c r="DG114" s="483"/>
      <c r="DH114" s="483"/>
      <c r="DI114" s="483"/>
      <c r="DJ114" s="483"/>
      <c r="DK114" s="481"/>
      <c r="DM114" s="483"/>
      <c r="DN114" s="483"/>
      <c r="DO114" s="483"/>
      <c r="DP114" s="483"/>
      <c r="DQ114" s="481"/>
      <c r="DS114" s="483"/>
      <c r="DT114" s="483"/>
      <c r="DU114" s="483"/>
      <c r="DV114" s="483"/>
      <c r="DW114" s="481"/>
      <c r="EJ114" s="656"/>
      <c r="EK114" s="656"/>
      <c r="EL114" s="656"/>
    </row>
    <row r="115" spans="1:142" s="475" customFormat="1" ht="12" hidden="1" customHeight="1" outlineLevel="1">
      <c r="A115" s="74" t="s">
        <v>200</v>
      </c>
      <c r="B115" s="74"/>
      <c r="C115" s="74"/>
      <c r="D115" s="74"/>
      <c r="E115" s="74"/>
      <c r="F115" s="74"/>
      <c r="G115" s="75"/>
      <c r="H115" s="74"/>
      <c r="I115" s="74"/>
      <c r="J115" s="74"/>
      <c r="K115" s="74"/>
      <c r="L115" s="74"/>
      <c r="M115" s="75"/>
      <c r="N115" s="74"/>
      <c r="O115" s="74"/>
      <c r="P115" s="74"/>
      <c r="Q115" s="74"/>
      <c r="R115" s="74"/>
      <c r="S115" s="75"/>
      <c r="T115" s="74"/>
      <c r="U115" s="74"/>
      <c r="V115" s="76"/>
      <c r="W115" s="76"/>
      <c r="X115" s="76"/>
      <c r="Y115" s="75"/>
      <c r="Z115" s="74"/>
      <c r="AA115" s="77">
        <f>AA111/AA11*1000000</f>
        <v>16059.18181818182</v>
      </c>
      <c r="AB115" s="77">
        <f>AB111/AB11*1000000</f>
        <v>21504.192307692309</v>
      </c>
      <c r="AC115" s="77">
        <f>AC111/AC11*1000000</f>
        <v>24630.392857142855</v>
      </c>
      <c r="AD115" s="77">
        <f>AD111/AD11*1000000</f>
        <v>27573.21428571429</v>
      </c>
      <c r="AE115" s="75"/>
      <c r="AF115" s="74"/>
      <c r="AG115" s="77">
        <f>AG111/AG11*1000000</f>
        <v>26812.093749999985</v>
      </c>
      <c r="AH115" s="77">
        <f>AH111/AH11*1000000</f>
        <v>31462.714285714301</v>
      </c>
      <c r="AI115" s="77">
        <f>AI111/AI11*1000000</f>
        <v>24379.083333333328</v>
      </c>
      <c r="AJ115" s="77">
        <f>AJ111/AJ11*1000000</f>
        <v>38634.055555555562</v>
      </c>
      <c r="AK115" s="75"/>
      <c r="AL115" s="74"/>
      <c r="AM115" s="77">
        <f>AM111/AM11*1000000</f>
        <v>26113</v>
      </c>
      <c r="AN115" s="77">
        <f>AN111/AN11*1000000</f>
        <v>33026.333333333328</v>
      </c>
      <c r="AO115" s="77">
        <f>AO111/AO11*1000000</f>
        <v>30886.91304347826</v>
      </c>
      <c r="AP115" s="77">
        <f>AP111/AP11*1000000</f>
        <v>36115.666666666657</v>
      </c>
      <c r="AQ115" s="78"/>
      <c r="AR115" s="74"/>
      <c r="AS115" s="77">
        <f>AS111/AS11*1000000</f>
        <v>31191.540000000023</v>
      </c>
      <c r="AT115" s="77">
        <f>AT111/AT11*1000000</f>
        <v>29369.333333333307</v>
      </c>
      <c r="AU115" s="77">
        <f>AU111/AU11*1000000</f>
        <v>32311.696428571435</v>
      </c>
      <c r="AV115" s="79">
        <f>AV111/AV11*1000000</f>
        <v>62453.879310344833</v>
      </c>
      <c r="AW115" s="78"/>
      <c r="AX115" s="74"/>
      <c r="AY115" s="77">
        <f>AY111/AY11*1000000</f>
        <v>36343.249999999993</v>
      </c>
      <c r="AZ115" s="77">
        <f>AZ111/AZ11*1000000</f>
        <v>25535.731707317074</v>
      </c>
      <c r="BA115" s="77">
        <f>BA111/BA11*1000000</f>
        <v>22550.999999999989</v>
      </c>
      <c r="BB115" s="77">
        <f>BB111/BB11*1000000</f>
        <v>32971.344444444461</v>
      </c>
      <c r="BC115" s="78"/>
      <c r="BD115" s="74"/>
      <c r="BE115" s="77">
        <f>BE111/BE11*1000000</f>
        <v>20050.230769230755</v>
      </c>
      <c r="BF115" s="77">
        <f>BF111/BF11*1000000</f>
        <v>27294.71282051281</v>
      </c>
      <c r="BG115" s="77">
        <f>BG111/BG11*1000000</f>
        <v>25586.590425531911</v>
      </c>
      <c r="BH115" s="77">
        <f>BH111/BH11*1000000</f>
        <v>38458.254347826092</v>
      </c>
      <c r="BI115" s="128">
        <f>BI111/BI11*1000000</f>
        <v>28176.036549707598</v>
      </c>
      <c r="BJ115" s="74"/>
      <c r="BK115" s="77">
        <f>BK111/BK11*1000000</f>
        <v>29308.056770833289</v>
      </c>
      <c r="BL115" s="77">
        <f>BL111/BL11*1000000</f>
        <v>33256.536862745073</v>
      </c>
      <c r="BM115" s="77">
        <f>BM111/BM11*1000000</f>
        <v>39232.15583333328</v>
      </c>
      <c r="BN115" s="77">
        <f>BN111/BN11*1000000</f>
        <v>56524.930980392099</v>
      </c>
      <c r="BO115" s="128">
        <f>BO111/BO11*1000000</f>
        <v>39741.338712121164</v>
      </c>
      <c r="BP115" s="74"/>
      <c r="BQ115" s="77">
        <f>BQ111/BQ11*1000000</f>
        <v>41030.391666666656</v>
      </c>
      <c r="BR115" s="77">
        <f>BR111/BR11*1000000</f>
        <v>37668.069999999949</v>
      </c>
      <c r="BS115" s="77">
        <f>BS111/BS11*1000000</f>
        <v>32889.352923076898</v>
      </c>
      <c r="BT115" s="77">
        <f>BT111/BT11*1000000</f>
        <v>55460.489436619704</v>
      </c>
      <c r="BU115" s="128">
        <f>BU111/BU11*1000000</f>
        <v>41884.423728984373</v>
      </c>
      <c r="BV115" s="74"/>
      <c r="BW115" s="77">
        <f>BW111/BW11*1000000</f>
        <v>61433.759386046455</v>
      </c>
      <c r="BX115" s="77">
        <f>BX111/BX11*1000000</f>
        <v>60110.786171875006</v>
      </c>
      <c r="BY115" s="77">
        <f>BY111/BY11*1000000</f>
        <v>57167.28724897957</v>
      </c>
      <c r="BZ115" s="77">
        <f>BZ111/BZ11*1000000</f>
        <v>93847.397539150872</v>
      </c>
      <c r="CA115" s="128">
        <f>CA111/CA11*1000000</f>
        <v>68922.686707901506</v>
      </c>
      <c r="CB115" s="74"/>
      <c r="CC115" s="77">
        <f>CC111/CC11*1000000</f>
        <v>66076.316977777766</v>
      </c>
      <c r="CD115" s="77">
        <f>BX115*(1+CD116)</f>
        <v>63116.32548046876</v>
      </c>
      <c r="CE115" s="77">
        <f>BY115*(1+CE116)</f>
        <v>60025.651611428548</v>
      </c>
      <c r="CF115" s="77">
        <f>CF111/CF11*1000000</f>
        <v>103369.10728545453</v>
      </c>
      <c r="CG115" s="128">
        <f>CG111/CG11*1000000</f>
        <v>57186.928404429833</v>
      </c>
      <c r="CH115" s="74"/>
      <c r="CI115" s="77">
        <f>CI111/CI11*1000000</f>
        <v>64513.742059615382</v>
      </c>
      <c r="CJ115" s="77">
        <f>CJ111/CJ11*1000000</f>
        <v>73671.795060308534</v>
      </c>
      <c r="CK115" s="77">
        <f>CK111/CK11*1000000</f>
        <v>74530.934835557273</v>
      </c>
      <c r="CL115" s="77">
        <f>CL111/CL11*1000000</f>
        <v>132282.57337282546</v>
      </c>
      <c r="CM115" s="128">
        <f>CM111/CM11*1000000</f>
        <v>88410.194039014677</v>
      </c>
      <c r="CN115" s="74"/>
      <c r="CO115" s="77">
        <f>CO111/CO11*1000000</f>
        <v>81202.010305263189</v>
      </c>
      <c r="CP115" s="77">
        <f>CP111/CP11*1000000</f>
        <v>84871.488984860858</v>
      </c>
      <c r="CQ115" s="77">
        <f>CQ111/CQ11*1000000</f>
        <v>94101.82349520539</v>
      </c>
      <c r="CR115" s="77">
        <f>CR111/CR11*1000000</f>
        <v>212225.20906522215</v>
      </c>
      <c r="CS115" s="128">
        <f>CS111/CS11*1000000</f>
        <v>116721.40906407786</v>
      </c>
      <c r="CT115" s="74"/>
      <c r="CU115" s="77">
        <f>CU111/CU11*1000000</f>
        <v>136370.98191620235</v>
      </c>
      <c r="CV115" s="77">
        <f>CV111/CV11*1000000</f>
        <v>79587.20851490261</v>
      </c>
      <c r="CW115" s="77">
        <f>CW111/CW11*1000000</f>
        <v>139920.4184126335</v>
      </c>
      <c r="CX115" s="77">
        <f>CX111/CX11*1000000</f>
        <v>282586.54891218268</v>
      </c>
      <c r="CY115" s="128">
        <f>CY111/CY11*1000000</f>
        <v>161492.69764991177</v>
      </c>
      <c r="CZ115" s="74"/>
      <c r="DA115" s="77">
        <f>DA111/DA11*1000000</f>
        <v>261047.88771579607</v>
      </c>
      <c r="DB115" s="77">
        <f>DB111/DB11*1000000</f>
        <v>117316.46901272418</v>
      </c>
      <c r="DC115" s="77">
        <f>DC111/DC11*1000000</f>
        <v>240311.22048037357</v>
      </c>
      <c r="DD115" s="77">
        <f>DD111/DD11*1000000</f>
        <v>397105.81547619053</v>
      </c>
      <c r="DE115" s="128">
        <f>DE111/DE11*1000000</f>
        <v>246575.70046431292</v>
      </c>
      <c r="DF115" s="74"/>
      <c r="DG115" s="77">
        <f>DA115*(1+DG116)</f>
        <v>281931.71873305977</v>
      </c>
      <c r="DH115" s="77">
        <f>DB115*(1+DH116)</f>
        <v>126701.78653374212</v>
      </c>
      <c r="DI115" s="77">
        <f>DC115*(1+DI116)</f>
        <v>259536.11811880348</v>
      </c>
      <c r="DJ115" s="77">
        <f>DD115*(1+DJ116)</f>
        <v>428874.28071428579</v>
      </c>
      <c r="DK115" s="128">
        <f>DK111/DK11*1000000</f>
        <v>264815.26843710919</v>
      </c>
      <c r="DL115" s="74"/>
      <c r="DM115" s="77">
        <f>DG115*(1+DM116)</f>
        <v>304486.25623170455</v>
      </c>
      <c r="DN115" s="77">
        <f>DH115*(1+DN116)</f>
        <v>136837.92945644152</v>
      </c>
      <c r="DO115" s="77">
        <f>DI115*(1+DO116)</f>
        <v>280299.0075683078</v>
      </c>
      <c r="DP115" s="77">
        <f>DJ115*(1+DP116)</f>
        <v>463184.22317142866</v>
      </c>
      <c r="DQ115" s="128">
        <f>DQ111/DQ11*1000000</f>
        <v>276601.68372334837</v>
      </c>
      <c r="DR115" s="74"/>
      <c r="DS115" s="77">
        <f>DM115*(1+DS116)</f>
        <v>328845.15673024091</v>
      </c>
      <c r="DT115" s="77">
        <f>DN115*(1+DT116)</f>
        <v>147784.96381295685</v>
      </c>
      <c r="DU115" s="77">
        <f>DO115*(1+DU116)</f>
        <v>302722.92817377247</v>
      </c>
      <c r="DV115" s="77">
        <f>DP115*(1+DV116)</f>
        <v>500238.96102514298</v>
      </c>
      <c r="DW115" s="128">
        <f>DW111/DW11*1000000</f>
        <v>297177.89585592924</v>
      </c>
      <c r="EJ115" s="656"/>
      <c r="EK115" s="656"/>
      <c r="EL115" s="656"/>
    </row>
    <row r="116" spans="1:142" s="475" customFormat="1" ht="12" hidden="1" customHeight="1" outlineLevel="1">
      <c r="A116" s="80" t="s">
        <v>877</v>
      </c>
      <c r="B116" s="74"/>
      <c r="C116" s="74"/>
      <c r="D116" s="74"/>
      <c r="E116" s="74"/>
      <c r="F116" s="74"/>
      <c r="G116" s="75"/>
      <c r="H116" s="74"/>
      <c r="I116" s="74"/>
      <c r="J116" s="74"/>
      <c r="K116" s="74"/>
      <c r="L116" s="74"/>
      <c r="M116" s="75"/>
      <c r="N116" s="74"/>
      <c r="O116" s="74"/>
      <c r="P116" s="74"/>
      <c r="Q116" s="74"/>
      <c r="R116" s="74"/>
      <c r="S116" s="75"/>
      <c r="T116" s="74"/>
      <c r="U116" s="74"/>
      <c r="V116" s="74"/>
      <c r="W116" s="74"/>
      <c r="X116" s="74"/>
      <c r="Y116" s="75"/>
      <c r="Z116" s="74"/>
      <c r="AA116" s="76"/>
      <c r="AB116" s="76"/>
      <c r="AC116" s="76"/>
      <c r="AD116" s="76"/>
      <c r="AE116" s="76"/>
      <c r="AF116" s="74"/>
      <c r="AG116" s="76">
        <f>AG115/AA115-1</f>
        <v>0.66958030948027369</v>
      </c>
      <c r="AH116" s="76">
        <f>AH115/AB115-1</f>
        <v>0.4630967690174399</v>
      </c>
      <c r="AI116" s="76">
        <f>AI115/AC115-1</f>
        <v>-1.0203228396198583E-2</v>
      </c>
      <c r="AJ116" s="76">
        <f>AJ115/AD115-1</f>
        <v>0.40114442789399085</v>
      </c>
      <c r="AK116" s="76"/>
      <c r="AL116" s="74"/>
      <c r="AM116" s="76">
        <f>AM115/AG115-1</f>
        <v>-2.6073821631329541E-2</v>
      </c>
      <c r="AN116" s="76">
        <f>AN115/AH115-1</f>
        <v>4.9697525566921419E-2</v>
      </c>
      <c r="AO116" s="76">
        <f>AO115/AI115-1</f>
        <v>0.2669431668600446</v>
      </c>
      <c r="AP116" s="76">
        <f>AP115/AJ115-1</f>
        <v>-6.5185724166790471E-2</v>
      </c>
      <c r="AQ116" s="81"/>
      <c r="AR116" s="74"/>
      <c r="AS116" s="76">
        <f>AS115/AM115-1</f>
        <v>0.19448320759774917</v>
      </c>
      <c r="AT116" s="76">
        <f>AT115/AN115-1</f>
        <v>-0.11072982165746592</v>
      </c>
      <c r="AU116" s="76">
        <f>AU115/AO115-1</f>
        <v>4.6129031512069929E-2</v>
      </c>
      <c r="AV116" s="76">
        <f>AV115/AP115-1</f>
        <v>0.72927388788830849</v>
      </c>
      <c r="AW116" s="81"/>
      <c r="AX116" s="74"/>
      <c r="AY116" s="76">
        <f>AY115/AS115-1</f>
        <v>0.16516369502756079</v>
      </c>
      <c r="AZ116" s="76">
        <f>AZ115/AT115-1</f>
        <v>-0.13053076767204685</v>
      </c>
      <c r="BA116" s="76">
        <f>BA115/AU115-1</f>
        <v>-0.30207935538601449</v>
      </c>
      <c r="BB116" s="76">
        <f>BB115/AV115-1</f>
        <v>-0.47206891215509972</v>
      </c>
      <c r="BC116" s="81"/>
      <c r="BD116" s="74"/>
      <c r="BE116" s="76">
        <f>BE115/AY115-1</f>
        <v>-0.44830936228238372</v>
      </c>
      <c r="BF116" s="76">
        <f>BF115/AZ115-1</f>
        <v>6.888312946566999E-2</v>
      </c>
      <c r="BG116" s="76">
        <f>BG115/BA115-1</f>
        <v>0.13461001399192596</v>
      </c>
      <c r="BH116" s="76">
        <f>BH115/BB115-1</f>
        <v>0.16641450313398276</v>
      </c>
      <c r="BI116" s="81"/>
      <c r="BJ116" s="74"/>
      <c r="BK116" s="76">
        <f>BK115/BE115-1</f>
        <v>0.46173164329907213</v>
      </c>
      <c r="BL116" s="76">
        <f>BL115/BF115-1</f>
        <v>0.21842413515894443</v>
      </c>
      <c r="BM116" s="76">
        <f>BM115/BG115-1</f>
        <v>0.53330925226305115</v>
      </c>
      <c r="BN116" s="76">
        <f>BN115/BH115-1</f>
        <v>0.46977370499363946</v>
      </c>
      <c r="BO116" s="106"/>
      <c r="BP116" s="74"/>
      <c r="BQ116" s="76">
        <f>BQ115/BK115-1</f>
        <v>0.39996970756175032</v>
      </c>
      <c r="BR116" s="76">
        <f>BR115/BL115-1</f>
        <v>0.13265160938019371</v>
      </c>
      <c r="BS116" s="76">
        <f>BS115/BM115-1</f>
        <v>-0.16167357555373674</v>
      </c>
      <c r="BT116" s="76">
        <f>BT115/BN115-1</f>
        <v>-1.8831363883339169E-2</v>
      </c>
      <c r="BU116" s="81">
        <f>BU115/BO115-1</f>
        <v>5.3925838593091191E-2</v>
      </c>
      <c r="BV116" s="74"/>
      <c r="BW116" s="76">
        <f>BW115/BQ115-1</f>
        <v>0.4972745053261487</v>
      </c>
      <c r="BX116" s="76">
        <f>BX115/BR115-1</f>
        <v>0.5958021255635102</v>
      </c>
      <c r="BY116" s="76">
        <f>BY115/BS115-1</f>
        <v>0.7381700206350974</v>
      </c>
      <c r="BZ116" s="76">
        <f>BZ115/BT115-1</f>
        <v>0.69214874395221049</v>
      </c>
      <c r="CA116" s="81">
        <f>CA115/BU115-1</f>
        <v>0.64554458607022513</v>
      </c>
      <c r="CB116" s="74"/>
      <c r="CC116" s="76">
        <f>CC115/BW115-1</f>
        <v>7.5570136650074282E-2</v>
      </c>
      <c r="CD116" s="107">
        <v>0.05</v>
      </c>
      <c r="CE116" s="107">
        <v>0.05</v>
      </c>
      <c r="CF116" s="76">
        <f>CF115/BZ115-1</f>
        <v>0.1014594969704028</v>
      </c>
      <c r="CG116" s="81">
        <f>CG115/CA115-1</f>
        <v>-0.1702742429819738</v>
      </c>
      <c r="CH116" s="74"/>
      <c r="CI116" s="76">
        <f>CI115/CC115-1</f>
        <v>-2.3648032905464356E-2</v>
      </c>
      <c r="CJ116" s="76">
        <f>CJ115/CD115-1</f>
        <v>0.16723834126094905</v>
      </c>
      <c r="CK116" s="76">
        <f>CK115/CE115-1</f>
        <v>0.2416514079351868</v>
      </c>
      <c r="CL116" s="76">
        <f>CL115/CF115-1</f>
        <v>0.2797109005452294</v>
      </c>
      <c r="CM116" s="81">
        <f>CM115/CG115-1</f>
        <v>0.54598605845328496</v>
      </c>
      <c r="CN116" s="74"/>
      <c r="CO116" s="76">
        <f>CO115/CI115-1</f>
        <v>0.25867772838578529</v>
      </c>
      <c r="CP116" s="76">
        <f>CP115/CJ115-1</f>
        <v>0.15202146106775505</v>
      </c>
      <c r="CQ116" s="76">
        <f>CQ115/CK115-1</f>
        <v>0.26258745717907228</v>
      </c>
      <c r="CR116" s="76">
        <f>CR115/CL115-1</f>
        <v>0.60433232930150393</v>
      </c>
      <c r="CS116" s="81">
        <f>CS115/CM115-1</f>
        <v>0.32022568588153622</v>
      </c>
      <c r="CT116" s="74"/>
      <c r="CU116" s="76">
        <f>CU115/CO115-1</f>
        <v>0.67940401233346459</v>
      </c>
      <c r="CV116" s="76">
        <f>CV115/CP115-1</f>
        <v>-6.2262139302173058E-2</v>
      </c>
      <c r="CW116" s="76">
        <f>CW115/CQ115-1</f>
        <v>0.48690443198226263</v>
      </c>
      <c r="CX116" s="76">
        <f>CX115/CR115-1</f>
        <v>0.33154091428100196</v>
      </c>
      <c r="CY116" s="81">
        <f>CY115/CS115-1</f>
        <v>0.38357392139821855</v>
      </c>
      <c r="CZ116" s="74"/>
      <c r="DA116" s="76">
        <f>DA115/CU115-1</f>
        <v>0.91424806104428846</v>
      </c>
      <c r="DB116" s="76">
        <f>DB115/CV115-1</f>
        <v>0.47406186498872871</v>
      </c>
      <c r="DC116" s="76">
        <f>DC115/CW115-1</f>
        <v>0.71748500473806276</v>
      </c>
      <c r="DD116" s="76">
        <f>DD115/CX115-1</f>
        <v>0.40525377801898199</v>
      </c>
      <c r="DE116" s="81">
        <f>DE115/CY115-1</f>
        <v>0.52685356088884205</v>
      </c>
      <c r="DF116" s="74"/>
      <c r="DG116" s="107">
        <v>0.08</v>
      </c>
      <c r="DH116" s="107">
        <v>0.08</v>
      </c>
      <c r="DI116" s="107">
        <v>0.08</v>
      </c>
      <c r="DJ116" s="107">
        <v>0.08</v>
      </c>
      <c r="DK116" s="81">
        <f>DK115/DE115-1</f>
        <v>7.3971473825078293E-2</v>
      </c>
      <c r="DL116" s="74"/>
      <c r="DM116" s="107">
        <v>0.08</v>
      </c>
      <c r="DN116" s="107">
        <v>0.08</v>
      </c>
      <c r="DO116" s="107">
        <v>0.08</v>
      </c>
      <c r="DP116" s="107">
        <v>0.08</v>
      </c>
      <c r="DQ116" s="81">
        <f>DQ115/DK115-1</f>
        <v>4.4508065398949359E-2</v>
      </c>
      <c r="DR116" s="74"/>
      <c r="DS116" s="107">
        <v>0.08</v>
      </c>
      <c r="DT116" s="107">
        <v>0.08</v>
      </c>
      <c r="DU116" s="107">
        <v>0.08</v>
      </c>
      <c r="DV116" s="107">
        <v>0.08</v>
      </c>
      <c r="DW116" s="81">
        <f>DW115/DQ115-1</f>
        <v>7.4389323505206217E-2</v>
      </c>
      <c r="EJ116" s="656"/>
      <c r="EK116" s="656"/>
      <c r="EL116" s="656"/>
    </row>
    <row r="117" spans="1:142" s="475" customFormat="1" ht="12" hidden="1" customHeight="1" outlineLevel="1">
      <c r="A117" s="80" t="s">
        <v>878</v>
      </c>
      <c r="B117" s="74"/>
      <c r="C117" s="74"/>
      <c r="D117" s="74"/>
      <c r="E117" s="74"/>
      <c r="F117" s="74"/>
      <c r="G117" s="75"/>
      <c r="H117" s="74"/>
      <c r="I117" s="74"/>
      <c r="J117" s="74"/>
      <c r="K117" s="74"/>
      <c r="L117" s="74"/>
      <c r="M117" s="75"/>
      <c r="N117" s="74"/>
      <c r="O117" s="74"/>
      <c r="P117" s="74"/>
      <c r="Q117" s="74"/>
      <c r="R117" s="74"/>
      <c r="S117" s="75"/>
      <c r="T117" s="74"/>
      <c r="U117" s="74"/>
      <c r="V117" s="76"/>
      <c r="W117" s="76"/>
      <c r="X117" s="76"/>
      <c r="Y117" s="75"/>
      <c r="Z117" s="74"/>
      <c r="AA117" s="76"/>
      <c r="AB117" s="76">
        <f>AB115/AA115-1</f>
        <v>0.33905902250547904</v>
      </c>
      <c r="AC117" s="76">
        <f>AC115/AB115-1</f>
        <v>0.14537632963467617</v>
      </c>
      <c r="AD117" s="76">
        <f>AD115/AC115-1</f>
        <v>0.11947927284960103</v>
      </c>
      <c r="AE117" s="75"/>
      <c r="AF117" s="74"/>
      <c r="AG117" s="76">
        <f>AG115/AD115-1</f>
        <v>-2.7603620231850923E-2</v>
      </c>
      <c r="AH117" s="76">
        <f>AH115/AG115-1</f>
        <v>0.17345234501555162</v>
      </c>
      <c r="AI117" s="76">
        <f>AI115/AH115-1</f>
        <v>-0.22514366968006017</v>
      </c>
      <c r="AJ117" s="76">
        <f>AJ115/AI115-1</f>
        <v>0.58472141988749526</v>
      </c>
      <c r="AK117" s="75"/>
      <c r="AL117" s="74"/>
      <c r="AM117" s="76">
        <f>AM115/AJ115-1</f>
        <v>-0.32409373997897661</v>
      </c>
      <c r="AN117" s="76">
        <f>AN115/AM115-1</f>
        <v>0.26474680555023666</v>
      </c>
      <c r="AO117" s="76">
        <f>AO115/AN115-1</f>
        <v>-6.4779225361228931E-2</v>
      </c>
      <c r="AP117" s="76">
        <f>AP115/AO115-1</f>
        <v>0.16928702508496363</v>
      </c>
      <c r="AQ117" s="78"/>
      <c r="AR117" s="74"/>
      <c r="AS117" s="76">
        <f>AS115/AP115-1</f>
        <v>-0.13634323054629949</v>
      </c>
      <c r="AT117" s="76">
        <f>AT115/AS115-1</f>
        <v>-5.8419900609803621E-2</v>
      </c>
      <c r="AU117" s="76">
        <f>AU115/AT115-1</f>
        <v>0.10018487862298997</v>
      </c>
      <c r="AV117" s="76">
        <f>AV115/AU115-1</f>
        <v>0.9328567117608948</v>
      </c>
      <c r="AW117" s="78"/>
      <c r="AX117" s="74"/>
      <c r="AY117" s="76">
        <f>AY115/AV115-1</f>
        <v>-0.41807858212612081</v>
      </c>
      <c r="AZ117" s="76">
        <f>AZ115/AY115-1</f>
        <v>-0.29737346804930542</v>
      </c>
      <c r="BA117" s="76">
        <f>BA115/AZ115-1</f>
        <v>-0.11688451858467142</v>
      </c>
      <c r="BB117" s="76">
        <f>BB115/BA115-1</f>
        <v>0.4620790405944073</v>
      </c>
      <c r="BC117" s="78"/>
      <c r="BD117" s="74"/>
      <c r="BE117" s="76">
        <f>BE115/BB115-1</f>
        <v>-0.3918891962984804</v>
      </c>
      <c r="BF117" s="76">
        <f>BF115/BE115-1</f>
        <v>0.36131664192112423</v>
      </c>
      <c r="BG117" s="76">
        <f>BG115/BF115-1</f>
        <v>-6.258070587565201E-2</v>
      </c>
      <c r="BH117" s="76">
        <f>BH115/BG115-1</f>
        <v>0.50306288208881567</v>
      </c>
      <c r="BI117" s="78"/>
      <c r="BJ117" s="74"/>
      <c r="BK117" s="76">
        <f>BK115/BH115-1</f>
        <v>-0.23792545273210075</v>
      </c>
      <c r="BL117" s="76">
        <f>BL115/BK115-1</f>
        <v>0.13472336712003452</v>
      </c>
      <c r="BM117" s="76">
        <f>BM115/BL115-1</f>
        <v>0.1796825386615124</v>
      </c>
      <c r="BN117" s="76">
        <f>BN115/BM115-1</f>
        <v>0.44078064994751465</v>
      </c>
      <c r="BO117" s="105"/>
      <c r="BP117" s="74"/>
      <c r="BQ117" s="76">
        <f>BQ115/BN115-1</f>
        <v>-0.27411867728065575</v>
      </c>
      <c r="BR117" s="76">
        <f>BR115/BQ115-1</f>
        <v>-8.1947101406742773E-2</v>
      </c>
      <c r="BS117" s="76">
        <f>BS115/BR115-1</f>
        <v>-0.12686386844144282</v>
      </c>
      <c r="BT117" s="76">
        <f>BT115/BS115-1</f>
        <v>0.68627487340152893</v>
      </c>
      <c r="BU117" s="78"/>
      <c r="BV117" s="74"/>
      <c r="BW117" s="76">
        <f>BW115/BT115-1</f>
        <v>0.10770315967465471</v>
      </c>
      <c r="BX117" s="76">
        <f>BX115/BW115-1</f>
        <v>-2.1534954516749583E-2</v>
      </c>
      <c r="BY117" s="76">
        <f>BY115/BX115-1</f>
        <v>-4.8967899279824367E-2</v>
      </c>
      <c r="BZ117" s="76">
        <f>BZ115/BY115-1</f>
        <v>0.64162761703942905</v>
      </c>
      <c r="CA117" s="78"/>
      <c r="CB117" s="74"/>
      <c r="CC117" s="76">
        <f>CC115/BZ115-1</f>
        <v>-0.29591742860837122</v>
      </c>
      <c r="CD117" s="76">
        <f>CD115/CC115-1</f>
        <v>-4.4796556961618883E-2</v>
      </c>
      <c r="CE117" s="76">
        <f>CE115/CD115-1</f>
        <v>-4.8967899279824478E-2</v>
      </c>
      <c r="CF117" s="76">
        <f>CF115/CE115-1</f>
        <v>0.72208221835901965</v>
      </c>
      <c r="CG117" s="78"/>
      <c r="CH117" s="74"/>
      <c r="CI117" s="76">
        <f>CI115/CF115-1</f>
        <v>-0.37588953069450215</v>
      </c>
      <c r="CJ117" s="76">
        <f>CJ115/CI115-1</f>
        <v>0.14195507357533921</v>
      </c>
      <c r="CK117" s="76">
        <f>CK115/CJ115-1</f>
        <v>1.1661719041126117E-2</v>
      </c>
      <c r="CL117" s="76">
        <f>CL115/CK115-1</f>
        <v>0.77486802848628678</v>
      </c>
      <c r="CM117" s="78"/>
      <c r="CN117" s="74"/>
      <c r="CO117" s="76">
        <f>CO115/CL115-1</f>
        <v>-0.38614733418888603</v>
      </c>
      <c r="CP117" s="76">
        <f>CP115/CO115-1</f>
        <v>4.5189505355877069E-2</v>
      </c>
      <c r="CQ117" s="76">
        <f>CQ115/CP115-1</f>
        <v>0.10875659919187952</v>
      </c>
      <c r="CR117" s="76">
        <f>CR115/CQ115-1</f>
        <v>1.2552720147451266</v>
      </c>
      <c r="CS117" s="78"/>
      <c r="CT117" s="74"/>
      <c r="CU117" s="76">
        <f>CU115/CR115-1</f>
        <v>-0.35742326504533162</v>
      </c>
      <c r="CV117" s="76">
        <f>CV115/CU115-1</f>
        <v>-0.41639190833275952</v>
      </c>
      <c r="CW117" s="76">
        <f>CW115/CV115-1</f>
        <v>0.75807671890431449</v>
      </c>
      <c r="CX117" s="76">
        <f>CX115/CW115-1</f>
        <v>1.0196233839068318</v>
      </c>
      <c r="CY117" s="78"/>
      <c r="CZ117" s="74"/>
      <c r="DA117" s="76">
        <f>DA115/CX115-1</f>
        <v>-7.621969721948807E-2</v>
      </c>
      <c r="DB117" s="76">
        <f>DB115/DA115-1</f>
        <v>-0.55059406900680574</v>
      </c>
      <c r="DC117" s="76">
        <f>DC115/DB115-1</f>
        <v>1.0484014094756753</v>
      </c>
      <c r="DD117" s="76">
        <f>DD115/DC115-1</f>
        <v>0.65246472754118656</v>
      </c>
      <c r="DE117" s="78"/>
      <c r="DF117" s="74"/>
      <c r="DG117" s="76">
        <f>DG115/DD115-1</f>
        <v>-0.29003376997896502</v>
      </c>
      <c r="DH117" s="76">
        <f>DH115/DG115-1</f>
        <v>-0.55059406900680563</v>
      </c>
      <c r="DI117" s="76">
        <f>DI115/DH115-1</f>
        <v>1.0484014094756753</v>
      </c>
      <c r="DJ117" s="76">
        <f>DJ115/DI115-1</f>
        <v>0.65246472754118656</v>
      </c>
      <c r="DK117" s="78"/>
      <c r="DL117" s="74"/>
      <c r="DM117" s="76">
        <f>DM115/DJ115-1</f>
        <v>-0.29003376997896502</v>
      </c>
      <c r="DN117" s="76">
        <f>DN115/DM115-1</f>
        <v>-0.55059406900680563</v>
      </c>
      <c r="DO117" s="76">
        <f>DO115/DN115-1</f>
        <v>1.0484014094756753</v>
      </c>
      <c r="DP117" s="76">
        <f>DP115/DO115-1</f>
        <v>0.65246472754118634</v>
      </c>
      <c r="DQ117" s="78"/>
      <c r="DR117" s="74"/>
      <c r="DS117" s="76">
        <f>DS115/DP115-1</f>
        <v>-0.29003376997896502</v>
      </c>
      <c r="DT117" s="76">
        <f>DT115/DS115-1</f>
        <v>-0.55059406900680563</v>
      </c>
      <c r="DU117" s="76">
        <f>DU115/DT115-1</f>
        <v>1.0484014094756753</v>
      </c>
      <c r="DV117" s="76">
        <f>DV115/DU115-1</f>
        <v>0.65246472754118612</v>
      </c>
      <c r="DW117" s="78"/>
      <c r="EJ117" s="656"/>
      <c r="EK117" s="656"/>
      <c r="EL117" s="656"/>
    </row>
    <row r="118" spans="1:142" s="475" customFormat="1" ht="8.25" hidden="1" customHeight="1" outlineLevel="1">
      <c r="G118" s="476"/>
      <c r="M118" s="476"/>
      <c r="S118" s="476"/>
      <c r="V118" s="483"/>
      <c r="W118" s="483"/>
      <c r="X118" s="483"/>
      <c r="Y118" s="476"/>
      <c r="AA118" s="483"/>
      <c r="AB118" s="483"/>
      <c r="AC118" s="483"/>
      <c r="AD118" s="483"/>
      <c r="AE118" s="476"/>
      <c r="AG118" s="483"/>
      <c r="AH118" s="483"/>
      <c r="AI118" s="483"/>
      <c r="AJ118" s="483"/>
      <c r="AK118" s="476"/>
      <c r="AM118" s="483"/>
      <c r="AN118" s="483"/>
      <c r="AO118" s="483"/>
      <c r="AP118" s="483"/>
      <c r="AQ118" s="481"/>
      <c r="AS118" s="483"/>
      <c r="AT118" s="483"/>
      <c r="AU118" s="483"/>
      <c r="AV118" s="483"/>
      <c r="AW118" s="481"/>
      <c r="AY118" s="483"/>
      <c r="AZ118" s="483"/>
      <c r="BA118" s="483"/>
      <c r="BB118" s="483"/>
      <c r="BC118" s="481"/>
      <c r="BE118" s="483"/>
      <c r="BF118" s="483"/>
      <c r="BG118" s="483"/>
      <c r="BH118" s="483"/>
      <c r="BI118" s="481"/>
      <c r="BK118" s="483"/>
      <c r="BL118" s="483"/>
      <c r="BM118" s="483"/>
      <c r="BN118" s="483"/>
      <c r="BO118" s="513"/>
      <c r="BQ118" s="483"/>
      <c r="BR118" s="483"/>
      <c r="BS118" s="483"/>
      <c r="BT118" s="483"/>
      <c r="BU118" s="481"/>
      <c r="BW118" s="483"/>
      <c r="BX118" s="483"/>
      <c r="BY118" s="483"/>
      <c r="BZ118" s="483"/>
      <c r="CA118" s="481"/>
      <c r="CC118" s="483"/>
      <c r="CD118" s="483"/>
      <c r="CE118" s="483"/>
      <c r="CF118" s="483"/>
      <c r="CG118" s="481"/>
      <c r="CI118" s="483"/>
      <c r="CJ118" s="483"/>
      <c r="CK118" s="483"/>
      <c r="CL118" s="483"/>
      <c r="CM118" s="481"/>
      <c r="CO118" s="483"/>
      <c r="CP118" s="483"/>
      <c r="CQ118" s="483"/>
      <c r="CR118" s="483"/>
      <c r="CS118" s="481"/>
      <c r="CU118" s="483"/>
      <c r="CV118" s="483"/>
      <c r="CW118" s="483"/>
      <c r="CX118" s="483"/>
      <c r="CY118" s="481"/>
      <c r="DA118" s="483"/>
      <c r="DB118" s="483"/>
      <c r="DC118" s="483"/>
      <c r="DD118" s="483"/>
      <c r="DE118" s="481"/>
      <c r="DG118" s="483"/>
      <c r="DH118" s="483"/>
      <c r="DI118" s="483"/>
      <c r="DJ118" s="483"/>
      <c r="DK118" s="481"/>
      <c r="DM118" s="483"/>
      <c r="DN118" s="483"/>
      <c r="DO118" s="483"/>
      <c r="DP118" s="483"/>
      <c r="DQ118" s="481"/>
      <c r="DS118" s="483"/>
      <c r="DT118" s="483"/>
      <c r="DU118" s="483"/>
      <c r="DV118" s="483"/>
      <c r="DW118" s="481"/>
      <c r="EJ118" s="656"/>
      <c r="EK118" s="656"/>
      <c r="EL118" s="656"/>
    </row>
    <row r="119" spans="1:142" s="475" customFormat="1" ht="12" hidden="1" customHeight="1" outlineLevel="1">
      <c r="A119" s="475" t="s">
        <v>692</v>
      </c>
      <c r="G119" s="476"/>
      <c r="M119" s="476"/>
      <c r="S119" s="476"/>
      <c r="U119" s="477">
        <f>U139*U120</f>
        <v>2.0110000000000001</v>
      </c>
      <c r="V119" s="477">
        <f>V139*V120</f>
        <v>2.4925000000000002</v>
      </c>
      <c r="W119" s="477">
        <f>W139*W120</f>
        <v>3.1025</v>
      </c>
      <c r="X119" s="477">
        <f>X139*X120</f>
        <v>3.4869999999999997</v>
      </c>
      <c r="Y119" s="476"/>
      <c r="AA119" s="477">
        <f>AA139*AA120</f>
        <v>4.1434999999999995</v>
      </c>
      <c r="AB119" s="477">
        <f>AB139*AB120</f>
        <v>4.7300000000000004</v>
      </c>
      <c r="AC119" s="477">
        <f>AC139*AC120</f>
        <v>5.0555000000000003</v>
      </c>
      <c r="AD119" s="477">
        <f>AD139*AD120</f>
        <v>5.601</v>
      </c>
      <c r="AE119" s="478">
        <f>SUM(AA119:AD119)</f>
        <v>19.53</v>
      </c>
      <c r="AG119" s="477">
        <f>AG139*AG120</f>
        <v>6.1459999999999999</v>
      </c>
      <c r="AH119" s="477">
        <f>AH139*AH120</f>
        <v>7.2960000000000003</v>
      </c>
      <c r="AI119" s="477">
        <f>AI139*AI120</f>
        <v>8.463000000000001</v>
      </c>
      <c r="AJ119" s="477">
        <f>AJ139*AJ120</f>
        <v>9.4160000000000004</v>
      </c>
      <c r="AK119" s="478">
        <f>SUM(AG119:AJ119)</f>
        <v>31.321000000000002</v>
      </c>
      <c r="AM119" s="477">
        <f>AM139*AM120</f>
        <v>10.833500000000001</v>
      </c>
      <c r="AN119" s="477">
        <f>AN139*AN120</f>
        <v>11.547000000000001</v>
      </c>
      <c r="AO119" s="477">
        <f>AO139*AO120</f>
        <v>11.8855</v>
      </c>
      <c r="AP119" s="477">
        <f>AP139*AP120</f>
        <v>13.436499999999999</v>
      </c>
      <c r="AQ119" s="479">
        <f>SUM(AM119:AP119)</f>
        <v>47.702500000000001</v>
      </c>
      <c r="AS119" s="477">
        <f>AS139*AS120</f>
        <v>15.651499999999999</v>
      </c>
      <c r="AT119" s="477">
        <f>AT139*AT120</f>
        <v>16.503999999999998</v>
      </c>
      <c r="AU119" s="477">
        <f>AU139*AU120</f>
        <v>18.408000000000001</v>
      </c>
      <c r="AV119" s="477">
        <f>AV139*AV120</f>
        <v>21.335000000000001</v>
      </c>
      <c r="AW119" s="479">
        <f>SUM(AS119:AV119)</f>
        <v>71.898499999999999</v>
      </c>
      <c r="AY119" s="477">
        <f>AY139*AY120</f>
        <v>22.818999999999999</v>
      </c>
      <c r="AZ119" s="477">
        <f>AZ139*AZ120</f>
        <v>23.220500000000001</v>
      </c>
      <c r="BA119" s="477">
        <f>BA139*BA120</f>
        <v>23.278500000000001</v>
      </c>
      <c r="BB119" s="477">
        <f>BB139*BB120</f>
        <v>23.314499999999999</v>
      </c>
      <c r="BC119" s="479">
        <f>SUM(AY119:BB119)</f>
        <v>92.632500000000007</v>
      </c>
      <c r="BE119" s="477">
        <f>BE139*BE120</f>
        <v>22.888500000000001</v>
      </c>
      <c r="BF119" s="477">
        <f>BF139*BF120</f>
        <v>23.15</v>
      </c>
      <c r="BG119" s="477">
        <f>BG139*BG120</f>
        <v>25.167000000000002</v>
      </c>
      <c r="BH119" s="477">
        <f>BH139*BH120</f>
        <v>26.378</v>
      </c>
      <c r="BI119" s="479">
        <f>SUM(BE119:BH119)</f>
        <v>97.583500000000001</v>
      </c>
      <c r="BK119" s="477">
        <f>BK139*BK120</f>
        <v>25.760999999999999</v>
      </c>
      <c r="BL119" s="477">
        <f>BL139*BL120</f>
        <v>25.78</v>
      </c>
      <c r="BM119" s="477">
        <f>BM139*BM120</f>
        <v>27.235999999999997</v>
      </c>
      <c r="BN119" s="477">
        <f>BN139*BN120</f>
        <v>29.596499999999999</v>
      </c>
      <c r="BO119" s="479">
        <f>SUM(BK119:BN119)</f>
        <v>108.37349999999998</v>
      </c>
      <c r="BQ119" s="477">
        <f>BQ139*BQ120</f>
        <v>33.791499999999999</v>
      </c>
      <c r="BR119" s="477">
        <f>BR139*BR120</f>
        <v>35.900500000000008</v>
      </c>
      <c r="BS119" s="477">
        <f>BS139*BS120</f>
        <v>36.361000000000004</v>
      </c>
      <c r="BT119" s="477">
        <f>BT139*BT120</f>
        <v>38.945499999999996</v>
      </c>
      <c r="BU119" s="479">
        <f>SUM(BQ119:BT119)</f>
        <v>144.99850000000001</v>
      </c>
      <c r="BW119" s="477">
        <f>BW139*BW120</f>
        <v>42.201499999999996</v>
      </c>
      <c r="BX119" s="477">
        <f>BX139*BX120</f>
        <v>45.977000000000011</v>
      </c>
      <c r="BY119" s="477">
        <f>BY139*BY120</f>
        <v>48.492000000000004</v>
      </c>
      <c r="BZ119" s="477">
        <f>BZ139*BZ120</f>
        <v>49.798999999999999</v>
      </c>
      <c r="CA119" s="479">
        <f>SUM(BW119:BZ119)</f>
        <v>186.46950000000001</v>
      </c>
      <c r="CC119" s="477">
        <f>CC139*CC120</f>
        <v>52.331000000000003</v>
      </c>
      <c r="CD119" s="477">
        <f>CD139*CD120</f>
        <v>62.904000000000003</v>
      </c>
      <c r="CE119" s="477">
        <f>CE139*CE120</f>
        <v>70.899500000000003</v>
      </c>
      <c r="CF119" s="477">
        <f>CF139*CF120</f>
        <v>74.853499999999997</v>
      </c>
      <c r="CG119" s="479">
        <f>SUM(CC119:CF119)</f>
        <v>260.988</v>
      </c>
      <c r="CI119" s="477">
        <f>CI139*CI120</f>
        <v>82.715000000000003</v>
      </c>
      <c r="CJ119" s="477">
        <f>CJ139*CJ120</f>
        <v>90.553000000000011</v>
      </c>
      <c r="CK119" s="477">
        <f>CK139*CK120</f>
        <v>97.195999999999998</v>
      </c>
      <c r="CL119" s="477">
        <f>CL139*CL120</f>
        <v>99.25</v>
      </c>
      <c r="CM119" s="479">
        <f>SUM(CI119:CL119)</f>
        <v>369.71400000000006</v>
      </c>
      <c r="CO119" s="477">
        <f>CO139*CO120</f>
        <v>109.6225</v>
      </c>
      <c r="CP119" s="477">
        <f>CP139*CP120</f>
        <v>114.4995</v>
      </c>
      <c r="CQ119" s="477">
        <f>CQ139*CQ120</f>
        <v>121.18599999999999</v>
      </c>
      <c r="CR119" s="477">
        <f>CR139*CR120</f>
        <v>294.17750000000001</v>
      </c>
      <c r="CS119" s="479">
        <f>SUM(CO119:CR119)</f>
        <v>639.4855</v>
      </c>
      <c r="CU119" s="477">
        <f>CU139*CU120</f>
        <v>145.82400000000001</v>
      </c>
      <c r="CV119" s="477">
        <f>CV139*CV120</f>
        <v>155.666</v>
      </c>
      <c r="CW119" s="477">
        <f>CW139*CW120</f>
        <v>172.06549999999999</v>
      </c>
      <c r="CX119" s="477">
        <f>CX139*CX120</f>
        <v>409.55799999999999</v>
      </c>
      <c r="CY119" s="479">
        <f>SUM(CU119:CX119)</f>
        <v>883.11349999999993</v>
      </c>
      <c r="DA119" s="477">
        <f>DA139*DA120</f>
        <v>189.88049999999998</v>
      </c>
      <c r="DB119" s="477">
        <f>DB139*DB120</f>
        <v>193.4</v>
      </c>
      <c r="DC119" s="477">
        <f>DC139*DC120</f>
        <v>194.85649999999998</v>
      </c>
      <c r="DD119" s="477">
        <f>DD139*DD120</f>
        <v>482.73849999999993</v>
      </c>
      <c r="DE119" s="479">
        <f>SUM(DA119:DD119)</f>
        <v>1060.8754999999999</v>
      </c>
      <c r="DG119" s="477">
        <f>DG139*DG120</f>
        <v>232.56652503997879</v>
      </c>
      <c r="DH119" s="477">
        <f>DH139*DH120</f>
        <v>234.74560874463327</v>
      </c>
      <c r="DI119" s="477">
        <f>DI139*DI120</f>
        <v>232.47451581200474</v>
      </c>
      <c r="DJ119" s="477">
        <f>DJ139*DJ120</f>
        <v>230.803373654854</v>
      </c>
      <c r="DK119" s="479">
        <f>SUM(DG119:DJ119)</f>
        <v>930.59002325147083</v>
      </c>
      <c r="DM119" s="477">
        <f>DM139*DM120</f>
        <v>277.3106436980666</v>
      </c>
      <c r="DN119" s="477">
        <f>DN139*DN120</f>
        <v>281.45875213511613</v>
      </c>
      <c r="DO119" s="477">
        <f>DO139*DO120</f>
        <v>276.06942326719724</v>
      </c>
      <c r="DP119" s="477">
        <f>DP139*DP120</f>
        <v>271.08773976234909</v>
      </c>
      <c r="DQ119" s="479">
        <f>SUM(DM119:DP119)</f>
        <v>1105.9265588627291</v>
      </c>
      <c r="DS119" s="477">
        <f>DS139*DS120</f>
        <v>328.80663908284157</v>
      </c>
      <c r="DT119" s="477">
        <f>DT139*DT120</f>
        <v>335.15004911429583</v>
      </c>
      <c r="DU119" s="477">
        <f>DU139*DU120</f>
        <v>326.82833956617594</v>
      </c>
      <c r="DV119" s="477">
        <f>DV139*DV120</f>
        <v>318.14313149758146</v>
      </c>
      <c r="DW119" s="479">
        <f>SUM(DS119:DV119)</f>
        <v>1308.9281592608947</v>
      </c>
      <c r="EJ119" s="656"/>
      <c r="EK119" s="656"/>
      <c r="EL119" s="656"/>
    </row>
    <row r="120" spans="1:142" s="475" customFormat="1" ht="12" hidden="1" customHeight="1" outlineLevel="1">
      <c r="A120" s="475" t="s">
        <v>693</v>
      </c>
      <c r="G120" s="476"/>
      <c r="M120" s="476"/>
      <c r="S120" s="476"/>
      <c r="U120" s="480">
        <f>AVERAGE(U105:V105)/U139</f>
        <v>8.3610510560452364E-2</v>
      </c>
      <c r="V120" s="480">
        <f>AVERAGE(V105:W105)/V139</f>
        <v>9.3135789552350357E-2</v>
      </c>
      <c r="W120" s="480">
        <f>AVERAGE(W105:X105)/W139</f>
        <v>0.10207942618366071</v>
      </c>
      <c r="X120" s="480">
        <f>AVERAGE(X105,AA105)/X139</f>
        <v>7.6938352235117594E-2</v>
      </c>
      <c r="Y120" s="476"/>
      <c r="AA120" s="480">
        <f>AVERAGE(AA105:AB105)/AA139</f>
        <v>0.11048744066983092</v>
      </c>
      <c r="AB120" s="480">
        <f>AVERAGE(AB105:AC105)/AB139</f>
        <v>9.4983734286517532E-2</v>
      </c>
      <c r="AC120" s="480">
        <f>AVERAGE(AC105:AD105)/AC139</f>
        <v>8.5622586545627002E-2</v>
      </c>
      <c r="AD120" s="480">
        <f>AVERAGE(AD105,AG105)/AD139</f>
        <v>7.3451884491305366E-2</v>
      </c>
      <c r="AE120" s="476"/>
      <c r="AG120" s="480">
        <f>AVERAGE(AG105:AH105)/AG139</f>
        <v>8.4281835385754664E-2</v>
      </c>
      <c r="AH120" s="480">
        <f>AVERAGE(AH105:AI105)/AH139</f>
        <v>8.6231961138885913E-2</v>
      </c>
      <c r="AI120" s="480">
        <f>AVERAGE(AI105:AJ105)/AI139</f>
        <v>9.1519595120685193E-2</v>
      </c>
      <c r="AJ120" s="480">
        <f>AVERAGE(AJ105,AM105)/AJ139</f>
        <v>7.0728391259605339E-2</v>
      </c>
      <c r="AK120" s="476"/>
      <c r="AM120" s="480">
        <f>AVERAGE(AM105:AN105)/AM139</f>
        <v>9.2163134746101577E-2</v>
      </c>
      <c r="AN120" s="480">
        <f>AVERAGE(AN105:AO105)/AN139</f>
        <v>8.31096108308082E-2</v>
      </c>
      <c r="AO120" s="480">
        <f>AVERAGE(AO105:AP105)/AO139</f>
        <v>8.1047815176477009E-2</v>
      </c>
      <c r="AP120" s="480">
        <f>AVERAGE(AP105,AS105)/AP139</f>
        <v>6.4334415428959943E-2</v>
      </c>
      <c r="AQ120" s="481"/>
      <c r="AS120" s="480">
        <f>AVERAGE(AS105:AT105)/AS139</f>
        <v>8.9940294562150511E-2</v>
      </c>
      <c r="AT120" s="480">
        <f>AVERAGE(AT105:AU105)/AT139</f>
        <v>8.1397126638028422E-2</v>
      </c>
      <c r="AU120" s="480">
        <f>AVERAGE(AU105:AV105)/AU139</f>
        <v>8.6929008920518136E-2</v>
      </c>
      <c r="AV120" s="480">
        <f>AVERAGE(AV105,AY105)/AV139</f>
        <v>5.9763243994263179E-2</v>
      </c>
      <c r="AW120" s="481"/>
      <c r="AY120" s="480">
        <f>AVERAGE(AY105:AZ105)/AY139</f>
        <v>9.6272545090180336E-2</v>
      </c>
      <c r="AZ120" s="480">
        <f>AVERAGE(AZ105:BA105)/AZ139</f>
        <v>8.5267289939263982E-2</v>
      </c>
      <c r="BA120" s="480">
        <f>AVERAGE(BA105:BB105)/BA139</f>
        <v>8.7357162960878143E-2</v>
      </c>
      <c r="BB120" s="480">
        <f>AVERAGE(BB105,BE105)/BB139</f>
        <v>5.6305017207027692E-2</v>
      </c>
      <c r="BC120" s="481"/>
      <c r="BE120" s="480">
        <f>AVERAGE(BE105:BF105)/BE139</f>
        <v>8.7941030694929534E-2</v>
      </c>
      <c r="BF120" s="480">
        <f>AVERAGE(BF105:BG105)/BF139</f>
        <v>7.3329574466737213E-2</v>
      </c>
      <c r="BG120" s="480">
        <f>AVERAGE(BG105:BH105)/BG139</f>
        <v>7.6969422645225632E-2</v>
      </c>
      <c r="BH120" s="480">
        <f>AVERAGE(BH105,BK105)/BH139</f>
        <v>5.1422912418463737E-2</v>
      </c>
      <c r="BI120" s="482">
        <f>BI119/BI139</f>
        <v>6.8919524968129919E-2</v>
      </c>
      <c r="BK120" s="480">
        <f>AVERAGE(BK105:BL105)/BK139</f>
        <v>7.6443497510341449E-2</v>
      </c>
      <c r="BL120" s="480">
        <f>AVERAGE(BL105:BM105)/BL139</f>
        <v>6.2442171960606689E-2</v>
      </c>
      <c r="BM120" s="480">
        <f>AVERAGE(BM105:BN105)/BM139</f>
        <v>6.1812198581560292E-2</v>
      </c>
      <c r="BN120" s="480">
        <f>AVERAGE(BN105,BQ105)/BN139</f>
        <v>4.2447411333938562E-2</v>
      </c>
      <c r="BO120" s="481"/>
      <c r="BQ120" s="480">
        <f>AVERAGE(BQ105:BR105)/BQ139</f>
        <v>6.9737037617943018E-2</v>
      </c>
      <c r="BR120" s="480">
        <f>AVERAGE(BR105:BS105)/BR139</f>
        <v>6.3413320144488527E-2</v>
      </c>
      <c r="BS120" s="480">
        <f>AVERAGE(BS105:BT105)/BS139</f>
        <v>6.4149678466519075E-2</v>
      </c>
      <c r="BT120" s="480">
        <f>AVERAGE(BT105,BW105)/BT139</f>
        <v>3.558658865648074E-2</v>
      </c>
      <c r="BU120" s="481"/>
      <c r="BW120" s="480">
        <f>AVERAGE(BW105:BX105)/BW139</f>
        <v>6.4936673606334636E-2</v>
      </c>
      <c r="BX120" s="480">
        <f>AVERAGE(BX105:BY105)/BX139</f>
        <v>6.2628896172005052E-2</v>
      </c>
      <c r="BY120" s="480">
        <f>AVERAGE(BY105:BZ105)/BY139</f>
        <v>6.5561979135682971E-2</v>
      </c>
      <c r="BZ120" s="480">
        <f>AVERAGE(BZ105,CC105)/BZ139</f>
        <v>3.5419599096141959E-2</v>
      </c>
      <c r="CA120" s="481"/>
      <c r="CC120" s="480">
        <f>AVERAGE(CC105:CD105)/CC139</f>
        <v>6.8604007876266068E-2</v>
      </c>
      <c r="CD120" s="480">
        <f>AVERAGE(CD105:CE105)/CD139</f>
        <v>6.505773636227305E-2</v>
      </c>
      <c r="CE120" s="480">
        <f>AVERAGE(CE105:CF105)/CE139</f>
        <v>6.9447015667318035E-2</v>
      </c>
      <c r="CF120" s="480">
        <f>AVERAGE(CF105,CI105)/CF139</f>
        <v>3.872925352530969E-2</v>
      </c>
      <c r="CG120" s="481"/>
      <c r="CI120" s="480">
        <f>AVERAGE(CI105:CJ105)/CI139</f>
        <v>8.0362625234146084E-2</v>
      </c>
      <c r="CJ120" s="480">
        <f>AVERAGE(CJ105:CK105)/CJ139</f>
        <v>6.7233672893587962E-2</v>
      </c>
      <c r="CK120" s="480">
        <f>AVERAGE(CK105:CL105)/CK139</f>
        <v>7.7494929135465435E-2</v>
      </c>
      <c r="CL120" s="480">
        <f>AVERAGE(CL105,CL105)/CL139</f>
        <v>3.9042831067472306E-2</v>
      </c>
      <c r="CM120" s="481"/>
      <c r="CO120" s="480">
        <f>AVERAGE(CO105:CP105)/CO139</f>
        <v>8.7941562952753946E-2</v>
      </c>
      <c r="CP120" s="480">
        <f>AVERAGE(CP105:CQ105)/CP139</f>
        <v>7.0991856671465611E-2</v>
      </c>
      <c r="CQ120" s="480">
        <f>AVERAGE(CQ105:CR105)/CQ139</f>
        <v>7.9566979565600771E-2</v>
      </c>
      <c r="CR120" s="480">
        <f>AVERAGE(CR105:CS105)/CR139</f>
        <v>9.0392635785992118E-2</v>
      </c>
      <c r="CS120" s="481"/>
      <c r="CU120" s="480">
        <f>AVERAGE(CU105:CV105)/CU139</f>
        <v>8.9821532184447536E-2</v>
      </c>
      <c r="CV120" s="480">
        <f>AVERAGE(CV105:CW105)/CV139</f>
        <v>8.3995543001135833E-2</v>
      </c>
      <c r="CW120" s="480">
        <f>AVERAGE(CW105:CX105)/CW139</f>
        <v>9.4731623417771998E-2</v>
      </c>
      <c r="CX120" s="480">
        <f>AVERAGE(CX105:CY105)/CX139</f>
        <v>9.4484545025026206E-2</v>
      </c>
      <c r="CY120" s="481"/>
      <c r="DA120" s="480">
        <f>AVERAGE(DA105:DB105)/DA139</f>
        <v>0.10060272465878188</v>
      </c>
      <c r="DB120" s="480">
        <f>AVERAGE(DB105:DC105)/DB139</f>
        <v>8.2735454880300971E-2</v>
      </c>
      <c r="DC120" s="480">
        <f>AVERAGE(DC105:DD105)/DC139</f>
        <v>8.6476479492865743E-2</v>
      </c>
      <c r="DD120" s="480">
        <f>AVERAGE(DD105:DE105)/DD139</f>
        <v>8.6923104486491418E-2</v>
      </c>
      <c r="DE120" s="481"/>
      <c r="DG120" s="480">
        <f>AVERAGE(DG105:DH105)/DG139</f>
        <v>0.11147010612196488</v>
      </c>
      <c r="DH120" s="480">
        <f>AVERAGE(DH105:DI105)/DH139</f>
        <v>8.3150533815129449E-2</v>
      </c>
      <c r="DI120" s="480">
        <f>AVERAGE(DI105:DJ105)/DI139</f>
        <v>8.4941941415215744E-2</v>
      </c>
      <c r="DJ120" s="480">
        <f>AVERAGE(DJ105,DJ105)/DJ139</f>
        <v>3.3494523665689904E-2</v>
      </c>
      <c r="DK120" s="481"/>
      <c r="DM120" s="480">
        <f>AVERAGE(DM105:DN105)/DM139</f>
        <v>0.11721783913823776</v>
      </c>
      <c r="DN120" s="480">
        <f>AVERAGE(DN105:DO105)/DN139</f>
        <v>8.3497479295235683E-2</v>
      </c>
      <c r="DO120" s="480">
        <f>AVERAGE(DO105:DP105)/DO139</f>
        <v>8.4353305243592122E-2</v>
      </c>
      <c r="DP120" s="480">
        <f>AVERAGE(DP105,DP105)/DP139</f>
        <v>3.2098993054762E-2</v>
      </c>
      <c r="DQ120" s="481"/>
      <c r="DS120" s="480">
        <f>AVERAGE(DS105:DT105)/DS139</f>
        <v>0.12275590870778071</v>
      </c>
      <c r="DT120" s="480">
        <f>AVERAGE(DT105:DU105)/DT139</f>
        <v>8.3188068523516387E-2</v>
      </c>
      <c r="DU120" s="480">
        <f>AVERAGE(DU105:DV105)/DU139</f>
        <v>8.3398439653326537E-2</v>
      </c>
      <c r="DV120" s="480">
        <f>AVERAGE(DV105,DV105)/DV139</f>
        <v>3.1109613802082388E-2</v>
      </c>
      <c r="DW120" s="481"/>
      <c r="EJ120" s="656"/>
      <c r="EK120" s="656"/>
      <c r="EL120" s="656"/>
    </row>
    <row r="121" spans="1:142" s="475" customFormat="1" ht="4.5" hidden="1" customHeight="1" outlineLevel="1">
      <c r="G121" s="476"/>
      <c r="M121" s="476"/>
      <c r="S121" s="476"/>
      <c r="V121" s="483"/>
      <c r="W121" s="483"/>
      <c r="X121" s="483"/>
      <c r="Y121" s="476"/>
      <c r="AA121" s="483"/>
      <c r="AB121" s="483"/>
      <c r="AC121" s="483"/>
      <c r="AD121" s="483"/>
      <c r="AE121" s="476"/>
      <c r="AG121" s="483"/>
      <c r="AH121" s="483"/>
      <c r="AI121" s="483"/>
      <c r="AJ121" s="483"/>
      <c r="AK121" s="476"/>
      <c r="AM121" s="483"/>
      <c r="AN121" s="483"/>
      <c r="AO121" s="483"/>
      <c r="AP121" s="483"/>
      <c r="AQ121" s="481"/>
      <c r="AS121" s="483"/>
      <c r="AT121" s="483"/>
      <c r="AU121" s="483"/>
      <c r="AV121" s="483"/>
      <c r="AW121" s="481"/>
      <c r="AY121" s="483"/>
      <c r="AZ121" s="483"/>
      <c r="BA121" s="483"/>
      <c r="BB121" s="483"/>
      <c r="BC121" s="481"/>
      <c r="BE121" s="483"/>
      <c r="BF121" s="483"/>
      <c r="BG121" s="483"/>
      <c r="BH121" s="483"/>
      <c r="BI121" s="481"/>
      <c r="BK121" s="483"/>
      <c r="BL121" s="483"/>
      <c r="BM121" s="483"/>
      <c r="BN121" s="483"/>
      <c r="BO121" s="481"/>
      <c r="BQ121" s="483"/>
      <c r="BR121" s="483"/>
      <c r="BS121" s="483"/>
      <c r="BT121" s="483"/>
      <c r="BU121" s="481"/>
      <c r="BW121" s="483"/>
      <c r="BX121" s="483"/>
      <c r="BY121" s="483"/>
      <c r="BZ121" s="483"/>
      <c r="CA121" s="481"/>
      <c r="CC121" s="483"/>
      <c r="CD121" s="483"/>
      <c r="CE121" s="483"/>
      <c r="CF121" s="483"/>
      <c r="CG121" s="481"/>
      <c r="CI121" s="483"/>
      <c r="CJ121" s="483"/>
      <c r="CK121" s="483"/>
      <c r="CL121" s="483"/>
      <c r="CM121" s="481"/>
      <c r="CO121" s="483"/>
      <c r="CP121" s="483"/>
      <c r="CQ121" s="483"/>
      <c r="CR121" s="483"/>
      <c r="CS121" s="481"/>
      <c r="CU121" s="483"/>
      <c r="CV121" s="483"/>
      <c r="CW121" s="483"/>
      <c r="CX121" s="483"/>
      <c r="CY121" s="481"/>
      <c r="DA121" s="483"/>
      <c r="DB121" s="483"/>
      <c r="DC121" s="483"/>
      <c r="DD121" s="483"/>
      <c r="DE121" s="481"/>
      <c r="DG121" s="483"/>
      <c r="DH121" s="483"/>
      <c r="DI121" s="483"/>
      <c r="DJ121" s="483"/>
      <c r="DK121" s="481"/>
      <c r="DM121" s="483"/>
      <c r="DN121" s="483"/>
      <c r="DO121" s="483"/>
      <c r="DP121" s="483"/>
      <c r="DQ121" s="481"/>
      <c r="DS121" s="483"/>
      <c r="DT121" s="483"/>
      <c r="DU121" s="483"/>
      <c r="DV121" s="483"/>
      <c r="DW121" s="481"/>
      <c r="EJ121" s="656"/>
      <c r="EK121" s="656"/>
      <c r="EL121" s="656"/>
    </row>
    <row r="122" spans="1:142" s="475" customFormat="1" ht="12" hidden="1" customHeight="1" outlineLevel="1">
      <c r="A122" s="475" t="s">
        <v>694</v>
      </c>
      <c r="G122" s="476"/>
      <c r="M122" s="476"/>
      <c r="S122" s="476"/>
      <c r="U122" s="484">
        <f>U139-U119</f>
        <v>22.041</v>
      </c>
      <c r="V122" s="484">
        <f>V139-V119</f>
        <v>24.269500000000001</v>
      </c>
      <c r="W122" s="484">
        <f>W139-W119</f>
        <v>27.290500000000002</v>
      </c>
      <c r="X122" s="484">
        <f>X139-X119</f>
        <v>41.835000000000001</v>
      </c>
      <c r="Y122" s="476"/>
      <c r="AA122" s="484">
        <f>AA139-AA119</f>
        <v>33.358500000000006</v>
      </c>
      <c r="AB122" s="484">
        <f>AB139-AB119</f>
        <v>45.067999999999998</v>
      </c>
      <c r="AC122" s="484">
        <f>AC139-AC119</f>
        <v>53.988499999999995</v>
      </c>
      <c r="AD122" s="484">
        <f>AD139-AD119</f>
        <v>70.653000000000006</v>
      </c>
      <c r="AE122" s="476"/>
      <c r="AG122" s="484">
        <f>AG139-AG119</f>
        <v>66.775999999999982</v>
      </c>
      <c r="AH122" s="484">
        <f>AH139-AH119</f>
        <v>77.313000000000017</v>
      </c>
      <c r="AI122" s="484">
        <f>AI139-AI119</f>
        <v>84.008999999999986</v>
      </c>
      <c r="AJ122" s="484">
        <f>AJ139-AJ119</f>
        <v>123.71300000000002</v>
      </c>
      <c r="AK122" s="476"/>
      <c r="AM122" s="484">
        <f>AM139-AM119</f>
        <v>106.71349999999998</v>
      </c>
      <c r="AN122" s="484">
        <f>AN139-AN119</f>
        <v>127.39000000000001</v>
      </c>
      <c r="AO122" s="484">
        <f>AO139-AO119</f>
        <v>134.76249999999999</v>
      </c>
      <c r="AP122" s="484">
        <f>AP139-AP119</f>
        <v>195.41749999999999</v>
      </c>
      <c r="AQ122" s="481"/>
      <c r="AS122" s="484">
        <f>AS139-AS119</f>
        <v>158.36950000000004</v>
      </c>
      <c r="AT122" s="484">
        <f>AT139-AT119</f>
        <v>186.25499999999994</v>
      </c>
      <c r="AU122" s="484">
        <f>AU139-AU119</f>
        <v>193.351</v>
      </c>
      <c r="AV122" s="484">
        <f>AV139-AV119</f>
        <v>335.65700000000004</v>
      </c>
      <c r="AW122" s="479">
        <f>SUM(AS122:AV122)</f>
        <v>873.63250000000005</v>
      </c>
      <c r="AY122" s="484">
        <f>AY139-AY119</f>
        <v>214.20600000000005</v>
      </c>
      <c r="AZ122" s="484">
        <f>AZ139-AZ119</f>
        <v>249.10549999999995</v>
      </c>
      <c r="BA122" s="484">
        <f>BA139-BA119</f>
        <v>243.19649999999996</v>
      </c>
      <c r="BB122" s="484">
        <f>BB139-BB119</f>
        <v>390.76050000000009</v>
      </c>
      <c r="BC122" s="481"/>
      <c r="BE122" s="484">
        <f>BE139-BE119</f>
        <v>237.38249999999996</v>
      </c>
      <c r="BF122" s="484">
        <f>BF139-BF119</f>
        <v>292.54799999999994</v>
      </c>
      <c r="BG122" s="484">
        <f>BG139-BG119</f>
        <v>301.8069999999999</v>
      </c>
      <c r="BH122" s="484">
        <f>BH139-BH119</f>
        <v>486.58400000000012</v>
      </c>
      <c r="BI122" s="481"/>
      <c r="BK122" s="484">
        <f>BK139-BK119</f>
        <v>311.23299999999989</v>
      </c>
      <c r="BL122" s="484">
        <f>BL139-BL119</f>
        <v>387.08199999999999</v>
      </c>
      <c r="BM122" s="484">
        <f>BM139-BM119</f>
        <v>413.3889999999999</v>
      </c>
      <c r="BN122" s="484">
        <f>BN139-BN119</f>
        <v>667.6545000000001</v>
      </c>
      <c r="BO122" s="479">
        <f>SUM(BK122:BN122)</f>
        <v>1779.3584999999998</v>
      </c>
      <c r="BQ122" s="484">
        <f>BQ139-BQ119-BQ130</f>
        <v>450.76450000000006</v>
      </c>
      <c r="BR122" s="484">
        <f>BR139-BR119-BR130</f>
        <v>530.23449999999991</v>
      </c>
      <c r="BS122" s="484">
        <f>BS139-BS119-BS130</f>
        <v>530.45399999999995</v>
      </c>
      <c r="BT122" s="484">
        <f>BT139-BT119-BT130</f>
        <v>980.44150000000013</v>
      </c>
      <c r="BU122" s="479">
        <f>SUM(BQ122:BT122)</f>
        <v>2491.8945000000003</v>
      </c>
      <c r="BW122" s="484">
        <f>BW139-BW119-BW130-30</f>
        <v>577.68549999999993</v>
      </c>
      <c r="BX122" s="484">
        <f>BX139-BX119-BX130</f>
        <v>688.14100000000008</v>
      </c>
      <c r="BY122" s="484">
        <f>BY139-BY119-BY130</f>
        <v>691.14400000000001</v>
      </c>
      <c r="BZ122" s="484">
        <f>BZ139-BZ119-BZ130</f>
        <v>1356.174</v>
      </c>
      <c r="CA122" s="479">
        <f>SUM(BW122:BZ122)</f>
        <v>3313.1445000000003</v>
      </c>
      <c r="CC122" s="484">
        <f>CC139-CC119-CC130</f>
        <v>710.46699999999998</v>
      </c>
      <c r="CD122" s="484">
        <f>CD139-CD119-CD130</f>
        <v>903.9910000000001</v>
      </c>
      <c r="CE122" s="484">
        <f>CE139-CE119-CE130+75</f>
        <v>1025.0155</v>
      </c>
      <c r="CF122" s="484">
        <f>CF139-CF119-CF130</f>
        <v>1857.8844999999999</v>
      </c>
      <c r="CG122" s="479">
        <f>SUM(CC122:CF122)</f>
        <v>4497.3580000000002</v>
      </c>
      <c r="CI122" s="484">
        <f>CI139-CI119-CI130</f>
        <v>946.5569999999999</v>
      </c>
      <c r="CJ122" s="484">
        <f>CJ139-CJ119-CJ130</f>
        <v>1256.2869999999998</v>
      </c>
      <c r="CK122" s="484">
        <f>CK139-CK119-CK130</f>
        <v>1157.028</v>
      </c>
      <c r="CL122" s="484">
        <f>CL139-CL119-CL130</f>
        <v>2442.83</v>
      </c>
      <c r="CM122" s="479">
        <f>SUM(CI122:CL122)</f>
        <v>5802.7019999999993</v>
      </c>
      <c r="CO122" s="484">
        <f>CO139-CO119-CO130</f>
        <v>1136.9155000000001</v>
      </c>
      <c r="CP122" s="484">
        <f>CP139-CP119-CP130</f>
        <v>1498.3545000000001</v>
      </c>
      <c r="CQ122" s="484">
        <f>CQ139-CQ119-CQ130</f>
        <v>1401.883</v>
      </c>
      <c r="CR122" s="484">
        <f>CR139-CR119-CR130</f>
        <v>2960.2635</v>
      </c>
      <c r="CS122" s="479">
        <f>SUM(CO122:CR122)</f>
        <v>6997.4165000000003</v>
      </c>
      <c r="CU122" s="484">
        <f>CU139-CU119-CU130</f>
        <v>1477.662</v>
      </c>
      <c r="CV122" s="484">
        <f>CV139-CV119-CV130+CV236</f>
        <v>1729.5989999999999</v>
      </c>
      <c r="CW122" s="484">
        <f>CW139-CW119-CW130</f>
        <v>1644.2815000000007</v>
      </c>
      <c r="CX122" s="484">
        <f>CX139-CX119-CX130</f>
        <v>3925.098</v>
      </c>
      <c r="CY122" s="479">
        <f>SUM(CU122:CX122)</f>
        <v>8776.6405000000013</v>
      </c>
      <c r="DA122" s="484">
        <f>DA139-DA119-DA130</f>
        <v>1697.5484999999996</v>
      </c>
      <c r="DB122" s="484">
        <f>DB139-DB119-DB130+DB236</f>
        <v>2211.1709999999998</v>
      </c>
      <c r="DC122" s="484">
        <f>DC139-DC119-DC130</f>
        <v>2058.4325000000003</v>
      </c>
      <c r="DD122" s="484">
        <f>DD139-DD119-DD130</f>
        <v>5070.8885000000009</v>
      </c>
      <c r="DE122" s="479">
        <f>SUM(DA122:DD122)</f>
        <v>11038.040500000001</v>
      </c>
      <c r="DG122" s="484">
        <f>DG139-DG119-DG130</f>
        <v>1853.7912719600204</v>
      </c>
      <c r="DH122" s="484">
        <f>DH139-DH119-DH130</f>
        <v>2588.3945200553662</v>
      </c>
      <c r="DI122" s="484">
        <f>DI139-DI119-DI130</f>
        <v>2504.3891811879948</v>
      </c>
      <c r="DJ122" s="484">
        <f>DJ139-DJ119-DJ130</f>
        <v>6659.9760253451468</v>
      </c>
      <c r="DK122" s="479">
        <f>SUM(DG122:DJ122)</f>
        <v>13606.55099854853</v>
      </c>
      <c r="DM122" s="484">
        <f>DM139-DM119-DM130</f>
        <v>2088.4610318148016</v>
      </c>
      <c r="DN122" s="484">
        <f>DN139-DN119-DN130</f>
        <v>3089.4065064425286</v>
      </c>
      <c r="DO122" s="484">
        <f>DO139-DO119-DO130</f>
        <v>2996.7059880812371</v>
      </c>
      <c r="DP122" s="484">
        <f>DP139-DP119-DP130</f>
        <v>8174.2781101839091</v>
      </c>
      <c r="DQ122" s="479">
        <f>SUM(DM122:DP122)</f>
        <v>16348.851636522475</v>
      </c>
      <c r="DS122" s="484">
        <f>DS139-DS119-DS130</f>
        <v>2349.7335839019656</v>
      </c>
      <c r="DT122" s="484">
        <f>DT139-DT119-DT130</f>
        <v>3693.6734956895179</v>
      </c>
      <c r="DU122" s="484">
        <f>DU139-DU119-DU130</f>
        <v>3592.0500102536416</v>
      </c>
      <c r="DV122" s="484">
        <f>DV139-DV119-DV130</f>
        <v>9908.3782750872178</v>
      </c>
      <c r="DW122" s="479">
        <f>SUM(DS122:DV122)</f>
        <v>19543.83536493234</v>
      </c>
      <c r="EJ122" s="656"/>
      <c r="EK122" s="656"/>
      <c r="EL122" s="656"/>
    </row>
    <row r="123" spans="1:142" s="475" customFormat="1" ht="14.25" hidden="1" customHeight="1" outlineLevel="1">
      <c r="G123" s="476"/>
      <c r="M123" s="476"/>
      <c r="S123" s="476"/>
      <c r="V123" s="483"/>
      <c r="W123" s="483"/>
      <c r="X123" s="483"/>
      <c r="Y123" s="476"/>
      <c r="AA123" s="483"/>
      <c r="AB123" s="483"/>
      <c r="AC123" s="483"/>
      <c r="AD123" s="483"/>
      <c r="AE123" s="476"/>
      <c r="AG123" s="483"/>
      <c r="AH123" s="483"/>
      <c r="AI123" s="483"/>
      <c r="AJ123" s="483"/>
      <c r="AK123" s="476"/>
      <c r="AM123" s="483"/>
      <c r="AN123" s="483"/>
      <c r="AO123" s="483"/>
      <c r="AP123" s="483"/>
      <c r="AQ123" s="481"/>
      <c r="AS123" s="483"/>
      <c r="AT123" s="483"/>
      <c r="AU123" s="483"/>
      <c r="AV123" s="483"/>
      <c r="AW123" s="481"/>
      <c r="AY123" s="483"/>
      <c r="AZ123" s="483"/>
      <c r="BA123" s="483"/>
      <c r="BB123" s="483"/>
      <c r="BC123" s="481"/>
      <c r="BE123" s="483"/>
      <c r="BF123" s="483"/>
      <c r="BG123" s="483"/>
      <c r="BH123" s="483"/>
      <c r="BI123" s="481"/>
      <c r="BK123" s="483"/>
      <c r="BL123" s="483"/>
      <c r="BM123" s="483"/>
      <c r="BN123" s="483"/>
      <c r="BO123" s="513"/>
      <c r="BQ123" s="483"/>
      <c r="BR123" s="483"/>
      <c r="BS123" s="483"/>
      <c r="BT123" s="483"/>
      <c r="BU123" s="482">
        <f>BU122/BO122-1</f>
        <v>0.40044544143296612</v>
      </c>
      <c r="BW123" s="483"/>
      <c r="BX123" s="483"/>
      <c r="BY123" s="483"/>
      <c r="BZ123" s="483"/>
      <c r="CA123" s="482">
        <f>CA122/BU122-1</f>
        <v>0.32956852707849382</v>
      </c>
      <c r="CC123" s="483"/>
      <c r="CD123" s="483"/>
      <c r="CE123" s="483"/>
      <c r="CF123" s="483"/>
      <c r="CG123" s="482">
        <f>CG122/CA122-1</f>
        <v>0.3574288715750249</v>
      </c>
      <c r="CI123" s="483"/>
      <c r="CJ123" s="483"/>
      <c r="CK123" s="483"/>
      <c r="CL123" s="483"/>
      <c r="CM123" s="482"/>
      <c r="CO123" s="483"/>
      <c r="CP123" s="483"/>
      <c r="CQ123" s="483"/>
      <c r="CR123" s="483"/>
      <c r="CS123" s="482"/>
      <c r="CU123" s="483"/>
      <c r="CV123" s="483"/>
      <c r="CW123" s="483"/>
      <c r="CX123" s="483"/>
      <c r="CY123" s="482"/>
      <c r="DA123" s="483"/>
      <c r="DB123" s="483"/>
      <c r="DC123" s="483"/>
      <c r="DD123" s="483"/>
      <c r="DE123" s="482"/>
      <c r="DG123" s="483"/>
      <c r="DH123" s="483"/>
      <c r="DI123" s="483"/>
      <c r="DJ123" s="483"/>
      <c r="DK123" s="482"/>
      <c r="DM123" s="483"/>
      <c r="DN123" s="483"/>
      <c r="DO123" s="483"/>
      <c r="DP123" s="483"/>
      <c r="DQ123" s="482"/>
      <c r="DS123" s="483"/>
      <c r="DT123" s="483"/>
      <c r="DU123" s="483"/>
      <c r="DV123" s="483"/>
      <c r="DW123" s="482"/>
      <c r="EJ123" s="656"/>
      <c r="EK123" s="656"/>
      <c r="EL123" s="656"/>
    </row>
    <row r="124" spans="1:142" s="475" customFormat="1" ht="12" customHeight="1" collapsed="1">
      <c r="A124" s="1835" t="s">
        <v>494</v>
      </c>
      <c r="B124" s="1493"/>
      <c r="C124" s="1493"/>
      <c r="D124" s="1493"/>
      <c r="E124" s="1493"/>
      <c r="F124" s="1493"/>
      <c r="G124" s="1494"/>
      <c r="H124" s="1493"/>
      <c r="I124" s="1493"/>
      <c r="J124" s="1493"/>
      <c r="K124" s="1493"/>
      <c r="L124" s="1493"/>
      <c r="M124" s="1494"/>
      <c r="N124" s="1493"/>
      <c r="O124" s="1493"/>
      <c r="P124" s="1493"/>
      <c r="Q124" s="1493"/>
      <c r="R124" s="1493"/>
      <c r="S124" s="1494"/>
      <c r="T124" s="1493"/>
      <c r="U124" s="1495"/>
      <c r="V124" s="1495"/>
      <c r="W124" s="1495"/>
      <c r="X124" s="1495"/>
      <c r="Y124" s="1496"/>
      <c r="Z124" s="1493"/>
      <c r="AA124" s="1495">
        <f>U122*AA125</f>
        <v>19.8369</v>
      </c>
      <c r="AB124" s="1495">
        <f>V122*AB125</f>
        <v>21.842550000000003</v>
      </c>
      <c r="AC124" s="1495">
        <f>W122*AC125</f>
        <v>24.561450000000001</v>
      </c>
      <c r="AD124" s="1495">
        <f>X122*AD125</f>
        <v>37.651499999999999</v>
      </c>
      <c r="AE124" s="1496">
        <f>SUM(AA124:AD124)</f>
        <v>103.89240000000001</v>
      </c>
      <c r="AF124" s="1493"/>
      <c r="AG124" s="1495">
        <f>AA122*AG125</f>
        <v>30.022650000000006</v>
      </c>
      <c r="AH124" s="1495">
        <f>AB122*AH125</f>
        <v>40.561199999999999</v>
      </c>
      <c r="AI124" s="1495">
        <f>AC122*AI125</f>
        <v>48.589649999999999</v>
      </c>
      <c r="AJ124" s="1495">
        <f>AD122*AJ125</f>
        <v>63.587700000000005</v>
      </c>
      <c r="AK124" s="1496">
        <f>SUM(AG124:AJ124)</f>
        <v>182.76120000000003</v>
      </c>
      <c r="AL124" s="1493"/>
      <c r="AM124" s="1495">
        <f>AG122*AM125</f>
        <v>60.098399999999984</v>
      </c>
      <c r="AN124" s="1495">
        <f>AH122*AN125</f>
        <v>69.581700000000012</v>
      </c>
      <c r="AO124" s="1495">
        <f>AI122*AO125</f>
        <v>75.608099999999993</v>
      </c>
      <c r="AP124" s="1495">
        <f>AJ122*AP125</f>
        <v>111.34170000000002</v>
      </c>
      <c r="AQ124" s="1497">
        <f>SUM(AM124:AP124)</f>
        <v>316.62989999999996</v>
      </c>
      <c r="AR124" s="1493"/>
      <c r="AS124" s="1495">
        <f>AM122*AS125</f>
        <v>96.042149999999992</v>
      </c>
      <c r="AT124" s="1495">
        <f>AN122*AT125</f>
        <v>114.65100000000001</v>
      </c>
      <c r="AU124" s="1495">
        <f>AO122*AU125</f>
        <v>121.28625</v>
      </c>
      <c r="AV124" s="1495">
        <f>AP122*AV125</f>
        <v>175.87574999999998</v>
      </c>
      <c r="AW124" s="1497">
        <f>SUM(AS124:AV124)</f>
        <v>507.85514999999998</v>
      </c>
      <c r="AX124" s="1493"/>
      <c r="AY124" s="1495">
        <f>AS122*AY125</f>
        <v>142.53255000000004</v>
      </c>
      <c r="AZ124" s="1495">
        <f>AT122*AZ125</f>
        <v>167.62949999999995</v>
      </c>
      <c r="BA124" s="1495">
        <f>AU122*BA125</f>
        <v>174.01590000000002</v>
      </c>
      <c r="BB124" s="1495">
        <f>AV122*BB125</f>
        <v>295.37816000000004</v>
      </c>
      <c r="BC124" s="1497">
        <f>SUM(AY124:BB124)</f>
        <v>779.55610999999999</v>
      </c>
      <c r="BD124" s="1493"/>
      <c r="BE124" s="1495">
        <f>AY122*BE125</f>
        <v>182.07510000000002</v>
      </c>
      <c r="BF124" s="1495">
        <f>AZ122*BF125</f>
        <v>209.24861999999996</v>
      </c>
      <c r="BG124" s="1495">
        <f>BA122*BG125</f>
        <v>206.71702499999995</v>
      </c>
      <c r="BH124" s="1495">
        <f>BB122*BH125</f>
        <v>336.05403000000007</v>
      </c>
      <c r="BI124" s="1497">
        <f>SUM(BE124:BH124)</f>
        <v>934.09477500000003</v>
      </c>
      <c r="BJ124" s="1493"/>
      <c r="BK124" s="1495">
        <f>BE122*BK125</f>
        <v>196.31532750000014</v>
      </c>
      <c r="BL124" s="1495">
        <f>BF122*BL125</f>
        <v>243.25366200000016</v>
      </c>
      <c r="BM124" s="1495">
        <f>BG122*BM125</f>
        <v>252.31065200000012</v>
      </c>
      <c r="BN124" s="1495">
        <f>BH122*BN125</f>
        <v>408.97385200000036</v>
      </c>
      <c r="BO124" s="1497">
        <f>SUM(BK124:BN124)</f>
        <v>1100.8534935000007</v>
      </c>
      <c r="BP124" s="1493"/>
      <c r="BQ124" s="1495">
        <f>BK122*BQ125</f>
        <v>262.99188500000008</v>
      </c>
      <c r="BR124" s="1495">
        <f>BL122*BR125</f>
        <v>328.82615900000019</v>
      </c>
      <c r="BS124" s="1495">
        <f>BM122*BS125</f>
        <v>353.0342060000001</v>
      </c>
      <c r="BT124" s="1495">
        <f>(BN122+BT135)*BT125+BT134</f>
        <v>653.18138825000028</v>
      </c>
      <c r="BU124" s="1497">
        <f>SUM(BQ124:BT124)</f>
        <v>1598.0336382500006</v>
      </c>
      <c r="BV124" s="1493"/>
      <c r="BW124" s="1495">
        <f>(BQ122+BW135)*BW125+BW134</f>
        <v>385.72183464000017</v>
      </c>
      <c r="BX124" s="1495">
        <f>(BR122+BX135)*BX125+BX134</f>
        <v>445.58622637500002</v>
      </c>
      <c r="BY124" s="1495">
        <f>(BS122+BY135)*BY125+BY134</f>
        <v>459.51629248000006</v>
      </c>
      <c r="BZ124" s="1495">
        <f>(BT122+BZ135)*BZ125+BZ134+30</f>
        <v>908.58179304250029</v>
      </c>
      <c r="CA124" s="1497">
        <f>SUM(BW124:BZ124)</f>
        <v>2199.4061465375007</v>
      </c>
      <c r="CB124" s="1493"/>
      <c r="CC124" s="1495">
        <f>(BW122+CC135)*CC125+CC134+(CC243+CC244)</f>
        <v>465.4545736</v>
      </c>
      <c r="CD124" s="1495">
        <f>(BX122+CD135)*CD125+CD134</f>
        <v>601.60182937500008</v>
      </c>
      <c r="CE124" s="1495">
        <f>(BY122+CE135)*CE125+CE134+101</f>
        <v>707.95920550000005</v>
      </c>
      <c r="CF124" s="1495">
        <f>(BZ122+CF135)*CF125+CF134+130</f>
        <v>1364.2079099299999</v>
      </c>
      <c r="CG124" s="1497">
        <f>SUM(CC124:CF124)</f>
        <v>3139.223518405</v>
      </c>
      <c r="CH124" s="1493"/>
      <c r="CI124" s="1495">
        <f>(CC122+CI135)*CI125+CI134+85</f>
        <v>693.80054128999996</v>
      </c>
      <c r="CJ124" s="1495">
        <f>(CD122+CJ135)*CJ125+CJ134</f>
        <v>821.56010122000009</v>
      </c>
      <c r="CK124" s="1495">
        <f>(CE122+CK135)*CK125+CK134</f>
        <v>914.87164104999999</v>
      </c>
      <c r="CL124" s="1495">
        <f>CF122*CL125</f>
        <v>1660.0198007499998</v>
      </c>
      <c r="CM124" s="1497">
        <f>SUM(CI124:CL124)</f>
        <v>4090.2520843100001</v>
      </c>
      <c r="CN124" s="1493"/>
      <c r="CO124" s="1495">
        <f>(CI122+CO135)*CO125+CO134</f>
        <v>875.11398989999986</v>
      </c>
      <c r="CP124" s="1495">
        <f>(CJ122+CP135)*CP125+CP134</f>
        <v>1104.1693017919999</v>
      </c>
      <c r="CQ124" s="1495">
        <f>(CK122+CQ135)*CQ125+CQ134</f>
        <v>1066.8362807679998</v>
      </c>
      <c r="CR124" s="1495">
        <f>(CL122+CR135)*CR125+CR134</f>
        <v>2225.5121161049997</v>
      </c>
      <c r="CS124" s="1497">
        <f>SUM(CO124:CR124)</f>
        <v>5271.6316885649994</v>
      </c>
      <c r="CT124" s="1493"/>
      <c r="CU124" s="1495">
        <f>(CO122+CU135)*CU125+CU134</f>
        <v>1032.347490092</v>
      </c>
      <c r="CV124" s="1495">
        <f>(CP122*CV125)+CV236</f>
        <v>1380.6688854499998</v>
      </c>
      <c r="CW124" s="1495">
        <f>(CQ122+CW135)*CW125+CW134</f>
        <v>1269.87869125</v>
      </c>
      <c r="CX124" s="1495">
        <f>(CR122+CX135)*CX125+CX134</f>
        <v>2748.93735788</v>
      </c>
      <c r="CY124" s="1497">
        <f>SUM(CU124:CX124)</f>
        <v>6431.8324246720003</v>
      </c>
      <c r="CZ124" s="1493"/>
      <c r="DA124" s="1495">
        <f>(CU122+DA135)*DA125+DA134</f>
        <v>1363.5467100000001</v>
      </c>
      <c r="DB124" s="1495">
        <f>(CV122*DB125)+DB236</f>
        <v>1640.9350899999999</v>
      </c>
      <c r="DC124" s="1495">
        <f>(CW122+DC135)*DC125+DC134</f>
        <v>1479.8533500000008</v>
      </c>
      <c r="DD124" s="1495">
        <f>(CX122+DD135)*DD125+DD134</f>
        <v>3552.21369</v>
      </c>
      <c r="DE124" s="1497">
        <f>SUM(DA124:DD124)</f>
        <v>8036.5488400000013</v>
      </c>
      <c r="DF124" s="1493"/>
      <c r="DG124" s="1495">
        <f>(DA122*DG125)</f>
        <v>1536.2813924999998</v>
      </c>
      <c r="DH124" s="1495">
        <f>(DB122*DH125)</f>
        <v>2001.109755</v>
      </c>
      <c r="DI124" s="1495">
        <f>(DC122*DI125)</f>
        <v>1862.8814125000004</v>
      </c>
      <c r="DJ124" s="1495">
        <f>(DD122*DJ125)</f>
        <v>4589.1540925000008</v>
      </c>
      <c r="DK124" s="1497">
        <f>SUM(DG124:DJ124)</f>
        <v>9989.4266525000003</v>
      </c>
      <c r="DL124" s="1493"/>
      <c r="DM124" s="1495">
        <f>(DG122*DM125)</f>
        <v>1677.6811011238185</v>
      </c>
      <c r="DN124" s="1495">
        <f>(DH122*DN125)</f>
        <v>2342.4970406501066</v>
      </c>
      <c r="DO124" s="1495">
        <f>(DI122*DO125)</f>
        <v>2266.4722089751353</v>
      </c>
      <c r="DP124" s="1495">
        <f>(DJ122*DP125)</f>
        <v>6027.2783029373577</v>
      </c>
      <c r="DQ124" s="1497">
        <f>SUM(DM124:DP124)</f>
        <v>12313.928653686417</v>
      </c>
      <c r="DR124" s="1493"/>
      <c r="DS124" s="1495">
        <f>(DM122*DS125)</f>
        <v>1890.0572337923954</v>
      </c>
      <c r="DT124" s="1495">
        <f>(DN122*DT125)</f>
        <v>2795.9128883304884</v>
      </c>
      <c r="DU124" s="1495">
        <f>(DO122*DU125)</f>
        <v>2712.0189192135199</v>
      </c>
      <c r="DV124" s="1495">
        <f>(DP122*DV125)</f>
        <v>7397.721689716438</v>
      </c>
      <c r="DW124" s="1497">
        <f>SUM(DS124:DV124)</f>
        <v>14795.710731052843</v>
      </c>
      <c r="DX124" s="656"/>
      <c r="DY124" s="656"/>
      <c r="DZ124" s="656"/>
      <c r="EA124" s="656"/>
      <c r="EB124" s="656"/>
      <c r="EC124" s="656"/>
      <c r="ED124" s="656"/>
      <c r="EE124" s="656"/>
      <c r="EF124" s="656"/>
      <c r="EJ124" s="656"/>
      <c r="EK124" s="656"/>
      <c r="EL124" s="656"/>
    </row>
    <row r="125" spans="1:142" s="475" customFormat="1" ht="12" customHeight="1">
      <c r="A125" s="531" t="s">
        <v>530</v>
      </c>
      <c r="G125" s="476"/>
      <c r="M125" s="476"/>
      <c r="S125" s="476"/>
      <c r="U125" s="1498"/>
      <c r="V125" s="1498"/>
      <c r="W125" s="1498"/>
      <c r="X125" s="1498"/>
      <c r="Y125" s="478"/>
      <c r="AA125" s="1498">
        <v>0.9</v>
      </c>
      <c r="AB125" s="1498">
        <v>0.9</v>
      </c>
      <c r="AC125" s="1498">
        <v>0.9</v>
      </c>
      <c r="AD125" s="1498">
        <v>0.9</v>
      </c>
      <c r="AE125" s="478"/>
      <c r="AG125" s="1498">
        <f>AA125</f>
        <v>0.9</v>
      </c>
      <c r="AH125" s="1498">
        <f>AB125</f>
        <v>0.9</v>
      </c>
      <c r="AI125" s="1498">
        <f>AC125</f>
        <v>0.9</v>
      </c>
      <c r="AJ125" s="1498">
        <f>AD125</f>
        <v>0.9</v>
      </c>
      <c r="AK125" s="478"/>
      <c r="AM125" s="1498">
        <f>AG125</f>
        <v>0.9</v>
      </c>
      <c r="AN125" s="1498">
        <f>AH125</f>
        <v>0.9</v>
      </c>
      <c r="AO125" s="1498">
        <f>AI125</f>
        <v>0.9</v>
      </c>
      <c r="AP125" s="1498">
        <f>AJ125</f>
        <v>0.9</v>
      </c>
      <c r="AQ125" s="479"/>
      <c r="AS125" s="1498">
        <f>AM125</f>
        <v>0.9</v>
      </c>
      <c r="AT125" s="1498">
        <f>AN125</f>
        <v>0.9</v>
      </c>
      <c r="AU125" s="1498">
        <f>AO125</f>
        <v>0.9</v>
      </c>
      <c r="AV125" s="1498">
        <f>AP125</f>
        <v>0.9</v>
      </c>
      <c r="AW125" s="479"/>
      <c r="AY125" s="1498">
        <f>AS125</f>
        <v>0.9</v>
      </c>
      <c r="AZ125" s="1498">
        <f>AT125</f>
        <v>0.9</v>
      </c>
      <c r="BA125" s="1498">
        <f>AU125</f>
        <v>0.9</v>
      </c>
      <c r="BB125" s="1498">
        <v>0.88</v>
      </c>
      <c r="BC125" s="482"/>
      <c r="BE125" s="1498">
        <v>0.85</v>
      </c>
      <c r="BF125" s="1498">
        <v>0.84</v>
      </c>
      <c r="BG125" s="1498">
        <v>0.85</v>
      </c>
      <c r="BH125" s="1498">
        <v>0.86</v>
      </c>
      <c r="BI125" s="482"/>
      <c r="BK125" s="1498">
        <f>BL125-0.45%</f>
        <v>0.82700000000000073</v>
      </c>
      <c r="BL125" s="1498">
        <f>BM125-0.45%</f>
        <v>0.83150000000000068</v>
      </c>
      <c r="BM125" s="1498">
        <f>BN125-0.45%</f>
        <v>0.83600000000000063</v>
      </c>
      <c r="BN125" s="1498">
        <f>BQ125-0.45%</f>
        <v>0.84050000000000058</v>
      </c>
      <c r="BO125" s="479"/>
      <c r="BQ125" s="1498">
        <f>BR125-0.45%</f>
        <v>0.84500000000000053</v>
      </c>
      <c r="BR125" s="1498">
        <f>BS125-0.45%</f>
        <v>0.84950000000000048</v>
      </c>
      <c r="BS125" s="1498">
        <f>BT125-0.45%</f>
        <v>0.85400000000000043</v>
      </c>
      <c r="BT125" s="1498">
        <f>BW125-0.45%</f>
        <v>0.85850000000000037</v>
      </c>
      <c r="BU125" s="479"/>
      <c r="BW125" s="1498">
        <f>BX125-0.45%</f>
        <v>0.86300000000000032</v>
      </c>
      <c r="BX125" s="1498">
        <f>BY125-0.45%</f>
        <v>0.86750000000000027</v>
      </c>
      <c r="BY125" s="1498">
        <f>BZ125-0.45%</f>
        <v>0.87200000000000022</v>
      </c>
      <c r="BZ125" s="1498">
        <f>CC125-0.45%</f>
        <v>0.87650000000000017</v>
      </c>
      <c r="CA125" s="479"/>
      <c r="CC125" s="1498">
        <f>CD125-0.45%</f>
        <v>0.88100000000000012</v>
      </c>
      <c r="CD125" s="1498">
        <f>CE125-0.45%</f>
        <v>0.88550000000000006</v>
      </c>
      <c r="CE125" s="1498">
        <v>0.89</v>
      </c>
      <c r="CF125" s="1498">
        <v>0.90049999999999997</v>
      </c>
      <c r="CG125" s="479"/>
      <c r="CI125" s="1498">
        <v>0.90149999999999997</v>
      </c>
      <c r="CJ125" s="1498">
        <v>0.89949999999999997</v>
      </c>
      <c r="CK125" s="1498">
        <v>0.89149999999999996</v>
      </c>
      <c r="CL125" s="1605">
        <v>0.89349999999999996</v>
      </c>
      <c r="CM125" s="486"/>
      <c r="CO125" s="1834">
        <v>0.89349999999999996</v>
      </c>
      <c r="CP125" s="1834">
        <v>0.89359999999999995</v>
      </c>
      <c r="CQ125" s="1834">
        <v>0.89359999999999995</v>
      </c>
      <c r="CR125" s="1834">
        <f>CQ125+0.55%</f>
        <v>0.8990999999999999</v>
      </c>
      <c r="CS125" s="482"/>
      <c r="CU125" s="1834">
        <f>CR125+0.05%</f>
        <v>0.89959999999999984</v>
      </c>
      <c r="CV125" s="1834">
        <f>CU125+0.05%</f>
        <v>0.90009999999999979</v>
      </c>
      <c r="CW125" s="1834">
        <v>0.91</v>
      </c>
      <c r="CX125" s="1834">
        <f>CW125+0.05%</f>
        <v>0.91049999999999998</v>
      </c>
      <c r="CY125" s="482"/>
      <c r="DA125" s="1936">
        <v>0.91</v>
      </c>
      <c r="DB125" s="1834">
        <f>DA125</f>
        <v>0.91</v>
      </c>
      <c r="DC125" s="1834">
        <v>0.9</v>
      </c>
      <c r="DD125" s="1834">
        <v>0.90500000000000003</v>
      </c>
      <c r="DE125" s="482"/>
      <c r="DG125" s="1498">
        <f>DD125+0%</f>
        <v>0.90500000000000003</v>
      </c>
      <c r="DH125" s="1498">
        <f>DG125+0%</f>
        <v>0.90500000000000003</v>
      </c>
      <c r="DI125" s="1498">
        <f>DH125+0%</f>
        <v>0.90500000000000003</v>
      </c>
      <c r="DJ125" s="1498">
        <f>DI125+0%</f>
        <v>0.90500000000000003</v>
      </c>
      <c r="DK125" s="482"/>
      <c r="DM125" s="1498">
        <f>DJ125+0%</f>
        <v>0.90500000000000003</v>
      </c>
      <c r="DN125" s="1498">
        <f>DM125+0%</f>
        <v>0.90500000000000003</v>
      </c>
      <c r="DO125" s="1498">
        <f>DN125+0%</f>
        <v>0.90500000000000003</v>
      </c>
      <c r="DP125" s="1498">
        <f>DO125+0%</f>
        <v>0.90500000000000003</v>
      </c>
      <c r="DQ125" s="482"/>
      <c r="DS125" s="1498">
        <f>DP125+0%</f>
        <v>0.90500000000000003</v>
      </c>
      <c r="DT125" s="1498">
        <f>DS125+0%</f>
        <v>0.90500000000000003</v>
      </c>
      <c r="DU125" s="1498">
        <f>DT125+0%</f>
        <v>0.90500000000000003</v>
      </c>
      <c r="DV125" s="1498">
        <f>DU125+0%</f>
        <v>0.90500000000000003</v>
      </c>
      <c r="DW125" s="482"/>
      <c r="DX125" s="656"/>
      <c r="DY125" s="656"/>
      <c r="DZ125" s="656"/>
      <c r="EA125" s="656"/>
      <c r="EB125" s="656"/>
      <c r="EC125" s="656"/>
      <c r="ED125" s="656"/>
      <c r="EE125" s="656"/>
      <c r="EF125" s="656"/>
      <c r="EJ125" s="656"/>
      <c r="EK125" s="656"/>
      <c r="EL125" s="656"/>
    </row>
    <row r="126" spans="1:142" s="475" customFormat="1" ht="12" customHeight="1">
      <c r="A126" s="444" t="s">
        <v>877</v>
      </c>
      <c r="B126" s="439"/>
      <c r="C126" s="439"/>
      <c r="D126" s="439"/>
      <c r="E126" s="439"/>
      <c r="F126" s="439"/>
      <c r="G126" s="440"/>
      <c r="H126" s="439"/>
      <c r="I126" s="439"/>
      <c r="J126" s="439"/>
      <c r="K126" s="439"/>
      <c r="L126" s="439"/>
      <c r="M126" s="440"/>
      <c r="N126" s="439"/>
      <c r="O126" s="439"/>
      <c r="P126" s="439"/>
      <c r="Q126" s="439"/>
      <c r="R126" s="439"/>
      <c r="S126" s="440"/>
      <c r="T126" s="439"/>
      <c r="U126" s="439"/>
      <c r="V126" s="439"/>
      <c r="W126" s="439"/>
      <c r="X126" s="439"/>
      <c r="Y126" s="440"/>
      <c r="Z126" s="439"/>
      <c r="AA126" s="442"/>
      <c r="AB126" s="442"/>
      <c r="AC126" s="442"/>
      <c r="AD126" s="442"/>
      <c r="AE126" s="442"/>
      <c r="AF126" s="439"/>
      <c r="AG126" s="442">
        <f>AG124/AA124-1</f>
        <v>0.51347488770926941</v>
      </c>
      <c r="AH126" s="442">
        <f>AH124/AB124-1</f>
        <v>0.85698098436308912</v>
      </c>
      <c r="AI126" s="442">
        <f>AI124/AC124-1</f>
        <v>0.97828914823839797</v>
      </c>
      <c r="AJ126" s="442">
        <f>AJ124/AD124-1</f>
        <v>0.68884904983865214</v>
      </c>
      <c r="AK126" s="442">
        <f>AK124/AE124-1</f>
        <v>0.75913926331473736</v>
      </c>
      <c r="AL126" s="439"/>
      <c r="AM126" s="442">
        <f>AM124/AG124-1</f>
        <v>1.001768664658182</v>
      </c>
      <c r="AN126" s="442">
        <f>AN124/AH124-1</f>
        <v>0.71547439424869119</v>
      </c>
      <c r="AO126" s="442">
        <f>AO124/AI124-1</f>
        <v>0.55605360400826087</v>
      </c>
      <c r="AP126" s="442">
        <f>AP124/AJ124-1</f>
        <v>0.75099429606669221</v>
      </c>
      <c r="AQ126" s="445">
        <f>AQ124/AK124-1</f>
        <v>0.73247877558256302</v>
      </c>
      <c r="AR126" s="439"/>
      <c r="AS126" s="442">
        <f>AS124/AM124-1</f>
        <v>0.59808164610039571</v>
      </c>
      <c r="AT126" s="442">
        <f>AT124/AN124-1</f>
        <v>0.64771771888298213</v>
      </c>
      <c r="AU126" s="442">
        <f>AU124/AO124-1</f>
        <v>0.60414360366151265</v>
      </c>
      <c r="AV126" s="442">
        <f>AV124/AP124-1</f>
        <v>0.57960359865171762</v>
      </c>
      <c r="AW126" s="445">
        <f>AW124/AQ124-1</f>
        <v>0.60393933106128017</v>
      </c>
      <c r="AX126" s="439"/>
      <c r="AY126" s="442">
        <f>AY124/AS124-1</f>
        <v>0.48406246632338057</v>
      </c>
      <c r="AZ126" s="442">
        <f>AZ124/AT124-1</f>
        <v>0.46208493602323508</v>
      </c>
      <c r="BA126" s="442">
        <f>BA124/AU124-1</f>
        <v>0.43475373341990564</v>
      </c>
      <c r="BB126" s="442">
        <f>BB124/AV124-1</f>
        <v>0.67947064902352983</v>
      </c>
      <c r="BC126" s="445">
        <f>BC124/AW124-1</f>
        <v>0.53499695730170305</v>
      </c>
      <c r="BD126" s="439"/>
      <c r="BE126" s="442">
        <f>BE124/AY124-1</f>
        <v>0.27742820850395211</v>
      </c>
      <c r="BF126" s="442">
        <f>BF124/AZ124-1</f>
        <v>0.24828040410548269</v>
      </c>
      <c r="BG126" s="442">
        <f>BG124/BA124-1</f>
        <v>0.18792032797002989</v>
      </c>
      <c r="BH126" s="442">
        <f>BH124/BB124-1</f>
        <v>0.13770777771789233</v>
      </c>
      <c r="BI126" s="445">
        <f>BI124/BC124-1</f>
        <v>0.1982393095475834</v>
      </c>
      <c r="BJ126" s="439"/>
      <c r="BK126" s="442">
        <f>BK124/BE124-1</f>
        <v>7.8210735570103385E-2</v>
      </c>
      <c r="BL126" s="442">
        <f>BL124/BF124-1</f>
        <v>0.1625102330423982</v>
      </c>
      <c r="BM126" s="442">
        <f>BM124/BG124-1</f>
        <v>0.2205605803392352</v>
      </c>
      <c r="BN126" s="442">
        <f>BN124/BH124-1</f>
        <v>0.2169883872542766</v>
      </c>
      <c r="BO126" s="445">
        <f>BO124/BI124-1</f>
        <v>0.17852440990262552</v>
      </c>
      <c r="BP126" s="439"/>
      <c r="BQ126" s="442">
        <f>BQ124/BK124-1</f>
        <v>0.33964010018524871</v>
      </c>
      <c r="BR126" s="442">
        <f>BR124/BL124-1</f>
        <v>0.35178297541929693</v>
      </c>
      <c r="BS126" s="442">
        <f>BS124/BM124-1</f>
        <v>0.39920452506301607</v>
      </c>
      <c r="BT126" s="442">
        <f>BT124/BN124-1</f>
        <v>0.59712261567763925</v>
      </c>
      <c r="BU126" s="445">
        <f>BU124/BO124-1</f>
        <v>0.45163152743358181</v>
      </c>
      <c r="BV126" s="439"/>
      <c r="BW126" s="442">
        <f>BW124/BQ124-1</f>
        <v>0.46666820019940936</v>
      </c>
      <c r="BX126" s="442">
        <f>BX124/BR124-1</f>
        <v>0.35508144403742459</v>
      </c>
      <c r="BY126" s="442">
        <f>BY124/BS124-1</f>
        <v>0.30161974298887051</v>
      </c>
      <c r="BZ126" s="442">
        <f>BZ124/BT124-1</f>
        <v>0.39100992371623944</v>
      </c>
      <c r="CA126" s="445">
        <f>CA124/BU124-1</f>
        <v>0.37632030633977154</v>
      </c>
      <c r="CB126" s="439"/>
      <c r="CC126" s="442">
        <f>CC124/BW124-1</f>
        <v>0.2067104628246299</v>
      </c>
      <c r="CD126" s="442">
        <f>CD124/BX124-1</f>
        <v>0.35013560510889574</v>
      </c>
      <c r="CE126" s="442">
        <f>CE124/BY124-1</f>
        <v>0.54066181566524807</v>
      </c>
      <c r="CF126" s="442">
        <f>CF124/BZ124-1</f>
        <v>0.50146956540013665</v>
      </c>
      <c r="CG126" s="445">
        <f>CG124/CA124-1</f>
        <v>0.42730505838907606</v>
      </c>
      <c r="CH126" s="439"/>
      <c r="CI126" s="442">
        <f>CI124/CC124-1</f>
        <v>0.49058701029380103</v>
      </c>
      <c r="CJ126" s="442">
        <f>CJ124/CD124-1</f>
        <v>0.36562101560348159</v>
      </c>
      <c r="CK126" s="442">
        <f>CK124/CE124-1</f>
        <v>0.2922660429337407</v>
      </c>
      <c r="CL126" s="442">
        <f>CL124/CF124-1</f>
        <v>0.21683783583631211</v>
      </c>
      <c r="CM126" s="445">
        <f>CM124/CG124-1</f>
        <v>0.30295025515997853</v>
      </c>
      <c r="CN126" s="439"/>
      <c r="CO126" s="442">
        <f>CO124/CI124-1</f>
        <v>0.26133367995487511</v>
      </c>
      <c r="CP126" s="442">
        <f>CP124/CJ124-1</f>
        <v>0.3439909023726091</v>
      </c>
      <c r="CQ126" s="442">
        <f>CQ124/CK124-1</f>
        <v>0.16610487515340377</v>
      </c>
      <c r="CR126" s="442">
        <f>CR124/CL124-1</f>
        <v>0.34065395792237507</v>
      </c>
      <c r="CS126" s="445">
        <f>CS124/CM124-1</f>
        <v>0.28882806729363009</v>
      </c>
      <c r="CT126" s="439"/>
      <c r="CU126" s="442">
        <f>CU124/CO124-1</f>
        <v>0.1796720221670407</v>
      </c>
      <c r="CV126" s="442">
        <f>CV124/CP124-1</f>
        <v>0.25041411965471028</v>
      </c>
      <c r="CW126" s="442">
        <f>CW124/CQ124-1</f>
        <v>0.19032199611343636</v>
      </c>
      <c r="CX126" s="442">
        <f>CX124/CR124-1</f>
        <v>0.23519316654679812</v>
      </c>
      <c r="CY126" s="445">
        <f>CY124/CS124-1</f>
        <v>0.22008380035799147</v>
      </c>
      <c r="CZ126" s="439"/>
      <c r="DA126" s="442">
        <f>DA124/CU124-1</f>
        <v>0.3208214511941947</v>
      </c>
      <c r="DB126" s="442">
        <f>DB124/CV124-1</f>
        <v>0.18850732952178606</v>
      </c>
      <c r="DC126" s="442">
        <f>DC124/CW124-1</f>
        <v>0.16535017100201355</v>
      </c>
      <c r="DD126" s="442">
        <f>DD124/CX124-1</f>
        <v>0.29221340014073371</v>
      </c>
      <c r="DE126" s="445">
        <f>DE124/CY124-1</f>
        <v>0.2494959926462692</v>
      </c>
      <c r="DF126" s="439"/>
      <c r="DG126" s="442">
        <f>DG124/DA124-1</f>
        <v>0.12668042923150002</v>
      </c>
      <c r="DH126" s="442">
        <f>DH124/DB124-1</f>
        <v>0.21949354803546806</v>
      </c>
      <c r="DI126" s="442">
        <f>DI124/DC124-1</f>
        <v>0.25882839167813443</v>
      </c>
      <c r="DJ126" s="442">
        <f>DJ124/DD124-1</f>
        <v>0.29191385794698643</v>
      </c>
      <c r="DK126" s="445">
        <f>DK124/DE124-1</f>
        <v>0.24299955756879332</v>
      </c>
      <c r="DL126" s="439"/>
      <c r="DM126" s="442">
        <f>DM124/DG124-1</f>
        <v>9.2040240358387759E-2</v>
      </c>
      <c r="DN126" s="442">
        <f>DN124/DH124-1</f>
        <v>0.17059898128881312</v>
      </c>
      <c r="DO126" s="442">
        <f>DO124/DI124-1</f>
        <v>0.21664867863677539</v>
      </c>
      <c r="DP126" s="442">
        <f>DP124/DJ124-1</f>
        <v>0.31337457436603966</v>
      </c>
      <c r="DQ126" s="445">
        <f>DQ124/DK124-1</f>
        <v>0.23269623793720684</v>
      </c>
      <c r="DR126" s="439"/>
      <c r="DS126" s="442">
        <f>DS124/DM124-1</f>
        <v>0.12658909522573381</v>
      </c>
      <c r="DT126" s="442">
        <f>DT124/DN124-1</f>
        <v>0.19356090522724689</v>
      </c>
      <c r="DU126" s="442">
        <f>DU124/DO124-1</f>
        <v>0.19658158987083008</v>
      </c>
      <c r="DV126" s="442">
        <f>DV124/DP124-1</f>
        <v>0.22737350390991629</v>
      </c>
      <c r="DW126" s="445">
        <f>DW124/DQ124-1</f>
        <v>0.20154267148717442</v>
      </c>
      <c r="DX126" s="656"/>
      <c r="DY126" s="656"/>
      <c r="DZ126" s="656"/>
      <c r="EA126" s="656"/>
      <c r="EB126" s="656"/>
      <c r="EC126" s="656"/>
      <c r="ED126" s="656"/>
      <c r="EE126" s="656"/>
      <c r="EF126" s="656"/>
      <c r="EJ126" s="656"/>
      <c r="EK126" s="656"/>
      <c r="EL126" s="656"/>
    </row>
    <row r="127" spans="1:142" s="475" customFormat="1" ht="12" customHeight="1">
      <c r="A127" s="446" t="s">
        <v>878</v>
      </c>
      <c r="B127" s="447"/>
      <c r="C127" s="447"/>
      <c r="D127" s="447"/>
      <c r="E127" s="447"/>
      <c r="F127" s="447"/>
      <c r="G127" s="448"/>
      <c r="H127" s="447"/>
      <c r="I127" s="447"/>
      <c r="J127" s="447"/>
      <c r="K127" s="447"/>
      <c r="L127" s="447"/>
      <c r="M127" s="448"/>
      <c r="N127" s="447"/>
      <c r="O127" s="447"/>
      <c r="P127" s="447"/>
      <c r="Q127" s="447"/>
      <c r="R127" s="447"/>
      <c r="S127" s="448"/>
      <c r="T127" s="447"/>
      <c r="U127" s="447"/>
      <c r="V127" s="449"/>
      <c r="W127" s="449"/>
      <c r="X127" s="449"/>
      <c r="Y127" s="448"/>
      <c r="Z127" s="447"/>
      <c r="AA127" s="449"/>
      <c r="AB127" s="449">
        <f>AB124/AA124-1</f>
        <v>0.10110702781180536</v>
      </c>
      <c r="AC127" s="449">
        <f>AC124/AB124-1</f>
        <v>0.12447722449988663</v>
      </c>
      <c r="AD127" s="449">
        <f>AD124/AC124-1</f>
        <v>0.53295102691412755</v>
      </c>
      <c r="AE127" s="448"/>
      <c r="AF127" s="447"/>
      <c r="AG127" s="449">
        <f>AG124/AD124-1</f>
        <v>-0.2026174256005735</v>
      </c>
      <c r="AH127" s="449">
        <f>AH124/AG124-1</f>
        <v>0.35101997991516387</v>
      </c>
      <c r="AI127" s="449">
        <f>AI124/AH124-1</f>
        <v>0.19793423271500843</v>
      </c>
      <c r="AJ127" s="449">
        <f>AJ124/AI124-1</f>
        <v>0.30866758661566829</v>
      </c>
      <c r="AK127" s="450">
        <f>AK111/AK139</f>
        <v>0.52298111355877352</v>
      </c>
      <c r="AL127" s="447"/>
      <c r="AM127" s="449">
        <f>AM124/AJ124-1</f>
        <v>-5.4873819936874901E-2</v>
      </c>
      <c r="AN127" s="449">
        <f>AN124/AM124-1</f>
        <v>0.15779621420869816</v>
      </c>
      <c r="AO127" s="449">
        <f>AO124/AN124-1</f>
        <v>8.6608979085017745E-2</v>
      </c>
      <c r="AP127" s="449">
        <f>AP124/AO124-1</f>
        <v>0.47261602923496326</v>
      </c>
      <c r="AQ127" s="450">
        <f>AQ111/AQ139</f>
        <v>0.48261904684094087</v>
      </c>
      <c r="AR127" s="447"/>
      <c r="AS127" s="449">
        <f>AS124/AP124-1</f>
        <v>-0.13741078140534968</v>
      </c>
      <c r="AT127" s="449">
        <f>AT124/AS124-1</f>
        <v>0.19375711601624923</v>
      </c>
      <c r="AU127" s="449">
        <f>AU124/AT124-1</f>
        <v>5.7873459455216159E-2</v>
      </c>
      <c r="AV127" s="449">
        <f>AV124/AU124-1</f>
        <v>0.45008811798534443</v>
      </c>
      <c r="AW127" s="450">
        <f>AW111/AW139</f>
        <v>0.46288894811486886</v>
      </c>
      <c r="AX127" s="447"/>
      <c r="AY127" s="449">
        <f>AY124/AV124-1</f>
        <v>-0.18958383972776205</v>
      </c>
      <c r="AZ127" s="449">
        <f>AZ124/AY124-1</f>
        <v>0.17607872728018892</v>
      </c>
      <c r="BA127" s="449">
        <f>BA124/AZ124-1</f>
        <v>3.8098306085743161E-2</v>
      </c>
      <c r="BB127" s="449">
        <f>BB124/BA124-1</f>
        <v>0.69742052306714508</v>
      </c>
      <c r="BC127" s="450">
        <f>BC111/BC139</f>
        <v>0.34485632838362185</v>
      </c>
      <c r="BD127" s="447"/>
      <c r="BE127" s="449">
        <f>BE124/BB124-1</f>
        <v>-0.38358645067055741</v>
      </c>
      <c r="BF127" s="449">
        <f>BF124/BE124-1</f>
        <v>0.14924347151257877</v>
      </c>
      <c r="BG127" s="449">
        <f>BG124/BF124-1</f>
        <v>-1.209850272847679E-2</v>
      </c>
      <c r="BH127" s="449">
        <f>BH124/BG124-1</f>
        <v>0.62567176070766384</v>
      </c>
      <c r="BI127" s="450">
        <f>BI111/BI139</f>
        <v>0.34028428814080036</v>
      </c>
      <c r="BJ127" s="447"/>
      <c r="BK127" s="449">
        <f>BK124/BH124-1</f>
        <v>-0.41582212985215472</v>
      </c>
      <c r="BL127" s="449">
        <f>BL124/BK124-1</f>
        <v>0.23909663650689716</v>
      </c>
      <c r="BM127" s="449">
        <f>BM124/BL124-1</f>
        <v>3.7232697446503149E-2</v>
      </c>
      <c r="BN127" s="449">
        <f>BN124/BM124-1</f>
        <v>0.62091393588884292</v>
      </c>
      <c r="BO127" s="451"/>
      <c r="BP127" s="447"/>
      <c r="BQ127" s="449">
        <f>BQ124/BN124-1</f>
        <v>-0.35694694486238243</v>
      </c>
      <c r="BR127" s="449">
        <f>BR124/BQ124-1</f>
        <v>0.25032815746387027</v>
      </c>
      <c r="BS127" s="449">
        <f>BS124/BR124-1</f>
        <v>7.361958997915341E-2</v>
      </c>
      <c r="BT127" s="449">
        <f>BT124/BS124-1</f>
        <v>0.85019291940792874</v>
      </c>
      <c r="BU127" s="451"/>
      <c r="BV127" s="447"/>
      <c r="BW127" s="449">
        <f>BW124/BT124-1</f>
        <v>-0.40947209828892428</v>
      </c>
      <c r="BX127" s="449">
        <f>BX124/BW124-1</f>
        <v>0.1552009410897679</v>
      </c>
      <c r="BY127" s="449">
        <f>BY124/BX124-1</f>
        <v>3.1262335504232297E-2</v>
      </c>
      <c r="BZ127" s="449">
        <f>BZ124/BY124-1</f>
        <v>0.97725697197568961</v>
      </c>
      <c r="CA127" s="451"/>
      <c r="CB127" s="447"/>
      <c r="CC127" s="449">
        <f>CC124/BZ124-1</f>
        <v>-0.48771307419515098</v>
      </c>
      <c r="CD127" s="449">
        <f>CD124/CC124-1</f>
        <v>0.29250385214175934</v>
      </c>
      <c r="CE127" s="449">
        <f>CE124/CD124-1</f>
        <v>0.17679031367888931</v>
      </c>
      <c r="CF127" s="449">
        <f>CF124/CE124-1</f>
        <v>0.92695836049835756</v>
      </c>
      <c r="CG127" s="451"/>
      <c r="CH127" s="447"/>
      <c r="CI127" s="449">
        <f>CI124/CF124-1</f>
        <v>-0.49142609697549677</v>
      </c>
      <c r="CJ127" s="449">
        <f>CJ124/CI124-1</f>
        <v>0.18414450887059508</v>
      </c>
      <c r="CK127" s="449">
        <f>CK124/CJ124-1</f>
        <v>0.11357847063341331</v>
      </c>
      <c r="CL127" s="449">
        <f>CL124/CK124-1</f>
        <v>0.81448383168243343</v>
      </c>
      <c r="CM127" s="451"/>
      <c r="CN127" s="447"/>
      <c r="CO127" s="449">
        <f>CO124/CL124-1</f>
        <v>-0.47282918582981848</v>
      </c>
      <c r="CP127" s="449">
        <f>CP124/CO124-1</f>
        <v>0.26174340090046377</v>
      </c>
      <c r="CQ127" s="449">
        <f>CQ124/CP124-1</f>
        <v>-3.3810957217711879E-2</v>
      </c>
      <c r="CR127" s="449">
        <f>CR124/CQ124-1</f>
        <v>1.0860858936132973</v>
      </c>
      <c r="CS127" s="451"/>
      <c r="CT127" s="447"/>
      <c r="CU127" s="449">
        <f>CU124/CR124-1</f>
        <v>-0.53613036630024169</v>
      </c>
      <c r="CV127" s="449">
        <f>CV124/CU124-1</f>
        <v>0.33740712182770771</v>
      </c>
      <c r="CW127" s="449">
        <f>CW124/CV124-1</f>
        <v>-8.0243855255628604E-2</v>
      </c>
      <c r="CX127" s="449">
        <f>CX124/CW124-1</f>
        <v>1.1647243762899073</v>
      </c>
      <c r="CY127" s="451"/>
      <c r="CZ127" s="447"/>
      <c r="DA127" s="449">
        <f>DA124/CX124-1</f>
        <v>-0.503973160359108</v>
      </c>
      <c r="DB127" s="449">
        <f>DB124/DA124-1</f>
        <v>0.20343152014205645</v>
      </c>
      <c r="DC127" s="449">
        <f>DC124/DB124-1</f>
        <v>-9.8164601989222611E-2</v>
      </c>
      <c r="DD127" s="449">
        <f>DD124/DC124-1</f>
        <v>1.4003822338206677</v>
      </c>
      <c r="DE127" s="451"/>
      <c r="DF127" s="447"/>
      <c r="DG127" s="449">
        <f>DG124/DD124-1</f>
        <v>-0.56751436524642185</v>
      </c>
      <c r="DH127" s="449">
        <f>DH124/DG124-1</f>
        <v>0.30256720205637722</v>
      </c>
      <c r="DI127" s="449">
        <f>DI124/DH124-1</f>
        <v>-6.9075842619136907E-2</v>
      </c>
      <c r="DJ127" s="449">
        <f>DJ124/DI124-1</f>
        <v>1.463470869217232</v>
      </c>
      <c r="DK127" s="451"/>
      <c r="DL127" s="447"/>
      <c r="DM127" s="449">
        <f>DM124/DJ124-1</f>
        <v>-0.63442476166454465</v>
      </c>
      <c r="DN127" s="449">
        <f>DN124/DM124-1</f>
        <v>0.39627074482805558</v>
      </c>
      <c r="DO127" s="449">
        <f>DO124/DN124-1</f>
        <v>-3.2454611619860296E-2</v>
      </c>
      <c r="DP127" s="449">
        <f>DP124/DO124-1</f>
        <v>1.6593215125557625</v>
      </c>
      <c r="DQ127" s="451"/>
      <c r="DR127" s="447"/>
      <c r="DS127" s="449">
        <f>DS124/DP124-1</f>
        <v>-0.68641613365168697</v>
      </c>
      <c r="DT127" s="449">
        <f>DT124/DS124-1</f>
        <v>0.47927419251770265</v>
      </c>
      <c r="DU127" s="449">
        <f>DU124/DT124-1</f>
        <v>-3.0005930966992223E-2</v>
      </c>
      <c r="DV127" s="449">
        <f>DV124/DU124-1</f>
        <v>1.7277544552903645</v>
      </c>
      <c r="DW127" s="451"/>
      <c r="DX127" s="656"/>
      <c r="DY127" s="656"/>
      <c r="DZ127" s="656"/>
      <c r="EA127" s="656"/>
      <c r="EB127" s="656"/>
      <c r="EC127" s="656"/>
      <c r="ED127" s="656"/>
      <c r="EE127" s="656"/>
      <c r="EF127" s="656"/>
      <c r="EJ127" s="656"/>
      <c r="EK127" s="656"/>
      <c r="EL127" s="656"/>
    </row>
    <row r="128" spans="1:142" s="475" customFormat="1" ht="12" customHeight="1">
      <c r="A128" s="1356" t="s">
        <v>254</v>
      </c>
      <c r="B128" s="1356"/>
      <c r="C128" s="1356"/>
      <c r="D128" s="1356"/>
      <c r="E128" s="1356"/>
      <c r="F128" s="1356"/>
      <c r="G128" s="1408"/>
      <c r="H128" s="1356"/>
      <c r="I128" s="1356"/>
      <c r="J128" s="1356"/>
      <c r="K128" s="1356"/>
      <c r="L128" s="1356"/>
      <c r="M128" s="1408"/>
      <c r="N128" s="1356"/>
      <c r="O128" s="1356"/>
      <c r="P128" s="1356"/>
      <c r="Q128" s="1356"/>
      <c r="R128" s="1356"/>
      <c r="S128" s="1408"/>
      <c r="T128" s="1356"/>
      <c r="U128" s="1356"/>
      <c r="V128" s="1356"/>
      <c r="W128" s="1356"/>
      <c r="X128" s="1356"/>
      <c r="Y128" s="1408"/>
      <c r="Z128" s="1356"/>
      <c r="AA128" s="1499">
        <f>AA124/AA139</f>
        <v>0.52895578902458529</v>
      </c>
      <c r="AB128" s="1499">
        <f>AB124/AB139</f>
        <v>0.43862303706976186</v>
      </c>
      <c r="AC128" s="1499">
        <f>AC124/AC139</f>
        <v>0.41598553621028389</v>
      </c>
      <c r="AD128" s="1499">
        <f>AD124/AD139</f>
        <v>0.4937642615469352</v>
      </c>
      <c r="AE128" s="1500">
        <f>AE124/AE139</f>
        <v>0.46672656537794593</v>
      </c>
      <c r="AF128" s="1356"/>
      <c r="AG128" s="1499">
        <f>AG124/AG139</f>
        <v>0.41170908642110765</v>
      </c>
      <c r="AH128" s="1499">
        <f>AH124/AH139</f>
        <v>0.47939580895649386</v>
      </c>
      <c r="AI128" s="1499">
        <f>AI124/AI139</f>
        <v>0.52545256942642105</v>
      </c>
      <c r="AJ128" s="1499">
        <f>AJ124/AJ139</f>
        <v>0.47763973289065492</v>
      </c>
      <c r="AK128" s="1500">
        <f>AK124/AK139</f>
        <v>0.47701888644122659</v>
      </c>
      <c r="AL128" s="1356"/>
      <c r="AM128" s="1499">
        <f>AM124/AM139</f>
        <v>0.51127123618637649</v>
      </c>
      <c r="AN128" s="1499">
        <f>AN124/AN139</f>
        <v>0.50081475776790929</v>
      </c>
      <c r="AO128" s="1499">
        <f>AO124/AO139</f>
        <v>0.51557539141345254</v>
      </c>
      <c r="AP128" s="1499">
        <f>AP124/AP139</f>
        <v>0.53310781694389398</v>
      </c>
      <c r="AQ128" s="1501">
        <f>AQ124/AQ139</f>
        <v>0.51738095315905919</v>
      </c>
      <c r="AR128" s="1356"/>
      <c r="AS128" s="1500">
        <f>AS124/AS139</f>
        <v>0.55189977071732699</v>
      </c>
      <c r="AT128" s="1500">
        <f>AT124/AT139</f>
        <v>0.56545455442175219</v>
      </c>
      <c r="AU128" s="1500">
        <f>AU124/AU139</f>
        <v>0.57275605759377402</v>
      </c>
      <c r="AV128" s="1500">
        <f>AV124/AV139</f>
        <v>0.49266019966833985</v>
      </c>
      <c r="AW128" s="1502"/>
      <c r="AX128" s="1356"/>
      <c r="AY128" s="1500">
        <f>AY124/AY139</f>
        <v>0.60133973209577063</v>
      </c>
      <c r="AZ128" s="1500">
        <f>AZ124/AZ139</f>
        <v>0.6155471750769298</v>
      </c>
      <c r="BA128" s="1500">
        <f>BA124/BA139</f>
        <v>0.65302898958626532</v>
      </c>
      <c r="BB128" s="1500">
        <f>BB124/BB139</f>
        <v>0.71334458733321249</v>
      </c>
      <c r="BC128" s="1503">
        <f>BC124/BC139</f>
        <v>0.6551436716163781</v>
      </c>
      <c r="BD128" s="1356"/>
      <c r="BE128" s="1500">
        <f>BE124/BE139</f>
        <v>0.69955968970803528</v>
      </c>
      <c r="BF128" s="1500">
        <f>BF124/BF139</f>
        <v>0.66281262472362834</v>
      </c>
      <c r="BG128" s="1500">
        <f>BG124/BG139</f>
        <v>0.63221242361777996</v>
      </c>
      <c r="BH128" s="1500">
        <f>BH124/BH139</f>
        <v>0.6551246096202058</v>
      </c>
      <c r="BI128" s="1502"/>
      <c r="BJ128" s="1356"/>
      <c r="BK128" s="1500">
        <f>BK124/BK139</f>
        <v>0.58254843558045599</v>
      </c>
      <c r="BL128" s="1500">
        <f>BL124/BL139</f>
        <v>0.58918878947444941</v>
      </c>
      <c r="BM128" s="1500">
        <f>BM124/BM139</f>
        <v>0.57261991943262458</v>
      </c>
      <c r="BN128" s="1500">
        <f>BN124/BN139</f>
        <v>0.58655183284068479</v>
      </c>
      <c r="BO128" s="1502">
        <f>BO124/BI139</f>
        <v>0.77749107002235374</v>
      </c>
      <c r="BP128" s="1356"/>
      <c r="BQ128" s="1500">
        <f>BQ124/BQ139</f>
        <v>0.54274817564946065</v>
      </c>
      <c r="BR128" s="1500">
        <f>BR124/BR139</f>
        <v>0.58082640889540527</v>
      </c>
      <c r="BS128" s="1500">
        <f>BS124/BS139</f>
        <v>0.62283850286248621</v>
      </c>
      <c r="BT128" s="1500">
        <f>BT124/BT139</f>
        <v>0.59684680853299621</v>
      </c>
      <c r="BU128" s="1569">
        <f>BU124/BO139</f>
        <v>0.84653628706299455</v>
      </c>
      <c r="BV128" s="1570"/>
      <c r="BW128" s="1571">
        <f>BW124/BW139</f>
        <v>0.59352138854908654</v>
      </c>
      <c r="BX128" s="1572"/>
      <c r="BY128" s="1572"/>
      <c r="BZ128" s="1572"/>
      <c r="CA128" s="1569">
        <f>CA124/BU139</f>
        <v>0.81102246531758471</v>
      </c>
      <c r="CB128" s="1570"/>
      <c r="CC128" s="1572"/>
      <c r="CD128" s="1572"/>
      <c r="CE128" s="1572"/>
      <c r="CF128" s="1572"/>
      <c r="CG128" s="1569">
        <f>CG124/CA139</f>
        <v>0.88939570117440603</v>
      </c>
      <c r="CH128" s="1570"/>
      <c r="CI128" s="1572"/>
      <c r="CJ128" s="1572"/>
      <c r="CK128" s="1572"/>
      <c r="CL128" s="1572"/>
      <c r="CM128" s="1569">
        <f>CM124/CG139</f>
        <v>0.87336107225688653</v>
      </c>
      <c r="CN128" s="1570"/>
      <c r="CO128" s="1572"/>
      <c r="CP128" s="1572"/>
      <c r="CQ128" s="1572"/>
      <c r="CR128" s="1572"/>
      <c r="CS128" s="1569">
        <f>CS124/CM139</f>
        <v>0.85406292909696935</v>
      </c>
      <c r="CT128" s="1570"/>
      <c r="CU128" s="1572"/>
      <c r="CV128" s="1572"/>
      <c r="CW128" s="1572"/>
      <c r="CX128" s="1572"/>
      <c r="CY128" s="1569">
        <f>CY124/CS139</f>
        <v>0.84220439448771245</v>
      </c>
      <c r="CZ128" s="1570"/>
      <c r="DA128" s="1572"/>
      <c r="DB128" s="1572"/>
      <c r="DC128" s="1572"/>
      <c r="DD128" s="1572"/>
      <c r="DE128" s="1569">
        <f>DE124/CY139</f>
        <v>0.83472727284058157</v>
      </c>
      <c r="DF128" s="1570"/>
      <c r="DG128" s="1572"/>
      <c r="DH128" s="1572"/>
      <c r="DI128" s="1572"/>
      <c r="DJ128" s="1572"/>
      <c r="DK128" s="1569">
        <f>DK124/DE139</f>
        <v>0.83024404862035273</v>
      </c>
      <c r="DL128" s="1570"/>
      <c r="DM128" s="1572"/>
      <c r="DN128" s="1572"/>
      <c r="DO128" s="1572"/>
      <c r="DP128" s="1572"/>
      <c r="DQ128" s="1569">
        <f>DQ124/DK139</f>
        <v>0.84706673996079163</v>
      </c>
      <c r="DR128" s="1570"/>
      <c r="DS128" s="1572"/>
      <c r="DT128" s="1572"/>
      <c r="DU128" s="1572"/>
      <c r="DV128" s="1572"/>
      <c r="DW128" s="1569">
        <f>DW124/DQ139</f>
        <v>0.84765962451270904</v>
      </c>
      <c r="DX128" s="656"/>
      <c r="DY128" s="656"/>
      <c r="DZ128" s="656"/>
      <c r="EA128" s="656"/>
      <c r="EB128" s="656"/>
      <c r="EC128" s="656"/>
      <c r="ED128" s="656"/>
      <c r="EE128" s="656"/>
      <c r="EF128" s="656"/>
      <c r="EJ128" s="656"/>
      <c r="EK128" s="656"/>
      <c r="EL128" s="656"/>
    </row>
    <row r="129" spans="1:142" s="475" customFormat="1" ht="3.95" customHeight="1" thickBot="1">
      <c r="A129" s="1356"/>
      <c r="B129" s="1356"/>
      <c r="C129" s="1356"/>
      <c r="D129" s="1356"/>
      <c r="E129" s="1356"/>
      <c r="F129" s="1356"/>
      <c r="G129" s="1408"/>
      <c r="H129" s="1356"/>
      <c r="I129" s="1356"/>
      <c r="J129" s="1356"/>
      <c r="K129" s="1356"/>
      <c r="L129" s="1356"/>
      <c r="M129" s="1408"/>
      <c r="N129" s="1356"/>
      <c r="O129" s="1356"/>
      <c r="P129" s="1356"/>
      <c r="Q129" s="1356"/>
      <c r="R129" s="1356"/>
      <c r="S129" s="1408"/>
      <c r="T129" s="1356"/>
      <c r="U129" s="1356"/>
      <c r="V129" s="1356"/>
      <c r="W129" s="1356"/>
      <c r="X129" s="1356"/>
      <c r="Y129" s="1408"/>
      <c r="Z129" s="1356"/>
      <c r="AA129" s="1499"/>
      <c r="AB129" s="1499"/>
      <c r="AC129" s="1499"/>
      <c r="AD129" s="1499"/>
      <c r="AE129" s="1500"/>
      <c r="AF129" s="1356"/>
      <c r="AG129" s="1499"/>
      <c r="AH129" s="1499"/>
      <c r="AI129" s="1499"/>
      <c r="AJ129" s="1499"/>
      <c r="AK129" s="1500"/>
      <c r="AL129" s="1356"/>
      <c r="AM129" s="1499"/>
      <c r="AN129" s="1499"/>
      <c r="AO129" s="1499"/>
      <c r="AP129" s="1499"/>
      <c r="AQ129" s="1503"/>
      <c r="AR129" s="1356"/>
      <c r="AS129" s="1500"/>
      <c r="AT129" s="1500"/>
      <c r="AU129" s="1500"/>
      <c r="AV129" s="1500"/>
      <c r="AW129" s="1502"/>
      <c r="AX129" s="1356"/>
      <c r="AY129" s="1500"/>
      <c r="AZ129" s="1500"/>
      <c r="BA129" s="1500"/>
      <c r="BB129" s="1500"/>
      <c r="BC129" s="1503"/>
      <c r="BD129" s="1356"/>
      <c r="BE129" s="1500"/>
      <c r="BF129" s="1500"/>
      <c r="BG129" s="1500"/>
      <c r="BH129" s="1500"/>
      <c r="BI129" s="1502"/>
      <c r="BJ129" s="1356"/>
      <c r="BK129" s="1500"/>
      <c r="BL129" s="1500"/>
      <c r="BM129" s="1500"/>
      <c r="BN129" s="1500"/>
      <c r="BO129" s="1502"/>
      <c r="BP129" s="1356"/>
      <c r="BQ129" s="1500"/>
      <c r="BR129" s="1500"/>
      <c r="BS129" s="1500"/>
      <c r="BT129" s="1500"/>
      <c r="BU129" s="1502"/>
      <c r="BV129" s="1356"/>
      <c r="BW129" s="1500"/>
      <c r="CA129" s="1502"/>
      <c r="CB129" s="1356"/>
      <c r="CG129" s="1502"/>
      <c r="CH129" s="1356"/>
      <c r="CM129" s="1502"/>
      <c r="CN129" s="1356"/>
      <c r="CS129" s="1502"/>
      <c r="CT129" s="1356"/>
      <c r="CY129" s="1502"/>
      <c r="CZ129" s="1356"/>
      <c r="DE129" s="1502"/>
      <c r="DF129" s="1356"/>
      <c r="DK129" s="1502"/>
      <c r="DL129" s="1356"/>
      <c r="DQ129" s="1502"/>
      <c r="DR129" s="1356"/>
      <c r="DW129" s="1502"/>
      <c r="DX129" s="656"/>
      <c r="DY129" s="656"/>
      <c r="DZ129" s="656"/>
      <c r="EA129" s="656"/>
      <c r="EB129" s="656"/>
      <c r="EC129" s="656"/>
      <c r="ED129" s="656"/>
      <c r="EE129" s="656"/>
      <c r="EF129" s="656"/>
      <c r="EJ129" s="656"/>
      <c r="EK129" s="656"/>
      <c r="EL129" s="656"/>
    </row>
    <row r="130" spans="1:142" s="475" customFormat="1" ht="12" hidden="1" customHeight="1" outlineLevel="1">
      <c r="A130" s="500" t="s">
        <v>186</v>
      </c>
      <c r="B130" s="1356"/>
      <c r="C130" s="1356"/>
      <c r="D130" s="1356"/>
      <c r="E130" s="1356"/>
      <c r="F130" s="1356"/>
      <c r="G130" s="1408"/>
      <c r="H130" s="1356"/>
      <c r="I130" s="1356"/>
      <c r="J130" s="1356"/>
      <c r="K130" s="1356"/>
      <c r="L130" s="1356"/>
      <c r="M130" s="1408"/>
      <c r="N130" s="1356"/>
      <c r="O130" s="1356"/>
      <c r="P130" s="1356"/>
      <c r="Q130" s="1356"/>
      <c r="R130" s="1356"/>
      <c r="S130" s="1408"/>
      <c r="T130" s="1356"/>
      <c r="U130" s="1356"/>
      <c r="V130" s="1356"/>
      <c r="W130" s="1356"/>
      <c r="X130" s="1356"/>
      <c r="Y130" s="1408"/>
      <c r="Z130" s="1356"/>
      <c r="AA130" s="1499"/>
      <c r="AB130" s="1499"/>
      <c r="AC130" s="1499"/>
      <c r="AD130" s="1499"/>
      <c r="AE130" s="1500"/>
      <c r="AF130" s="1356"/>
      <c r="AG130" s="1499"/>
      <c r="AH130" s="1499"/>
      <c r="AI130" s="1499"/>
      <c r="AJ130" s="1499"/>
      <c r="AK130" s="1500"/>
      <c r="AL130" s="1356"/>
      <c r="AM130" s="1499"/>
      <c r="AN130" s="1499"/>
      <c r="AO130" s="1499"/>
      <c r="AP130" s="1499"/>
      <c r="AQ130" s="1503"/>
      <c r="AR130" s="1356"/>
      <c r="AS130" s="1500"/>
      <c r="AT130" s="1500"/>
      <c r="AU130" s="1500"/>
      <c r="AV130" s="1500"/>
      <c r="AW130" s="1502"/>
      <c r="AX130" s="1356"/>
      <c r="AY130" s="1500"/>
      <c r="AZ130" s="1500"/>
      <c r="BA130" s="1500"/>
      <c r="BB130" s="1500"/>
      <c r="BC130" s="1503"/>
      <c r="BD130" s="1356"/>
      <c r="BE130" s="1500"/>
      <c r="BF130" s="1500"/>
      <c r="BG130" s="1500"/>
      <c r="BH130" s="1500"/>
      <c r="BI130" s="1502"/>
      <c r="BJ130" s="1356"/>
      <c r="BK130" s="1500"/>
      <c r="BL130" s="1500"/>
      <c r="BM130" s="1500"/>
      <c r="BN130" s="1500"/>
      <c r="BO130" s="1502"/>
      <c r="BP130" s="1356"/>
      <c r="BQ130" s="1500"/>
      <c r="BR130" s="1500"/>
      <c r="BS130" s="1504"/>
      <c r="BT130" s="1505">
        <v>75</v>
      </c>
      <c r="BU130" s="1502">
        <f>SUM(BQ130:BT130)</f>
        <v>75</v>
      </c>
      <c r="BV130" s="1356"/>
      <c r="BW130" s="1506">
        <v>0</v>
      </c>
      <c r="BX130" s="1506">
        <v>0</v>
      </c>
      <c r="BY130" s="1506">
        <v>0</v>
      </c>
      <c r="BZ130" s="1506">
        <v>0</v>
      </c>
      <c r="CA130" s="1502"/>
      <c r="CB130" s="1356"/>
      <c r="CC130" s="1506">
        <v>0</v>
      </c>
      <c r="CD130" s="1506">
        <v>0</v>
      </c>
      <c r="CE130" s="1506">
        <v>0</v>
      </c>
      <c r="CF130" s="1506">
        <v>0</v>
      </c>
      <c r="CG130" s="1502"/>
      <c r="CH130" s="1356"/>
      <c r="CI130" s="1506">
        <v>0</v>
      </c>
      <c r="CJ130" s="1506">
        <v>0</v>
      </c>
      <c r="CK130" s="1506">
        <v>0</v>
      </c>
      <c r="CL130" s="1506">
        <v>0</v>
      </c>
      <c r="CM130" s="1502"/>
      <c r="CN130" s="1356"/>
      <c r="CO130" s="1506">
        <v>0</v>
      </c>
      <c r="CP130" s="1506">
        <v>0</v>
      </c>
      <c r="CQ130" s="1506">
        <v>0</v>
      </c>
      <c r="CR130" s="1506">
        <v>0</v>
      </c>
      <c r="CS130" s="1502"/>
      <c r="CT130" s="1356"/>
      <c r="CU130" s="1506">
        <v>0</v>
      </c>
      <c r="CV130" s="1506">
        <v>0</v>
      </c>
      <c r="CW130" s="1506">
        <v>0</v>
      </c>
      <c r="CX130" s="1506">
        <v>0</v>
      </c>
      <c r="CY130" s="1502"/>
      <c r="CZ130" s="1356"/>
      <c r="DA130" s="1506">
        <v>0</v>
      </c>
      <c r="DB130" s="1506">
        <v>0</v>
      </c>
      <c r="DC130" s="1506">
        <v>0</v>
      </c>
      <c r="DD130" s="1506">
        <v>0</v>
      </c>
      <c r="DE130" s="1502"/>
      <c r="DF130" s="1356"/>
      <c r="DG130" s="1506">
        <v>0</v>
      </c>
      <c r="DH130" s="1506">
        <v>0</v>
      </c>
      <c r="DI130" s="1506">
        <v>0</v>
      </c>
      <c r="DJ130" s="1506">
        <v>0</v>
      </c>
      <c r="DK130" s="1502"/>
      <c r="DL130" s="1356"/>
      <c r="DM130" s="1506">
        <v>0</v>
      </c>
      <c r="DN130" s="1506">
        <v>0</v>
      </c>
      <c r="DO130" s="1506">
        <v>0</v>
      </c>
      <c r="DP130" s="1506">
        <v>0</v>
      </c>
      <c r="DQ130" s="1502"/>
      <c r="DR130" s="1356"/>
      <c r="DS130" s="1506">
        <v>0</v>
      </c>
      <c r="DT130" s="1506">
        <v>0</v>
      </c>
      <c r="DU130" s="1506">
        <v>0</v>
      </c>
      <c r="DV130" s="1506">
        <v>0</v>
      </c>
      <c r="DW130" s="1502"/>
      <c r="DX130" s="656"/>
      <c r="DY130" s="656"/>
      <c r="DZ130" s="656"/>
      <c r="EA130" s="656"/>
      <c r="EB130" s="656"/>
      <c r="EC130" s="656"/>
      <c r="ED130" s="656"/>
      <c r="EE130" s="656"/>
      <c r="EF130" s="656"/>
      <c r="EJ130" s="656"/>
      <c r="EK130" s="656"/>
      <c r="EL130" s="656"/>
    </row>
    <row r="131" spans="1:142" s="475" customFormat="1" ht="12" hidden="1" customHeight="1" outlineLevel="1">
      <c r="A131" s="1356" t="s">
        <v>187</v>
      </c>
      <c r="B131" s="1356"/>
      <c r="C131" s="1356"/>
      <c r="D131" s="1356"/>
      <c r="E131" s="1356"/>
      <c r="F131" s="1356"/>
      <c r="G131" s="1408"/>
      <c r="H131" s="1356"/>
      <c r="I131" s="1356"/>
      <c r="J131" s="1356"/>
      <c r="K131" s="1356"/>
      <c r="L131" s="1356"/>
      <c r="M131" s="1408"/>
      <c r="N131" s="1356"/>
      <c r="O131" s="1356"/>
      <c r="P131" s="1356"/>
      <c r="Q131" s="1356"/>
      <c r="R131" s="1356"/>
      <c r="S131" s="1408"/>
      <c r="T131" s="1356"/>
      <c r="U131" s="1356"/>
      <c r="V131" s="1356"/>
      <c r="W131" s="1356"/>
      <c r="X131" s="1356"/>
      <c r="Y131" s="1408"/>
      <c r="Z131" s="1356"/>
      <c r="AA131" s="1499"/>
      <c r="AB131" s="1499"/>
      <c r="AC131" s="1499"/>
      <c r="AD131" s="1499"/>
      <c r="AE131" s="1500"/>
      <c r="AF131" s="1356"/>
      <c r="AG131" s="1499"/>
      <c r="AH131" s="1499"/>
      <c r="AI131" s="1499"/>
      <c r="AJ131" s="1499"/>
      <c r="AK131" s="1500"/>
      <c r="AL131" s="1356"/>
      <c r="AM131" s="1499"/>
      <c r="AN131" s="1499"/>
      <c r="AO131" s="1499"/>
      <c r="AP131" s="1499"/>
      <c r="AQ131" s="1503"/>
      <c r="AR131" s="1356"/>
      <c r="AS131" s="1500"/>
      <c r="AT131" s="1500"/>
      <c r="AU131" s="1500"/>
      <c r="AV131" s="1500"/>
      <c r="AW131" s="1502"/>
      <c r="AX131" s="1356"/>
      <c r="AY131" s="1500"/>
      <c r="AZ131" s="1500"/>
      <c r="BA131" s="1500"/>
      <c r="BB131" s="1500"/>
      <c r="BC131" s="1503"/>
      <c r="BD131" s="1356"/>
      <c r="BE131" s="1500"/>
      <c r="BF131" s="1500"/>
      <c r="BG131" s="1500"/>
      <c r="BH131" s="1500"/>
      <c r="BI131" s="1502"/>
      <c r="BJ131" s="1356"/>
      <c r="BK131" s="1500"/>
      <c r="BL131" s="1500"/>
      <c r="BM131" s="1500"/>
      <c r="BN131" s="1500"/>
      <c r="BO131" s="1502"/>
      <c r="BP131" s="1356"/>
      <c r="BQ131" s="1500"/>
      <c r="BR131" s="1500"/>
      <c r="BS131" s="1507"/>
      <c r="BT131" s="1504">
        <f>BT130/(BT111+BT124-BT119)</f>
        <v>7.6496149948773073E-2</v>
      </c>
      <c r="BU131" s="1502"/>
      <c r="BV131" s="1356"/>
      <c r="BW131" s="1500"/>
      <c r="BX131" s="1500"/>
      <c r="BY131" s="1500"/>
      <c r="BZ131" s="1500"/>
      <c r="CA131" s="1502"/>
      <c r="CB131" s="1356"/>
      <c r="CG131" s="1502"/>
      <c r="CH131" s="1356"/>
      <c r="CM131" s="1502"/>
      <c r="CN131" s="1356"/>
      <c r="CS131" s="1502"/>
      <c r="CT131" s="1356"/>
      <c r="CY131" s="1502"/>
      <c r="CZ131" s="1356"/>
      <c r="DE131" s="1502"/>
      <c r="DF131" s="1356"/>
      <c r="DK131" s="1502"/>
      <c r="DL131" s="1356"/>
      <c r="DQ131" s="1502"/>
      <c r="DR131" s="1356"/>
      <c r="DW131" s="1502"/>
      <c r="DX131" s="656"/>
      <c r="DY131" s="656"/>
      <c r="DZ131" s="656"/>
      <c r="EA131" s="656"/>
      <c r="EB131" s="656"/>
      <c r="EC131" s="656"/>
      <c r="ED131" s="656"/>
      <c r="EE131" s="656"/>
      <c r="EF131" s="656"/>
      <c r="EJ131" s="656"/>
      <c r="EK131" s="656"/>
      <c r="EL131" s="656"/>
    </row>
    <row r="132" spans="1:142" s="475" customFormat="1" ht="6" hidden="1" customHeight="1" outlineLevel="1">
      <c r="A132" s="1356"/>
      <c r="B132" s="1356"/>
      <c r="C132" s="1356"/>
      <c r="D132" s="1356"/>
      <c r="E132" s="1356"/>
      <c r="F132" s="1356"/>
      <c r="G132" s="1408"/>
      <c r="H132" s="1356"/>
      <c r="I132" s="1356"/>
      <c r="J132" s="1356"/>
      <c r="K132" s="1356"/>
      <c r="L132" s="1356"/>
      <c r="M132" s="1408"/>
      <c r="N132" s="1356"/>
      <c r="O132" s="1356"/>
      <c r="P132" s="1356"/>
      <c r="Q132" s="1356"/>
      <c r="R132" s="1356"/>
      <c r="S132" s="1408"/>
      <c r="T132" s="1356"/>
      <c r="U132" s="1356"/>
      <c r="V132" s="1356"/>
      <c r="W132" s="1356"/>
      <c r="X132" s="1356"/>
      <c r="Y132" s="1408"/>
      <c r="Z132" s="1356"/>
      <c r="AA132" s="1499"/>
      <c r="AB132" s="1499"/>
      <c r="AC132" s="1499"/>
      <c r="AD132" s="1499"/>
      <c r="AE132" s="1500"/>
      <c r="AF132" s="1356"/>
      <c r="AG132" s="1499"/>
      <c r="AH132" s="1499"/>
      <c r="AI132" s="1499"/>
      <c r="AJ132" s="1499"/>
      <c r="AK132" s="1500"/>
      <c r="AL132" s="1356"/>
      <c r="AM132" s="1499"/>
      <c r="AN132" s="1499"/>
      <c r="AO132" s="1499"/>
      <c r="AP132" s="1499"/>
      <c r="AQ132" s="1503"/>
      <c r="AR132" s="1356"/>
      <c r="AS132" s="1500"/>
      <c r="AT132" s="1500"/>
      <c r="AU132" s="1500"/>
      <c r="AV132" s="1500"/>
      <c r="AW132" s="1502"/>
      <c r="AX132" s="1356"/>
      <c r="AY132" s="1500"/>
      <c r="AZ132" s="1500"/>
      <c r="BA132" s="1500"/>
      <c r="BB132" s="1500"/>
      <c r="BC132" s="1503"/>
      <c r="BD132" s="1356"/>
      <c r="BE132" s="1500"/>
      <c r="BF132" s="1500"/>
      <c r="BG132" s="1500"/>
      <c r="BH132" s="1500"/>
      <c r="BI132" s="1502"/>
      <c r="BJ132" s="1356"/>
      <c r="BK132" s="1500"/>
      <c r="BL132" s="1500"/>
      <c r="BM132" s="1500"/>
      <c r="BN132" s="1500"/>
      <c r="BO132" s="1502"/>
      <c r="BP132" s="1356"/>
      <c r="BQ132" s="1500"/>
      <c r="BR132" s="1500"/>
      <c r="BS132" s="1507"/>
      <c r="BT132" s="1504"/>
      <c r="BU132" s="1502"/>
      <c r="BV132" s="1356"/>
      <c r="BW132" s="1500"/>
      <c r="CA132" s="1502"/>
      <c r="CB132" s="1356"/>
      <c r="CG132" s="1502"/>
      <c r="CH132" s="1356"/>
      <c r="CM132" s="1502"/>
      <c r="CN132" s="1356"/>
      <c r="CS132" s="1502"/>
      <c r="CT132" s="1356"/>
      <c r="CY132" s="1502"/>
      <c r="CZ132" s="1356"/>
      <c r="DE132" s="1502"/>
      <c r="DF132" s="1356"/>
      <c r="DK132" s="1502"/>
      <c r="DL132" s="1356"/>
      <c r="DQ132" s="1502"/>
      <c r="DR132" s="1356"/>
      <c r="DW132" s="1502"/>
      <c r="DX132" s="656"/>
      <c r="DY132" s="656"/>
      <c r="DZ132" s="656"/>
      <c r="EA132" s="656"/>
      <c r="EB132" s="656"/>
      <c r="EC132" s="656"/>
      <c r="ED132" s="656"/>
      <c r="EE132" s="656"/>
      <c r="EF132" s="656"/>
      <c r="EJ132" s="656"/>
      <c r="EK132" s="656"/>
      <c r="EL132" s="656"/>
    </row>
    <row r="133" spans="1:142" s="475" customFormat="1" ht="12" hidden="1" customHeight="1" outlineLevel="1">
      <c r="A133" s="1356" t="s">
        <v>488</v>
      </c>
      <c r="B133" s="1356"/>
      <c r="C133" s="1356"/>
      <c r="D133" s="1356"/>
      <c r="E133" s="1356"/>
      <c r="F133" s="1356"/>
      <c r="G133" s="1408"/>
      <c r="H133" s="1356"/>
      <c r="I133" s="1356"/>
      <c r="J133" s="1356"/>
      <c r="K133" s="1356"/>
      <c r="L133" s="1356"/>
      <c r="M133" s="1408"/>
      <c r="N133" s="1356"/>
      <c r="O133" s="1356"/>
      <c r="P133" s="1356"/>
      <c r="Q133" s="1356"/>
      <c r="R133" s="1356"/>
      <c r="S133" s="1408"/>
      <c r="T133" s="1356"/>
      <c r="U133" s="1356"/>
      <c r="V133" s="1356"/>
      <c r="W133" s="1356"/>
      <c r="X133" s="1356"/>
      <c r="Y133" s="1408"/>
      <c r="Z133" s="1356"/>
      <c r="AA133" s="1499"/>
      <c r="AB133" s="1499"/>
      <c r="AC133" s="1499"/>
      <c r="AD133" s="1499"/>
      <c r="AE133" s="1500"/>
      <c r="AF133" s="1356"/>
      <c r="AG133" s="1499"/>
      <c r="AH133" s="1499"/>
      <c r="AI133" s="1499"/>
      <c r="AJ133" s="1499"/>
      <c r="AK133" s="1500"/>
      <c r="AL133" s="1356"/>
      <c r="AM133" s="1499"/>
      <c r="AN133" s="1499"/>
      <c r="AO133" s="1499"/>
      <c r="AP133" s="1499"/>
      <c r="AQ133" s="1503"/>
      <c r="AR133" s="1356"/>
      <c r="AS133" s="1500"/>
      <c r="AT133" s="1500"/>
      <c r="AU133" s="1500"/>
      <c r="AV133" s="1500"/>
      <c r="AW133" s="1502"/>
      <c r="AX133" s="1356"/>
      <c r="AY133" s="1500"/>
      <c r="AZ133" s="1500"/>
      <c r="BA133" s="1500"/>
      <c r="BB133" s="1500"/>
      <c r="BC133" s="1503"/>
      <c r="BD133" s="1356"/>
      <c r="BE133" s="1500"/>
      <c r="BF133" s="1500"/>
      <c r="BG133" s="1500"/>
      <c r="BH133" s="1500"/>
      <c r="BI133" s="1502"/>
      <c r="BJ133" s="1356"/>
      <c r="BK133" s="1500"/>
      <c r="BL133" s="1500"/>
      <c r="BM133" s="1500"/>
      <c r="BN133" s="1500"/>
      <c r="BO133" s="1502"/>
      <c r="BP133" s="1356"/>
      <c r="BQ133" s="1508"/>
      <c r="BR133" s="1500"/>
      <c r="BS133" s="1507"/>
      <c r="BT133" s="1509"/>
      <c r="BU133" s="1502"/>
      <c r="BV133" s="1356"/>
      <c r="BW133" s="1508"/>
      <c r="BX133" s="1509"/>
      <c r="CA133" s="1502"/>
      <c r="CB133" s="1356"/>
      <c r="CG133" s="1502"/>
      <c r="CH133" s="1356"/>
      <c r="CM133" s="1502"/>
      <c r="CN133" s="1356"/>
      <c r="CR133" s="1696"/>
      <c r="CS133" s="1502"/>
      <c r="CT133" s="1356"/>
      <c r="CY133" s="1502"/>
      <c r="CZ133" s="1356"/>
      <c r="DE133" s="1502"/>
      <c r="DF133" s="1356"/>
      <c r="DK133" s="1502"/>
      <c r="DL133" s="1356"/>
      <c r="DQ133" s="1502"/>
      <c r="DR133" s="1356"/>
      <c r="DW133" s="1502"/>
      <c r="DX133" s="656"/>
      <c r="DY133" s="656"/>
      <c r="DZ133" s="656"/>
      <c r="EA133" s="656"/>
      <c r="EB133" s="656"/>
      <c r="EC133" s="656"/>
      <c r="ED133" s="656"/>
      <c r="EE133" s="656"/>
      <c r="EF133" s="656"/>
      <c r="EJ133" s="656"/>
      <c r="EK133" s="656"/>
      <c r="EL133" s="656"/>
    </row>
    <row r="134" spans="1:142" s="475" customFormat="1" ht="12" hidden="1" customHeight="1" outlineLevel="1">
      <c r="A134" s="500" t="s">
        <v>489</v>
      </c>
      <c r="B134" s="1356"/>
      <c r="C134" s="1356"/>
      <c r="D134" s="1356"/>
      <c r="E134" s="1356"/>
      <c r="F134" s="1356"/>
      <c r="G134" s="1408"/>
      <c r="H134" s="1356"/>
      <c r="I134" s="1356"/>
      <c r="J134" s="1356"/>
      <c r="K134" s="1356"/>
      <c r="L134" s="1356"/>
      <c r="M134" s="1408"/>
      <c r="N134" s="1356"/>
      <c r="O134" s="1356"/>
      <c r="P134" s="1356"/>
      <c r="Q134" s="1356"/>
      <c r="R134" s="1356"/>
      <c r="S134" s="1408"/>
      <c r="T134" s="1356"/>
      <c r="U134" s="1356"/>
      <c r="V134" s="1356"/>
      <c r="W134" s="1356"/>
      <c r="X134" s="1356"/>
      <c r="Y134" s="1408"/>
      <c r="Z134" s="1356"/>
      <c r="AA134" s="1499"/>
      <c r="AB134" s="1499"/>
      <c r="AC134" s="1499"/>
      <c r="AD134" s="1499"/>
      <c r="AE134" s="1500"/>
      <c r="AF134" s="1356"/>
      <c r="AG134" s="1499"/>
      <c r="AH134" s="1499"/>
      <c r="AI134" s="1499"/>
      <c r="AJ134" s="1499"/>
      <c r="AK134" s="1500"/>
      <c r="AL134" s="1356"/>
      <c r="AM134" s="1499"/>
      <c r="AN134" s="1499"/>
      <c r="AO134" s="1499"/>
      <c r="AP134" s="1499"/>
      <c r="AQ134" s="1503"/>
      <c r="AR134" s="1356"/>
      <c r="AS134" s="1500"/>
      <c r="AT134" s="1500"/>
      <c r="AU134" s="1500"/>
      <c r="AV134" s="1500"/>
      <c r="AW134" s="1502"/>
      <c r="AX134" s="1356"/>
      <c r="AY134" s="1500"/>
      <c r="AZ134" s="1500"/>
      <c r="BA134" s="1500"/>
      <c r="BB134" s="1500"/>
      <c r="BC134" s="1503"/>
      <c r="BD134" s="1356"/>
      <c r="BE134" s="1500"/>
      <c r="BF134" s="1500"/>
      <c r="BG134" s="1500"/>
      <c r="BH134" s="1500"/>
      <c r="BI134" s="1502"/>
      <c r="BJ134" s="1356"/>
      <c r="BK134" s="1500"/>
      <c r="BL134" s="1500"/>
      <c r="BM134" s="1500"/>
      <c r="BN134" s="1500"/>
      <c r="BO134" s="1502"/>
      <c r="BP134" s="1356"/>
      <c r="BQ134" s="1500"/>
      <c r="BR134" s="1500"/>
      <c r="BS134" s="1507"/>
      <c r="BT134" s="1510">
        <v>80</v>
      </c>
      <c r="BU134" s="1511">
        <f>SUM(BQ134:BT134)</f>
        <v>80</v>
      </c>
      <c r="BV134" s="1507"/>
      <c r="BW134" s="1509">
        <f>0.06*BW139</f>
        <v>38.993219999999994</v>
      </c>
      <c r="BX134" s="1509">
        <f>0.075*BX139</f>
        <v>55.05885</v>
      </c>
      <c r="BY134" s="1509">
        <f>0.06*BY139</f>
        <v>44.378159999999994</v>
      </c>
      <c r="BZ134" s="1509">
        <f>0.035*BZ139</f>
        <v>49.209055000000006</v>
      </c>
      <c r="CA134" s="1511">
        <f>SUM(BW134:BZ134)</f>
        <v>187.639285</v>
      </c>
      <c r="CB134" s="1356"/>
      <c r="CC134" s="1509">
        <f>0.05*CC139</f>
        <v>38.139900000000004</v>
      </c>
      <c r="CD134" s="1509">
        <f>0.05*CD139</f>
        <v>48.344750000000005</v>
      </c>
      <c r="CE134" s="1509">
        <f>0.07*CE139</f>
        <v>71.464050000000015</v>
      </c>
      <c r="CF134" s="1509">
        <f>0.03*CF139</f>
        <v>57.982139999999994</v>
      </c>
      <c r="CG134" s="1511">
        <f>SUM(CC134:CF134)</f>
        <v>215.93084000000002</v>
      </c>
      <c r="CH134" s="1356"/>
      <c r="CI134" s="1509">
        <f>0.02*CI139</f>
        <v>20.585439999999998</v>
      </c>
      <c r="CJ134" s="1509">
        <f>0.02*CJ139</f>
        <v>26.936799999999998</v>
      </c>
      <c r="CK134" s="1509">
        <f>0.02*CK139</f>
        <v>25.084479999999999</v>
      </c>
      <c r="CL134" s="1509">
        <f>0.02*CL139</f>
        <v>50.8416</v>
      </c>
      <c r="CM134" s="1511">
        <f>SUM(CI134:CL134)</f>
        <v>123.44832</v>
      </c>
      <c r="CN134" s="1356"/>
      <c r="CO134" s="1509">
        <f>0.06*CO139</f>
        <v>74.792279999999991</v>
      </c>
      <c r="CP134" s="1509">
        <f>0.03*CP139</f>
        <v>48.385620000000003</v>
      </c>
      <c r="CQ134" s="1509">
        <f>0.05*CQ139</f>
        <v>76.153450000000007</v>
      </c>
      <c r="CR134" s="1509">
        <f>0.03*CR139</f>
        <v>97.633229999999998</v>
      </c>
      <c r="CS134" s="1511">
        <f>SUM(CO134:CR134)</f>
        <v>296.96457999999996</v>
      </c>
      <c r="CT134" s="1356"/>
      <c r="CU134" s="1509">
        <f>0.06*CU139</f>
        <v>97.40916</v>
      </c>
      <c r="CV134" s="1509">
        <f>0.025*CV139</f>
        <v>46.331625000000003</v>
      </c>
      <c r="CW134" s="1509">
        <f>0.02*CW139</f>
        <v>36.326940000000015</v>
      </c>
      <c r="CX134" s="1509">
        <f>0.02*CX139</f>
        <v>86.693120000000008</v>
      </c>
      <c r="CY134" s="1511">
        <f>SUM(CU134:CX134)</f>
        <v>266.76084500000002</v>
      </c>
      <c r="CZ134" s="1356"/>
      <c r="DA134" s="1937">
        <f>0.01*DA139</f>
        <v>18.874289999999998</v>
      </c>
      <c r="DB134" s="1509"/>
      <c r="DC134" s="1509"/>
      <c r="DD134" s="1509"/>
      <c r="DE134" s="1511">
        <f>SUM(DA134:DD134)</f>
        <v>18.874289999999998</v>
      </c>
      <c r="DF134" s="1356"/>
      <c r="DG134" s="1509"/>
      <c r="DH134" s="1509"/>
      <c r="DI134" s="1509"/>
      <c r="DJ134" s="1509"/>
      <c r="DK134" s="1511">
        <f>SUM(DG134:DJ134)</f>
        <v>0</v>
      </c>
      <c r="DL134" s="1356"/>
      <c r="DM134" s="1509"/>
      <c r="DN134" s="1509"/>
      <c r="DO134" s="1509"/>
      <c r="DP134" s="1509"/>
      <c r="DQ134" s="1511">
        <f>SUM(DM134:DP134)</f>
        <v>0</v>
      </c>
      <c r="DR134" s="1356"/>
      <c r="DS134" s="1509"/>
      <c r="DT134" s="1509"/>
      <c r="DU134" s="1509"/>
      <c r="DV134" s="1509"/>
      <c r="DW134" s="1511">
        <f>SUM(DS134:DV134)</f>
        <v>0</v>
      </c>
      <c r="DX134" s="656"/>
      <c r="DY134" s="656"/>
      <c r="DZ134" s="656"/>
      <c r="EA134" s="656"/>
      <c r="EB134" s="656"/>
      <c r="EC134" s="656"/>
      <c r="ED134" s="656"/>
      <c r="EE134" s="656"/>
      <c r="EF134" s="656"/>
      <c r="EJ134" s="656"/>
      <c r="EK134" s="656"/>
      <c r="EL134" s="656"/>
    </row>
    <row r="135" spans="1:142" s="475" customFormat="1" ht="12" hidden="1" customHeight="1" outlineLevel="1">
      <c r="A135" s="500" t="s">
        <v>432</v>
      </c>
      <c r="B135" s="1356"/>
      <c r="C135" s="1356"/>
      <c r="D135" s="1356"/>
      <c r="E135" s="1356"/>
      <c r="F135" s="1356"/>
      <c r="G135" s="1408"/>
      <c r="H135" s="1356"/>
      <c r="I135" s="1356"/>
      <c r="J135" s="1356"/>
      <c r="K135" s="1356"/>
      <c r="L135" s="1356"/>
      <c r="M135" s="1408"/>
      <c r="N135" s="1356"/>
      <c r="O135" s="1356"/>
      <c r="P135" s="1356"/>
      <c r="Q135" s="1356"/>
      <c r="R135" s="1356"/>
      <c r="S135" s="1408"/>
      <c r="T135" s="1356"/>
      <c r="U135" s="1356"/>
      <c r="V135" s="1356"/>
      <c r="W135" s="1356"/>
      <c r="X135" s="1356"/>
      <c r="Y135" s="1408"/>
      <c r="Z135" s="1356"/>
      <c r="AA135" s="1499"/>
      <c r="AB135" s="1499"/>
      <c r="AC135" s="1499"/>
      <c r="AD135" s="1499"/>
      <c r="AE135" s="1500"/>
      <c r="AF135" s="1356"/>
      <c r="AG135" s="1499"/>
      <c r="AH135" s="1499"/>
      <c r="AI135" s="1499"/>
      <c r="AJ135" s="1499"/>
      <c r="AK135" s="1500"/>
      <c r="AL135" s="1356"/>
      <c r="AM135" s="1499"/>
      <c r="AN135" s="1499"/>
      <c r="AO135" s="1499"/>
      <c r="AP135" s="1499"/>
      <c r="AQ135" s="1503"/>
      <c r="AR135" s="1356"/>
      <c r="AS135" s="1500"/>
      <c r="AT135" s="1500"/>
      <c r="AU135" s="1500"/>
      <c r="AV135" s="1500"/>
      <c r="AW135" s="1502"/>
      <c r="AX135" s="1356"/>
      <c r="AY135" s="1500"/>
      <c r="AZ135" s="1500"/>
      <c r="BA135" s="1500"/>
      <c r="BB135" s="1500"/>
      <c r="BC135" s="1503"/>
      <c r="BD135" s="1356"/>
      <c r="BE135" s="1500"/>
      <c r="BF135" s="1500"/>
      <c r="BG135" s="1500"/>
      <c r="BH135" s="1500"/>
      <c r="BI135" s="1502"/>
      <c r="BJ135" s="1356"/>
      <c r="BK135" s="1500"/>
      <c r="BL135" s="1500"/>
      <c r="BM135" s="1500"/>
      <c r="BN135" s="1500"/>
      <c r="BO135" s="1502"/>
      <c r="BP135" s="1356"/>
      <c r="BQ135" s="1500"/>
      <c r="BR135" s="1500"/>
      <c r="BS135" s="1507"/>
      <c r="BT135" s="1512">
        <v>0</v>
      </c>
      <c r="BU135" s="1511">
        <f>SUM(BQ135:BT135)</f>
        <v>0</v>
      </c>
      <c r="BV135" s="1507"/>
      <c r="BW135" s="1512">
        <f>BW136-BW134</f>
        <v>-48.993219999999994</v>
      </c>
      <c r="BX135" s="1512">
        <f>BX136-BX134</f>
        <v>-80.058850000000007</v>
      </c>
      <c r="BY135" s="1512">
        <f>BY136-BY134</f>
        <v>-54.378159999999994</v>
      </c>
      <c r="BZ135" s="1512">
        <f>BZ136-BZ134</f>
        <v>-34.209055000000006</v>
      </c>
      <c r="CA135" s="1511">
        <f>SUM(BW135:BZ135)</f>
        <v>-217.639285</v>
      </c>
      <c r="CB135" s="1356"/>
      <c r="CC135" s="1512">
        <f>CC136-CC134</f>
        <v>-63.139900000000004</v>
      </c>
      <c r="CD135" s="1512">
        <f>CD136-CD134</f>
        <v>-63.344750000000005</v>
      </c>
      <c r="CE135" s="1512">
        <f>CE136-CE134</f>
        <v>-89.464050000000015</v>
      </c>
      <c r="CF135" s="1512">
        <f>CF136-CF134</f>
        <v>-49.982139999999994</v>
      </c>
      <c r="CG135" s="1511">
        <f>SUM(CC135:CF135)</f>
        <v>-265.93084000000005</v>
      </c>
      <c r="CH135" s="1356"/>
      <c r="CI135" s="1512">
        <f>CI136-CI134</f>
        <v>-57.982139999999994</v>
      </c>
      <c r="CJ135" s="1512">
        <f>CJ136-CJ134</f>
        <v>-20.585439999999998</v>
      </c>
      <c r="CK135" s="1512">
        <f>CK136-CK134</f>
        <v>-26.936799999999998</v>
      </c>
      <c r="CL135" s="1512">
        <f>CL136-CL134</f>
        <v>-25.084479999999999</v>
      </c>
      <c r="CM135" s="1511">
        <f>SUM(CI135:CL135)</f>
        <v>-130.58886000000001</v>
      </c>
      <c r="CN135" s="1356"/>
      <c r="CO135" s="1512">
        <f>CO136-CO134</f>
        <v>-50.8416</v>
      </c>
      <c r="CP135" s="1512">
        <f>CP136-CP134</f>
        <v>-74.792279999999991</v>
      </c>
      <c r="CQ135" s="1512">
        <f>CQ136-CQ134</f>
        <v>-48.385620000000003</v>
      </c>
      <c r="CR135" s="1512">
        <f>CR136-CR134</f>
        <v>-76.153450000000007</v>
      </c>
      <c r="CS135" s="1511">
        <f>SUM(CO135:CR135)</f>
        <v>-250.17295000000001</v>
      </c>
      <c r="CT135" s="1356"/>
      <c r="CU135" s="1512">
        <f>CU136-CU134</f>
        <v>-97.633229999999998</v>
      </c>
      <c r="CV135" s="1512">
        <f>CV136-CV134</f>
        <v>-46.555695</v>
      </c>
      <c r="CW135" s="1512">
        <f>CW136-CW134</f>
        <v>-46.331625000000003</v>
      </c>
      <c r="CX135" s="1512">
        <f>CX136-CX134</f>
        <v>-36.326940000000015</v>
      </c>
      <c r="CY135" s="1511">
        <f>SUM(CU135:CX135)</f>
        <v>-226.84748999999999</v>
      </c>
      <c r="CZ135" s="1356"/>
      <c r="DA135" s="1512">
        <f>DA136-DA134</f>
        <v>0</v>
      </c>
      <c r="DB135" s="1512"/>
      <c r="DC135" s="1512">
        <f>DC136-DC134</f>
        <v>0</v>
      </c>
      <c r="DD135" s="1512">
        <f>DD136-DD134</f>
        <v>0</v>
      </c>
      <c r="DE135" s="1511">
        <f>SUM(DA135:DD135)</f>
        <v>0</v>
      </c>
      <c r="DF135" s="1356"/>
      <c r="DG135" s="1512"/>
      <c r="DH135" s="1512"/>
      <c r="DI135" s="1512"/>
      <c r="DJ135" s="1512"/>
      <c r="DK135" s="1511">
        <f>SUM(DG135:DJ135)</f>
        <v>0</v>
      </c>
      <c r="DL135" s="1356"/>
      <c r="DM135" s="1512">
        <f>DM136-DM134</f>
        <v>0</v>
      </c>
      <c r="DN135" s="1512">
        <f>DN136-DN134</f>
        <v>0</v>
      </c>
      <c r="DO135" s="1512">
        <f>DO136-DO134</f>
        <v>0</v>
      </c>
      <c r="DP135" s="1512">
        <f>DP136-DP134</f>
        <v>0</v>
      </c>
      <c r="DQ135" s="1511">
        <f>SUM(DM135:DP135)</f>
        <v>0</v>
      </c>
      <c r="DR135" s="1356"/>
      <c r="DS135" s="1512">
        <f>DS136-DS134</f>
        <v>0</v>
      </c>
      <c r="DT135" s="1512">
        <f>DT136-DT134</f>
        <v>0</v>
      </c>
      <c r="DU135" s="1512">
        <f>DU136-DU134</f>
        <v>0</v>
      </c>
      <c r="DV135" s="1512">
        <f>DV136-DV134</f>
        <v>0</v>
      </c>
      <c r="DW135" s="1511">
        <f>SUM(DS135:DV135)</f>
        <v>0</v>
      </c>
      <c r="DX135" s="656"/>
      <c r="DY135" s="656"/>
      <c r="DZ135" s="924"/>
      <c r="EA135" s="656"/>
      <c r="EB135" s="656"/>
      <c r="EC135" s="656"/>
      <c r="ED135" s="656"/>
      <c r="EE135" s="656"/>
      <c r="EF135" s="656"/>
      <c r="EJ135" s="656"/>
      <c r="EK135" s="656"/>
      <c r="EL135" s="656"/>
    </row>
    <row r="136" spans="1:142" s="475" customFormat="1" ht="12" hidden="1" customHeight="1" outlineLevel="1">
      <c r="A136" s="500" t="s">
        <v>23</v>
      </c>
      <c r="B136" s="1356"/>
      <c r="C136" s="1356"/>
      <c r="D136" s="1356"/>
      <c r="E136" s="1356"/>
      <c r="F136" s="1356"/>
      <c r="G136" s="1408"/>
      <c r="H136" s="1356"/>
      <c r="I136" s="1356"/>
      <c r="J136" s="1356"/>
      <c r="K136" s="1356"/>
      <c r="L136" s="1356"/>
      <c r="M136" s="1408"/>
      <c r="N136" s="1356"/>
      <c r="O136" s="1356"/>
      <c r="P136" s="1356"/>
      <c r="Q136" s="1356"/>
      <c r="R136" s="1356"/>
      <c r="S136" s="1408"/>
      <c r="T136" s="1356"/>
      <c r="U136" s="1356"/>
      <c r="V136" s="1356"/>
      <c r="W136" s="1356"/>
      <c r="X136" s="1356"/>
      <c r="Y136" s="1408"/>
      <c r="Z136" s="1356"/>
      <c r="AA136" s="1499"/>
      <c r="AB136" s="1499"/>
      <c r="AC136" s="1499"/>
      <c r="AD136" s="1499"/>
      <c r="AE136" s="1500"/>
      <c r="AF136" s="1356"/>
      <c r="AG136" s="1499"/>
      <c r="AH136" s="1499"/>
      <c r="AI136" s="1499"/>
      <c r="AJ136" s="1499"/>
      <c r="AK136" s="1500"/>
      <c r="AL136" s="1356"/>
      <c r="AM136" s="1499"/>
      <c r="AN136" s="1499"/>
      <c r="AO136" s="1499"/>
      <c r="AP136" s="1499"/>
      <c r="AQ136" s="1503"/>
      <c r="AR136" s="1356"/>
      <c r="AS136" s="1500"/>
      <c r="AT136" s="1500"/>
      <c r="AU136" s="1500"/>
      <c r="AV136" s="1500"/>
      <c r="AW136" s="1502"/>
      <c r="AX136" s="1356"/>
      <c r="AY136" s="1500"/>
      <c r="AZ136" s="1500"/>
      <c r="BA136" s="1500"/>
      <c r="BB136" s="1500"/>
      <c r="BC136" s="1503"/>
      <c r="BD136" s="1356"/>
      <c r="BE136" s="1500"/>
      <c r="BF136" s="1500"/>
      <c r="BG136" s="1500"/>
      <c r="BH136" s="1500"/>
      <c r="BI136" s="1502"/>
      <c r="BJ136" s="1356"/>
      <c r="BK136" s="1500"/>
      <c r="BL136" s="1500"/>
      <c r="BM136" s="1500"/>
      <c r="BN136" s="1500"/>
      <c r="BO136" s="1502"/>
      <c r="BP136" s="1356"/>
      <c r="BQ136" s="1500"/>
      <c r="BR136" s="1500"/>
      <c r="BS136" s="1507"/>
      <c r="BT136" s="1512">
        <f>BT134+BT135</f>
        <v>80</v>
      </c>
      <c r="BU136" s="1511">
        <f>SUM(BQ136:BT136)</f>
        <v>80</v>
      </c>
      <c r="BV136" s="1507"/>
      <c r="BW136" s="1512">
        <v>-10</v>
      </c>
      <c r="BX136" s="1512">
        <v>-25</v>
      </c>
      <c r="BY136" s="1512">
        <v>-10</v>
      </c>
      <c r="BZ136" s="1512">
        <f>125-110</f>
        <v>15</v>
      </c>
      <c r="CA136" s="1511">
        <f>SUM(BW136:BZ136)</f>
        <v>-30</v>
      </c>
      <c r="CB136" s="1356"/>
      <c r="CC136" s="1512">
        <f>100-125</f>
        <v>-25</v>
      </c>
      <c r="CD136" s="1512">
        <f>85-100</f>
        <v>-15</v>
      </c>
      <c r="CE136" s="1512">
        <f>67-85</f>
        <v>-18</v>
      </c>
      <c r="CF136" s="1512">
        <f>75-67</f>
        <v>8</v>
      </c>
      <c r="CG136" s="1511">
        <f>SUM(CC136:CF136)</f>
        <v>-50</v>
      </c>
      <c r="CH136" s="1356"/>
      <c r="CI136" s="1512">
        <f>CI134-CF134</f>
        <v>-37.396699999999996</v>
      </c>
      <c r="CJ136" s="1512">
        <f>CJ134-CI134</f>
        <v>6.3513599999999997</v>
      </c>
      <c r="CK136" s="1512">
        <f>CK134-CJ134</f>
        <v>-1.8523199999999989</v>
      </c>
      <c r="CL136" s="1512">
        <f>CL134-CK134</f>
        <v>25.75712</v>
      </c>
      <c r="CM136" s="1511">
        <f>SUM(CI136:CL136)</f>
        <v>-7.1405399999999943</v>
      </c>
      <c r="CN136" s="1356"/>
      <c r="CO136" s="1512">
        <f>CO134-CL134</f>
        <v>23.950679999999991</v>
      </c>
      <c r="CP136" s="1512">
        <f>CP134-CO134</f>
        <v>-26.406659999999988</v>
      </c>
      <c r="CQ136" s="1512">
        <f>CQ134-CP134</f>
        <v>27.767830000000004</v>
      </c>
      <c r="CR136" s="1512">
        <f>CR134-CQ134</f>
        <v>21.479779999999991</v>
      </c>
      <c r="CS136" s="1511">
        <f>SUM(CO136:CR136)</f>
        <v>46.791629999999998</v>
      </c>
      <c r="CT136" s="1356"/>
      <c r="CU136" s="1512">
        <f>CU134-CR134</f>
        <v>-0.22406999999999755</v>
      </c>
      <c r="CV136" s="1512">
        <f>CU136</f>
        <v>-0.22406999999999755</v>
      </c>
      <c r="CW136" s="1512">
        <f>CW134-CV134</f>
        <v>-10.004684999999988</v>
      </c>
      <c r="CX136" s="1512">
        <f>CX134-CW134</f>
        <v>50.366179999999993</v>
      </c>
      <c r="CY136" s="1511">
        <f>SUM(CU136:CX136)</f>
        <v>39.91335500000001</v>
      </c>
      <c r="CZ136" s="1356"/>
      <c r="DA136" s="1512">
        <f>DA134-CZ134</f>
        <v>18.874289999999998</v>
      </c>
      <c r="DB136" s="1512"/>
      <c r="DC136" s="1512">
        <f>DB136</f>
        <v>0</v>
      </c>
      <c r="DD136" s="1512">
        <f>DC136</f>
        <v>0</v>
      </c>
      <c r="DE136" s="1511">
        <f>SUM(DA136:DD136)</f>
        <v>18.874289999999998</v>
      </c>
      <c r="DF136" s="1356"/>
      <c r="DG136" s="1512"/>
      <c r="DH136" s="1512"/>
      <c r="DI136" s="1512"/>
      <c r="DJ136" s="1512"/>
      <c r="DK136" s="1511">
        <f>SUM(DG136:DJ136)</f>
        <v>0</v>
      </c>
      <c r="DL136" s="1356"/>
      <c r="DM136" s="1512">
        <f>DG136</f>
        <v>0</v>
      </c>
      <c r="DN136" s="1512">
        <f>DM136</f>
        <v>0</v>
      </c>
      <c r="DO136" s="1512">
        <f>DN136</f>
        <v>0</v>
      </c>
      <c r="DP136" s="1512">
        <f>DO136</f>
        <v>0</v>
      </c>
      <c r="DQ136" s="1511">
        <f>SUM(DM136:DP136)</f>
        <v>0</v>
      </c>
      <c r="DR136" s="1356"/>
      <c r="DS136" s="1512">
        <f>DM136</f>
        <v>0</v>
      </c>
      <c r="DT136" s="1512">
        <f>DS136</f>
        <v>0</v>
      </c>
      <c r="DU136" s="1512">
        <f>DT136</f>
        <v>0</v>
      </c>
      <c r="DV136" s="1512">
        <f>DU136</f>
        <v>0</v>
      </c>
      <c r="DW136" s="1511">
        <f>SUM(DS136:DV136)</f>
        <v>0</v>
      </c>
      <c r="DX136" s="656"/>
      <c r="DY136" s="656"/>
      <c r="DZ136" s="656"/>
      <c r="EA136" s="656"/>
      <c r="EB136" s="656"/>
      <c r="EC136" s="656"/>
      <c r="ED136" s="656"/>
      <c r="EE136" s="656"/>
      <c r="EF136" s="656"/>
      <c r="EJ136" s="656"/>
      <c r="EK136" s="656"/>
      <c r="EL136" s="656"/>
    </row>
    <row r="137" spans="1:142" s="475" customFormat="1" ht="12" hidden="1" customHeight="1" outlineLevel="1">
      <c r="A137" s="1356" t="s">
        <v>433</v>
      </c>
      <c r="B137" s="1356"/>
      <c r="C137" s="1356"/>
      <c r="D137" s="1356"/>
      <c r="E137" s="1356"/>
      <c r="F137" s="1356"/>
      <c r="G137" s="1408"/>
      <c r="H137" s="1356"/>
      <c r="I137" s="1356"/>
      <c r="J137" s="1356"/>
      <c r="K137" s="1356"/>
      <c r="L137" s="1356"/>
      <c r="M137" s="1408"/>
      <c r="N137" s="1356"/>
      <c r="O137" s="1356"/>
      <c r="P137" s="1356"/>
      <c r="Q137" s="1356"/>
      <c r="R137" s="1356"/>
      <c r="S137" s="1408"/>
      <c r="T137" s="1356"/>
      <c r="U137" s="1356"/>
      <c r="V137" s="1356"/>
      <c r="W137" s="1356"/>
      <c r="X137" s="1356"/>
      <c r="Y137" s="1408"/>
      <c r="Z137" s="1356"/>
      <c r="AA137" s="1499"/>
      <c r="AB137" s="1499"/>
      <c r="AC137" s="1499"/>
      <c r="AD137" s="1499"/>
      <c r="AE137" s="1500"/>
      <c r="AF137" s="1356"/>
      <c r="AG137" s="1499"/>
      <c r="AH137" s="1499"/>
      <c r="AI137" s="1499"/>
      <c r="AJ137" s="1499"/>
      <c r="AK137" s="1500"/>
      <c r="AL137" s="1356"/>
      <c r="AM137" s="1499"/>
      <c r="AN137" s="1499"/>
      <c r="AO137" s="1499"/>
      <c r="AP137" s="1499"/>
      <c r="AQ137" s="1503"/>
      <c r="AR137" s="1356"/>
      <c r="AS137" s="1500"/>
      <c r="AT137" s="1500"/>
      <c r="AU137" s="1500"/>
      <c r="AV137" s="1500"/>
      <c r="AW137" s="1502"/>
      <c r="AX137" s="1356"/>
      <c r="AY137" s="1500"/>
      <c r="AZ137" s="1500"/>
      <c r="BA137" s="1500"/>
      <c r="BB137" s="1500"/>
      <c r="BC137" s="1503"/>
      <c r="BD137" s="1356"/>
      <c r="BE137" s="1500"/>
      <c r="BF137" s="1500"/>
      <c r="BG137" s="1500"/>
      <c r="BH137" s="1500"/>
      <c r="BI137" s="1502"/>
      <c r="BJ137" s="1356"/>
      <c r="BK137" s="1500"/>
      <c r="BL137" s="1500"/>
      <c r="BM137" s="1500"/>
      <c r="BN137" s="1500"/>
      <c r="BO137" s="1502"/>
      <c r="BP137" s="1356"/>
      <c r="BQ137" s="1500">
        <f>30/BQ139</f>
        <v>6.1912348624307612E-2</v>
      </c>
      <c r="BR137" s="1500"/>
      <c r="BS137" s="1507"/>
      <c r="BT137" s="1513">
        <f>BT136</f>
        <v>80</v>
      </c>
      <c r="BU137" s="1502"/>
      <c r="BV137" s="1356"/>
      <c r="BW137" s="1513">
        <f>BT137+BW136</f>
        <v>70</v>
      </c>
      <c r="BX137" s="1513">
        <f>BW137+BX136</f>
        <v>45</v>
      </c>
      <c r="BY137" s="1513">
        <f>BX137+BY136</f>
        <v>35</v>
      </c>
      <c r="BZ137" s="1513">
        <f>BY137+BZ136</f>
        <v>50</v>
      </c>
      <c r="CA137" s="1502"/>
      <c r="CB137" s="1356"/>
      <c r="CC137" s="1513">
        <f>BZ137+CC136</f>
        <v>25</v>
      </c>
      <c r="CD137" s="1513">
        <f>CC137+CD136</f>
        <v>10</v>
      </c>
      <c r="CE137" s="1513">
        <f>CD137+CE136</f>
        <v>-8</v>
      </c>
      <c r="CF137" s="1513">
        <f>CE137+CF136</f>
        <v>0</v>
      </c>
      <c r="CG137" s="1502"/>
      <c r="CH137" s="1356"/>
      <c r="CI137" s="1513">
        <f>CF137+CI136</f>
        <v>-37.396699999999996</v>
      </c>
      <c r="CJ137" s="1513">
        <f>CI137+CJ136</f>
        <v>-31.045339999999996</v>
      </c>
      <c r="CK137" s="1513">
        <f>CJ137+CK136</f>
        <v>-32.897659999999995</v>
      </c>
      <c r="CL137" s="1513">
        <f>CK137+CL136</f>
        <v>-7.1405399999999943</v>
      </c>
      <c r="CM137" s="1502"/>
      <c r="CN137" s="1356"/>
      <c r="CO137" s="1513">
        <f>CL137+CO136</f>
        <v>16.810139999999997</v>
      </c>
      <c r="CP137" s="1513">
        <f>CO137+CP136</f>
        <v>-9.5965199999999911</v>
      </c>
      <c r="CQ137" s="1513">
        <f>CP137+CQ136</f>
        <v>18.171310000000013</v>
      </c>
      <c r="CR137" s="1513">
        <f>CQ137+CR136</f>
        <v>39.651090000000003</v>
      </c>
      <c r="CS137" s="1502"/>
      <c r="CT137" s="1356"/>
      <c r="CU137" s="1513">
        <f>CR137+CU136</f>
        <v>39.427020000000006</v>
      </c>
      <c r="CV137" s="1513">
        <f>CU137+CV136</f>
        <v>39.202950000000008</v>
      </c>
      <c r="CW137" s="1513">
        <f>CV137+CW136</f>
        <v>29.198265000000021</v>
      </c>
      <c r="CX137" s="1513">
        <f>CW137+CX136</f>
        <v>79.564445000000006</v>
      </c>
      <c r="CY137" s="1502"/>
      <c r="CZ137" s="1356"/>
      <c r="DA137" s="1513">
        <f>CZ137+DA136</f>
        <v>18.874289999999998</v>
      </c>
      <c r="DB137" s="1513">
        <f>DA137+DB136</f>
        <v>18.874289999999998</v>
      </c>
      <c r="DC137" s="1513">
        <f>DB137+DC136</f>
        <v>18.874289999999998</v>
      </c>
      <c r="DD137" s="1513">
        <f>DC137+DD136</f>
        <v>18.874289999999998</v>
      </c>
      <c r="DE137" s="1502"/>
      <c r="DF137" s="1356"/>
      <c r="DG137" s="1513">
        <f>DD137+DG136</f>
        <v>18.874289999999998</v>
      </c>
      <c r="DH137" s="1513">
        <f>DG137+DH136</f>
        <v>18.874289999999998</v>
      </c>
      <c r="DI137" s="1513">
        <f>DH137+DI136</f>
        <v>18.874289999999998</v>
      </c>
      <c r="DJ137" s="1513">
        <f>DI137+DJ136</f>
        <v>18.874289999999998</v>
      </c>
      <c r="DK137" s="1502"/>
      <c r="DL137" s="1356"/>
      <c r="DM137" s="1513">
        <f>DJ137+DM136</f>
        <v>18.874289999999998</v>
      </c>
      <c r="DN137" s="1513">
        <f>DM137+DN136</f>
        <v>18.874289999999998</v>
      </c>
      <c r="DO137" s="1513">
        <f>DN137+DO136</f>
        <v>18.874289999999998</v>
      </c>
      <c r="DP137" s="1513">
        <f>DO137+DP136</f>
        <v>18.874289999999998</v>
      </c>
      <c r="DQ137" s="1502"/>
      <c r="DR137" s="1356"/>
      <c r="DS137" s="1513">
        <f>DP137+DS136</f>
        <v>18.874289999999998</v>
      </c>
      <c r="DT137" s="1513">
        <f>DS137+DT136</f>
        <v>18.874289999999998</v>
      </c>
      <c r="DU137" s="1513">
        <f>DT137+DU136</f>
        <v>18.874289999999998</v>
      </c>
      <c r="DV137" s="1513">
        <f>DU137+DV136</f>
        <v>18.874289999999998</v>
      </c>
      <c r="DW137" s="1502"/>
      <c r="DX137" s="656"/>
      <c r="DY137" s="656"/>
      <c r="DZ137" s="656"/>
      <c r="EA137" s="656"/>
      <c r="EB137" s="656"/>
      <c r="EC137" s="656"/>
      <c r="ED137" s="656"/>
      <c r="EE137" s="656"/>
      <c r="EF137" s="656"/>
      <c r="EJ137" s="656"/>
      <c r="EK137" s="656"/>
      <c r="EL137" s="656"/>
    </row>
    <row r="138" spans="1:142" s="475" customFormat="1" ht="6" hidden="1" customHeight="1" outlineLevel="1" thickBot="1">
      <c r="G138" s="476"/>
      <c r="M138" s="476"/>
      <c r="S138" s="476"/>
      <c r="Y138" s="476"/>
      <c r="AA138" s="483"/>
      <c r="AB138" s="483"/>
      <c r="AC138" s="483"/>
      <c r="AD138" s="483"/>
      <c r="AE138" s="1514"/>
      <c r="AG138" s="483"/>
      <c r="AH138" s="483"/>
      <c r="AI138" s="483"/>
      <c r="AJ138" s="483"/>
      <c r="AK138" s="1514"/>
      <c r="AM138" s="483"/>
      <c r="AN138" s="483"/>
      <c r="AO138" s="483"/>
      <c r="AP138" s="483"/>
      <c r="AQ138" s="1515"/>
      <c r="AS138" s="1514"/>
      <c r="AT138" s="1514"/>
      <c r="AU138" s="1514"/>
      <c r="AV138" s="1514"/>
      <c r="AW138" s="481"/>
      <c r="AY138" s="1514"/>
      <c r="AZ138" s="1514"/>
      <c r="BA138" s="1514"/>
      <c r="BB138" s="1514"/>
      <c r="BC138" s="1515"/>
      <c r="BE138" s="1514"/>
      <c r="BF138" s="1514"/>
      <c r="BG138" s="1514"/>
      <c r="BH138" s="1514"/>
      <c r="BI138" s="481"/>
      <c r="BK138" s="1514"/>
      <c r="BL138" s="485"/>
      <c r="BM138" s="485"/>
      <c r="BN138" s="1516"/>
      <c r="BO138" s="481"/>
      <c r="BQ138" s="1514"/>
      <c r="BR138" s="485"/>
      <c r="BT138" s="1516"/>
      <c r="BU138" s="481"/>
      <c r="BW138" s="1514"/>
      <c r="CA138" s="481"/>
      <c r="CC138" s="485"/>
      <c r="CG138" s="481"/>
      <c r="CI138" s="485"/>
      <c r="CM138" s="481"/>
      <c r="CO138" s="485"/>
      <c r="CS138" s="481"/>
      <c r="CU138" s="485"/>
      <c r="CY138" s="481"/>
      <c r="DE138" s="481"/>
      <c r="DG138" s="485"/>
      <c r="DK138" s="481"/>
      <c r="DM138" s="485"/>
      <c r="DQ138" s="481"/>
      <c r="DS138" s="485"/>
      <c r="DW138" s="481"/>
      <c r="DX138" s="656"/>
      <c r="DY138" s="656"/>
      <c r="DZ138" s="656"/>
      <c r="EA138" s="656"/>
      <c r="EB138" s="656"/>
      <c r="EC138" s="656"/>
      <c r="ED138" s="656"/>
      <c r="EE138" s="656"/>
      <c r="EF138" s="656"/>
      <c r="EJ138" s="656"/>
      <c r="EK138" s="656"/>
      <c r="EL138" s="656"/>
    </row>
    <row r="139" spans="1:142" s="475" customFormat="1" ht="12" customHeight="1" collapsed="1">
      <c r="A139" s="470" t="s">
        <v>817</v>
      </c>
      <c r="B139" s="471"/>
      <c r="C139" s="471"/>
      <c r="D139" s="471"/>
      <c r="E139" s="471"/>
      <c r="F139" s="471"/>
      <c r="G139" s="471"/>
      <c r="H139" s="471"/>
      <c r="I139" s="471"/>
      <c r="J139" s="471"/>
      <c r="K139" s="471"/>
      <c r="L139" s="471"/>
      <c r="M139" s="472"/>
      <c r="N139" s="471"/>
      <c r="O139" s="472">
        <f>Model!G19+(O159-L159)</f>
        <v>12.838000000000001</v>
      </c>
      <c r="P139" s="472">
        <f>Model!H19+(P159-O159)</f>
        <v>16.497</v>
      </c>
      <c r="Q139" s="472">
        <f>Model!I19+(Q159-P159)</f>
        <v>13.336999999999998</v>
      </c>
      <c r="R139" s="472">
        <f>Model!J19+(R159-Q159)</f>
        <v>20.490000000000002</v>
      </c>
      <c r="S139" s="472">
        <f>SUM(O139:R139)</f>
        <v>63.161999999999999</v>
      </c>
      <c r="T139" s="471"/>
      <c r="U139" s="472">
        <f>Model!M19+(U159-R159)</f>
        <v>24.052</v>
      </c>
      <c r="V139" s="472">
        <f>Model!N19+(V159-U159)</f>
        <v>26.762</v>
      </c>
      <c r="W139" s="472">
        <f>Model!O19+(W159-V159)</f>
        <v>30.393000000000001</v>
      </c>
      <c r="X139" s="472">
        <f>Model!P19+(X159-W159)</f>
        <v>45.322000000000003</v>
      </c>
      <c r="Y139" s="472">
        <f>SUM(U139:X139)</f>
        <v>126.529</v>
      </c>
      <c r="Z139" s="471"/>
      <c r="AA139" s="472">
        <f>Model!S19+(AA159-X159)</f>
        <v>37.502000000000002</v>
      </c>
      <c r="AB139" s="472">
        <f>Model!T19+(AB159-AA159)</f>
        <v>49.798000000000002</v>
      </c>
      <c r="AC139" s="472">
        <f>Model!U19+(AC159-AB159)</f>
        <v>59.043999999999997</v>
      </c>
      <c r="AD139" s="472">
        <f>Model!V19+(AD159-AC159)</f>
        <v>76.254000000000005</v>
      </c>
      <c r="AE139" s="472">
        <f>SUM(AA139:AD139)</f>
        <v>222.59800000000001</v>
      </c>
      <c r="AF139" s="471"/>
      <c r="AG139" s="472">
        <f>Model!Y19+(AG159-AD159)</f>
        <v>72.921999999999983</v>
      </c>
      <c r="AH139" s="472">
        <f>Model!Z19+(AH159-AG159)</f>
        <v>84.609000000000023</v>
      </c>
      <c r="AI139" s="472">
        <f>Model!AA19+(AI159-AH159)</f>
        <v>92.471999999999994</v>
      </c>
      <c r="AJ139" s="472">
        <f>Model!AB19+(AJ159-AI159)</f>
        <v>133.12900000000002</v>
      </c>
      <c r="AK139" s="472">
        <f>SUM(AG139:AJ139)</f>
        <v>383.13200000000001</v>
      </c>
      <c r="AL139" s="471"/>
      <c r="AM139" s="472">
        <f>Model!AE19+(AM159-AJ159)</f>
        <v>117.54699999999998</v>
      </c>
      <c r="AN139" s="472">
        <f>Model!AF19+(AN159-AM159)</f>
        <v>138.93700000000001</v>
      </c>
      <c r="AO139" s="472">
        <f>Model!AG19+(AO159-AN159)</f>
        <v>146.648</v>
      </c>
      <c r="AP139" s="472">
        <f>Model!AH19+(AP159-AO159)</f>
        <v>208.85399999999998</v>
      </c>
      <c r="AQ139" s="473">
        <f>SUM(AM139:AP139)</f>
        <v>611.98599999999988</v>
      </c>
      <c r="AR139" s="471"/>
      <c r="AS139" s="472">
        <f>Model!AK19+(AS159-AP159)</f>
        <v>174.02100000000004</v>
      </c>
      <c r="AT139" s="472">
        <f>Model!AL19+(AT159-AS159)</f>
        <v>202.75899999999993</v>
      </c>
      <c r="AU139" s="472">
        <f>Model!AM19+(AU159-AT159)</f>
        <v>211.75900000000001</v>
      </c>
      <c r="AV139" s="472">
        <f>Model!AN19+(AV159-AU159)</f>
        <v>356.99200000000002</v>
      </c>
      <c r="AW139" s="473">
        <f>SUM(AS139:AV139)</f>
        <v>945.53099999999995</v>
      </c>
      <c r="AX139" s="471"/>
      <c r="AY139" s="472">
        <f>Model!AQ19+(AY159-AV159)</f>
        <v>237.02500000000003</v>
      </c>
      <c r="AZ139" s="472">
        <f>Model!AR19+(AZ159-AY159)</f>
        <v>272.32599999999996</v>
      </c>
      <c r="BA139" s="472">
        <f>Model!AS19+(BA159-AZ159)</f>
        <v>266.47499999999997</v>
      </c>
      <c r="BB139" s="472">
        <f>Model!AT19+(BB159-BA159)</f>
        <v>414.0750000000001</v>
      </c>
      <c r="BC139" s="473">
        <f>SUM(AY139:BB139)</f>
        <v>1189.9010000000001</v>
      </c>
      <c r="BD139" s="471"/>
      <c r="BE139" s="472">
        <f>Model!AW19+(BE159-BB159)</f>
        <v>260.27099999999996</v>
      </c>
      <c r="BF139" s="472">
        <f>Model!AX19+(BF159-BE159)</f>
        <v>315.69799999999992</v>
      </c>
      <c r="BG139" s="472">
        <f>Model!AY19+(BG159-BF159)</f>
        <v>326.97399999999993</v>
      </c>
      <c r="BH139" s="472">
        <f>Model!AZ19+(BH159-BG159)</f>
        <v>512.9620000000001</v>
      </c>
      <c r="BI139" s="473">
        <f>BI111+BI124</f>
        <v>1415.905</v>
      </c>
      <c r="BJ139" s="474"/>
      <c r="BK139" s="472">
        <f>Model!BC19+(BK159-BH159)</f>
        <v>336.99399999999991</v>
      </c>
      <c r="BL139" s="472">
        <f>Model!BD19+(BL159-BK159)</f>
        <v>412.86200000000002</v>
      </c>
      <c r="BM139" s="472">
        <f>Model!BE19+(BM159-BL159)</f>
        <v>440.62499999999989</v>
      </c>
      <c r="BN139" s="472">
        <f>Model!BF19+(BN159-BM159)</f>
        <v>697.25100000000009</v>
      </c>
      <c r="BO139" s="473">
        <f>BO111+BO124</f>
        <v>1887.7319999999997</v>
      </c>
      <c r="BP139" s="474"/>
      <c r="BQ139" s="472">
        <f>Model!BI19+(BQ159-BN159)</f>
        <v>484.55600000000004</v>
      </c>
      <c r="BR139" s="472">
        <f>Model!BJ19+(BR159-BQ159)</f>
        <v>566.13499999999988</v>
      </c>
      <c r="BS139" s="472">
        <f>Model!BK19+(BS159-BR159)</f>
        <v>566.81499999999994</v>
      </c>
      <c r="BT139" s="472">
        <f>Model!BL19+(BT159-BS159)</f>
        <v>1094.3870000000002</v>
      </c>
      <c r="BU139" s="1517">
        <f>SUM(BQ139:BT139)</f>
        <v>2711.893</v>
      </c>
      <c r="BV139" s="474"/>
      <c r="BW139" s="472">
        <f>Model!BO19+CF!BO100</f>
        <v>649.88699999999994</v>
      </c>
      <c r="BX139" s="472">
        <f>Model!BP19+CF!BP100</f>
        <v>734.11800000000005</v>
      </c>
      <c r="BY139" s="472">
        <f>Model!BQ19+CF!BQ100</f>
        <v>739.63599999999997</v>
      </c>
      <c r="BZ139" s="472">
        <f>Model!BR19+CF!BR100</f>
        <v>1405.973</v>
      </c>
      <c r="CA139" s="1517">
        <f>CA111+CA124</f>
        <v>3529.614</v>
      </c>
      <c r="CB139" s="474"/>
      <c r="CC139" s="472">
        <f>Model!BU19+CF!BU100</f>
        <v>762.798</v>
      </c>
      <c r="CD139" s="472">
        <f>Model!BV19+CF!BV100</f>
        <v>966.8950000000001</v>
      </c>
      <c r="CE139" s="472">
        <f>Model!BW19+CF!BW100</f>
        <v>1020.9150000000001</v>
      </c>
      <c r="CF139" s="472">
        <f>Model!BX19+CF!BX100</f>
        <v>1932.7379999999998</v>
      </c>
      <c r="CG139" s="1517">
        <f>CG111+CG124</f>
        <v>4683.3459999999995</v>
      </c>
      <c r="CH139" s="474"/>
      <c r="CI139" s="472">
        <f>Model!CA19+CF!CA100</f>
        <v>1029.2719999999999</v>
      </c>
      <c r="CJ139" s="472">
        <f>Model!CB19+CF!CB100</f>
        <v>1346.84</v>
      </c>
      <c r="CK139" s="472">
        <f>Model!CC19+CF!CC100</f>
        <v>1254.2239999999999</v>
      </c>
      <c r="CL139" s="472">
        <f>Model!CD19+CF!CD100</f>
        <v>2542.08</v>
      </c>
      <c r="CM139" s="1517">
        <f>CM111+CM124</f>
        <v>6172.4160000000002</v>
      </c>
      <c r="CN139" s="474"/>
      <c r="CO139" s="472">
        <f>Model!CG19+CF!CG100</f>
        <v>1246.538</v>
      </c>
      <c r="CP139" s="472">
        <f>Model!CH19+CF!CH100</f>
        <v>1612.854</v>
      </c>
      <c r="CQ139" s="472">
        <f>Model!CI19+CF!CI100</f>
        <v>1523.069</v>
      </c>
      <c r="CR139" s="472">
        <f>Model!CJ19+CF!CJ100</f>
        <v>3254.4410000000003</v>
      </c>
      <c r="CS139" s="1517">
        <f>CS111+CS124</f>
        <v>7636.902</v>
      </c>
      <c r="CT139" s="474"/>
      <c r="CU139" s="472">
        <f>Model!CM19+CF!CM100</f>
        <v>1623.4860000000001</v>
      </c>
      <c r="CV139" s="472">
        <f>Model!CN19+(SUM(BS!CN33,BS!CN43)-SUM(BS!CM33,BS!CM43))</f>
        <v>1853.2649999999999</v>
      </c>
      <c r="CW139" s="472">
        <f>Model!CO19+(SUM(BS!CO33,BS!CO43)-SUM(BS!CN33,BS!CN43))</f>
        <v>1816.3470000000007</v>
      </c>
      <c r="CX139" s="472">
        <f>Model!CP19+CF!CP100</f>
        <v>4334.6559999999999</v>
      </c>
      <c r="CY139" s="1517">
        <f>CY111+CY124</f>
        <v>9627.7540000000008</v>
      </c>
      <c r="CZ139" s="474"/>
      <c r="DA139" s="472">
        <f>Model!CS19+CF!CS100</f>
        <v>1887.4289999999996</v>
      </c>
      <c r="DB139" s="472">
        <f>Model!CT19+CF!CT100</f>
        <v>2337.5709999999999</v>
      </c>
      <c r="DC139" s="472">
        <f>Model!CU19+(SUM(BS!CU33,BS!CU43)-SUM(BS!CT33,BS!CT43))</f>
        <v>2253.2890000000002</v>
      </c>
      <c r="DD139" s="472">
        <f>Model!CV19+CF!CV100</f>
        <v>5553.6270000000004</v>
      </c>
      <c r="DE139" s="1517">
        <f>DE111+DE124</f>
        <v>12031.916000000001</v>
      </c>
      <c r="DF139" s="474"/>
      <c r="DG139" s="472">
        <f>DG111+DG124</f>
        <v>2086.3577969999992</v>
      </c>
      <c r="DH139" s="472">
        <f>DH111+DH124</f>
        <v>2823.1401287999997</v>
      </c>
      <c r="DI139" s="472">
        <f>DI111+DI124</f>
        <v>2736.8636969999998</v>
      </c>
      <c r="DJ139" s="472">
        <f>DJ111+DJ124</f>
        <v>6890.7793990000009</v>
      </c>
      <c r="DK139" s="1517">
        <f>DK111+DK124</f>
        <v>14537.141021799998</v>
      </c>
      <c r="DL139" s="474"/>
      <c r="DM139" s="472">
        <f>DM111+DM124</f>
        <v>2365.7716755128681</v>
      </c>
      <c r="DN139" s="472">
        <f>DN111+DN124</f>
        <v>3370.8652585776445</v>
      </c>
      <c r="DO139" s="472">
        <f>DO111+DO124</f>
        <v>3272.7754113484343</v>
      </c>
      <c r="DP139" s="472">
        <f>DP111+DP124</f>
        <v>8445.3658499462581</v>
      </c>
      <c r="DQ139" s="1517">
        <f>DQ111+DQ124</f>
        <v>17454.778195385203</v>
      </c>
      <c r="DR139" s="474"/>
      <c r="DS139" s="472">
        <f>DS111+DS124</f>
        <v>2678.5402229848073</v>
      </c>
      <c r="DT139" s="472">
        <f>DT111+DT124</f>
        <v>4028.8235448038135</v>
      </c>
      <c r="DU139" s="472">
        <f>DU111+DU124</f>
        <v>3918.8783498198177</v>
      </c>
      <c r="DV139" s="472">
        <f>DV111+DV124</f>
        <v>10226.521406584799</v>
      </c>
      <c r="DW139" s="1517">
        <f>DW111+DW124</f>
        <v>20852.76352419324</v>
      </c>
      <c r="DX139" s="656"/>
      <c r="DY139" s="656"/>
      <c r="DZ139" s="656"/>
      <c r="EA139" s="656"/>
      <c r="EB139" s="656"/>
      <c r="EC139" s="656"/>
      <c r="ED139" s="656"/>
      <c r="EE139" s="656"/>
      <c r="EF139" s="656"/>
      <c r="EJ139" s="656"/>
      <c r="EK139" s="656"/>
      <c r="EL139" s="656"/>
    </row>
    <row r="140" spans="1:142" s="475" customFormat="1" ht="12" customHeight="1">
      <c r="A140" s="452" t="s">
        <v>877</v>
      </c>
      <c r="B140" s="453"/>
      <c r="C140" s="453"/>
      <c r="D140" s="453"/>
      <c r="E140" s="453"/>
      <c r="F140" s="453"/>
      <c r="G140" s="453"/>
      <c r="H140" s="453"/>
      <c r="I140" s="453"/>
      <c r="J140" s="453"/>
      <c r="K140" s="453"/>
      <c r="L140" s="453"/>
      <c r="M140" s="453"/>
      <c r="N140" s="453"/>
      <c r="O140" s="453"/>
      <c r="P140" s="453"/>
      <c r="Q140" s="453"/>
      <c r="R140" s="454"/>
      <c r="S140" s="453"/>
      <c r="T140" s="453"/>
      <c r="U140" s="454">
        <f>U139/O139-1</f>
        <v>0.8735005452562703</v>
      </c>
      <c r="V140" s="454">
        <f>V139/P139-1</f>
        <v>0.62223434563860103</v>
      </c>
      <c r="W140" s="454">
        <f>W139/Q139-1</f>
        <v>1.2788483167129043</v>
      </c>
      <c r="X140" s="454">
        <f>X139/R139-1</f>
        <v>1.2119082479258174</v>
      </c>
      <c r="Y140" s="454">
        <f>Y139/S139-1</f>
        <v>1.0032456223678792</v>
      </c>
      <c r="Z140" s="453"/>
      <c r="AA140" s="454">
        <f>AA139/U139-1</f>
        <v>0.55920505571262269</v>
      </c>
      <c r="AB140" s="454">
        <f>AB139/V139-1</f>
        <v>0.86077273746356786</v>
      </c>
      <c r="AC140" s="454">
        <f>AC139/W139-1</f>
        <v>0.94268417069719979</v>
      </c>
      <c r="AD140" s="454">
        <f>AD139/X139-1</f>
        <v>0.68249415295000215</v>
      </c>
      <c r="AE140" s="454">
        <f>AE139/Y139-1</f>
        <v>0.75926467450149793</v>
      </c>
      <c r="AF140" s="453"/>
      <c r="AG140" s="454">
        <f>AG139/AA139-1</f>
        <v>0.94448296090875106</v>
      </c>
      <c r="AH140" s="454">
        <f>AH139/AB139-1</f>
        <v>0.69904413831880841</v>
      </c>
      <c r="AI140" s="454">
        <f>AI139/AC139-1</f>
        <v>0.56615405460334656</v>
      </c>
      <c r="AJ140" s="454">
        <f>AJ139/AD139-1</f>
        <v>0.74586251213051136</v>
      </c>
      <c r="AK140" s="454">
        <f>AK139/AE139-1</f>
        <v>0.72118347873745492</v>
      </c>
      <c r="AL140" s="453"/>
      <c r="AM140" s="454">
        <f>AM139/AG139-1</f>
        <v>0.6119552398453143</v>
      </c>
      <c r="AN140" s="454">
        <f>AN139/AH139-1</f>
        <v>0.64210663168220838</v>
      </c>
      <c r="AO140" s="454">
        <f>AO139/AI139-1</f>
        <v>0.58586382905095613</v>
      </c>
      <c r="AP140" s="454">
        <f>AP139/AJ139-1</f>
        <v>0.56880920009915159</v>
      </c>
      <c r="AQ140" s="455">
        <f>AQ139/AK139-1</f>
        <v>0.59732415981959175</v>
      </c>
      <c r="AR140" s="453"/>
      <c r="AS140" s="454">
        <f>AS139/AM139-1</f>
        <v>0.48043761218916736</v>
      </c>
      <c r="AT140" s="454">
        <f>AT139/AN139-1</f>
        <v>0.45935927794611886</v>
      </c>
      <c r="AU140" s="454">
        <f>AU139/AO139-1</f>
        <v>0.44399514483661573</v>
      </c>
      <c r="AV140" s="454">
        <f>AV139/AP139-1</f>
        <v>0.70928974307410941</v>
      </c>
      <c r="AW140" s="455">
        <f>AW139/AQ139-1</f>
        <v>0.54502063772700704</v>
      </c>
      <c r="AX140" s="453"/>
      <c r="AY140" s="454">
        <f>AY139/AS139-1</f>
        <v>0.36204825854350897</v>
      </c>
      <c r="AZ140" s="454">
        <f>AZ139/AT139-1</f>
        <v>0.34310190916309535</v>
      </c>
      <c r="BA140" s="454">
        <f>BA139/AU139-1</f>
        <v>0.25838807323419521</v>
      </c>
      <c r="BB140" s="454">
        <f>BB139/AV139-1</f>
        <v>0.15989994173538924</v>
      </c>
      <c r="BC140" s="455">
        <f>BC139/AW139-1</f>
        <v>0.25844736978480887</v>
      </c>
      <c r="BD140" s="453"/>
      <c r="BE140" s="454">
        <f>BE139/AY139-1</f>
        <v>9.8074042822486662E-2</v>
      </c>
      <c r="BF140" s="454">
        <f>BF139/AZ139-1</f>
        <v>0.15926499856789267</v>
      </c>
      <c r="BG140" s="454">
        <f>BG139/BA139-1</f>
        <v>0.22703443099727916</v>
      </c>
      <c r="BH140" s="454">
        <f>BH139/BB139-1</f>
        <v>0.23881422447624212</v>
      </c>
      <c r="BI140" s="455">
        <f>BI139/BC139-1</f>
        <v>0.18993512905695509</v>
      </c>
      <c r="BJ140" s="439"/>
      <c r="BK140" s="454">
        <f>BK139/BE139-1</f>
        <v>0.29478120881696368</v>
      </c>
      <c r="BL140" s="454">
        <f>BL139/BF139-1</f>
        <v>0.30777515220242169</v>
      </c>
      <c r="BM140" s="454">
        <f>BM139/BG139-1</f>
        <v>0.34758421158868891</v>
      </c>
      <c r="BN140" s="456">
        <f>BN139/BH139-1</f>
        <v>0.3592644289440543</v>
      </c>
      <c r="BO140" s="457">
        <f>BO139/BI139-1</f>
        <v>0.33323351496039622</v>
      </c>
      <c r="BP140" s="439"/>
      <c r="BQ140" s="456">
        <f>BQ139/BK139-1</f>
        <v>0.43787723223558928</v>
      </c>
      <c r="BR140" s="458">
        <f>BR139/BL139-1</f>
        <v>0.37124511337928867</v>
      </c>
      <c r="BS140" s="454">
        <f>BS139/BM139-1</f>
        <v>0.28638865248226963</v>
      </c>
      <c r="BT140" s="456">
        <f>BT139/BN139-1</f>
        <v>0.56957394109151505</v>
      </c>
      <c r="BU140" s="459">
        <f>BU139/BO139-1</f>
        <v>0.43658792667603263</v>
      </c>
      <c r="BV140" s="439"/>
      <c r="BW140" s="456">
        <f>BW139/BQ139-1</f>
        <v>0.34120101701351313</v>
      </c>
      <c r="BX140" s="454">
        <f>BX139/BR139-1</f>
        <v>0.29671898045519218</v>
      </c>
      <c r="BY140" s="454">
        <f>BY139/BS139-1</f>
        <v>0.30489842364792752</v>
      </c>
      <c r="BZ140" s="454">
        <f>BZ139/BT139-1</f>
        <v>0.28471281182981856</v>
      </c>
      <c r="CA140" s="460">
        <f>CA139/BU139-1</f>
        <v>0.30153143947788497</v>
      </c>
      <c r="CB140" s="439"/>
      <c r="CC140" s="454">
        <f>CC139/BW139-1</f>
        <v>0.17373943470172515</v>
      </c>
      <c r="CD140" s="454">
        <f>CD139/BX139-1</f>
        <v>0.31708390204299586</v>
      </c>
      <c r="CE140" s="454">
        <f>CE139/BY139-1</f>
        <v>0.38029382020345159</v>
      </c>
      <c r="CF140" s="454">
        <f>CF139/BZ139-1</f>
        <v>0.37466224458079922</v>
      </c>
      <c r="CG140" s="459">
        <f>CG139/CA139-1</f>
        <v>0.32687200356752877</v>
      </c>
      <c r="CH140" s="439"/>
      <c r="CI140" s="454">
        <f>CI139/CC139-1</f>
        <v>0.34933757036594204</v>
      </c>
      <c r="CJ140" s="454">
        <f>CJ139/CD139-1</f>
        <v>0.39295373334229655</v>
      </c>
      <c r="CK140" s="458">
        <f>CK139/CE139-1</f>
        <v>0.22852930949197514</v>
      </c>
      <c r="CL140" s="454">
        <f>CL139/CF139-1</f>
        <v>0.31527397919428291</v>
      </c>
      <c r="CM140" s="459">
        <f>CM139/CG139-1</f>
        <v>0.31795002974369191</v>
      </c>
      <c r="CN140" s="439"/>
      <c r="CO140" s="454">
        <f>CO139/CI139-1</f>
        <v>0.21108705959163387</v>
      </c>
      <c r="CP140" s="454">
        <f>CP139/CJ139-1</f>
        <v>0.1975097264708503</v>
      </c>
      <c r="CQ140" s="454">
        <f>CQ139/CK139-1</f>
        <v>0.2143516628608606</v>
      </c>
      <c r="CR140" s="454">
        <f>CR139/CL139-1</f>
        <v>0.28022760888721066</v>
      </c>
      <c r="CS140" s="460">
        <f>CS139/CM139-1</f>
        <v>0.23726301014059969</v>
      </c>
      <c r="CT140" s="439"/>
      <c r="CU140" s="454">
        <f>CU139/CO139-1</f>
        <v>0.30239591572820079</v>
      </c>
      <c r="CV140" s="454">
        <f>CV139/CP139-1</f>
        <v>0.14905936929195063</v>
      </c>
      <c r="CW140" s="458">
        <f>CW139/CQ139-1</f>
        <v>0.19255726431304199</v>
      </c>
      <c r="CX140" s="454">
        <f>CX139/CR139-1</f>
        <v>0.33192028984393929</v>
      </c>
      <c r="CY140" s="460">
        <f>CY139/CS139-1</f>
        <v>0.26068843098942485</v>
      </c>
      <c r="CZ140" s="439"/>
      <c r="DA140" s="458">
        <f>DA139/CU139-1</f>
        <v>0.16257793414910848</v>
      </c>
      <c r="DB140" s="454">
        <f>DB139/CV139-1</f>
        <v>0.26132582226502965</v>
      </c>
      <c r="DC140" s="458">
        <f>DC139/CW139-1</f>
        <v>0.24056086199388083</v>
      </c>
      <c r="DD140" s="454">
        <f>DD139/CX139-1</f>
        <v>0.28121516447902684</v>
      </c>
      <c r="DE140" s="460">
        <f>DE139/CY139-1</f>
        <v>0.24971161498310002</v>
      </c>
      <c r="DF140" s="439"/>
      <c r="DG140" s="458">
        <f>DG139/DA139-1</f>
        <v>0.1053967047237272</v>
      </c>
      <c r="DH140" s="458">
        <f>DH139/DB139-1</f>
        <v>0.20772379910599503</v>
      </c>
      <c r="DI140" s="458">
        <f>DI139/DC139-1</f>
        <v>0.21460837779796527</v>
      </c>
      <c r="DJ140" s="458">
        <f>DJ139/DD139-1</f>
        <v>0.2407710130694769</v>
      </c>
      <c r="DK140" s="460">
        <f>DK139/DE139-1</f>
        <v>0.20821496940304418</v>
      </c>
      <c r="DL140" s="2012"/>
      <c r="DM140" s="458">
        <f>DM139/DG139-1</f>
        <v>0.13392423816981047</v>
      </c>
      <c r="DN140" s="458">
        <f>DN139/DH139-1</f>
        <v>0.19401273220201798</v>
      </c>
      <c r="DO140" s="458">
        <f>DO139/DI139-1</f>
        <v>0.19581235080719273</v>
      </c>
      <c r="DP140" s="458">
        <f>DP139/DJ139-1</f>
        <v>0.22560386292033385</v>
      </c>
      <c r="DQ140" s="460">
        <f>DQ139/DK139-1</f>
        <v>0.20070226801885571</v>
      </c>
      <c r="DR140" s="2012"/>
      <c r="DS140" s="458">
        <f>DS139/DM139-1</f>
        <v>0.13220571989650476</v>
      </c>
      <c r="DT140" s="458">
        <f>DT139/DN139-1</f>
        <v>0.19518973193956679</v>
      </c>
      <c r="DU140" s="458">
        <f>DU139/DO139-1</f>
        <v>0.19741743849303095</v>
      </c>
      <c r="DV140" s="458">
        <f>DV139/DP139-1</f>
        <v>0.21090330345486175</v>
      </c>
      <c r="DW140" s="460">
        <f>DW139/DQ139-1</f>
        <v>0.1946736469963517</v>
      </c>
      <c r="DX140" s="656"/>
      <c r="DY140" s="656"/>
      <c r="DZ140" s="656"/>
      <c r="EA140" s="656"/>
      <c r="EB140" s="656"/>
      <c r="EC140" s="656"/>
      <c r="ED140" s="656"/>
      <c r="EE140" s="656"/>
      <c r="EF140" s="656"/>
      <c r="EJ140" s="656"/>
      <c r="EK140" s="656"/>
      <c r="EL140" s="656"/>
    </row>
    <row r="141" spans="1:142" s="475" customFormat="1" ht="12" customHeight="1" thickBot="1">
      <c r="A141" s="461" t="s">
        <v>878</v>
      </c>
      <c r="B141" s="462"/>
      <c r="C141" s="462"/>
      <c r="D141" s="462"/>
      <c r="E141" s="462"/>
      <c r="F141" s="462"/>
      <c r="G141" s="463"/>
      <c r="H141" s="462"/>
      <c r="I141" s="462"/>
      <c r="J141" s="462"/>
      <c r="K141" s="462"/>
      <c r="L141" s="462"/>
      <c r="M141" s="463"/>
      <c r="N141" s="462"/>
      <c r="O141" s="462"/>
      <c r="P141" s="464">
        <f>P139/O139-1</f>
        <v>0.28501324193799649</v>
      </c>
      <c r="Q141" s="464">
        <f>Q139/P139-1</f>
        <v>-0.19154997878402147</v>
      </c>
      <c r="R141" s="464">
        <f>R139/Q139-1</f>
        <v>0.53632750993476841</v>
      </c>
      <c r="S141" s="463"/>
      <c r="T141" s="462"/>
      <c r="U141" s="464">
        <f>U139/R139-1</f>
        <v>0.1738408979990238</v>
      </c>
      <c r="V141" s="464">
        <f>V139/U139-1</f>
        <v>0.11267254282388173</v>
      </c>
      <c r="W141" s="464">
        <f>W139/V139-1</f>
        <v>0.135677453105149</v>
      </c>
      <c r="X141" s="464">
        <f>X139/W139-1</f>
        <v>0.49119863126377794</v>
      </c>
      <c r="Y141" s="463"/>
      <c r="Z141" s="462"/>
      <c r="AA141" s="464">
        <f>AA139/X139-1</f>
        <v>-0.17254313578394598</v>
      </c>
      <c r="AB141" s="464">
        <f>AB139/AA139-1</f>
        <v>0.32787584662151348</v>
      </c>
      <c r="AC141" s="464">
        <f>AC139/AB139-1</f>
        <v>0.18567010723322208</v>
      </c>
      <c r="AD141" s="464">
        <f>AD139/AC139-1</f>
        <v>0.29147754217193977</v>
      </c>
      <c r="AE141" s="463"/>
      <c r="AF141" s="462"/>
      <c r="AG141" s="464">
        <f>AG139/AD139-1</f>
        <v>-4.3696068402969357E-2</v>
      </c>
      <c r="AH141" s="464">
        <f>AH139/AG139-1</f>
        <v>0.16026713474671617</v>
      </c>
      <c r="AI141" s="464">
        <f>AI139/AH139-1</f>
        <v>9.2933375881997904E-2</v>
      </c>
      <c r="AJ141" s="464">
        <f>AJ139/AI139-1</f>
        <v>0.43966822389480087</v>
      </c>
      <c r="AK141" s="463"/>
      <c r="AL141" s="462"/>
      <c r="AM141" s="464">
        <f>AM139/AJ139-1</f>
        <v>-0.11704437049778815</v>
      </c>
      <c r="AN141" s="464">
        <f>AN139/AM139-1</f>
        <v>0.18196976528537556</v>
      </c>
      <c r="AO141" s="464">
        <f>AO139/AN139-1</f>
        <v>5.5499974808726149E-2</v>
      </c>
      <c r="AP141" s="464">
        <f>AP139/AO139-1</f>
        <v>0.42418580546615026</v>
      </c>
      <c r="AQ141" s="465"/>
      <c r="AR141" s="462"/>
      <c r="AS141" s="464">
        <f>AS139/AP139-1</f>
        <v>-0.16678157947657191</v>
      </c>
      <c r="AT141" s="464">
        <f>AT139/AS139-1</f>
        <v>0.16514098873124428</v>
      </c>
      <c r="AU141" s="464">
        <f>AU139/AT139-1</f>
        <v>4.4387672063879169E-2</v>
      </c>
      <c r="AV141" s="464">
        <f>AV139/AU139-1</f>
        <v>0.68584097960417267</v>
      </c>
      <c r="AW141" s="466"/>
      <c r="AX141" s="462"/>
      <c r="AY141" s="464">
        <f>AY139/AV139-1</f>
        <v>-0.33604954732879166</v>
      </c>
      <c r="AZ141" s="464">
        <f>AZ139/AY139-1</f>
        <v>0.14893365678725834</v>
      </c>
      <c r="BA141" s="464">
        <f>BA139/AZ139-1</f>
        <v>-2.1485278673354702E-2</v>
      </c>
      <c r="BB141" s="464">
        <f>BB139/BA139-1</f>
        <v>0.55389811426963198</v>
      </c>
      <c r="BC141" s="467"/>
      <c r="BD141" s="462"/>
      <c r="BE141" s="464">
        <f>BE139/BB139-1</f>
        <v>-0.37143995652961448</v>
      </c>
      <c r="BF141" s="464">
        <f>BF139/BE139-1</f>
        <v>0.21295880063472294</v>
      </c>
      <c r="BG141" s="468">
        <f>BG139/BF139-1</f>
        <v>3.5717679554511106E-2</v>
      </c>
      <c r="BH141" s="468">
        <f>BH139/BG139-1</f>
        <v>0.56881586915167626</v>
      </c>
      <c r="BI141" s="465"/>
      <c r="BJ141" s="462"/>
      <c r="BK141" s="464">
        <f>BK139/BH139-1</f>
        <v>-0.3430429544488679</v>
      </c>
      <c r="BL141" s="464">
        <f>BL139/BK139-1</f>
        <v>0.22513160471699822</v>
      </c>
      <c r="BM141" s="464">
        <f>BM139/BL139-1</f>
        <v>6.724522964089652E-2</v>
      </c>
      <c r="BN141" s="464">
        <f>BN139/BM139-1</f>
        <v>0.58241361702127725</v>
      </c>
      <c r="BO141" s="465"/>
      <c r="BP141" s="462"/>
      <c r="BQ141" s="464">
        <f>BQ139/BN139-1</f>
        <v>-0.305047966944472</v>
      </c>
      <c r="BR141" s="464">
        <f>BR139/BQ139-1</f>
        <v>0.16835824961407941</v>
      </c>
      <c r="BS141" s="464">
        <f>BS139/BR139-1</f>
        <v>1.2011269396876578E-3</v>
      </c>
      <c r="BT141" s="464">
        <f>BT139/BS139-1</f>
        <v>0.93076577013664119</v>
      </c>
      <c r="BU141" s="469"/>
      <c r="BV141" s="462"/>
      <c r="BW141" s="464">
        <f>BW139/BT139-1</f>
        <v>-0.40616345040648338</v>
      </c>
      <c r="BX141" s="464">
        <f>BX139/BW139-1</f>
        <v>0.12960868581768858</v>
      </c>
      <c r="BY141" s="464">
        <f>BY139/BX139-1</f>
        <v>7.5165027965531372E-3</v>
      </c>
      <c r="BZ141" s="464">
        <f>BZ139/BY139-1</f>
        <v>0.90089855009761566</v>
      </c>
      <c r="CA141" s="469"/>
      <c r="CB141" s="462"/>
      <c r="CC141" s="464">
        <f>CC139/BZ139-1</f>
        <v>-0.45745899814576807</v>
      </c>
      <c r="CD141" s="464">
        <f>CD139/CC139-1</f>
        <v>0.26756362759210184</v>
      </c>
      <c r="CE141" s="464">
        <f>CE139/CD139-1</f>
        <v>5.5869561844874571E-2</v>
      </c>
      <c r="CF141" s="464">
        <f>CF139/CE139-1</f>
        <v>0.89314291591366546</v>
      </c>
      <c r="CG141" s="469"/>
      <c r="CH141" s="462"/>
      <c r="CI141" s="464">
        <f>CI139/CF139-1</f>
        <v>-0.46745394357641856</v>
      </c>
      <c r="CJ141" s="464">
        <f>CJ139/CI139-1</f>
        <v>0.3085365190153817</v>
      </c>
      <c r="CK141" s="464">
        <f>CK139/CJ139-1</f>
        <v>-6.8765406432835352E-2</v>
      </c>
      <c r="CL141" s="464">
        <f>CL139/CK139-1</f>
        <v>1.0268149867966168</v>
      </c>
      <c r="CM141" s="469"/>
      <c r="CN141" s="462"/>
      <c r="CO141" s="464">
        <f>CO139/CL139-1</f>
        <v>-0.50963856369587113</v>
      </c>
      <c r="CP141" s="464">
        <f>CP139/CO139-1</f>
        <v>0.29386669319346859</v>
      </c>
      <c r="CQ141" s="464">
        <f>CQ139/CP139-1</f>
        <v>-5.5668398999537461E-2</v>
      </c>
      <c r="CR141" s="464">
        <f>CR139/CQ139-1</f>
        <v>1.1367653074154882</v>
      </c>
      <c r="CS141" s="469"/>
      <c r="CT141" s="462"/>
      <c r="CU141" s="464">
        <f>CU139/CR139-1</f>
        <v>-0.5011475088963051</v>
      </c>
      <c r="CV141" s="464">
        <f>CV139/CU139-1</f>
        <v>0.1415343279831176</v>
      </c>
      <c r="CW141" s="464">
        <f>CW139/CV139-1</f>
        <v>-1.9920518652216113E-2</v>
      </c>
      <c r="CX141" s="464">
        <f>CX139/CW139-1</f>
        <v>1.3864691052976101</v>
      </c>
      <c r="CY141" s="469"/>
      <c r="CZ141" s="462"/>
      <c r="DA141" s="464">
        <f>DA139/CX139-1</f>
        <v>-0.56457236744968931</v>
      </c>
      <c r="DB141" s="464">
        <f>DB139/DA139-1</f>
        <v>0.2384947990096582</v>
      </c>
      <c r="DC141" s="464">
        <f>DC139/DB139-1</f>
        <v>-3.6055375430307679E-2</v>
      </c>
      <c r="DD141" s="464">
        <f>DD139/DC139-1</f>
        <v>1.4646758582676256</v>
      </c>
      <c r="DE141" s="469"/>
      <c r="DF141" s="462"/>
      <c r="DG141" s="464">
        <f>DG139/DD139-1</f>
        <v>-0.62432518478464627</v>
      </c>
      <c r="DH141" s="464">
        <f>DH139/DG139-1</f>
        <v>0.3531428467635942</v>
      </c>
      <c r="DI141" s="464">
        <f>DI139/DH139-1</f>
        <v>-3.0560449663783573E-2</v>
      </c>
      <c r="DJ141" s="464">
        <f>DJ139/DI139-1</f>
        <v>1.5177649170301377</v>
      </c>
      <c r="DK141" s="469"/>
      <c r="DL141" s="462"/>
      <c r="DM141" s="464">
        <f>DM139/DJ139-1</f>
        <v>-0.65667574906603576</v>
      </c>
      <c r="DN141" s="464">
        <f>DN139/DM139-1</f>
        <v>0.42484809226016518</v>
      </c>
      <c r="DO141" s="464">
        <f>DO139/DN139-1</f>
        <v>-2.9099308250190803E-2</v>
      </c>
      <c r="DP141" s="464">
        <f>DP139/DO139-1</f>
        <v>1.5804904976558216</v>
      </c>
      <c r="DQ141" s="469"/>
      <c r="DR141" s="462"/>
      <c r="DS141" s="464">
        <f>DS139/DP139-1</f>
        <v>-0.68283905391714295</v>
      </c>
      <c r="DT141" s="464">
        <f>DT139/DS139-1</f>
        <v>0.50411164642296469</v>
      </c>
      <c r="DU141" s="464">
        <f>DU139/DT139-1</f>
        <v>-2.7289652614793214E-2</v>
      </c>
      <c r="DV141" s="464">
        <f>DV139/DU139-1</f>
        <v>1.6095531664194156</v>
      </c>
      <c r="DW141" s="469"/>
      <c r="DX141" s="656"/>
      <c r="DY141" s="656"/>
      <c r="DZ141" s="656"/>
      <c r="EA141" s="656"/>
      <c r="EB141" s="656"/>
      <c r="EC141" s="656"/>
      <c r="ED141" s="656"/>
      <c r="EE141" s="656"/>
      <c r="EF141" s="656"/>
      <c r="EJ141" s="656"/>
      <c r="EK141" s="656"/>
      <c r="EL141" s="656"/>
    </row>
    <row r="142" spans="1:142" s="475" customFormat="1" ht="12" customHeight="1">
      <c r="A142" s="432" t="s">
        <v>1072</v>
      </c>
      <c r="B142" s="439"/>
      <c r="C142" s="439"/>
      <c r="D142" s="439"/>
      <c r="E142" s="439"/>
      <c r="F142" s="439"/>
      <c r="G142" s="440"/>
      <c r="H142" s="439"/>
      <c r="I142" s="439"/>
      <c r="J142" s="439"/>
      <c r="K142" s="439"/>
      <c r="L142" s="439"/>
      <c r="M142" s="440"/>
      <c r="N142" s="439"/>
      <c r="O142" s="439"/>
      <c r="P142" s="495"/>
      <c r="Q142" s="495"/>
      <c r="R142" s="495"/>
      <c r="S142" s="440"/>
      <c r="T142" s="439"/>
      <c r="U142" s="495"/>
      <c r="V142" s="495"/>
      <c r="W142" s="495"/>
      <c r="X142" s="495"/>
      <c r="Y142" s="440"/>
      <c r="Z142" s="439"/>
      <c r="AA142" s="495"/>
      <c r="AB142" s="495"/>
      <c r="AC142" s="495"/>
      <c r="AD142" s="495"/>
      <c r="AE142" s="440"/>
      <c r="AF142" s="439"/>
      <c r="AG142" s="495"/>
      <c r="AH142" s="495"/>
      <c r="AI142" s="495"/>
      <c r="AJ142" s="495"/>
      <c r="AK142" s="440"/>
      <c r="AL142" s="439"/>
      <c r="AM142" s="495">
        <f>AM139/$AQ$139</f>
        <v>0.19207465530257228</v>
      </c>
      <c r="AN142" s="495">
        <f>AN139/$AQ$139</f>
        <v>0.22702643524525076</v>
      </c>
      <c r="AO142" s="495">
        <f>AO139/$AQ$139</f>
        <v>0.23962639668227709</v>
      </c>
      <c r="AP142" s="495">
        <f>AP139/$AQ$139</f>
        <v>0.3412725127699</v>
      </c>
      <c r="AQ142" s="495">
        <f>AQ139/$AQ$139</f>
        <v>1</v>
      </c>
      <c r="AR142" s="439"/>
      <c r="AS142" s="495">
        <f>AS139/$AW$139</f>
        <v>0.18404579014331635</v>
      </c>
      <c r="AT142" s="495">
        <f>AT139/$AW$139</f>
        <v>0.21443929389940672</v>
      </c>
      <c r="AU142" s="495">
        <f>AU139/$AW$139</f>
        <v>0.22395775495462342</v>
      </c>
      <c r="AV142" s="495">
        <f>AV139/$AW$139</f>
        <v>0.37755716100265357</v>
      </c>
      <c r="AW142" s="495">
        <f>AW139/$AW$139</f>
        <v>1</v>
      </c>
      <c r="AX142" s="439"/>
      <c r="AY142" s="495">
        <f>AY139/$BC$139</f>
        <v>0.19919724414047893</v>
      </c>
      <c r="AZ142" s="495">
        <f>AZ139/$BC$139</f>
        <v>0.22886441813226474</v>
      </c>
      <c r="BA142" s="495">
        <f>BA139/$BC$139</f>
        <v>0.22394720233027784</v>
      </c>
      <c r="BB142" s="495">
        <f>BB139/$BC$139</f>
        <v>0.34799113539697846</v>
      </c>
      <c r="BC142" s="495">
        <f>BC139/$BC$139</f>
        <v>1</v>
      </c>
      <c r="BD142" s="439"/>
      <c r="BE142" s="495">
        <f>BE139/$BI$139</f>
        <v>0.18381953591519201</v>
      </c>
      <c r="BF142" s="495">
        <f>BF139/$BI$139</f>
        <v>0.22296552381692269</v>
      </c>
      <c r="BG142" s="495">
        <f>BG139/$BI$139</f>
        <v>0.23092933494831924</v>
      </c>
      <c r="BH142" s="495">
        <f>BH139/$BI$139</f>
        <v>0.362285605319566</v>
      </c>
      <c r="BI142" s="495">
        <f>BI139/$BI$139</f>
        <v>1</v>
      </c>
      <c r="BJ142" s="439"/>
      <c r="BK142" s="495">
        <f>BK139/$BO$139</f>
        <v>0.17851792521396043</v>
      </c>
      <c r="BL142" s="495">
        <f>BL139/$BO$139</f>
        <v>0.21870795218812844</v>
      </c>
      <c r="BM142" s="495">
        <f>BM139/$BO$139</f>
        <v>0.23341501865730938</v>
      </c>
      <c r="BN142" s="495">
        <f>BN139/$BO$139</f>
        <v>0.36935910394060184</v>
      </c>
      <c r="BO142" s="1644">
        <f>SUM(BK142:BN142)</f>
        <v>1</v>
      </c>
      <c r="BP142" s="439"/>
      <c r="BQ142" s="495">
        <f>BQ139/$BU$139</f>
        <v>0.17867814106235019</v>
      </c>
      <c r="BR142" s="495">
        <f>BR139/$BU$139</f>
        <v>0.20876008013590502</v>
      </c>
      <c r="BS142" s="495">
        <f>BS139/$BU$139</f>
        <v>0.2090108274920876</v>
      </c>
      <c r="BT142" s="495">
        <f>BT139/$BU$139</f>
        <v>0.40355095130965718</v>
      </c>
      <c r="BU142" s="1644">
        <f>SUM(BQ142:BT142)</f>
        <v>1</v>
      </c>
      <c r="BV142" s="439"/>
      <c r="BW142" s="495">
        <f>BW139/$CA$139</f>
        <v>0.1841240996890878</v>
      </c>
      <c r="BX142" s="495">
        <f>BX139/$CA$139</f>
        <v>0.20798818227715554</v>
      </c>
      <c r="BY142" s="495">
        <f>BY139/$CA$139</f>
        <v>0.20955152603089175</v>
      </c>
      <c r="BZ142" s="495">
        <f>BZ139/$CA$139</f>
        <v>0.39833619200286491</v>
      </c>
      <c r="CA142" s="1644">
        <f>SUM(BW142:BZ142)</f>
        <v>1</v>
      </c>
      <c r="CB142" s="439"/>
      <c r="CC142" s="495">
        <f>CC139/$CG$139</f>
        <v>0.1628745772787234</v>
      </c>
      <c r="CD142" s="495">
        <f>CD139/$CG$139</f>
        <v>0.20645389001794875</v>
      </c>
      <c r="CE142" s="495">
        <f>CE139/$CG$139</f>
        <v>0.21798837839442145</v>
      </c>
      <c r="CF142" s="495">
        <f>CF139/$CG$139</f>
        <v>0.41268315430890651</v>
      </c>
      <c r="CG142" s="1644">
        <f>SUM(CC142:CF142)</f>
        <v>1</v>
      </c>
      <c r="CH142" s="439"/>
      <c r="CI142" s="495">
        <f>CI139/$CM$139</f>
        <v>0.16675350462444527</v>
      </c>
      <c r="CJ142" s="495">
        <f>CJ139/$CM$139</f>
        <v>0.21820305047488697</v>
      </c>
      <c r="CK142" s="495">
        <f>CK139/$CM$139</f>
        <v>0.20319822902409687</v>
      </c>
      <c r="CL142" s="495">
        <f>CL139/$CM$139</f>
        <v>0.41184521587657086</v>
      </c>
      <c r="CM142" s="1644">
        <f>SUM(CI142:CL142)</f>
        <v>1</v>
      </c>
      <c r="CN142" s="439"/>
      <c r="CO142" s="495">
        <f>CO139/$CS$139</f>
        <v>0.16322561164199828</v>
      </c>
      <c r="CP142" s="495">
        <f>CP139/$CS$139</f>
        <v>0.21119218237971366</v>
      </c>
      <c r="CQ142" s="495">
        <f>CQ139/$CS$139</f>
        <v>0.19943545170541666</v>
      </c>
      <c r="CR142" s="495">
        <f>CR139/$CS$139</f>
        <v>0.42614675427287141</v>
      </c>
      <c r="CS142" s="1644">
        <f>SUM(CO142:CR142)</f>
        <v>1</v>
      </c>
      <c r="CT142" s="439"/>
      <c r="CU142" s="495">
        <f t="shared" ref="CU142:CW142" si="85">CU139/$CY$139</f>
        <v>0.16862562130274619</v>
      </c>
      <c r="CV142" s="495">
        <f t="shared" si="85"/>
        <v>0.19249193529456607</v>
      </c>
      <c r="CW142" s="495">
        <f t="shared" si="85"/>
        <v>0.1886573961071295</v>
      </c>
      <c r="CX142" s="495">
        <f>CX139/$CY$139</f>
        <v>0.45022504729555818</v>
      </c>
      <c r="CY142" s="1644">
        <f>SUM(CU142:CX142)</f>
        <v>1</v>
      </c>
      <c r="CZ142" s="439"/>
      <c r="DA142" s="442">
        <f>DA139/$DE$139</f>
        <v>0.15686853199440551</v>
      </c>
      <c r="DB142" s="442">
        <f>DB139/$DE$139</f>
        <v>0.1942808610033514</v>
      </c>
      <c r="DC142" s="442">
        <f>DC139/$DE$139</f>
        <v>0.18727599162095215</v>
      </c>
      <c r="DD142" s="442">
        <f>DD139/$DE$139</f>
        <v>0.46157461538129091</v>
      </c>
      <c r="DE142" s="1959">
        <f>SUM(DA142:DD142)</f>
        <v>1</v>
      </c>
      <c r="DF142" s="1960"/>
      <c r="DG142" s="442">
        <f>DG139/$DK$139</f>
        <v>0.1435191275830153</v>
      </c>
      <c r="DH142" s="442">
        <f t="shared" ref="DH142:DJ142" si="86">DH139/$DK$139</f>
        <v>0.19420188086270876</v>
      </c>
      <c r="DI142" s="442">
        <f t="shared" si="86"/>
        <v>0.18826698405799186</v>
      </c>
      <c r="DJ142" s="442">
        <f t="shared" si="86"/>
        <v>0.47401200749628419</v>
      </c>
      <c r="DK142" s="1644">
        <f>SUM(DG142:DJ142)</f>
        <v>1</v>
      </c>
      <c r="DL142" s="439"/>
      <c r="DM142" s="442">
        <f>DM139/$DQ$139</f>
        <v>0.1355371949749751</v>
      </c>
      <c r="DN142" s="442">
        <f t="shared" ref="DN142:DP142" si="87">DN139/$DQ$139</f>
        <v>0.19311991369038731</v>
      </c>
      <c r="DO142" s="442">
        <f t="shared" si="87"/>
        <v>0.18750025779266047</v>
      </c>
      <c r="DP142" s="442">
        <f t="shared" si="87"/>
        <v>0.48384263354197726</v>
      </c>
      <c r="DQ142" s="1644">
        <f>SUM(DM142:DP142)</f>
        <v>1.0000000000000002</v>
      </c>
      <c r="DR142" s="439"/>
      <c r="DS142" s="442">
        <f>DS139/$DW$139</f>
        <v>0.12845013179558587</v>
      </c>
      <c r="DT142" s="442">
        <f t="shared" ref="DT142:DV142" si="88">DT139/$DW$139</f>
        <v>0.19320333921830546</v>
      </c>
      <c r="DU142" s="442">
        <f t="shared" si="88"/>
        <v>0.18793088720701986</v>
      </c>
      <c r="DV142" s="442">
        <f t="shared" si="88"/>
        <v>0.4904156417790887</v>
      </c>
      <c r="DW142" s="1644">
        <f>SUM(DS142:DV142)</f>
        <v>0.99999999999999989</v>
      </c>
      <c r="DX142" s="656"/>
      <c r="DY142" s="656"/>
      <c r="DZ142" s="656"/>
      <c r="EA142" s="656"/>
      <c r="EB142" s="656"/>
      <c r="EC142" s="656"/>
      <c r="ED142" s="656"/>
      <c r="EE142" s="656"/>
      <c r="EF142" s="656"/>
      <c r="EJ142" s="656"/>
      <c r="EK142" s="656"/>
      <c r="EL142" s="656"/>
    </row>
    <row r="143" spans="1:142" s="475" customFormat="1" ht="12" customHeight="1">
      <c r="A143" s="500" t="s">
        <v>207</v>
      </c>
      <c r="G143" s="476"/>
      <c r="M143" s="476"/>
      <c r="P143" s="485"/>
      <c r="Q143" s="485"/>
      <c r="R143" s="485"/>
      <c r="S143" s="476"/>
      <c r="U143" s="485"/>
      <c r="V143" s="485"/>
      <c r="W143" s="485"/>
      <c r="X143" s="485"/>
      <c r="Y143" s="476"/>
      <c r="AA143" s="485"/>
      <c r="AB143" s="485"/>
      <c r="AC143" s="485"/>
      <c r="AD143" s="485"/>
      <c r="AE143" s="476"/>
      <c r="AG143" s="485"/>
      <c r="AH143" s="485"/>
      <c r="AI143" s="485"/>
      <c r="AJ143" s="485"/>
      <c r="AK143" s="476"/>
      <c r="AM143" s="485"/>
      <c r="AN143" s="485"/>
      <c r="AO143" s="485"/>
      <c r="AP143" s="485"/>
      <c r="AQ143" s="485"/>
      <c r="AS143" s="485"/>
      <c r="AT143" s="485"/>
      <c r="AU143" s="485"/>
      <c r="AV143" s="485"/>
      <c r="AW143" s="485"/>
      <c r="AY143" s="485"/>
      <c r="AZ143" s="485"/>
      <c r="BA143" s="485"/>
      <c r="BB143" s="485"/>
      <c r="BC143" s="485"/>
      <c r="BE143" s="485"/>
      <c r="BF143" s="485"/>
      <c r="BG143" s="485"/>
      <c r="BH143" s="485"/>
      <c r="BI143" s="485"/>
      <c r="BK143" s="1896">
        <f>SUM(BK139,BF139:BH139)</f>
        <v>1492.6279999999997</v>
      </c>
      <c r="BL143" s="1896">
        <f>SUM(BK139:BL139,BG139:BH139)</f>
        <v>1589.7919999999999</v>
      </c>
      <c r="BM143" s="1896">
        <f>SUM(BK139:BM139,BH139)</f>
        <v>1703.4429999999998</v>
      </c>
      <c r="BN143" s="1896">
        <f>SUM(BK139:BN139)</f>
        <v>1887.732</v>
      </c>
      <c r="BO143" s="511"/>
      <c r="BQ143" s="1896">
        <f>SUM(BQ139,BL139:BN139)</f>
        <v>2035.2940000000003</v>
      </c>
      <c r="BR143" s="1896">
        <f>SUM(BQ139:BR139,BM139:BN139)</f>
        <v>2188.567</v>
      </c>
      <c r="BS143" s="1896">
        <f>SUM(BQ139:BS139,BN139)</f>
        <v>2314.7570000000001</v>
      </c>
      <c r="BT143" s="1896">
        <f>SUM(BQ139:BT139)</f>
        <v>2711.893</v>
      </c>
      <c r="BU143" s="511"/>
      <c r="BW143" s="1896">
        <f>SUM(BW139,BR139:BT139)</f>
        <v>2877.2240000000002</v>
      </c>
      <c r="BX143" s="1896">
        <f>SUM(BW139:BX139,BS139:BT139)</f>
        <v>3045.2070000000003</v>
      </c>
      <c r="BY143" s="1896">
        <f>SUM(BW139:BY139,BT139)</f>
        <v>3218.0280000000002</v>
      </c>
      <c r="BZ143" s="1896">
        <f>SUM(BW139:BZ139)</f>
        <v>3529.614</v>
      </c>
      <c r="CA143" s="511"/>
      <c r="CC143" s="1896">
        <f>SUM(CC139,BX139:BZ139)</f>
        <v>3642.5250000000001</v>
      </c>
      <c r="CD143" s="1896">
        <f>SUM(CC139:CD139,BY139:BZ139)</f>
        <v>3875.3020000000001</v>
      </c>
      <c r="CE143" s="1896">
        <f>SUM(CC139:CE139,BZ139)</f>
        <v>4156.5810000000001</v>
      </c>
      <c r="CF143" s="1896">
        <f>SUM(CC139:CF139)</f>
        <v>4683.3459999999995</v>
      </c>
      <c r="CG143" s="511"/>
      <c r="CI143" s="1896">
        <f>SUM(CI139,CD139:CF139)</f>
        <v>4949.82</v>
      </c>
      <c r="CJ143" s="1896">
        <f>SUM(CI139:CJ139,CE139:CF139)</f>
        <v>5329.7649999999994</v>
      </c>
      <c r="CK143" s="1896">
        <f>SUM(CI139:CK139,CF139)</f>
        <v>5563.0740000000005</v>
      </c>
      <c r="CL143" s="1896">
        <f>SUM(CI139:CL139)</f>
        <v>6172.4160000000002</v>
      </c>
      <c r="CM143" s="511"/>
      <c r="CO143" s="1896">
        <f>SUM(CO139,CJ139:CL139)</f>
        <v>6389.6819999999998</v>
      </c>
      <c r="CP143" s="1896">
        <f>SUM(CO139:CP139,CK139:CL139)</f>
        <v>6655.6959999999999</v>
      </c>
      <c r="CQ143" s="1896">
        <f>SUM(CO139:CQ139,CL139)</f>
        <v>6924.5409999999993</v>
      </c>
      <c r="CR143" s="1896">
        <f>SUM(CO139:CR139)</f>
        <v>7636.902</v>
      </c>
      <c r="CS143" s="511"/>
      <c r="CU143" s="1896">
        <f>SUM(CU139,CP139:CR139)</f>
        <v>8013.85</v>
      </c>
      <c r="CV143" s="1896">
        <f>SUM(CU139:CV139,CQ139:CR139)</f>
        <v>8254.2610000000004</v>
      </c>
      <c r="CW143" s="1896">
        <f>SUM(CU139:CW139,CR139)</f>
        <v>8547.5390000000007</v>
      </c>
      <c r="CX143" s="1896">
        <f>SUM(CU139:CX139)</f>
        <v>9627.7540000000008</v>
      </c>
      <c r="CY143" s="511"/>
      <c r="DA143" s="1896">
        <f>SUM(DA139,CV139:CX139)</f>
        <v>9891.6970000000001</v>
      </c>
      <c r="DB143" s="1896">
        <f>SUM(DA139:DB139,CW139:CX139)</f>
        <v>10376.003000000001</v>
      </c>
      <c r="DC143" s="1896">
        <f>SUM(DA139:DC139,CX139)</f>
        <v>10812.945</v>
      </c>
      <c r="DD143" s="1896">
        <f>SUM(DA139:DD139)</f>
        <v>12031.916000000001</v>
      </c>
      <c r="DE143" s="511"/>
      <c r="DG143" s="1896">
        <f>SUM(DG139,DB139:DD139)</f>
        <v>12230.844797</v>
      </c>
      <c r="DH143" s="1896">
        <f>SUM(DG139:DH139,DC139:DD139)</f>
        <v>12716.4139258</v>
      </c>
      <c r="DI143" s="1896">
        <f>SUM(DG139:DI139,DD139)</f>
        <v>13199.9886228</v>
      </c>
      <c r="DJ143" s="1896">
        <f>SUM(DG139:DJ139)</f>
        <v>14537.141021799998</v>
      </c>
      <c r="DK143" s="511"/>
      <c r="DM143" s="1896">
        <f>SUM(DM139,DH139:DJ139)</f>
        <v>14816.554900312869</v>
      </c>
      <c r="DN143" s="1896">
        <f>SUM(DM139:DN139,DI139:DJ139)</f>
        <v>15364.280030090513</v>
      </c>
      <c r="DO143" s="1896">
        <f>SUM(DM139:DO139,DJ139)</f>
        <v>15900.191744438949</v>
      </c>
      <c r="DP143" s="1896">
        <f>SUM(DM139:DP139)</f>
        <v>17454.778195385206</v>
      </c>
      <c r="DQ143" s="511"/>
      <c r="DS143" s="1896">
        <f>SUM(DS139,DN139:DP139)</f>
        <v>17767.546742857143</v>
      </c>
      <c r="DT143" s="1896">
        <f>SUM(DS139:DT139,DO139:DP139)</f>
        <v>18425.505029083313</v>
      </c>
      <c r="DU143" s="1896">
        <f>SUM(DS139:DU139,DP139)</f>
        <v>19071.607967554697</v>
      </c>
      <c r="DV143" s="1896">
        <f>SUM(DS139:DV139)</f>
        <v>20852.763524193237</v>
      </c>
      <c r="DW143" s="511"/>
      <c r="DX143" s="656"/>
      <c r="DY143" s="656"/>
      <c r="DZ143" s="656"/>
      <c r="EA143" s="656"/>
      <c r="EB143" s="656"/>
      <c r="EC143" s="656"/>
      <c r="ED143" s="656"/>
      <c r="EE143" s="656"/>
      <c r="EF143" s="656"/>
      <c r="EJ143" s="656"/>
      <c r="EK143" s="656"/>
      <c r="EL143" s="656"/>
    </row>
    <row r="144" spans="1:142" s="475" customFormat="1" ht="12" customHeight="1">
      <c r="A144" s="488" t="s">
        <v>877</v>
      </c>
      <c r="B144" s="439"/>
      <c r="C144" s="439"/>
      <c r="D144" s="439"/>
      <c r="E144" s="439"/>
      <c r="F144" s="439"/>
      <c r="G144" s="440"/>
      <c r="H144" s="439"/>
      <c r="I144" s="439"/>
      <c r="J144" s="439"/>
      <c r="K144" s="439"/>
      <c r="L144" s="439"/>
      <c r="M144" s="440"/>
      <c r="N144" s="439"/>
      <c r="O144" s="439"/>
      <c r="P144" s="439"/>
      <c r="Q144" s="439"/>
      <c r="R144" s="439"/>
      <c r="S144" s="440"/>
      <c r="T144" s="439"/>
      <c r="U144" s="439"/>
      <c r="V144" s="439"/>
      <c r="W144" s="439"/>
      <c r="X144" s="439"/>
      <c r="Y144" s="440"/>
      <c r="Z144" s="439"/>
      <c r="AA144" s="442" t="e">
        <f>AA142/U142-1</f>
        <v>#DIV/0!</v>
      </c>
      <c r="AB144" s="442" t="e">
        <f>AB142/V142-1</f>
        <v>#DIV/0!</v>
      </c>
      <c r="AC144" s="442" t="e">
        <f>AC142/W142-1</f>
        <v>#DIV/0!</v>
      </c>
      <c r="AD144" s="442" t="e">
        <f>AD142/X142-1</f>
        <v>#DIV/0!</v>
      </c>
      <c r="AE144" s="442"/>
      <c r="AF144" s="439"/>
      <c r="AG144" s="442" t="e">
        <f>AG142/AA142-1</f>
        <v>#DIV/0!</v>
      </c>
      <c r="AH144" s="442" t="e">
        <f>AH142/AB142-1</f>
        <v>#DIV/0!</v>
      </c>
      <c r="AI144" s="442" t="e">
        <f>AI142/AC142-1</f>
        <v>#DIV/0!</v>
      </c>
      <c r="AJ144" s="442" t="e">
        <f>AJ142/AD142-1</f>
        <v>#DIV/0!</v>
      </c>
      <c r="AK144" s="442"/>
      <c r="AL144" s="439"/>
      <c r="AM144" s="442" t="e">
        <f>AM142/AG142-1</f>
        <v>#DIV/0!</v>
      </c>
      <c r="AN144" s="442" t="e">
        <f>AN142/AH142-1</f>
        <v>#DIV/0!</v>
      </c>
      <c r="AO144" s="442" t="e">
        <f>AO142/AI142-1</f>
        <v>#DIV/0!</v>
      </c>
      <c r="AP144" s="442" t="e">
        <f>AP142/AJ142-1</f>
        <v>#DIV/0!</v>
      </c>
      <c r="AQ144" s="445"/>
      <c r="AR144" s="439"/>
      <c r="AS144" s="442">
        <f>AS142/AM142-1</f>
        <v>-4.180075266363581E-2</v>
      </c>
      <c r="AT144" s="442">
        <f>AT142/AN142-1</f>
        <v>-5.5443505212274036E-2</v>
      </c>
      <c r="AU144" s="442">
        <f>AU142/AO142-1</f>
        <v>-6.5387795103512225E-2</v>
      </c>
      <c r="AV144" s="442">
        <f>AV142/AP142-1</f>
        <v>0.10632162531419032</v>
      </c>
      <c r="AW144" s="445"/>
      <c r="AX144" s="439"/>
      <c r="AY144" s="442">
        <f>AY142/AS142-1</f>
        <v>8.2324371480402503E-2</v>
      </c>
      <c r="AZ144" s="442">
        <f>AZ142/AT142-1</f>
        <v>6.7269034375877279E-2</v>
      </c>
      <c r="BA144" s="442">
        <f>BA142/AU142-1</f>
        <v>-4.7118816438040945E-5</v>
      </c>
      <c r="BB144" s="442">
        <f>BB142/AV142-1</f>
        <v>-7.8308740131318388E-2</v>
      </c>
      <c r="BC144" s="445"/>
      <c r="BD144" s="439"/>
      <c r="BE144" s="442">
        <f>BE142/AY142-1</f>
        <v>-7.7198398459981554E-2</v>
      </c>
      <c r="BF144" s="442">
        <f>BF142/AZ142-1</f>
        <v>-2.5774623960693521E-2</v>
      </c>
      <c r="BG144" s="442">
        <f>BG142/BA142-1</f>
        <v>3.1177583579472978E-2</v>
      </c>
      <c r="BH144" s="442">
        <f>BH142/BB142-1</f>
        <v>4.1077109353032215E-2</v>
      </c>
      <c r="BI144" s="445"/>
      <c r="BJ144" s="439"/>
      <c r="BK144" s="442"/>
      <c r="BL144" s="442"/>
      <c r="BM144" s="442"/>
      <c r="BN144" s="442"/>
      <c r="BO144" s="445"/>
      <c r="BP144" s="439"/>
      <c r="BQ144" s="442">
        <f>BQ143/BK143-1</f>
        <v>0.36356412984347131</v>
      </c>
      <c r="BR144" s="442">
        <f t="shared" ref="BR144:BT144" si="89">BR143/BL143-1</f>
        <v>0.37663732110867332</v>
      </c>
      <c r="BS144" s="442">
        <f t="shared" si="89"/>
        <v>0.3588696539890095</v>
      </c>
      <c r="BT144" s="442">
        <f t="shared" si="89"/>
        <v>0.43658792667603241</v>
      </c>
      <c r="BU144" s="445"/>
      <c r="BV144" s="439"/>
      <c r="BW144" s="442">
        <f>BW143/BQ143-1</f>
        <v>0.41366505281300858</v>
      </c>
      <c r="BX144" s="442">
        <f t="shared" ref="BX144" si="90">BX143/BR143-1</f>
        <v>0.391415935632768</v>
      </c>
      <c r="BY144" s="442">
        <f t="shared" ref="BY144" si="91">BY143/BS143-1</f>
        <v>0.39022281820510751</v>
      </c>
      <c r="BZ144" s="442">
        <f t="shared" ref="BZ144" si="92">BZ143/BT143-1</f>
        <v>0.30153143947788497</v>
      </c>
      <c r="CA144" s="445"/>
      <c r="CB144" s="439"/>
      <c r="CC144" s="442">
        <f>CC143/BW143-1</f>
        <v>0.2659858947374274</v>
      </c>
      <c r="CD144" s="442">
        <f t="shared" ref="CD144" si="93">CD143/BX143-1</f>
        <v>0.27259066460835002</v>
      </c>
      <c r="CE144" s="442">
        <f t="shared" ref="CE144" si="94">CE143/BY143-1</f>
        <v>0.29165470281799899</v>
      </c>
      <c r="CF144" s="442">
        <f t="shared" ref="CF144" si="95">CF143/BZ143-1</f>
        <v>0.32687200356752877</v>
      </c>
      <c r="CG144" s="445"/>
      <c r="CH144" s="439"/>
      <c r="CI144" s="442">
        <f>CI143/CC143-1</f>
        <v>0.35889801717215386</v>
      </c>
      <c r="CJ144" s="442">
        <f t="shared" ref="CJ144" si="96">CJ143/CD143-1</f>
        <v>0.3753160398854074</v>
      </c>
      <c r="CK144" s="442">
        <f t="shared" ref="CK144" si="97">CK143/CE143-1</f>
        <v>0.33837738275760776</v>
      </c>
      <c r="CL144" s="442">
        <f t="shared" ref="CL144" si="98">CL143/CF143-1</f>
        <v>0.31795002974369191</v>
      </c>
      <c r="CM144" s="445"/>
      <c r="CN144" s="439"/>
      <c r="CO144" s="442">
        <f>CO143/CI143-1</f>
        <v>0.29089179000448495</v>
      </c>
      <c r="CP144" s="442">
        <f t="shared" ref="CP144" si="99">CP143/CJ143-1</f>
        <v>0.24877851087243075</v>
      </c>
      <c r="CQ144" s="442">
        <f t="shared" ref="CQ144" si="100">CQ143/CK143-1</f>
        <v>0.24473285812843737</v>
      </c>
      <c r="CR144" s="442">
        <f t="shared" ref="CR144" si="101">CR143/CL143-1</f>
        <v>0.23726301014059969</v>
      </c>
      <c r="CS144" s="445"/>
      <c r="CT144" s="439"/>
      <c r="CU144" s="442">
        <f>CU143/CO143-1</f>
        <v>0.25418604556533486</v>
      </c>
      <c r="CV144" s="442">
        <f t="shared" ref="CV144:CX144" si="102">CV143/CP143-1</f>
        <v>0.24017999019185976</v>
      </c>
      <c r="CW144" s="442">
        <f t="shared" si="102"/>
        <v>0.23438347754746514</v>
      </c>
      <c r="CX144" s="442">
        <f t="shared" si="102"/>
        <v>0.26068843098942485</v>
      </c>
      <c r="CY144" s="445"/>
      <c r="CZ144" s="439"/>
      <c r="DA144" s="442">
        <f>DA143/CU143-1</f>
        <v>0.23432519949836839</v>
      </c>
      <c r="DB144" s="442">
        <f t="shared" ref="DB144:DD144" si="103">DB143/CV143-1</f>
        <v>0.2570480870425591</v>
      </c>
      <c r="DC144" s="442">
        <f t="shared" si="103"/>
        <v>0.26503605306743827</v>
      </c>
      <c r="DD144" s="442">
        <f t="shared" si="103"/>
        <v>0.24971161498310002</v>
      </c>
      <c r="DE144" s="445"/>
      <c r="DF144" s="439"/>
      <c r="DG144" s="442">
        <f>DG143/DA143-1</f>
        <v>0.23647588447159262</v>
      </c>
      <c r="DH144" s="442">
        <f t="shared" ref="DH144" si="104">DH143/DB143-1</f>
        <v>0.2255599700385591</v>
      </c>
      <c r="DI144" s="442">
        <f t="shared" ref="DI144" si="105">DI143/DC143-1</f>
        <v>0.22075795472926196</v>
      </c>
      <c r="DJ144" s="442">
        <f t="shared" ref="DJ144" si="106">DJ143/DD143-1</f>
        <v>0.20821496940304418</v>
      </c>
      <c r="DK144" s="445"/>
      <c r="DL144" s="439"/>
      <c r="DM144" s="442">
        <f>DM143/DG143-1</f>
        <v>0.21140895385632685</v>
      </c>
      <c r="DN144" s="442">
        <f t="shared" ref="DN144" si="107">DN143/DH143-1</f>
        <v>0.20822427767299456</v>
      </c>
      <c r="DO144" s="442">
        <f t="shared" ref="DO144" si="108">DO143/DI143-1</f>
        <v>0.2045610188614071</v>
      </c>
      <c r="DP144" s="442">
        <f t="shared" ref="DP144" si="109">DP143/DJ143-1</f>
        <v>0.20070226801885593</v>
      </c>
      <c r="DQ144" s="445"/>
      <c r="DR144" s="439"/>
      <c r="DS144" s="442">
        <f>DS143/DM143-1</f>
        <v>0.19916855587542548</v>
      </c>
      <c r="DT144" s="442">
        <f t="shared" ref="DT144" si="110">DT143/DN143-1</f>
        <v>0.19924298392098283</v>
      </c>
      <c r="DU144" s="442">
        <f t="shared" ref="DU144" si="111">DU143/DO143-1</f>
        <v>0.19945773447826132</v>
      </c>
      <c r="DV144" s="442">
        <f t="shared" ref="DV144" si="112">DV143/DP143-1</f>
        <v>0.19467364699635126</v>
      </c>
      <c r="DW144" s="445"/>
      <c r="DX144" s="656"/>
      <c r="DY144" s="656"/>
      <c r="DZ144" s="656"/>
      <c r="EA144" s="656"/>
      <c r="EB144" s="656"/>
      <c r="EC144" s="656"/>
      <c r="ED144" s="656"/>
      <c r="EE144" s="656"/>
      <c r="EF144" s="656"/>
      <c r="EJ144" s="656"/>
      <c r="EK144" s="656"/>
      <c r="EL144" s="656"/>
    </row>
    <row r="145" spans="1:142" s="475" customFormat="1" ht="12" customHeight="1" thickBot="1">
      <c r="G145" s="476"/>
      <c r="M145" s="476"/>
      <c r="S145" s="476"/>
      <c r="Y145" s="476"/>
      <c r="AE145" s="476"/>
      <c r="AK145" s="476"/>
      <c r="AQ145" s="1518"/>
      <c r="AR145" s="1519"/>
      <c r="AS145" s="1519"/>
      <c r="AT145" s="1519"/>
      <c r="AU145" s="1519"/>
      <c r="AV145" s="1519"/>
      <c r="AW145" s="1518"/>
      <c r="AX145" s="1519"/>
      <c r="AY145" s="1519"/>
      <c r="AZ145" s="1519"/>
      <c r="BA145" s="1519"/>
      <c r="BB145" s="1519"/>
      <c r="BC145" s="1518"/>
      <c r="BD145" s="1519"/>
      <c r="BE145" s="1519"/>
      <c r="BF145" s="1520"/>
      <c r="BG145" s="483"/>
      <c r="BH145" s="483"/>
      <c r="BI145" s="1518"/>
      <c r="BJ145" s="1519"/>
      <c r="BK145" s="1521"/>
      <c r="BL145" s="1521"/>
      <c r="BO145" s="1518"/>
      <c r="BQ145" s="1521"/>
      <c r="BR145" s="1521"/>
      <c r="BT145" s="484"/>
      <c r="BU145" s="1518"/>
      <c r="BW145" s="1521"/>
      <c r="CA145" s="481"/>
      <c r="CC145" s="1522"/>
      <c r="CG145" s="481"/>
      <c r="CI145" s="1522"/>
      <c r="CM145" s="481"/>
      <c r="CO145" s="1522"/>
      <c r="CS145" s="481"/>
      <c r="CY145" s="481"/>
      <c r="DE145" s="481"/>
      <c r="DG145" s="1522"/>
      <c r="DK145" s="481"/>
      <c r="DM145" s="1522"/>
      <c r="DQ145" s="481"/>
      <c r="DS145" s="1522"/>
      <c r="DW145" s="481"/>
      <c r="DX145" s="656"/>
      <c r="DY145" s="656"/>
      <c r="DZ145" s="656"/>
      <c r="EA145" s="656"/>
      <c r="EB145" s="656"/>
      <c r="EC145" s="656"/>
      <c r="ED145" s="656"/>
      <c r="EE145" s="656"/>
      <c r="EF145" s="656"/>
      <c r="EJ145" s="656"/>
      <c r="EK145" s="656"/>
      <c r="EL145" s="656"/>
    </row>
    <row r="146" spans="1:142" s="500" customFormat="1" ht="12" customHeight="1">
      <c r="A146" s="2004" t="s">
        <v>185</v>
      </c>
      <c r="B146" s="474"/>
      <c r="C146" s="474"/>
      <c r="D146" s="474"/>
      <c r="E146" s="474"/>
      <c r="F146" s="474"/>
      <c r="G146" s="474"/>
      <c r="H146" s="474"/>
      <c r="I146" s="474"/>
      <c r="J146" s="474"/>
      <c r="K146" s="474"/>
      <c r="L146" s="474"/>
      <c r="M146" s="806"/>
      <c r="N146" s="474"/>
      <c r="O146" s="806">
        <f>Model!G23+(O164-L164)</f>
        <v>0.18804690862143164</v>
      </c>
      <c r="P146" s="806">
        <f>Model!H23+(P164-O164)</f>
        <v>4.7593256783889454E-2</v>
      </c>
      <c r="Q146" s="806">
        <f>Model!I23+(Q164-P164)</f>
        <v>-4.2140409877532758E-2</v>
      </c>
      <c r="R146" s="806">
        <f>Model!J23+(R164-Q164)</f>
        <v>2.9948890096716307E-2</v>
      </c>
      <c r="S146" s="806">
        <f>SUM(O146:R146)</f>
        <v>0.22344864562450464</v>
      </c>
      <c r="T146" s="474"/>
      <c r="U146" s="806">
        <f>Model!M19+(BS!M33-BS!J33)</f>
        <v>24.052</v>
      </c>
      <c r="V146" s="806">
        <f>Model!N19+(BS!N33-BS!M33)</f>
        <v>26.762</v>
      </c>
      <c r="W146" s="806">
        <f>Model!O19+(BS!O33-BS!N33)</f>
        <v>30.393000000000001</v>
      </c>
      <c r="X146" s="806">
        <f>Model!P19+(BS!P33-BS!O33)</f>
        <v>45.322000000000003</v>
      </c>
      <c r="Y146" s="2006">
        <f>SUM(U146:X146)</f>
        <v>126.529</v>
      </c>
      <c r="Z146" s="474"/>
      <c r="AA146" s="806">
        <f>Model!S19+(BS!S33-BS!P33)</f>
        <v>37.502000000000002</v>
      </c>
      <c r="AB146" s="806">
        <f>Model!T19+(BS!T33-BS!S33)</f>
        <v>49.798000000000002</v>
      </c>
      <c r="AC146" s="806">
        <f>Model!U19+(BS!U33-BS!T33)</f>
        <v>59.043999999999997</v>
      </c>
      <c r="AD146" s="806">
        <f>Model!V19+(BS!V33-BS!U33)</f>
        <v>76.254000000000005</v>
      </c>
      <c r="AE146" s="2006">
        <f>SUM(AA146:AD146)</f>
        <v>222.59800000000001</v>
      </c>
      <c r="AF146" s="474"/>
      <c r="AG146" s="806">
        <f>Model!Y19+(BS!Y33-BS!V33)</f>
        <v>72.921999999999983</v>
      </c>
      <c r="AH146" s="806">
        <f>Model!Z19+(BS!Z33-BS!Y33)</f>
        <v>84.609000000000023</v>
      </c>
      <c r="AI146" s="806">
        <f>Model!AA19+(BS!AA33-BS!Z33)</f>
        <v>92.471999999999994</v>
      </c>
      <c r="AJ146" s="806">
        <f>Model!AB19+(BS!AB33-BS!AA33)</f>
        <v>133.12900000000002</v>
      </c>
      <c r="AK146" s="2006">
        <f>SUM(AG146:AJ146)</f>
        <v>383.13200000000001</v>
      </c>
      <c r="AL146" s="474"/>
      <c r="AM146" s="806">
        <f>Model!AE19+(BS!AE33-BS!AB33)</f>
        <v>117.54699999999998</v>
      </c>
      <c r="AN146" s="806">
        <f>Model!AF19+(BS!AF33-BS!AE33)</f>
        <v>138.93700000000001</v>
      </c>
      <c r="AO146" s="806">
        <f>Model!AG19+(BS!AG33-BS!AF33)</f>
        <v>146.648</v>
      </c>
      <c r="AP146" s="806">
        <f>Model!AH19+(BS!AH33-BS!AG33)</f>
        <v>208.85399999999998</v>
      </c>
      <c r="AQ146" s="2006">
        <f>SUM(AM146:AP146)</f>
        <v>611.98599999999988</v>
      </c>
      <c r="AR146" s="474"/>
      <c r="AS146" s="806">
        <f>Model!AK19+(BS!AK33-BS!AH33)</f>
        <v>174.02100000000004</v>
      </c>
      <c r="AT146" s="806">
        <f>Model!AL19+(BS!AL33-BS!AK33)</f>
        <v>202.75899999999993</v>
      </c>
      <c r="AU146" s="806">
        <f>Model!AM19+(BS!AM33-BS!AL33)</f>
        <v>211.75900000000001</v>
      </c>
      <c r="AV146" s="806">
        <f>Model!AN19+(BS!AN33-BS!AM33)</f>
        <v>344.91900000000004</v>
      </c>
      <c r="AW146" s="2006">
        <f>SUM(AS146:AV146)</f>
        <v>933.45800000000008</v>
      </c>
      <c r="AX146" s="474"/>
      <c r="AY146" s="806">
        <f>Model!AQ19+(BS!AQ33-BS!AN33)</f>
        <v>236.714</v>
      </c>
      <c r="AZ146" s="806">
        <f>Model!AR19+(BS!AR33-BS!AQ33)</f>
        <v>272.11199999999997</v>
      </c>
      <c r="BA146" s="806">
        <f>Model!AS19+(BS!AS33-BS!AR33)</f>
        <v>267.58299999999997</v>
      </c>
      <c r="BB146" s="806">
        <f>Model!AT19+(BS!AT33-BS!AS33)</f>
        <v>415.30200000000008</v>
      </c>
      <c r="BC146" s="2006">
        <f>SUM(AY146:BB146)</f>
        <v>1191.711</v>
      </c>
      <c r="BD146" s="474"/>
      <c r="BE146" s="806">
        <f>Model!AW19+(BS!AW33-BS!AT33)</f>
        <v>260.65099999999995</v>
      </c>
      <c r="BF146" s="806">
        <f>Model!AX19+(BS!AX33-BS!AW33)</f>
        <v>315.40699999999998</v>
      </c>
      <c r="BG146" s="806">
        <f>Model!AY19+(BS!AY33-BS!AX33)</f>
        <v>325.21499999999992</v>
      </c>
      <c r="BH146" s="806">
        <f>Model!AZ19+(BS!AZ33-BS!AY33)</f>
        <v>510.72400000000005</v>
      </c>
      <c r="BI146" s="2006">
        <f>SUM(BE146:BH146)</f>
        <v>1411.9969999999998</v>
      </c>
      <c r="BJ146" s="474"/>
      <c r="BK146" s="806">
        <f>Model!BC19+(BS!BC33-BS!AZ33)</f>
        <v>334.08999999999992</v>
      </c>
      <c r="BL146" s="806">
        <f>Model!BD19+(BS!BD33-BS!BC33)</f>
        <v>409.81500000000011</v>
      </c>
      <c r="BM146" s="806">
        <f>Model!BE19+(BS!BE33-BS!BD33)</f>
        <v>438.64399999999989</v>
      </c>
      <c r="BN146" s="806">
        <f>Model!BF19+(BS!BF33-BS!BE33)</f>
        <v>697.65200000000004</v>
      </c>
      <c r="BO146" s="2006">
        <f>SUM(BK146:BN146)</f>
        <v>1880.201</v>
      </c>
      <c r="BP146" s="474"/>
      <c r="BQ146" s="806">
        <f>Model!BI19+(BS!BI33-BS!BF33)</f>
        <v>485.029</v>
      </c>
      <c r="BR146" s="806">
        <f>Model!BJ19+(BS!BJ33-BS!BI33)</f>
        <v>569.85299999999995</v>
      </c>
      <c r="BS146" s="806">
        <f>Model!BK19+(BS!BK33-BS!BJ33)</f>
        <v>571.55999999999995</v>
      </c>
      <c r="BT146" s="806">
        <f>Model!BL19+(BS!BL33-BS!BK33)</f>
        <v>1018.4800000000001</v>
      </c>
      <c r="BU146" s="2006">
        <f>SUM(BQ146:BT146)</f>
        <v>2644.922</v>
      </c>
      <c r="BV146" s="474"/>
      <c r="BW146" s="806">
        <f>Model!BO19+(BS!BO33-BS!BL33)</f>
        <v>661.21399999999983</v>
      </c>
      <c r="BX146" s="806">
        <f>Model!BP19+(BS!BP33-BS!BO33)</f>
        <v>742.68700000000001</v>
      </c>
      <c r="BY146" s="806">
        <f>Model!BQ19+(BS!BQ33-BS!BP33)</f>
        <v>746.10900000000004</v>
      </c>
      <c r="BZ146" s="806">
        <f>Model!BR19+(BS!BR33-BS!BQ33)</f>
        <v>1407.2030000000002</v>
      </c>
      <c r="CA146" s="2006">
        <f>SUM(BW146:BZ146)</f>
        <v>3557.2129999999997</v>
      </c>
      <c r="CB146" s="474"/>
      <c r="CC146" s="806">
        <f>Model!BU19+(BS!BU33-BS!BR33)</f>
        <v>768.79</v>
      </c>
      <c r="CD146" s="806">
        <f>Model!BV19+(BS!BV33-BS!BU33)-44</f>
        <v>973.13799999999992</v>
      </c>
      <c r="CE146" s="806">
        <f>Model!BW19+(BS!BW33-BS!BV33)</f>
        <v>1027.4550000000002</v>
      </c>
      <c r="CF146" s="806">
        <f>Model!BX19+(BS!BX33-BS!BW33)</f>
        <v>1932.6849999999999</v>
      </c>
      <c r="CG146" s="2006">
        <f>SUM(CC146:CF146)</f>
        <v>4702.0679999999993</v>
      </c>
      <c r="CH146" s="474"/>
      <c r="CI146" s="806">
        <f>Model!CA19+(BS!CA33-BS!BX33)</f>
        <v>1041.3910000000001</v>
      </c>
      <c r="CJ146" s="806">
        <f>Model!CB19+(BS!CB33-BS!CA33)</f>
        <v>1346.8009999999999</v>
      </c>
      <c r="CK146" s="806">
        <f>Model!CC19+(BS!CC33-BS!CB33)</f>
        <v>1259.7360000000001</v>
      </c>
      <c r="CL146" s="806">
        <f>Model!CD19+(BS!CD33-BS!CC33)</f>
        <v>2538.7209999999995</v>
      </c>
      <c r="CM146" s="2006">
        <f>SUM(CI146:CL146)</f>
        <v>6186.6489999999994</v>
      </c>
      <c r="CN146" s="474"/>
      <c r="CO146" s="806">
        <f>Model!CG19+(BS!CG33-BS!CD33)</f>
        <v>1257.17</v>
      </c>
      <c r="CP146" s="806">
        <f>Model!CH19+(BS!CH33-BS!CG33)</f>
        <v>1616.8529999999998</v>
      </c>
      <c r="CQ146" s="806">
        <f>Model!CI19+(BS!CI33-BS!CH33)</f>
        <v>1524.3119999999999</v>
      </c>
      <c r="CR146" s="806">
        <f>Model!CJ19+(BS!CJ33-BS!CI33)</f>
        <v>3249.7800000000007</v>
      </c>
      <c r="CS146" s="2006">
        <f>SUM(CO146:CR146)</f>
        <v>7648.1150000000007</v>
      </c>
      <c r="CT146" s="474"/>
      <c r="CU146" s="806">
        <f>Model!CM19+(BS!CM33-BS!CJ33)</f>
        <v>1640.8419999999996</v>
      </c>
      <c r="CV146" s="806">
        <f>Model!CN19+(BS!CN33-BS!CM33)</f>
        <v>1852.9119999999998</v>
      </c>
      <c r="CW146" s="806">
        <f>Model!CO19+(BS!CO33-BS!CN33)</f>
        <v>1815.2680000000005</v>
      </c>
      <c r="CX146" s="806">
        <f>Model!CP19+(BS!CP33-BS!CO33)</f>
        <v>4320.9840000000004</v>
      </c>
      <c r="CY146" s="2006">
        <f>SUM(CU146:CX146)</f>
        <v>9630.0060000000012</v>
      </c>
      <c r="CZ146" s="474"/>
      <c r="DA146" s="806">
        <f>Model!CS19+(BS!CS33-BS!CP33)</f>
        <v>1924.5419999999995</v>
      </c>
      <c r="DB146" s="806">
        <f>Model!CT19+(BS!CT33-BS!CS33)</f>
        <v>2337.5709999999999</v>
      </c>
      <c r="DC146" s="806">
        <f>Model!CU19+(BS!CU33-BS!CT33)</f>
        <v>2253.2890000000002</v>
      </c>
      <c r="DD146" s="806">
        <f>Model!CV19+(BS!CV33-BS!CU33)</f>
        <v>5553.6260000000002</v>
      </c>
      <c r="DE146" s="2006">
        <f>SUM(DA146:DD146)</f>
        <v>12069.028</v>
      </c>
      <c r="DF146" s="474"/>
      <c r="DG146" s="806">
        <f>Model!CY19+(DG159-DD159)</f>
        <v>2086.3577969999988</v>
      </c>
      <c r="DH146" s="806">
        <f>Model!CZ19+(BS!CZ33-BS!CY33)</f>
        <v>2823.1401287999997</v>
      </c>
      <c r="DI146" s="806">
        <f>Model!DA19+(BS!DA33-BS!CZ33)</f>
        <v>2736.8636969999984</v>
      </c>
      <c r="DJ146" s="806">
        <f>Model!DB19+(BS!DB33-BS!DA33)</f>
        <v>6890.779399</v>
      </c>
      <c r="DK146" s="2006">
        <f>SUM(DG146:DJ146)</f>
        <v>14537.141021799998</v>
      </c>
      <c r="DL146" s="474"/>
      <c r="DM146" s="806">
        <f>Model!DE19+(BS!DE33-BS!DB33)</f>
        <v>2365.7716755128672</v>
      </c>
      <c r="DN146" s="806">
        <f>Model!DF19+(BS!DF33-BS!DE33)</f>
        <v>3370.8652585776449</v>
      </c>
      <c r="DO146" s="806">
        <f>Model!DG19+(BS!DG33-BS!DF33)</f>
        <v>3272.7754113484339</v>
      </c>
      <c r="DP146" s="806">
        <f>Model!DH19+(BS!DH33-BS!DG33)</f>
        <v>8445.3658499462581</v>
      </c>
      <c r="DQ146" s="2006">
        <f>SUM(DM146:DP146)</f>
        <v>17454.778195385203</v>
      </c>
      <c r="DR146" s="474"/>
      <c r="DS146" s="806">
        <f>Model!DK19+(BS!DK33-BS!DH33)</f>
        <v>2678.5402229848078</v>
      </c>
      <c r="DT146" s="806">
        <f>Model!DL19+(BS!DL33-BS!DK33)</f>
        <v>4028.823544803814</v>
      </c>
      <c r="DU146" s="806">
        <f>Model!DM19+(BS!DM33-BS!DL33)</f>
        <v>3918.8783498198181</v>
      </c>
      <c r="DV146" s="806">
        <f>Model!DN19+(BS!DN33-BS!DM33)</f>
        <v>10226.521406584798</v>
      </c>
      <c r="DW146" s="2006">
        <f>SUM(DS146:DV146)</f>
        <v>20852.763524193237</v>
      </c>
      <c r="DX146" s="655"/>
      <c r="DY146" s="655"/>
      <c r="DZ146" s="655"/>
      <c r="EA146" s="655"/>
      <c r="EB146" s="655"/>
      <c r="EC146" s="655"/>
      <c r="ED146" s="655"/>
      <c r="EE146" s="655"/>
      <c r="EF146" s="655"/>
      <c r="EJ146" s="655"/>
      <c r="EK146" s="655"/>
      <c r="EL146" s="655"/>
    </row>
    <row r="147" spans="1:142" s="500" customFormat="1" ht="12" customHeight="1">
      <c r="A147" s="2005" t="s">
        <v>877</v>
      </c>
      <c r="B147" s="432"/>
      <c r="C147" s="432"/>
      <c r="D147" s="432"/>
      <c r="E147" s="432"/>
      <c r="F147" s="432"/>
      <c r="G147" s="432"/>
      <c r="H147" s="432"/>
      <c r="I147" s="432"/>
      <c r="J147" s="432"/>
      <c r="K147" s="432"/>
      <c r="L147" s="432"/>
      <c r="M147" s="432"/>
      <c r="N147" s="432"/>
      <c r="O147" s="432"/>
      <c r="P147" s="432"/>
      <c r="Q147" s="432"/>
      <c r="R147" s="1739"/>
      <c r="S147" s="432"/>
      <c r="T147" s="432"/>
      <c r="U147" s="1739">
        <f>U146/O146-1</f>
        <v>126.90425631734529</v>
      </c>
      <c r="V147" s="1739">
        <f>V146/P146-1</f>
        <v>561.3065494660384</v>
      </c>
      <c r="W147" s="1739">
        <f>W146/Q146-1</f>
        <v>-722.23171294079145</v>
      </c>
      <c r="X147" s="1739">
        <f>X146/R146-1</f>
        <v>1512.3115068250643</v>
      </c>
      <c r="Y147" s="1739">
        <f>Y146/S146-1</f>
        <v>565.25539012049444</v>
      </c>
      <c r="Z147" s="432"/>
      <c r="AA147" s="1739">
        <f>AA146/U146-1</f>
        <v>0.55920505571262269</v>
      </c>
      <c r="AB147" s="1739">
        <f>AB146/V146-1</f>
        <v>0.86077273746356786</v>
      </c>
      <c r="AC147" s="1739">
        <f>AC146/W146-1</f>
        <v>0.94268417069719979</v>
      </c>
      <c r="AD147" s="1739">
        <f>AD146/X146-1</f>
        <v>0.68249415295000215</v>
      </c>
      <c r="AE147" s="1739">
        <f>AE146/Y146-1</f>
        <v>0.75926467450149793</v>
      </c>
      <c r="AF147" s="432"/>
      <c r="AG147" s="1739">
        <f>AG146/AA146-1</f>
        <v>0.94448296090875106</v>
      </c>
      <c r="AH147" s="1739">
        <f>AH146/AB146-1</f>
        <v>0.69904413831880841</v>
      </c>
      <c r="AI147" s="1739">
        <f>AI146/AC146-1</f>
        <v>0.56615405460334656</v>
      </c>
      <c r="AJ147" s="1739">
        <f>AJ146/AD146-1</f>
        <v>0.74586251213051136</v>
      </c>
      <c r="AK147" s="1739">
        <f>AK146/AE146-1</f>
        <v>0.72118347873745492</v>
      </c>
      <c r="AL147" s="432"/>
      <c r="AM147" s="1739">
        <f>AM146/AG146-1</f>
        <v>0.6119552398453143</v>
      </c>
      <c r="AN147" s="1739">
        <f>AN146/AH146-1</f>
        <v>0.64210663168220838</v>
      </c>
      <c r="AO147" s="1739">
        <f>AO146/AI146-1</f>
        <v>0.58586382905095613</v>
      </c>
      <c r="AP147" s="1739">
        <f>AP146/AJ146-1</f>
        <v>0.56880920009915159</v>
      </c>
      <c r="AQ147" s="366">
        <f>AQ146/AK146-1</f>
        <v>0.59732415981959175</v>
      </c>
      <c r="AR147" s="432"/>
      <c r="AS147" s="1739">
        <f>AS146/AM146-1</f>
        <v>0.48043761218916736</v>
      </c>
      <c r="AT147" s="1739">
        <f>AT146/AN146-1</f>
        <v>0.45935927794611886</v>
      </c>
      <c r="AU147" s="1739">
        <f>AU146/AO146-1</f>
        <v>0.44399514483661573</v>
      </c>
      <c r="AV147" s="1739">
        <f>AV146/AP146-1</f>
        <v>0.65148381165790492</v>
      </c>
      <c r="AW147" s="366">
        <f>AW146/AQ146-1</f>
        <v>0.5252930622595946</v>
      </c>
      <c r="AX147" s="432"/>
      <c r="AY147" s="1739">
        <f>AY146/AS146-1</f>
        <v>0.36026111791105642</v>
      </c>
      <c r="AZ147" s="1739">
        <f>AZ146/AT146-1</f>
        <v>0.34204646896068769</v>
      </c>
      <c r="BA147" s="1739">
        <f>BA146/AU146-1</f>
        <v>0.26362043643953714</v>
      </c>
      <c r="BB147" s="1739">
        <f>BB146/AV146-1</f>
        <v>0.20405660459412212</v>
      </c>
      <c r="BC147" s="366">
        <f>BC146/AW146-1</f>
        <v>0.27666268862659038</v>
      </c>
      <c r="BD147" s="432"/>
      <c r="BE147" s="1739">
        <f>BE146/AY146-1</f>
        <v>0.10112202911530344</v>
      </c>
      <c r="BF147" s="1739">
        <f>BF146/AZ146-1</f>
        <v>0.15910727935555946</v>
      </c>
      <c r="BG147" s="1739">
        <f>BG146/BA146-1</f>
        <v>0.21537990081582148</v>
      </c>
      <c r="BH147" s="1739">
        <f>BH146/BB146-1</f>
        <v>0.22976532740030131</v>
      </c>
      <c r="BI147" s="366">
        <f>BI146/BC146-1</f>
        <v>0.18484850773383799</v>
      </c>
      <c r="BJ147" s="432"/>
      <c r="BK147" s="1739">
        <f>BK146/BE146-1</f>
        <v>0.28175222807508882</v>
      </c>
      <c r="BL147" s="1739">
        <f>BL146/BF146-1</f>
        <v>0.29932119452009665</v>
      </c>
      <c r="BM147" s="1739">
        <f>BM146/BG146-1</f>
        <v>0.34878157526559361</v>
      </c>
      <c r="BN147" s="2007">
        <f>BN146/BH146-1</f>
        <v>0.36600590534221999</v>
      </c>
      <c r="BO147" s="2008">
        <f>BO146/BI146-1</f>
        <v>0.33158993963868211</v>
      </c>
      <c r="BP147" s="432"/>
      <c r="BQ147" s="2007">
        <f>BQ146/BK146-1</f>
        <v>0.45179143344607775</v>
      </c>
      <c r="BR147" s="2009">
        <f>BR146/BL146-1</f>
        <v>0.39051279235752667</v>
      </c>
      <c r="BS147" s="1739">
        <f>BS146/BM146-1</f>
        <v>0.3030156573439966</v>
      </c>
      <c r="BT147" s="2007">
        <f>BT146/BN146-1</f>
        <v>0.45986824376623314</v>
      </c>
      <c r="BU147" s="2010">
        <f>BU146/BO146-1</f>
        <v>0.40672300461493216</v>
      </c>
      <c r="BV147" s="432"/>
      <c r="BW147" s="2007">
        <f>BW146/BQ146-1</f>
        <v>0.36324632135398049</v>
      </c>
      <c r="BX147" s="1739">
        <f>BX146/BR146-1</f>
        <v>0.30329576224043753</v>
      </c>
      <c r="BY147" s="1739">
        <f>BY146/BS146-1</f>
        <v>0.30539051018265817</v>
      </c>
      <c r="BZ147" s="1739">
        <f>BZ146/BT146-1</f>
        <v>0.38166974314665003</v>
      </c>
      <c r="CA147" s="2011">
        <f>CA146/BU146-1</f>
        <v>0.34492170279501622</v>
      </c>
      <c r="CB147" s="432"/>
      <c r="CC147" s="1739">
        <f>CC146/BW146-1</f>
        <v>0.16269467978596963</v>
      </c>
      <c r="CD147" s="1739">
        <f>CD146/BX146-1</f>
        <v>0.31029356916170592</v>
      </c>
      <c r="CE147" s="1739">
        <f>CE146/BY146-1</f>
        <v>0.37708431341801285</v>
      </c>
      <c r="CF147" s="1739">
        <f>CF146/BZ146-1</f>
        <v>0.37342302425449603</v>
      </c>
      <c r="CG147" s="2010">
        <f>CG146/CA146-1</f>
        <v>0.32184044081701035</v>
      </c>
      <c r="CH147" s="432"/>
      <c r="CI147" s="1739">
        <f>CI146/CC146-1</f>
        <v>0.35458447690526684</v>
      </c>
      <c r="CJ147" s="1739">
        <f>CJ146/CD146-1</f>
        <v>0.38397740094416211</v>
      </c>
      <c r="CK147" s="1739">
        <f>CK146/CE146-1</f>
        <v>0.22607413463363346</v>
      </c>
      <c r="CL147" s="1739">
        <f>CL146/CF146-1</f>
        <v>0.31357205131720867</v>
      </c>
      <c r="CM147" s="2010">
        <f>CM146/CG146-1</f>
        <v>0.31572937694648395</v>
      </c>
      <c r="CN147" s="432"/>
      <c r="CO147" s="1739">
        <f>CO146/CI146-1</f>
        <v>0.20720267411567805</v>
      </c>
      <c r="CP147" s="1739">
        <f>CP146/CJ146-1</f>
        <v>0.2005136616322678</v>
      </c>
      <c r="CQ147" s="1739">
        <f>CQ146/CK146-1</f>
        <v>0.21002495761016582</v>
      </c>
      <c r="CR147" s="1739">
        <f>CR146/CL146-1</f>
        <v>0.28008552337968662</v>
      </c>
      <c r="CS147" s="2010">
        <f>CS146/CM146-1</f>
        <v>0.2362290150936317</v>
      </c>
      <c r="CT147" s="432"/>
      <c r="CU147" s="1739">
        <f>CU146/CO146-1</f>
        <v>0.30518704709784639</v>
      </c>
      <c r="CV147" s="1739">
        <f>CV146/CP146-1</f>
        <v>0.14599904876943048</v>
      </c>
      <c r="CW147" s="1741">
        <f>CW146/CQ146-1</f>
        <v>0.19087693333123434</v>
      </c>
      <c r="CX147" s="1739">
        <f>CX146/CR146-1</f>
        <v>0.32962354374757652</v>
      </c>
      <c r="CY147" s="2010">
        <f>CY146/CS146-1</f>
        <v>0.25913457106751148</v>
      </c>
      <c r="CZ147" s="432"/>
      <c r="DA147" s="1739">
        <f>DA146/CU146-1</f>
        <v>0.17289903598274536</v>
      </c>
      <c r="DB147" s="2009">
        <f>DB146/CV146-1</f>
        <v>0.26156611862840773</v>
      </c>
      <c r="DC147" s="1741">
        <f>DC146/CW146-1</f>
        <v>0.24129825458279419</v>
      </c>
      <c r="DD147" s="1739">
        <f>DD146/CX146-1</f>
        <v>0.28526881839877216</v>
      </c>
      <c r="DE147" s="2011">
        <f>DE146/CY146-1</f>
        <v>0.2532731547623126</v>
      </c>
      <c r="DF147" s="432"/>
      <c r="DG147" s="1741">
        <f>DG146/DA146-1</f>
        <v>8.4080158811810524E-2</v>
      </c>
      <c r="DH147" s="1739">
        <f>DH146/DB146-1</f>
        <v>0.20772379910599503</v>
      </c>
      <c r="DI147" s="1739">
        <f>DI146/DC146-1</f>
        <v>0.21460837779796482</v>
      </c>
      <c r="DJ147" s="1739">
        <f>DJ146/DD146-1</f>
        <v>0.2407712364858563</v>
      </c>
      <c r="DK147" s="2011">
        <f>DK146/DE146-1</f>
        <v>0.20449973451051706</v>
      </c>
      <c r="DL147" s="432"/>
      <c r="DM147" s="1739">
        <f>DM146/DG146-1</f>
        <v>0.13392423816981025</v>
      </c>
      <c r="DN147" s="1739">
        <f>DN146/DH146-1</f>
        <v>0.19401273220201798</v>
      </c>
      <c r="DO147" s="1739">
        <f>DO146/DI146-1</f>
        <v>0.19581235080719317</v>
      </c>
      <c r="DP147" s="1739">
        <f>DP146/DJ146-1</f>
        <v>0.22560386292033408</v>
      </c>
      <c r="DQ147" s="2011">
        <f>DQ146/DK146-1</f>
        <v>0.20070226801885571</v>
      </c>
      <c r="DR147" s="432"/>
      <c r="DS147" s="1739">
        <f>DS146/DM146-1</f>
        <v>0.13220571989650542</v>
      </c>
      <c r="DT147" s="1739">
        <f>DT146/DN146-1</f>
        <v>0.19518973193956679</v>
      </c>
      <c r="DU147" s="1739">
        <f>DU146/DO146-1</f>
        <v>0.19741743849303117</v>
      </c>
      <c r="DV147" s="1739">
        <f>DV146/DP146-1</f>
        <v>0.21090330345486152</v>
      </c>
      <c r="DW147" s="2011">
        <f>DW146/DQ146-1</f>
        <v>0.1946736469963517</v>
      </c>
      <c r="DX147" s="655"/>
      <c r="DY147" s="655"/>
      <c r="DZ147" s="655"/>
      <c r="EA147" s="655"/>
      <c r="EB147" s="655"/>
      <c r="EC147" s="655"/>
      <c r="ED147" s="655"/>
      <c r="EE147" s="655"/>
      <c r="EF147" s="655"/>
      <c r="EJ147" s="655"/>
      <c r="EK147" s="655"/>
      <c r="EL147" s="655"/>
    </row>
    <row r="148" spans="1:142" s="475" customFormat="1" ht="12" customHeight="1" thickBot="1">
      <c r="A148" s="461" t="s">
        <v>878</v>
      </c>
      <c r="B148" s="462"/>
      <c r="C148" s="462"/>
      <c r="D148" s="462"/>
      <c r="E148" s="462"/>
      <c r="F148" s="462"/>
      <c r="G148" s="463"/>
      <c r="H148" s="462"/>
      <c r="I148" s="462"/>
      <c r="J148" s="462"/>
      <c r="K148" s="462"/>
      <c r="L148" s="462"/>
      <c r="M148" s="463"/>
      <c r="N148" s="462"/>
      <c r="O148" s="462"/>
      <c r="P148" s="464">
        <f>P146/O146-1</f>
        <v>-0.74690752890970269</v>
      </c>
      <c r="Q148" s="464">
        <f>Q146/P146-1</f>
        <v>-1.8854281619953668</v>
      </c>
      <c r="R148" s="464">
        <f>R146/Q146-1</f>
        <v>-1.7106928998496431</v>
      </c>
      <c r="S148" s="463"/>
      <c r="T148" s="462"/>
      <c r="U148" s="464">
        <f>U146/R146-1</f>
        <v>802.10154808164793</v>
      </c>
      <c r="V148" s="464">
        <f>V146/U146-1</f>
        <v>0.11267254282388173</v>
      </c>
      <c r="W148" s="464">
        <f>W146/V146-1</f>
        <v>0.135677453105149</v>
      </c>
      <c r="X148" s="464">
        <f>X146/W146-1</f>
        <v>0.49119863126377794</v>
      </c>
      <c r="Y148" s="463"/>
      <c r="Z148" s="462"/>
      <c r="AA148" s="464">
        <f>AA146/X146-1</f>
        <v>-0.17254313578394598</v>
      </c>
      <c r="AB148" s="464">
        <f>AB146/AA146-1</f>
        <v>0.32787584662151348</v>
      </c>
      <c r="AC148" s="464">
        <f>AC146/AB146-1</f>
        <v>0.18567010723322208</v>
      </c>
      <c r="AD148" s="464">
        <f>AD146/AC146-1</f>
        <v>0.29147754217193977</v>
      </c>
      <c r="AE148" s="463"/>
      <c r="AF148" s="462"/>
      <c r="AG148" s="464">
        <f>AG146/AD146-1</f>
        <v>-4.3696068402969357E-2</v>
      </c>
      <c r="AH148" s="464">
        <f>AH146/AG146-1</f>
        <v>0.16026713474671617</v>
      </c>
      <c r="AI148" s="464">
        <f>AI146/AH146-1</f>
        <v>9.2933375881997904E-2</v>
      </c>
      <c r="AJ148" s="464">
        <f>AJ146/AI146-1</f>
        <v>0.43966822389480087</v>
      </c>
      <c r="AK148" s="463"/>
      <c r="AL148" s="462"/>
      <c r="AM148" s="464">
        <f>AM146/AJ146-1</f>
        <v>-0.11704437049778815</v>
      </c>
      <c r="AN148" s="464">
        <f>AN146/AM146-1</f>
        <v>0.18196976528537556</v>
      </c>
      <c r="AO148" s="464">
        <f>AO146/AN146-1</f>
        <v>5.5499974808726149E-2</v>
      </c>
      <c r="AP148" s="464">
        <f>AP146/AO146-1</f>
        <v>0.42418580546615026</v>
      </c>
      <c r="AQ148" s="465"/>
      <c r="AR148" s="462"/>
      <c r="AS148" s="464">
        <f>AS146/AP146-1</f>
        <v>-0.16678157947657191</v>
      </c>
      <c r="AT148" s="464">
        <f>AT146/AS146-1</f>
        <v>0.16514098873124428</v>
      </c>
      <c r="AU148" s="464">
        <f>AU146/AT146-1</f>
        <v>4.4387672063879169E-2</v>
      </c>
      <c r="AV148" s="464">
        <f>AV146/AU146-1</f>
        <v>0.62882805453369173</v>
      </c>
      <c r="AW148" s="466"/>
      <c r="AX148" s="462"/>
      <c r="AY148" s="464">
        <f>AY146/AV146-1</f>
        <v>-0.31371133512505844</v>
      </c>
      <c r="AZ148" s="464">
        <f>AZ146/AY146-1</f>
        <v>0.14953910626325428</v>
      </c>
      <c r="BA148" s="464">
        <f>BA146/AZ146-1</f>
        <v>-1.6643881930969551E-2</v>
      </c>
      <c r="BB148" s="464">
        <f>BB146/BA146-1</f>
        <v>0.55204927069357956</v>
      </c>
      <c r="BC148" s="467"/>
      <c r="BD148" s="462"/>
      <c r="BE148" s="464">
        <f>BE146/BB146-1</f>
        <v>-0.372382025610279</v>
      </c>
      <c r="BF148" s="464">
        <f>BF146/BE146-1</f>
        <v>0.21007400700553625</v>
      </c>
      <c r="BG148" s="468">
        <f>BG146/BF146-1</f>
        <v>3.1096329504417985E-2</v>
      </c>
      <c r="BH148" s="468">
        <f>BH146/BG146-1</f>
        <v>0.57041956859308507</v>
      </c>
      <c r="BI148" s="465"/>
      <c r="BJ148" s="462"/>
      <c r="BK148" s="464">
        <f>BK146/BH146-1</f>
        <v>-0.34585020480729345</v>
      </c>
      <c r="BL148" s="464">
        <f>BL146/BK146-1</f>
        <v>0.22666048070879175</v>
      </c>
      <c r="BM148" s="464">
        <f>BM146/BL146-1</f>
        <v>7.0346375803715722E-2</v>
      </c>
      <c r="BN148" s="464">
        <f>BN146/BM146-1</f>
        <v>0.59047427982600964</v>
      </c>
      <c r="BO148" s="465"/>
      <c r="BP148" s="462"/>
      <c r="BQ148" s="464">
        <f>BQ146/BN146-1</f>
        <v>-0.30476942659090789</v>
      </c>
      <c r="BR148" s="464">
        <f>BR146/BQ146-1</f>
        <v>0.17488438835616016</v>
      </c>
      <c r="BS148" s="464">
        <f>BS146/BR146-1</f>
        <v>2.9955093682054734E-3</v>
      </c>
      <c r="BT148" s="464">
        <f>BT146/BS146-1</f>
        <v>0.78193015606410565</v>
      </c>
      <c r="BU148" s="469"/>
      <c r="BV148" s="462"/>
      <c r="BW148" s="464">
        <f>BW146/BT146-1</f>
        <v>-0.3507835205404134</v>
      </c>
      <c r="BX148" s="464">
        <f>BX146/BW146-1</f>
        <v>0.12321729424966832</v>
      </c>
      <c r="BY148" s="464">
        <f>BY146/BX146-1</f>
        <v>4.6075937777287912E-3</v>
      </c>
      <c r="BZ148" s="464">
        <f>BZ146/BY146-1</f>
        <v>0.8860555227185305</v>
      </c>
      <c r="CA148" s="469"/>
      <c r="CB148" s="462"/>
      <c r="CC148" s="464">
        <f>CC146/BZ146-1</f>
        <v>-0.45367512718491942</v>
      </c>
      <c r="CD148" s="464">
        <f>CD146/CC146-1</f>
        <v>0.26580470609659335</v>
      </c>
      <c r="CE148" s="464">
        <f>CE146/CD146-1</f>
        <v>5.5816338484367289E-2</v>
      </c>
      <c r="CF148" s="464">
        <f>CF146/CE146-1</f>
        <v>0.88104101882807484</v>
      </c>
      <c r="CG148" s="469"/>
      <c r="CH148" s="462"/>
      <c r="CI148" s="464">
        <f>CI146/CF146-1</f>
        <v>-0.46116878849890175</v>
      </c>
      <c r="CJ148" s="464">
        <f>CJ146/CI146-1</f>
        <v>0.29327121129335643</v>
      </c>
      <c r="CK148" s="464">
        <f>CK146/CJ146-1</f>
        <v>-6.4645779146287996E-2</v>
      </c>
      <c r="CL148" s="464">
        <f>CL146/CK146-1</f>
        <v>1.0152801856896994</v>
      </c>
      <c r="CM148" s="469"/>
      <c r="CN148" s="462"/>
      <c r="CO148" s="464">
        <f>CO146/CL146-1</f>
        <v>-0.50480182737685619</v>
      </c>
      <c r="CP148" s="464">
        <f>CP146/CO146-1</f>
        <v>0.28610529999920442</v>
      </c>
      <c r="CQ148" s="464">
        <f>CQ146/CP146-1</f>
        <v>-5.7235258863978289E-2</v>
      </c>
      <c r="CR148" s="464">
        <f>CR146/CQ146-1</f>
        <v>1.1319651095051411</v>
      </c>
      <c r="CS148" s="469"/>
      <c r="CT148" s="462"/>
      <c r="CU148" s="464">
        <f>CU146/CR146-1</f>
        <v>-0.49509136003052534</v>
      </c>
      <c r="CV148" s="464">
        <f>CV146/CU146-1</f>
        <v>0.12924461953070443</v>
      </c>
      <c r="CW148" s="464">
        <f>CW146/CV146-1</f>
        <v>-2.0316129422228046E-2</v>
      </c>
      <c r="CX148" s="464">
        <f>CX146/CW146-1</f>
        <v>1.3803559584590261</v>
      </c>
      <c r="CY148" s="469"/>
      <c r="CZ148" s="462"/>
      <c r="DA148" s="464">
        <f>DA146/CX146-1</f>
        <v>-0.55460561760932248</v>
      </c>
      <c r="DB148" s="464">
        <f>DB146/DA146-1</f>
        <v>0.21461158031365413</v>
      </c>
      <c r="DC148" s="464">
        <f>DC146/DB146-1</f>
        <v>-3.6055375430307679E-2</v>
      </c>
      <c r="DD148" s="464">
        <f>DD146/DC146-1</f>
        <v>1.4646754144719116</v>
      </c>
      <c r="DE148" s="469"/>
      <c r="DF148" s="462"/>
      <c r="DG148" s="464">
        <f>DG146/DD146-1</f>
        <v>-0.62432511713968519</v>
      </c>
      <c r="DH148" s="464">
        <f>DH146/DG146-1</f>
        <v>0.35314284676359442</v>
      </c>
      <c r="DI148" s="464">
        <f>DI146/DH146-1</f>
        <v>-3.0560449663784128E-2</v>
      </c>
      <c r="DJ148" s="464">
        <f>DJ146/DI146-1</f>
        <v>1.517764917030139</v>
      </c>
      <c r="DK148" s="469"/>
      <c r="DL148" s="462"/>
      <c r="DM148" s="464">
        <f>DM146/DJ146-1</f>
        <v>-0.65667574906603576</v>
      </c>
      <c r="DN148" s="464">
        <f>DN146/DM146-1</f>
        <v>0.42484809226016584</v>
      </c>
      <c r="DO148" s="464">
        <f>DO146/DN146-1</f>
        <v>-2.9099308250191136E-2</v>
      </c>
      <c r="DP148" s="464">
        <f>DP146/DO146-1</f>
        <v>1.5804904976558221</v>
      </c>
      <c r="DQ148" s="469"/>
      <c r="DR148" s="462"/>
      <c r="DS148" s="464">
        <f>DS146/DP146-1</f>
        <v>-0.68283905391714295</v>
      </c>
      <c r="DT148" s="464">
        <f>DT146/DS146-1</f>
        <v>0.50411164642296469</v>
      </c>
      <c r="DU148" s="464">
        <f>DU146/DT146-1</f>
        <v>-2.7289652614793214E-2</v>
      </c>
      <c r="DV148" s="464">
        <f>DV146/DU146-1</f>
        <v>1.6095531664194147</v>
      </c>
      <c r="DW148" s="469"/>
      <c r="DX148" s="656"/>
      <c r="DY148" s="656"/>
      <c r="DZ148" s="656"/>
      <c r="EA148" s="656"/>
      <c r="EB148" s="656"/>
      <c r="EC148" s="656"/>
      <c r="ED148" s="656"/>
      <c r="EE148" s="656"/>
      <c r="EF148" s="656"/>
      <c r="EJ148" s="656"/>
      <c r="EK148" s="656"/>
      <c r="EL148" s="656"/>
    </row>
    <row r="149" spans="1:142" s="475" customFormat="1" ht="12" customHeight="1">
      <c r="G149" s="476"/>
      <c r="M149" s="476"/>
      <c r="S149" s="476"/>
      <c r="Y149" s="476"/>
      <c r="AE149" s="476"/>
      <c r="AK149" s="476"/>
      <c r="AQ149" s="1518"/>
      <c r="AR149" s="1519"/>
      <c r="AS149" s="1519"/>
      <c r="AT149" s="1519"/>
      <c r="AU149" s="1519"/>
      <c r="AV149" s="1519"/>
      <c r="AW149" s="1518"/>
      <c r="AX149" s="1519"/>
      <c r="AY149" s="1519"/>
      <c r="AZ149" s="1519"/>
      <c r="BA149" s="1519"/>
      <c r="BB149" s="1519"/>
      <c r="BC149" s="1518"/>
      <c r="BD149" s="1519"/>
      <c r="BE149" s="1519"/>
      <c r="BF149" s="1520"/>
      <c r="BG149" s="483"/>
      <c r="BH149" s="483"/>
      <c r="BI149" s="1518"/>
      <c r="BJ149" s="1519"/>
      <c r="BK149" s="1521"/>
      <c r="BL149" s="1521"/>
      <c r="BO149" s="1518"/>
      <c r="BQ149" s="1521"/>
      <c r="BR149" s="1521"/>
      <c r="BU149" s="1518"/>
      <c r="BW149" s="1522"/>
      <c r="CA149" s="481"/>
      <c r="CC149" s="1522"/>
      <c r="CG149" s="481"/>
      <c r="CI149" s="1522"/>
      <c r="CM149" s="481"/>
      <c r="CO149" s="1522"/>
      <c r="CS149" s="481"/>
      <c r="CU149" s="1522"/>
      <c r="CY149" s="481"/>
      <c r="DA149" s="1522"/>
      <c r="DE149" s="481"/>
      <c r="DK149" s="481"/>
      <c r="DQ149" s="481"/>
      <c r="DW149" s="481"/>
      <c r="DX149" s="656"/>
      <c r="DY149" s="656"/>
      <c r="DZ149" s="656"/>
      <c r="EA149" s="656"/>
      <c r="EB149" s="656"/>
      <c r="EC149" s="656"/>
      <c r="ED149" s="656"/>
      <c r="EE149" s="656"/>
      <c r="EF149" s="1790"/>
      <c r="EJ149" s="656"/>
      <c r="EK149" s="656"/>
      <c r="EL149" s="656"/>
    </row>
    <row r="150" spans="1:142" s="475" customFormat="1" ht="12" customHeight="1">
      <c r="A150" s="475" t="s">
        <v>784</v>
      </c>
      <c r="G150" s="476"/>
      <c r="M150" s="476"/>
      <c r="S150" s="476"/>
      <c r="U150" s="1516">
        <f>U22</f>
        <v>16.922000000000001</v>
      </c>
      <c r="V150" s="1516">
        <f>V22</f>
        <v>19.591999999999999</v>
      </c>
      <c r="W150" s="1516">
        <f>W22</f>
        <v>22.48</v>
      </c>
      <c r="X150" s="1516">
        <f>X22</f>
        <v>26.802</v>
      </c>
      <c r="Y150" s="1516">
        <f>Y22</f>
        <v>85.795999999999992</v>
      </c>
      <c r="AA150" s="1516">
        <f>AA22</f>
        <v>31.116</v>
      </c>
      <c r="AB150" s="1516">
        <f>AB22</f>
        <v>36.017000000000003</v>
      </c>
      <c r="AC150" s="1516">
        <f>AC22</f>
        <v>41.465000000000003</v>
      </c>
      <c r="AD150" s="1516">
        <f>AD22</f>
        <v>49.378999999999998</v>
      </c>
      <c r="AE150" s="1516">
        <f>AE22</f>
        <v>157.977</v>
      </c>
      <c r="AG150" s="1516">
        <f>AG22</f>
        <v>58.19</v>
      </c>
      <c r="AH150" s="1516">
        <f>AH22</f>
        <v>65.638000000000005</v>
      </c>
      <c r="AI150" s="1516">
        <f>AI22</f>
        <v>74.385999999999996</v>
      </c>
      <c r="AJ150" s="1516">
        <f>AJ22</f>
        <v>82.424999999999997</v>
      </c>
      <c r="AK150" s="1516">
        <f>AK22</f>
        <v>280.63900000000001</v>
      </c>
      <c r="AM150" s="1516">
        <f>AM22</f>
        <v>94.492999999999995</v>
      </c>
      <c r="AN150" s="1516">
        <f>AN22</f>
        <v>106.663</v>
      </c>
      <c r="AO150" s="1516">
        <f>AO22</f>
        <v>118.43300000000001</v>
      </c>
      <c r="AP150" s="1516">
        <f>AP22</f>
        <v>132.071</v>
      </c>
      <c r="AQ150" s="1523">
        <f>AQ22</f>
        <v>451.65999999999997</v>
      </c>
      <c r="AS150" s="1516">
        <f>AS22</f>
        <v>147.69</v>
      </c>
      <c r="AT150" s="1516">
        <f>AT22</f>
        <v>159.99799999999999</v>
      </c>
      <c r="AU150" s="1516">
        <f>AU22</f>
        <v>176.376</v>
      </c>
      <c r="AV150" s="1516">
        <f>AV22</f>
        <v>196.517</v>
      </c>
      <c r="AW150" s="1523">
        <f>AW22</f>
        <v>680.5809999999999</v>
      </c>
      <c r="AY150" s="1516">
        <f>AY22</f>
        <v>225.34100000000001</v>
      </c>
      <c r="AZ150" s="1516">
        <f>AZ22</f>
        <v>239.72</v>
      </c>
      <c r="BA150" s="1516">
        <f>BA22</f>
        <v>253.40299999999999</v>
      </c>
      <c r="BB150" s="1516">
        <f>BB22</f>
        <v>266.11</v>
      </c>
      <c r="BC150" s="1523">
        <f>BC22</f>
        <v>984.57400000000007</v>
      </c>
      <c r="BE150" s="1516">
        <f>BE22</f>
        <v>281.76799999999997</v>
      </c>
      <c r="BF150" s="1516">
        <f>BF22</f>
        <v>293.44</v>
      </c>
      <c r="BG150" s="1516">
        <f>BG22</f>
        <v>306.87</v>
      </c>
      <c r="BH150" s="1516">
        <f>BH22</f>
        <v>327.39400000000001</v>
      </c>
      <c r="BI150" s="1523">
        <f>BI22</f>
        <v>1209.472</v>
      </c>
      <c r="BK150" s="1516">
        <f>BK22</f>
        <v>350.71199999999999</v>
      </c>
      <c r="BL150" s="1516">
        <f>BL22</f>
        <v>368.95100000000002</v>
      </c>
      <c r="BM150" s="1516">
        <f>BM22</f>
        <v>402.94799999999998</v>
      </c>
      <c r="BN150" s="1516">
        <f>BN22</f>
        <v>428.53399999999999</v>
      </c>
      <c r="BO150" s="1523">
        <f>BO22</f>
        <v>1551.145</v>
      </c>
      <c r="BQ150" s="1516">
        <f>BQ22</f>
        <v>473.50400000000002</v>
      </c>
      <c r="BR150" s="1516">
        <f>BR22</f>
        <v>509.279</v>
      </c>
      <c r="BS150" s="1516">
        <f>BS22</f>
        <v>549.18200000000002</v>
      </c>
      <c r="BT150" s="1516">
        <f>BT22</f>
        <v>594.26900000000001</v>
      </c>
      <c r="BU150" s="1523">
        <f>BU22</f>
        <v>2126.2340000000004</v>
      </c>
      <c r="BW150" s="1516">
        <f>BW22</f>
        <v>655.22</v>
      </c>
      <c r="BX150" s="1516">
        <f>BX22</f>
        <v>687.49300000000005</v>
      </c>
      <c r="BY150" s="1516">
        <f>BY22</f>
        <v>740.6</v>
      </c>
      <c r="BZ150" s="1516">
        <f>BZ22</f>
        <v>785.495</v>
      </c>
      <c r="CA150" s="1523">
        <f>CA22</f>
        <v>2868.808</v>
      </c>
      <c r="CC150" s="1516">
        <f>CC22</f>
        <v>842.221</v>
      </c>
      <c r="CD150" s="1516">
        <f>CD22</f>
        <v>902.84400000000005</v>
      </c>
      <c r="CE150" s="1516">
        <f>CE22</f>
        <v>1004.476</v>
      </c>
      <c r="CF150" s="1516">
        <f>CF22</f>
        <v>1075.001</v>
      </c>
      <c r="CG150" s="1523">
        <f>CG22</f>
        <v>3824.5420000000004</v>
      </c>
      <c r="CI150" s="1516">
        <f>CI22</f>
        <v>1147.306</v>
      </c>
      <c r="CJ150" s="1516">
        <f>CJ22</f>
        <v>1232.587</v>
      </c>
      <c r="CK150" s="1516">
        <f>CK22</f>
        <v>1288.5129999999999</v>
      </c>
      <c r="CL150" s="1516">
        <f>CL22</f>
        <v>1345.3579999999999</v>
      </c>
      <c r="CM150" s="1523">
        <f>CM22</f>
        <v>5013.7640000000001</v>
      </c>
      <c r="CO150" s="1516">
        <f>CO22</f>
        <v>1405.287</v>
      </c>
      <c r="CP150" s="1516">
        <f>CP22</f>
        <v>1521.319</v>
      </c>
      <c r="CQ150" s="1516">
        <f>CQ22</f>
        <v>1596.3330000000001</v>
      </c>
      <c r="CR150" s="1516">
        <f>CR22</f>
        <v>1682.66</v>
      </c>
      <c r="CS150" s="1523">
        <f>CS22</f>
        <v>6205.5990000000002</v>
      </c>
      <c r="CU150" s="1516">
        <f>CU22</f>
        <v>1775.4929999999999</v>
      </c>
      <c r="CV150" s="1516">
        <f>CV22</f>
        <v>1886.08</v>
      </c>
      <c r="CW150" s="1516">
        <f>CW22</f>
        <v>1983.981</v>
      </c>
      <c r="CX150" s="1516">
        <f>CX22</f>
        <v>2110.6509999999998</v>
      </c>
      <c r="CY150" s="1523">
        <f>CY22</f>
        <v>7756.2049999999999</v>
      </c>
      <c r="DA150" s="1516">
        <f>DA22</f>
        <v>2200.9079999999999</v>
      </c>
      <c r="DB150" s="1516">
        <f>DB22</f>
        <v>2368.4989999999998</v>
      </c>
      <c r="DC150" s="1516">
        <f>DC22</f>
        <v>2486.1309999999999</v>
      </c>
      <c r="DD150" s="1516">
        <f>DD22</f>
        <v>2655</v>
      </c>
      <c r="DE150" s="1523">
        <f>DE22</f>
        <v>9710.5379999999986</v>
      </c>
      <c r="DG150" s="1516">
        <f>BS!CV33*DG151</f>
        <v>2714.4341329999997</v>
      </c>
      <c r="DH150" s="1516">
        <f>BS!CY33*DH151</f>
        <v>2881.4206221293507</v>
      </c>
      <c r="DI150" s="1516">
        <f>BS!CZ33*DI151</f>
        <v>3001.3236358982986</v>
      </c>
      <c r="DJ150" s="1516">
        <f>BS!DA33*DJ151</f>
        <v>3182.3742666162307</v>
      </c>
      <c r="DK150" s="1523">
        <f>DK22</f>
        <v>11779.552657643881</v>
      </c>
      <c r="DM150" s="1516">
        <f>BS!DB33*DM151</f>
        <v>3266.4215505057318</v>
      </c>
      <c r="DN150" s="1516">
        <f>BS!DE33*DN151</f>
        <v>3467.5909166086994</v>
      </c>
      <c r="DO150" s="1516">
        <f>BS!DF33*DO151</f>
        <v>3611.4050863957277</v>
      </c>
      <c r="DP150" s="1516">
        <f>BS!DG33*DP151</f>
        <v>3810.6762624801022</v>
      </c>
      <c r="DQ150" s="1523">
        <f>DQ22</f>
        <v>14156.093815990262</v>
      </c>
      <c r="DS150" s="1516">
        <f>BS!DH33*DS151</f>
        <v>3913.2871193794222</v>
      </c>
      <c r="DT150" s="1516">
        <f>BS!DK33*DT151</f>
        <v>4142.7695853623636</v>
      </c>
      <c r="DU150" s="1516">
        <f>BS!DL33*DU151</f>
        <v>4308.0032649533205</v>
      </c>
      <c r="DV150" s="1516">
        <f>BS!DM33*DV151</f>
        <v>4547.8810361409733</v>
      </c>
      <c r="DW150" s="1523">
        <f>DW22</f>
        <v>16911.941005836081</v>
      </c>
      <c r="DX150" s="656"/>
      <c r="DY150" s="656"/>
      <c r="DZ150" s="656"/>
      <c r="EA150" s="656"/>
      <c r="EB150" s="656"/>
      <c r="EC150" s="656"/>
      <c r="ED150" s="656"/>
      <c r="EE150" s="656"/>
      <c r="EF150" s="656"/>
      <c r="EJ150" s="656"/>
      <c r="EK150" s="656"/>
      <c r="EL150" s="656"/>
    </row>
    <row r="151" spans="1:142" s="475" customFormat="1" ht="12" customHeight="1">
      <c r="A151" s="475" t="s">
        <v>531</v>
      </c>
      <c r="G151" s="476"/>
      <c r="M151" s="476"/>
      <c r="S151" s="476"/>
      <c r="U151" s="485">
        <f>U150/R159</f>
        <v>0.88268739241562788</v>
      </c>
      <c r="V151" s="485">
        <f>V150/U159</f>
        <v>0.80592348827642946</v>
      </c>
      <c r="W151" s="485">
        <f>W150/V159</f>
        <v>0.76335359434955341</v>
      </c>
      <c r="X151" s="485">
        <f>X150/W159</f>
        <v>0.77894675656823986</v>
      </c>
      <c r="Y151" s="476"/>
      <c r="AA151" s="485">
        <f>AA150/X159</f>
        <v>0.62636632646898971</v>
      </c>
      <c r="AB151" s="485">
        <f>AB150/AA159</f>
        <v>0.68813526939243408</v>
      </c>
      <c r="AC151" s="485">
        <f>AC150/AB159</f>
        <v>0.67360332699774195</v>
      </c>
      <c r="AD151" s="485">
        <f>AD150/AC159</f>
        <v>0.66512661637931036</v>
      </c>
      <c r="AE151" s="476"/>
      <c r="AG151" s="485">
        <f>AG150/AD159</f>
        <v>0.60677789363920742</v>
      </c>
      <c r="AH151" s="485">
        <f>AH150/AG159</f>
        <v>0.62724449328682697</v>
      </c>
      <c r="AI151" s="485">
        <f>AI150/AH159</f>
        <v>0.63409228461099121</v>
      </c>
      <c r="AJ151" s="485">
        <f>AJ150/AI159</f>
        <v>0.64845409487845174</v>
      </c>
      <c r="AK151" s="476"/>
      <c r="AM151" s="485">
        <f>AM150/AJ159</f>
        <v>0.55855179547805522</v>
      </c>
      <c r="AN151" s="485">
        <f>AN150/AM159</f>
        <v>0.58594453844294536</v>
      </c>
      <c r="AO151" s="485">
        <f>AO150/AN159</f>
        <v>0.58388550355952595</v>
      </c>
      <c r="AP151" s="485">
        <f>AP150/AO159</f>
        <v>0.60187940628261272</v>
      </c>
      <c r="AQ151" s="481"/>
      <c r="AS151" s="483">
        <f>AS150/BS!AH33</f>
        <v>0.51991987692870945</v>
      </c>
      <c r="AT151" s="483">
        <f>AT150/AS159</f>
        <v>0.54113341811196181</v>
      </c>
      <c r="AU151" s="483">
        <f>AU150/AT159</f>
        <v>0.54800343014801844</v>
      </c>
      <c r="AV151" s="483">
        <f>AV150/AU159</f>
        <v>0.57662085397056406</v>
      </c>
      <c r="AW151" s="481"/>
      <c r="AY151" s="483">
        <f>AY150/BS!AN33</f>
        <v>0.48065466350696745</v>
      </c>
      <c r="AZ151" s="483">
        <f>AZ150/BS!AQ33</f>
        <v>0.52350555673239241</v>
      </c>
      <c r="BA151" s="483">
        <f>BA150/BS!AR33</f>
        <v>0.54267927049692899</v>
      </c>
      <c r="BB151" s="483">
        <f>BB150/BA159</f>
        <v>0.56675341934769374</v>
      </c>
      <c r="BC151" s="481"/>
      <c r="BE151" s="483">
        <f>BE150/BS!AT33</f>
        <v>0.48267533228382059</v>
      </c>
      <c r="BF151" s="483">
        <f>BF150/BS!AW33</f>
        <v>0.54392111067860383</v>
      </c>
      <c r="BG151" s="483">
        <f>BG150/BS!AX33</f>
        <v>0.56950537825980452</v>
      </c>
      <c r="BH151" s="483">
        <f>BH150/BS!AY33</f>
        <v>0.61366967696466002</v>
      </c>
      <c r="BI151" s="486">
        <f>BI150/BC150-1</f>
        <v>0.22842163209672406</v>
      </c>
      <c r="BK151" s="483">
        <f>BK150/BS!AZ33</f>
        <v>0.50814790988398628</v>
      </c>
      <c r="BL151" s="483">
        <f>BL150/BS!BC33</f>
        <v>0.56984897768799025</v>
      </c>
      <c r="BM151" s="483">
        <f>BM150/BS!BD33</f>
        <v>0.60785913950432713</v>
      </c>
      <c r="BN151" s="483">
        <f>BN150/BS!BE33</f>
        <v>0.63726886894865675</v>
      </c>
      <c r="BO151" s="486">
        <f>BO150/BI150-1</f>
        <v>0.28249765186792253</v>
      </c>
      <c r="BQ151" s="483">
        <f>BQ150/BS!BF33</f>
        <v>0.51848858841989887</v>
      </c>
      <c r="BR151" s="483">
        <f>BR150/BS!BI33</f>
        <v>0.56972448943063236</v>
      </c>
      <c r="BS151" s="483">
        <f>BS150/BS!BJ33</f>
        <v>0.59839717571683082</v>
      </c>
      <c r="BT151" s="483">
        <f>BT150/BS!BK33</f>
        <v>0.65661092419797695</v>
      </c>
      <c r="BU151" s="486">
        <f>BU150/BO150-1</f>
        <v>0.37075128372911648</v>
      </c>
      <c r="BW151" s="483">
        <f>BW150/BS!BL33</f>
        <v>0.50728463900429077</v>
      </c>
      <c r="BX151" s="483">
        <f>BX150/BS!BO33</f>
        <v>0.54677107515773027</v>
      </c>
      <c r="BY151" s="483">
        <f>BY150/BS!BP33</f>
        <v>0.58388198740625052</v>
      </c>
      <c r="BZ151" s="483">
        <f>BZ150/BS!BQ33</f>
        <v>0.64063573000314822</v>
      </c>
      <c r="CA151" s="486">
        <f>CA150/BU150-1</f>
        <v>0.34924378031768821</v>
      </c>
      <c r="CC151" s="483">
        <f>CC150/BS!BR33</f>
        <v>0.4682543477293955</v>
      </c>
      <c r="CD151" s="483">
        <f>CD150/BS!BU33</f>
        <v>0.5390766761583643</v>
      </c>
      <c r="CE151" s="483">
        <f>CE150/BS!BV33</f>
        <v>0.57900176442682649</v>
      </c>
      <c r="CF151" s="483">
        <f>CF150/BS!BW33</f>
        <v>0.6375053224232059</v>
      </c>
      <c r="CG151" s="486">
        <f>CG150/SUM(BS!BU33:BX33)</f>
        <v>0.50524987763562312</v>
      </c>
      <c r="CI151" s="483">
        <f>CI150/BS!BX33</f>
        <v>0.46380065529236514</v>
      </c>
      <c r="CJ151" s="483">
        <f>CJ150/BS!CA33</f>
        <v>0.53864181820406554</v>
      </c>
      <c r="CK151" s="483">
        <f>CK150/BS!CB33</f>
        <v>0.55621491046692217</v>
      </c>
      <c r="CL151" s="483">
        <f>CL150/BS!CC33</f>
        <v>0.61357486699914021</v>
      </c>
      <c r="CM151" s="486">
        <f>CM150/SUM(BS!CA33:CD33)</f>
        <v>0.49718409400097441</v>
      </c>
      <c r="CO151" s="483">
        <f>CO150/BS!CD33</f>
        <v>0.42755892718926314</v>
      </c>
      <c r="CP151" s="483">
        <f>CP150/BS!CG33</f>
        <v>0.5016267301421703</v>
      </c>
      <c r="CQ151" s="483">
        <f>CQ150/BS!CH33</f>
        <v>0.52947421839240583</v>
      </c>
      <c r="CR151" s="483">
        <f>CR150/BS!CI33</f>
        <v>0.595150471211781</v>
      </c>
      <c r="CS151" s="486">
        <f>CS150/SUM(BS!CG33:CJ33)</f>
        <v>0.47217211610767162</v>
      </c>
      <c r="CU151" s="483">
        <f>CU150/BS!CJ33</f>
        <v>0.41603363148999201</v>
      </c>
      <c r="CV151" s="483">
        <f>CV150/BS!CM33</f>
        <v>0.47247605529789527</v>
      </c>
      <c r="CW151" s="483">
        <f>CW150/BS!CN33</f>
        <v>0.52097605167795813</v>
      </c>
      <c r="CX151" s="483">
        <f>CX150/BS!CO33</f>
        <v>0.60673678303891709</v>
      </c>
      <c r="CY151" s="486">
        <f>CY150/SUM(BS!CM33:CP33)</f>
        <v>0.46210554650222285</v>
      </c>
      <c r="DA151" s="483">
        <f>DA150/BS!CP33</f>
        <v>0.39975160238800261</v>
      </c>
      <c r="DB151" s="483">
        <f>DB150/BS!CS33</f>
        <v>0.46969312972618371</v>
      </c>
      <c r="DC151" s="483">
        <f>DC150/BS!CT33</f>
        <v>0.5159410322510487</v>
      </c>
      <c r="DD151" s="483">
        <f>DD150/BS!CU33</f>
        <v>0.6044969105768061</v>
      </c>
      <c r="DE151" s="486">
        <f>DE150/SUM(BS!CS33:CV33)</f>
        <v>0.45486719105747853</v>
      </c>
      <c r="DG151" s="487">
        <v>0.3826</v>
      </c>
      <c r="DH151" s="487">
        <v>0.46200000000000002</v>
      </c>
      <c r="DI151" s="487">
        <v>0.505</v>
      </c>
      <c r="DJ151" s="487">
        <v>0.58450000000000002</v>
      </c>
      <c r="DK151" s="486">
        <f>DK150/SUM(BS!CY33:DB33)</f>
        <v>0.44372649231695777</v>
      </c>
      <c r="DM151" s="487">
        <f>DG151-0.0165</f>
        <v>0.36609999999999998</v>
      </c>
      <c r="DN151" s="487">
        <f>DH151-0.0145</f>
        <v>0.44750000000000001</v>
      </c>
      <c r="DO151" s="487">
        <f>DI151-0.015</f>
        <v>0.49</v>
      </c>
      <c r="DP151" s="487">
        <f>DJ151-0.02</f>
        <v>0.5645</v>
      </c>
      <c r="DQ151" s="486">
        <f>DQ150/SUM(BS!DE33:DH33)</f>
        <v>0.42918465870321154</v>
      </c>
      <c r="DS151" s="487">
        <f>DM151-0.014</f>
        <v>0.35209999999999997</v>
      </c>
      <c r="DT151" s="487">
        <f>DN151-0.014</f>
        <v>0.4335</v>
      </c>
      <c r="DU151" s="487">
        <f>DO151-0.017</f>
        <v>0.47299999999999998</v>
      </c>
      <c r="DV151" s="487">
        <f>DP151-0.022</f>
        <v>0.54249999999999998</v>
      </c>
      <c r="DW151" s="486">
        <f>DW150/SUM(BS!DK33:DN33)</f>
        <v>0.4145970679819817</v>
      </c>
      <c r="DX151" s="656"/>
      <c r="DY151" s="656"/>
      <c r="DZ151" s="656"/>
      <c r="EA151" s="656"/>
      <c r="EB151" s="656"/>
      <c r="EC151" s="656"/>
      <c r="ED151" s="656"/>
      <c r="EE151" s="656"/>
      <c r="EF151" s="656"/>
      <c r="EJ151" s="656"/>
      <c r="EK151" s="656"/>
      <c r="EL151" s="656"/>
    </row>
    <row r="152" spans="1:142" s="475" customFormat="1" ht="12" customHeight="1">
      <c r="A152" s="488" t="s">
        <v>877</v>
      </c>
      <c r="B152" s="439"/>
      <c r="C152" s="439"/>
      <c r="D152" s="439"/>
      <c r="E152" s="439"/>
      <c r="F152" s="439"/>
      <c r="G152" s="440"/>
      <c r="H152" s="439"/>
      <c r="I152" s="439"/>
      <c r="J152" s="439"/>
      <c r="K152" s="439"/>
      <c r="L152" s="439"/>
      <c r="M152" s="440"/>
      <c r="N152" s="439"/>
      <c r="O152" s="439"/>
      <c r="P152" s="439"/>
      <c r="Q152" s="439"/>
      <c r="R152" s="439"/>
      <c r="S152" s="440"/>
      <c r="T152" s="439"/>
      <c r="U152" s="439"/>
      <c r="V152" s="439"/>
      <c r="W152" s="439"/>
      <c r="X152" s="439"/>
      <c r="Y152" s="440"/>
      <c r="Z152" s="439"/>
      <c r="AA152" s="442">
        <f>AA150/U150-1</f>
        <v>0.83878974116534688</v>
      </c>
      <c r="AB152" s="442">
        <f>AB150/V150-1</f>
        <v>0.8383523887300941</v>
      </c>
      <c r="AC152" s="442">
        <f>AC150/W150-1</f>
        <v>0.84452846975088969</v>
      </c>
      <c r="AD152" s="442">
        <f>AD150/X150-1</f>
        <v>0.84236251026042819</v>
      </c>
      <c r="AE152" s="442"/>
      <c r="AF152" s="439"/>
      <c r="AG152" s="442">
        <f>AG150/AA150-1</f>
        <v>0.87009898444530132</v>
      </c>
      <c r="AH152" s="442">
        <f>AH150/AB150-1</f>
        <v>0.82241719188161144</v>
      </c>
      <c r="AI152" s="442">
        <f>AI150/AC150-1</f>
        <v>0.79394670203786299</v>
      </c>
      <c r="AJ152" s="442">
        <f>AJ150/AD150-1</f>
        <v>0.66923185969744226</v>
      </c>
      <c r="AK152" s="442"/>
      <c r="AL152" s="439"/>
      <c r="AM152" s="442">
        <f>AM150/AG150-1</f>
        <v>0.62387008076989181</v>
      </c>
      <c r="AN152" s="442">
        <f>AN150/AH150-1</f>
        <v>0.62501904384655216</v>
      </c>
      <c r="AO152" s="442">
        <f>AO150/AI150-1</f>
        <v>0.59214099427311617</v>
      </c>
      <c r="AP152" s="442">
        <f>AP150/AJ150-1</f>
        <v>0.60231725811343639</v>
      </c>
      <c r="AQ152" s="445"/>
      <c r="AR152" s="439"/>
      <c r="AS152" s="442">
        <f>AS150/AM150-1</f>
        <v>0.5629729186288932</v>
      </c>
      <c r="AT152" s="442">
        <f>AT150/AN150-1</f>
        <v>0.50003281362796836</v>
      </c>
      <c r="AU152" s="442">
        <f>AU150/AO150-1</f>
        <v>0.48924708484966173</v>
      </c>
      <c r="AV152" s="442">
        <f>AV150/AP150-1</f>
        <v>0.487964806808459</v>
      </c>
      <c r="AW152" s="445"/>
      <c r="AX152" s="439"/>
      <c r="AY152" s="442">
        <f>AY150/AS150-1</f>
        <v>0.52577019432595318</v>
      </c>
      <c r="AZ152" s="442">
        <f>AZ150/AT150-1</f>
        <v>0.49826872835910452</v>
      </c>
      <c r="BA152" s="442">
        <f>BA150/AU150-1</f>
        <v>0.43672041547602847</v>
      </c>
      <c r="BB152" s="442">
        <f>BB150/AV150-1</f>
        <v>0.35413221248034521</v>
      </c>
      <c r="BC152" s="445"/>
      <c r="BD152" s="439"/>
      <c r="BE152" s="442">
        <f>BE150/AY150-1</f>
        <v>0.25040716070311198</v>
      </c>
      <c r="BF152" s="442">
        <f>BF150/AZ150-1</f>
        <v>0.2240947772401134</v>
      </c>
      <c r="BG152" s="442">
        <f>BG150/BA150-1</f>
        <v>0.21099592348946161</v>
      </c>
      <c r="BH152" s="442">
        <f>BH150/BB150-1</f>
        <v>0.23029574236218098</v>
      </c>
      <c r="BI152" s="445"/>
      <c r="BJ152" s="439"/>
      <c r="BK152" s="442">
        <f>BK150/BE150-1</f>
        <v>0.24468356946140091</v>
      </c>
      <c r="BL152" s="442">
        <f>BL150/BF150-1</f>
        <v>0.25733028898582333</v>
      </c>
      <c r="BM152" s="442">
        <f>BM150/BG150-1</f>
        <v>0.31309023364942812</v>
      </c>
      <c r="BN152" s="442">
        <f>BN150/BH150-1</f>
        <v>0.30892441523057834</v>
      </c>
      <c r="BO152" s="445"/>
      <c r="BP152" s="439"/>
      <c r="BQ152" s="442">
        <f>BQ150/BK150-1</f>
        <v>0.35012203745523407</v>
      </c>
      <c r="BR152" s="442">
        <f>BR150/BL150-1</f>
        <v>0.38034318920398635</v>
      </c>
      <c r="BS152" s="442">
        <f>BS150/BM150-1</f>
        <v>0.36291035071522892</v>
      </c>
      <c r="BT152" s="442">
        <f>BT150/BN150-1</f>
        <v>0.38674877605977587</v>
      </c>
      <c r="BU152" s="445"/>
      <c r="BV152" s="439"/>
      <c r="BW152" s="442">
        <f>BW150/BQ150-1</f>
        <v>0.3837686693248632</v>
      </c>
      <c r="BX152" s="442">
        <f>BX150/BR150-1</f>
        <v>0.34993392619762465</v>
      </c>
      <c r="BY152" s="442">
        <f>BY150/BS150-1</f>
        <v>0.34855111784435766</v>
      </c>
      <c r="BZ152" s="442">
        <f>BZ150/BT150-1</f>
        <v>0.32178356939365838</v>
      </c>
      <c r="CA152" s="445"/>
      <c r="CB152" s="439"/>
      <c r="CC152" s="442">
        <f>CC150/BW150-1</f>
        <v>0.28540184976038585</v>
      </c>
      <c r="CD152" s="442">
        <f>CD150/BX150-1</f>
        <v>0.313241007544804</v>
      </c>
      <c r="CE152" s="442">
        <f>CE150/BY150-1</f>
        <v>0.35630029705644062</v>
      </c>
      <c r="CF152" s="442">
        <f>CF150/BZ150-1</f>
        <v>0.368565044971642</v>
      </c>
      <c r="CG152" s="445"/>
      <c r="CH152" s="439"/>
      <c r="CI152" s="442">
        <f>CI150/CC150-1</f>
        <v>0.36223865232522101</v>
      </c>
      <c r="CJ152" s="442">
        <f>CJ150/CD150-1</f>
        <v>0.36522699381066936</v>
      </c>
      <c r="CK152" s="442">
        <f>CK150/CE150-1</f>
        <v>0.28277131559141266</v>
      </c>
      <c r="CL152" s="442">
        <f>CL150/CF150-1</f>
        <v>0.25149464977241887</v>
      </c>
      <c r="CM152" s="445"/>
      <c r="CN152" s="439"/>
      <c r="CO152" s="442">
        <f>CO150/CI150-1</f>
        <v>0.22485805879163889</v>
      </c>
      <c r="CP152" s="442">
        <f>CP150/CJ150-1</f>
        <v>0.23424877919367959</v>
      </c>
      <c r="CQ152" s="442">
        <f>CQ150/CK150-1</f>
        <v>0.23889553306796296</v>
      </c>
      <c r="CR152" s="442">
        <f>CR150/CL150-1</f>
        <v>0.25071542295805282</v>
      </c>
      <c r="CS152" s="445"/>
      <c r="CT152" s="439"/>
      <c r="CU152" s="442">
        <f>CU150/CO150-1</f>
        <v>0.26343800234400505</v>
      </c>
      <c r="CV152" s="442">
        <f>CV150/CP150-1</f>
        <v>0.23976628175944681</v>
      </c>
      <c r="CW152" s="442">
        <f>CW150/CQ150-1</f>
        <v>0.24283655102036983</v>
      </c>
      <c r="CX152" s="442">
        <f>CX150/CR150-1</f>
        <v>0.25435382073621504</v>
      </c>
      <c r="CY152" s="445"/>
      <c r="CZ152" s="439"/>
      <c r="DA152" s="442">
        <f>DA150/CU150-1</f>
        <v>0.23960387340304923</v>
      </c>
      <c r="DB152" s="442">
        <f>DB150/CV150-1</f>
        <v>0.25577865201900241</v>
      </c>
      <c r="DC152" s="442">
        <f>DC150/CW150-1</f>
        <v>0.25310222224910417</v>
      </c>
      <c r="DD152" s="442">
        <f>DD150/CX150-1</f>
        <v>0.2579057361922934</v>
      </c>
      <c r="DE152" s="445"/>
      <c r="DF152" s="439"/>
      <c r="DG152" s="442">
        <f>DG150/DA150-1</f>
        <v>0.2333246700907079</v>
      </c>
      <c r="DH152" s="442">
        <f>DH150/DB150-1</f>
        <v>0.216559779898303</v>
      </c>
      <c r="DI152" s="442">
        <f>DI150/DC150-1</f>
        <v>0.20722666500610742</v>
      </c>
      <c r="DJ152" s="442">
        <f>DJ150/DD150-1</f>
        <v>0.19863437537334483</v>
      </c>
      <c r="DK152" s="445"/>
      <c r="DL152" s="439"/>
      <c r="DM152" s="442">
        <f>DM150/DG150-1</f>
        <v>0.20335266595534374</v>
      </c>
      <c r="DN152" s="442">
        <f>DN150/DH150-1</f>
        <v>0.20343100551774795</v>
      </c>
      <c r="DO152" s="442">
        <f>DO150/DI150-1</f>
        <v>0.20327079799071091</v>
      </c>
      <c r="DP152" s="442">
        <f>DP150/DJ150-1</f>
        <v>0.19743183649229779</v>
      </c>
      <c r="DQ152" s="445"/>
      <c r="DR152" s="439"/>
      <c r="DS152" s="442">
        <f>DS150/DM150-1</f>
        <v>0.19803493176609055</v>
      </c>
      <c r="DT152" s="442">
        <f>DT150/DN150-1</f>
        <v>0.19471116547219136</v>
      </c>
      <c r="DU152" s="442">
        <f>DU150/DO150-1</f>
        <v>0.19288840822141484</v>
      </c>
      <c r="DV152" s="442">
        <f>DV150/DP150-1</f>
        <v>0.19345772846656772</v>
      </c>
      <c r="DW152" s="445"/>
      <c r="DX152" s="656"/>
      <c r="DY152" s="656"/>
      <c r="DZ152" s="656"/>
      <c r="EA152" s="656"/>
      <c r="EB152" s="656"/>
      <c r="EC152" s="656"/>
      <c r="ED152" s="656"/>
      <c r="EE152" s="656"/>
      <c r="EF152" s="656"/>
      <c r="EJ152" s="656"/>
      <c r="EK152" s="656"/>
      <c r="EL152" s="656"/>
    </row>
    <row r="153" spans="1:142" s="475" customFormat="1" ht="12" customHeight="1">
      <c r="A153" s="488" t="s">
        <v>878</v>
      </c>
      <c r="B153" s="439"/>
      <c r="C153" s="439"/>
      <c r="D153" s="439"/>
      <c r="E153" s="439"/>
      <c r="F153" s="439"/>
      <c r="G153" s="440"/>
      <c r="H153" s="439"/>
      <c r="I153" s="439"/>
      <c r="J153" s="439"/>
      <c r="K153" s="439"/>
      <c r="L153" s="439"/>
      <c r="M153" s="440"/>
      <c r="N153" s="439"/>
      <c r="O153" s="439"/>
      <c r="P153" s="439"/>
      <c r="Q153" s="439"/>
      <c r="R153" s="439"/>
      <c r="S153" s="440"/>
      <c r="T153" s="439"/>
      <c r="U153" s="439"/>
      <c r="V153" s="442">
        <f>V151/U151-1</f>
        <v>-8.696612730484421E-2</v>
      </c>
      <c r="W153" s="442">
        <f>W151/V151-1</f>
        <v>-5.2821259767372175E-2</v>
      </c>
      <c r="X153" s="442">
        <f>X151/W151-1</f>
        <v>2.0427181235680436E-2</v>
      </c>
      <c r="Y153" s="440"/>
      <c r="Z153" s="439"/>
      <c r="AA153" s="442">
        <f>AA150/X150-1</f>
        <v>0.16095813745242893</v>
      </c>
      <c r="AB153" s="442">
        <f>AB150/AA150-1</f>
        <v>0.15750739169559069</v>
      </c>
      <c r="AC153" s="442">
        <f>AC150/AB150-1</f>
        <v>0.15126190410084117</v>
      </c>
      <c r="AD153" s="442">
        <f>AD150/AC150-1</f>
        <v>0.19085976124442294</v>
      </c>
      <c r="AE153" s="440"/>
      <c r="AF153" s="439"/>
      <c r="AG153" s="442">
        <f>AG150/AD150-1</f>
        <v>0.17843617732234351</v>
      </c>
      <c r="AH153" s="442">
        <f>AH150/AG150-1</f>
        <v>0.12799450077332897</v>
      </c>
      <c r="AI153" s="442">
        <f>AI150/AH150-1</f>
        <v>0.13327645571163038</v>
      </c>
      <c r="AJ153" s="442">
        <f>AJ150/AI150-1</f>
        <v>0.10807141128707021</v>
      </c>
      <c r="AK153" s="440"/>
      <c r="AL153" s="439"/>
      <c r="AM153" s="442">
        <f>AM150/AJ150-1</f>
        <v>0.1464118895966029</v>
      </c>
      <c r="AN153" s="442">
        <f>AN150/AM150-1</f>
        <v>0.12879260897632627</v>
      </c>
      <c r="AO153" s="442">
        <f>AO150/AN150-1</f>
        <v>0.11034754319679752</v>
      </c>
      <c r="AP153" s="442">
        <f>AP150/AO150-1</f>
        <v>0.11515371560291454</v>
      </c>
      <c r="AQ153" s="441"/>
      <c r="AR153" s="439"/>
      <c r="AS153" s="442">
        <f>AS150/AP150-1</f>
        <v>0.11826214687554426</v>
      </c>
      <c r="AT153" s="442">
        <f>AT150/AS150-1</f>
        <v>8.3336718802897947E-2</v>
      </c>
      <c r="AU153" s="442">
        <f>AU150/AT150-1</f>
        <v>0.10236377954724452</v>
      </c>
      <c r="AV153" s="442">
        <f>AV150/AU150-1</f>
        <v>0.11419354107134749</v>
      </c>
      <c r="AW153" s="441"/>
      <c r="AX153" s="439"/>
      <c r="AY153" s="442">
        <f>AY150/AV150-1</f>
        <v>0.1466743335182199</v>
      </c>
      <c r="AZ153" s="442">
        <f>AZ150/AY150-1</f>
        <v>6.3809959128609428E-2</v>
      </c>
      <c r="BA153" s="442">
        <f>BA150/AZ150-1</f>
        <v>5.7079092274320065E-2</v>
      </c>
      <c r="BB153" s="442">
        <f>BB150/BA150-1</f>
        <v>5.0145420535668617E-2</v>
      </c>
      <c r="BC153" s="441"/>
      <c r="BD153" s="439"/>
      <c r="BE153" s="442">
        <f>BE150/BB150-1</f>
        <v>5.8840329187178186E-2</v>
      </c>
      <c r="BF153" s="442">
        <f>BF150/BE150-1</f>
        <v>4.1424150364839152E-2</v>
      </c>
      <c r="BG153" s="442">
        <f>BG150/BF150-1</f>
        <v>4.5767448200654259E-2</v>
      </c>
      <c r="BH153" s="442">
        <f>BH150/BG150-1</f>
        <v>6.6881741454035915E-2</v>
      </c>
      <c r="BI153" s="441"/>
      <c r="BJ153" s="439"/>
      <c r="BK153" s="442">
        <f>BK150/BH150-1</f>
        <v>7.1223052346713667E-2</v>
      </c>
      <c r="BL153" s="442">
        <f>BL150/BK150-1</f>
        <v>5.2005634252606292E-2</v>
      </c>
      <c r="BM153" s="442">
        <f>BM150/BL150-1</f>
        <v>9.2145027388460754E-2</v>
      </c>
      <c r="BN153" s="442">
        <f>BN150/BM150-1</f>
        <v>6.3497026911661036E-2</v>
      </c>
      <c r="BO153" s="441"/>
      <c r="BP153" s="439"/>
      <c r="BQ153" s="442">
        <f>BQ150/BN150-1</f>
        <v>0.10493916468704945</v>
      </c>
      <c r="BR153" s="442">
        <f>BR150/BQ150-1</f>
        <v>7.5553744002162526E-2</v>
      </c>
      <c r="BS153" s="442">
        <f>BS150/BR150-1</f>
        <v>7.8351944611892543E-2</v>
      </c>
      <c r="BT153" s="442">
        <f>BT150/BS150-1</f>
        <v>8.209846644646035E-2</v>
      </c>
      <c r="BU153" s="441"/>
      <c r="BV153" s="439"/>
      <c r="BW153" s="442">
        <f>BW150/BT150-1</f>
        <v>0.10256466347731408</v>
      </c>
      <c r="BX153" s="442">
        <f>BX150/BW150-1</f>
        <v>4.9255211989865932E-2</v>
      </c>
      <c r="BY153" s="442">
        <f>BY150/BX150-1</f>
        <v>7.7247331972834621E-2</v>
      </c>
      <c r="BZ153" s="442">
        <f>BZ150/BY150-1</f>
        <v>6.0619767755873522E-2</v>
      </c>
      <c r="CA153" s="441"/>
      <c r="CB153" s="439"/>
      <c r="CC153" s="442">
        <f>CC150/BZ150-1</f>
        <v>7.2216882348073552E-2</v>
      </c>
      <c r="CD153" s="442">
        <f>CD150/CC150-1</f>
        <v>7.1979919759778133E-2</v>
      </c>
      <c r="CE153" s="442">
        <f>CE150/CD150-1</f>
        <v>0.11256872726628298</v>
      </c>
      <c r="CF153" s="442">
        <f>CF150/CE150-1</f>
        <v>7.021073674234124E-2</v>
      </c>
      <c r="CG153" s="441"/>
      <c r="CH153" s="439"/>
      <c r="CI153" s="442">
        <f>CI150/CF150-1</f>
        <v>6.7260402548462883E-2</v>
      </c>
      <c r="CJ153" s="442">
        <f>CJ150/CI150-1</f>
        <v>7.433152097173723E-2</v>
      </c>
      <c r="CK153" s="442">
        <f>CK150/CJ150-1</f>
        <v>4.5372862118454815E-2</v>
      </c>
      <c r="CL153" s="442">
        <f>CL150/CK150-1</f>
        <v>4.4116745426705073E-2</v>
      </c>
      <c r="CM153" s="441"/>
      <c r="CN153" s="439"/>
      <c r="CO153" s="442">
        <f>CO150/CL150-1</f>
        <v>4.4545020730541784E-2</v>
      </c>
      <c r="CP153" s="442">
        <f>CP150/CO150-1</f>
        <v>8.2568187138997162E-2</v>
      </c>
      <c r="CQ153" s="442">
        <f>CQ150/CP150-1</f>
        <v>4.930852766579541E-2</v>
      </c>
      <c r="CR153" s="442">
        <f>CR150/CQ150-1</f>
        <v>5.4078315739886307E-2</v>
      </c>
      <c r="CS153" s="441"/>
      <c r="CT153" s="439"/>
      <c r="CU153" s="442">
        <f>CU150/CR150-1</f>
        <v>5.5170384985677279E-2</v>
      </c>
      <c r="CV153" s="442">
        <f>CV150/CU150-1</f>
        <v>6.228523570636435E-2</v>
      </c>
      <c r="CW153" s="442">
        <f>CW150/CV150-1</f>
        <v>5.1907130132337942E-2</v>
      </c>
      <c r="CX153" s="442">
        <f>CX150/CW150-1</f>
        <v>6.3846377561075363E-2</v>
      </c>
      <c r="CY153" s="441"/>
      <c r="CZ153" s="439"/>
      <c r="DA153" s="442">
        <f>DA150/CX150-1</f>
        <v>4.2762635793411663E-2</v>
      </c>
      <c r="DB153" s="442">
        <f>DB150/DA150-1</f>
        <v>7.6146299618157443E-2</v>
      </c>
      <c r="DC153" s="442">
        <f>DC150/DB150-1</f>
        <v>4.9665209907202801E-2</v>
      </c>
      <c r="DD153" s="442">
        <f>DD150/DC150-1</f>
        <v>6.7924417498514744E-2</v>
      </c>
      <c r="DE153" s="441"/>
      <c r="DF153" s="439"/>
      <c r="DG153" s="442">
        <f>DG150/DD150-1</f>
        <v>2.2385737476459333E-2</v>
      </c>
      <c r="DH153" s="442">
        <f>DH150/DG150-1</f>
        <v>6.1517974261838804E-2</v>
      </c>
      <c r="DI153" s="442">
        <f>DI150/DH150-1</f>
        <v>4.1612464646116232E-2</v>
      </c>
      <c r="DJ153" s="442">
        <f>DJ150/DI150-1</f>
        <v>6.0323594747470066E-2</v>
      </c>
      <c r="DK153" s="441"/>
      <c r="DL153" s="439"/>
      <c r="DM153" s="442">
        <f>DM150/DJ150-1</f>
        <v>2.641024494547195E-2</v>
      </c>
      <c r="DN153" s="442">
        <f>DN150/DM150-1</f>
        <v>6.1587080232133884E-2</v>
      </c>
      <c r="DO153" s="442">
        <f>DO150/DN150-1</f>
        <v>4.1473799316465554E-2</v>
      </c>
      <c r="DP153" s="442">
        <f>DP150/DO150-1</f>
        <v>5.5178295238890618E-2</v>
      </c>
      <c r="DQ153" s="441"/>
      <c r="DR153" s="439"/>
      <c r="DS153" s="442">
        <f>DS150/DP150-1</f>
        <v>2.692720394792536E-2</v>
      </c>
      <c r="DT153" s="442">
        <f>DT150/DS150-1</f>
        <v>5.864186781657188E-2</v>
      </c>
      <c r="DU153" s="442">
        <f>DU150/DT150-1</f>
        <v>3.9884834574140049E-2</v>
      </c>
      <c r="DV153" s="442">
        <f>DV150/DU150-1</f>
        <v>5.568189168729698E-2</v>
      </c>
      <c r="DW153" s="441"/>
      <c r="DX153" s="656"/>
      <c r="DY153" s="656"/>
      <c r="DZ153" s="656"/>
      <c r="EA153" s="656"/>
      <c r="EB153" s="656"/>
      <c r="EC153" s="656"/>
      <c r="ED153" s="656"/>
      <c r="EE153" s="656"/>
      <c r="EF153" s="656"/>
      <c r="EJ153" s="656"/>
      <c r="EK153" s="656"/>
      <c r="EL153" s="656"/>
    </row>
    <row r="154" spans="1:142" s="475" customFormat="1" ht="12" hidden="1" customHeight="1" outlineLevel="1">
      <c r="G154" s="476"/>
      <c r="M154" s="476"/>
      <c r="S154" s="476"/>
      <c r="Y154" s="476"/>
      <c r="AE154" s="476"/>
      <c r="AK154" s="476"/>
      <c r="AQ154" s="481"/>
      <c r="AW154" s="481"/>
      <c r="BC154" s="481"/>
      <c r="BI154" s="481"/>
      <c r="BO154" s="481"/>
      <c r="BU154" s="481"/>
      <c r="CA154" s="481"/>
      <c r="CG154" s="481"/>
      <c r="CM154" s="481"/>
      <c r="CS154" s="481"/>
      <c r="CY154" s="481"/>
      <c r="DE154" s="481"/>
      <c r="DK154" s="481"/>
      <c r="DQ154" s="481"/>
      <c r="DW154" s="481"/>
      <c r="DX154" s="656"/>
      <c r="DY154" s="656"/>
      <c r="DZ154" s="656"/>
      <c r="EA154" s="656"/>
      <c r="EB154" s="656"/>
      <c r="EC154" s="656"/>
      <c r="ED154" s="656"/>
      <c r="EE154" s="656"/>
      <c r="EF154" s="656"/>
      <c r="EJ154" s="656"/>
      <c r="EK154" s="656"/>
      <c r="EL154" s="656"/>
    </row>
    <row r="155" spans="1:142" s="475" customFormat="1" ht="12" hidden="1" customHeight="1" outlineLevel="1">
      <c r="A155" s="74" t="s">
        <v>201</v>
      </c>
      <c r="B155" s="74"/>
      <c r="C155" s="74"/>
      <c r="D155" s="74"/>
      <c r="E155" s="74"/>
      <c r="F155" s="74"/>
      <c r="G155" s="75"/>
      <c r="H155" s="74"/>
      <c r="I155" s="74"/>
      <c r="J155" s="74"/>
      <c r="K155" s="74"/>
      <c r="L155" s="74"/>
      <c r="M155" s="75"/>
      <c r="N155" s="74"/>
      <c r="O155" s="74"/>
      <c r="P155" s="74"/>
      <c r="Q155" s="74"/>
      <c r="R155" s="74"/>
      <c r="S155" s="75"/>
      <c r="T155" s="74"/>
      <c r="U155" s="74"/>
      <c r="V155" s="74"/>
      <c r="W155" s="74"/>
      <c r="X155" s="74"/>
      <c r="Y155" s="75"/>
      <c r="Z155" s="74"/>
      <c r="AA155" s="94">
        <f>AA150/AVERAGE(AA8,X8)*1000000</f>
        <v>3363.8918918918916</v>
      </c>
      <c r="AB155" s="94">
        <f>AB150/AVERAGE(AB8,AA8)*1000000</f>
        <v>3446.6028708133977</v>
      </c>
      <c r="AC155" s="94">
        <f>AC150/AVERAGE(AC8,AB8)*1000000</f>
        <v>3513.9830508474579</v>
      </c>
      <c r="AD155" s="94">
        <f>AD150/AVERAGE(AD8,AC8)*1000000</f>
        <v>3740.833333333333</v>
      </c>
      <c r="AE155" s="75"/>
      <c r="AF155" s="74"/>
      <c r="AG155" s="94">
        <f>AG150/AVERAGE(AG8,AD8)*1000000</f>
        <v>3958.5034013605441</v>
      </c>
      <c r="AH155" s="94">
        <f>AH150/AVERAGE(AH8,AG8)*1000000</f>
        <v>4051.7283950617293</v>
      </c>
      <c r="AI155" s="94">
        <f>AI150/AVERAGE(AI8,AH8)*1000000</f>
        <v>4178.9887640449433</v>
      </c>
      <c r="AJ155" s="94">
        <f>AJ150/AVERAGE(AJ8,AI8)*1000000</f>
        <v>4205.3571428571422</v>
      </c>
      <c r="AK155" s="75"/>
      <c r="AL155" s="74"/>
      <c r="AM155" s="94">
        <f>AM150/AVERAGE(AM8,AJ8)*1000000</f>
        <v>4374.6759259259261</v>
      </c>
      <c r="AN155" s="94">
        <f>AN150/AVERAGE(AN8,AM8)*1000000</f>
        <v>4491.0736842105262</v>
      </c>
      <c r="AO155" s="94">
        <f>AO150/AVERAGE(AO8,AN8)*1000000</f>
        <v>4563.8921001926792</v>
      </c>
      <c r="AP155" s="94">
        <f>AP150/AVERAGE(AP8,AO8)*1000000</f>
        <v>4642.2144112478027</v>
      </c>
      <c r="AQ155" s="78"/>
      <c r="AR155" s="74"/>
      <c r="AS155" s="94">
        <f>AS150/AVERAGE(AS8,AP8)*1000000</f>
        <v>4756.5217391304341</v>
      </c>
      <c r="AT155" s="94">
        <f>AT150/AVERAGE(AT8,AS8)*1000000</f>
        <v>4733.6686390532541</v>
      </c>
      <c r="AU155" s="94">
        <f>AU150/AVERAGE(AU8,AT8)*1000000</f>
        <v>4805.8855585831061</v>
      </c>
      <c r="AV155" s="94">
        <f>AV150/AVERAGE(AV8,AU8)*1000000</f>
        <v>4968.8242730720604</v>
      </c>
      <c r="AW155" s="78"/>
      <c r="AX155" s="74"/>
      <c r="AY155" s="94">
        <f>AY150/AVERAGE(AY8,AV8)*1000000</f>
        <v>5327.2104018912532</v>
      </c>
      <c r="AZ155" s="94">
        <f>AZ150/AVERAGE(AZ8,AY8)*1000000</f>
        <v>5251.2595837897043</v>
      </c>
      <c r="BA155" s="94">
        <f>BA150/AVERAGE(BA8,AZ8)*1000000</f>
        <v>5093.5276381909543</v>
      </c>
      <c r="BB155" s="94">
        <f>BB150/AVERAGE(BB8,BA8)*1000000</f>
        <v>4964.7388059701498</v>
      </c>
      <c r="BC155" s="78"/>
      <c r="BD155" s="74"/>
      <c r="BE155" s="94">
        <f>BE150/AVERAGE(BE8,BB8)*1000000</f>
        <v>4913.1299040976455</v>
      </c>
      <c r="BF155" s="94">
        <f>BF150/AVERAGE(BF8,BE8)*1000000</f>
        <v>4790.8571428571431</v>
      </c>
      <c r="BG155" s="94">
        <f>BG150/AVERAGE(BG8,BF8)*1000000</f>
        <v>4681.4645308924482</v>
      </c>
      <c r="BH155" s="94">
        <f>BH150/AVERAGE(BH8,BG8)*1000000</f>
        <v>4663.732193732194</v>
      </c>
      <c r="BI155" s="78"/>
      <c r="BJ155" s="74"/>
      <c r="BK155" s="94">
        <f>BK150/AVERAGE(BK8,BH8)*1000000</f>
        <v>4682.4032042723629</v>
      </c>
      <c r="BL155" s="94">
        <f>BL150/AVERAGE(BL8,BK8)*1000000</f>
        <v>4620.5510331872265</v>
      </c>
      <c r="BM155" s="94">
        <f>BM150/AVERAGE(BM8,BL8)*1000000</f>
        <v>4751.7452830188677</v>
      </c>
      <c r="BN155" s="94">
        <f>BN150/AVERAGE(BN8,BM8)*1000000</f>
        <v>4774.7520891364902</v>
      </c>
      <c r="BO155" s="78"/>
      <c r="BP155" s="74"/>
      <c r="BQ155" s="94">
        <f>BQ150/AVERAGE(BQ8,BN8)*1000000</f>
        <v>4984.2526315789473</v>
      </c>
      <c r="BR155" s="94">
        <f>BR150/AVERAGE(BR8,BQ8)*1000000</f>
        <v>5049.8661378284578</v>
      </c>
      <c r="BS155" s="94">
        <f>BS150/AVERAGE(BS8,BR8)*1000000</f>
        <v>5120.5780885780887</v>
      </c>
      <c r="BT155" s="94">
        <f>BT150/AVERAGE(BT8,BS8)*1000000</f>
        <v>5221.9786206684448</v>
      </c>
      <c r="BU155" s="78"/>
      <c r="BV155" s="74"/>
      <c r="BW155" s="94">
        <f>BW150/AVERAGE(BW8,BT8)*1000000</f>
        <v>5494.3691144038312</v>
      </c>
      <c r="BX155" s="94">
        <f>BX150/AVERAGE(BX8,BW8)*1000000</f>
        <v>5553.1206836667934</v>
      </c>
      <c r="BY155" s="94">
        <f>BY150/AVERAGE(BY8,BX8)*1000000</f>
        <v>5756.5699983677023</v>
      </c>
      <c r="BZ155" s="94">
        <f>BZ150/AVERAGE(BZ8,BY8)*1000000</f>
        <v>5872.7280883419435</v>
      </c>
      <c r="CA155" s="78"/>
      <c r="CB155" s="74"/>
      <c r="CC155" s="94">
        <f>CC150/AVERAGE(CC8,BZ8)*1000000</f>
        <v>6074.3078043749501</v>
      </c>
      <c r="CD155" s="94">
        <f>CD150/AVERAGE(CD8,CC8)*1000000</f>
        <v>6150.2971806911191</v>
      </c>
      <c r="CE155" s="94">
        <f>CE150/AVERAGE(CE8,CD8)*1000000</f>
        <v>6468.0771109676134</v>
      </c>
      <c r="CF155" s="94">
        <f>CF150/AVERAGE(CF8,CE8)*1000000</f>
        <v>6691.391855711433</v>
      </c>
      <c r="CG155" s="78"/>
      <c r="CH155" s="74"/>
      <c r="CI155" s="94">
        <f>CI150/AVERAGE(CI8,CF8)*1000000</f>
        <v>6911.3021197882163</v>
      </c>
      <c r="CJ155" s="94">
        <f>CJ150/AVERAGE(CJ8,CI8)*1000000</f>
        <v>7159.1559345321239</v>
      </c>
      <c r="CK155" s="94">
        <f>CK150/AVERAGE(CK8,CJ8)*1000000</f>
        <v>7238.3935832253155</v>
      </c>
      <c r="CL155" s="94">
        <f>CL150/AVERAGE(CL8,CK8)*1000000</f>
        <v>7326.800232234963</v>
      </c>
      <c r="CM155" s="78"/>
      <c r="CN155" s="74"/>
      <c r="CO155" s="94">
        <f>CO150/AVERAGE(CO8,CL8)*1000000</f>
        <v>7425.8518803762281</v>
      </c>
      <c r="CP155" s="94">
        <f>CP150/AVERAGE(CP8,CO8)*1000000</f>
        <v>7820.631562842158</v>
      </c>
      <c r="CQ155" s="94">
        <f>CQ150/AVERAGE(CQ8,CP8)*1000000</f>
        <v>7983.7687701455015</v>
      </c>
      <c r="CR155" s="94">
        <f>CR150/AVERAGE(CR8,CQ8)*1000000</f>
        <v>8216.2903413951517</v>
      </c>
      <c r="CS155" s="78"/>
      <c r="CT155" s="74"/>
      <c r="CU155" s="94">
        <f>CU150/AVERAGE(CU8,CR8)*1000000</f>
        <v>8479.4756553704501</v>
      </c>
      <c r="CV155" s="94">
        <f>CV150/AVERAGE(CV8,CU8)*1000000</f>
        <v>8791.9481397967775</v>
      </c>
      <c r="CW155" s="94">
        <f>CW150/AVERAGE(CW8,CV8)*1000000</f>
        <v>9040.8872592086427</v>
      </c>
      <c r="CX155" s="94">
        <f>CX150/AVERAGE(CX8,CW8)*1000000</f>
        <v>9413.9802301324944</v>
      </c>
      <c r="CY155" s="78"/>
      <c r="CZ155" s="74"/>
      <c r="DA155" s="94">
        <f>DA150/AVERAGE(DA8,CX8)*1000000</f>
        <v>9652.5534090971523</v>
      </c>
      <c r="DB155" s="94">
        <f>DB150/AVERAGE(DB8,DA8)*1000000</f>
        <v>10209.685401860534</v>
      </c>
      <c r="DC155" s="94">
        <f>DC150/AVERAGE(DC8,DB8)*1000000</f>
        <v>10509.347368129922</v>
      </c>
      <c r="DD155" s="94">
        <f>DD150/AVERAGE(DD8,DC8)*1000000</f>
        <v>11030.647932366812</v>
      </c>
      <c r="DE155" s="78"/>
      <c r="DF155" s="74"/>
      <c r="DG155" s="94">
        <f>DG150/AVERAGE(DG8,DD8)*1000000</f>
        <v>11116.139086237396</v>
      </c>
      <c r="DH155" s="94">
        <f>DH150/AVERAGE(DH8,DG8)*1000000</f>
        <v>11599.544742454109</v>
      </c>
      <c r="DI155" s="94">
        <f>DI150/AVERAGE(DI8,DH8)*1000000</f>
        <v>11847.215949884321</v>
      </c>
      <c r="DJ155" s="94">
        <f>DJ150/AVERAGE(DJ8,DI8)*1000000</f>
        <v>12349.006986391792</v>
      </c>
      <c r="DK155" s="78"/>
      <c r="DL155" s="74"/>
      <c r="DM155" s="94">
        <f>DM150/AVERAGE(DM8,DJ8)*1000000</f>
        <v>12490.326715645077</v>
      </c>
      <c r="DN155" s="94">
        <f>DN150/AVERAGE(DN8,DM8)*1000000</f>
        <v>13016.30475922257</v>
      </c>
      <c r="DO155" s="94">
        <f>DO150/AVERAGE(DO8,DN8)*1000000</f>
        <v>13279.357914529133</v>
      </c>
      <c r="DP155" s="94">
        <f>DP150/AVERAGE(DP8,DO8)*1000000</f>
        <v>13788.730655504545</v>
      </c>
      <c r="DQ155" s="78"/>
      <c r="DR155" s="74"/>
      <c r="DS155" s="94">
        <f>DS150/AVERAGE(DS8,DP8)*1000000</f>
        <v>13967.505399672826</v>
      </c>
      <c r="DT155" s="94">
        <f>DT150/AVERAGE(DT8,DS8)*1000000</f>
        <v>14508.494829606589</v>
      </c>
      <c r="DU155" s="94">
        <f>DU150/AVERAGE(DU8,DT8)*1000000</f>
        <v>14768.325428262266</v>
      </c>
      <c r="DV155" s="94">
        <f>DV150/AVERAGE(DV8,DU8)*1000000</f>
        <v>15337.188114996647</v>
      </c>
      <c r="DW155" s="78"/>
      <c r="DX155" s="656"/>
      <c r="DY155" s="656"/>
      <c r="DZ155" s="656"/>
      <c r="EA155" s="656"/>
      <c r="EB155" s="656"/>
      <c r="EC155" s="656"/>
      <c r="ED155" s="656"/>
      <c r="EE155" s="656"/>
      <c r="EF155" s="656"/>
      <c r="EJ155" s="656"/>
      <c r="EK155" s="656"/>
      <c r="EL155" s="656"/>
    </row>
    <row r="156" spans="1:142" s="475" customFormat="1" ht="12" hidden="1" customHeight="1" outlineLevel="1">
      <c r="A156" s="80" t="s">
        <v>877</v>
      </c>
      <c r="B156" s="74"/>
      <c r="C156" s="74"/>
      <c r="D156" s="74"/>
      <c r="E156" s="74"/>
      <c r="F156" s="74"/>
      <c r="G156" s="75"/>
      <c r="H156" s="74"/>
      <c r="I156" s="74"/>
      <c r="J156" s="74"/>
      <c r="K156" s="74"/>
      <c r="L156" s="74"/>
      <c r="M156" s="75"/>
      <c r="N156" s="74"/>
      <c r="O156" s="74"/>
      <c r="P156" s="74"/>
      <c r="Q156" s="74"/>
      <c r="R156" s="74"/>
      <c r="S156" s="75"/>
      <c r="T156" s="74"/>
      <c r="U156" s="74"/>
      <c r="V156" s="74"/>
      <c r="W156" s="74"/>
      <c r="X156" s="74"/>
      <c r="Y156" s="75"/>
      <c r="Z156" s="74"/>
      <c r="AA156" s="76"/>
      <c r="AB156" s="76"/>
      <c r="AC156" s="76"/>
      <c r="AD156" s="76"/>
      <c r="AE156" s="76"/>
      <c r="AF156" s="74"/>
      <c r="AG156" s="76">
        <f>AG155/AA155-1</f>
        <v>0.17676296640265576</v>
      </c>
      <c r="AH156" s="76">
        <f>AH155/AB155-1</f>
        <v>0.1755715836520273</v>
      </c>
      <c r="AI156" s="76">
        <f>AI155/AC155-1</f>
        <v>0.1892455665194821</v>
      </c>
      <c r="AJ156" s="76">
        <f>AJ155/AD155-1</f>
        <v>0.1241765585717467</v>
      </c>
      <c r="AK156" s="76"/>
      <c r="AL156" s="74"/>
      <c r="AM156" s="76">
        <f>AM155/AG155-1</f>
        <v>0.10513380496839853</v>
      </c>
      <c r="AN156" s="76">
        <f>AN155/AH155-1</f>
        <v>0.1084340425395427</v>
      </c>
      <c r="AO156" s="76">
        <f>AO155/AI155-1</f>
        <v>9.2104419963833228E-2</v>
      </c>
      <c r="AP156" s="76">
        <f>AP155/AJ155-1</f>
        <v>0.103881133884828</v>
      </c>
      <c r="AQ156" s="81"/>
      <c r="AR156" s="74"/>
      <c r="AS156" s="76">
        <f>AS155/AM155-1</f>
        <v>8.7285508611403717E-2</v>
      </c>
      <c r="AT156" s="76">
        <f>AT155/AN155-1</f>
        <v>5.4017139753380183E-2</v>
      </c>
      <c r="AU156" s="76">
        <f>AU155/AO155-1</f>
        <v>5.3023483701599927E-2</v>
      </c>
      <c r="AV156" s="76">
        <f>AV155/AP155-1</f>
        <v>7.0356479233897984E-2</v>
      </c>
      <c r="AW156" s="81"/>
      <c r="AX156" s="74"/>
      <c r="AY156" s="76">
        <f>AY155/AS155-1</f>
        <v>0.11998024902649762</v>
      </c>
      <c r="AZ156" s="76">
        <f>AZ155/AT155-1</f>
        <v>0.10934245385624841</v>
      </c>
      <c r="BA156" s="76">
        <f>BA155/AU155-1</f>
        <v>5.9852045185331493E-2</v>
      </c>
      <c r="BB156" s="76">
        <f>BB155/AV155-1</f>
        <v>-8.2222008213317377E-4</v>
      </c>
      <c r="BC156" s="81"/>
      <c r="BD156" s="74"/>
      <c r="BE156" s="76">
        <f>BE155/AY155-1</f>
        <v>-7.7729330466580038E-2</v>
      </c>
      <c r="BF156" s="76">
        <f>BF155/AZ155-1</f>
        <v>-8.7674668065123584E-2</v>
      </c>
      <c r="BG156" s="76">
        <f>BG155/BA155-1</f>
        <v>-8.0899356314253157E-2</v>
      </c>
      <c r="BH156" s="76">
        <f>BH155/BB155-1</f>
        <v>-6.0628891871611135E-2</v>
      </c>
      <c r="BI156" s="81"/>
      <c r="BJ156" s="74"/>
      <c r="BK156" s="76">
        <f>BK155/BE155-1</f>
        <v>-4.6961245545909969E-2</v>
      </c>
      <c r="BL156" s="76">
        <f>BL155/BF155-1</f>
        <v>-3.5548150276998314E-2</v>
      </c>
      <c r="BM156" s="76">
        <f>BM155/BG155-1</f>
        <v>1.5012556789151033E-2</v>
      </c>
      <c r="BN156" s="76">
        <f>BN155/BH155-1</f>
        <v>2.3804946509042857E-2</v>
      </c>
      <c r="BO156" s="81"/>
      <c r="BP156" s="74"/>
      <c r="BQ156" s="76">
        <f>BQ155/BK155-1</f>
        <v>6.4464637951547665E-2</v>
      </c>
      <c r="BR156" s="76">
        <f>BR155/BL155-1</f>
        <v>9.2914265324127943E-2</v>
      </c>
      <c r="BS156" s="76">
        <f>BS155/BM155-1</f>
        <v>7.7620491754325505E-2</v>
      </c>
      <c r="BT156" s="76">
        <f>BT155/BN155-1</f>
        <v>9.3664869543590212E-2</v>
      </c>
      <c r="BU156" s="81"/>
      <c r="BV156" s="74"/>
      <c r="BW156" s="76">
        <f>BW155/BQ155-1</f>
        <v>0.10234563143788433</v>
      </c>
      <c r="BX156" s="76">
        <f>BX155/BR155-1</f>
        <v>9.9657007156776833E-2</v>
      </c>
      <c r="BY156" s="76">
        <f>BY155/BS155-1</f>
        <v>0.12420314636119922</v>
      </c>
      <c r="BZ156" s="76">
        <f>BZ155/BT155-1</f>
        <v>0.1246174132344875</v>
      </c>
      <c r="CA156" s="81"/>
      <c r="CB156" s="74"/>
      <c r="CC156" s="76">
        <f>CC155/BW155-1</f>
        <v>0.10555146148641037</v>
      </c>
      <c r="CD156" s="76">
        <f>CD155/BX155-1</f>
        <v>0.10753890128496235</v>
      </c>
      <c r="CE156" s="76">
        <f>CE155/BY155-1</f>
        <v>0.12359914198935518</v>
      </c>
      <c r="CF156" s="76">
        <f>CF155/BZ155-1</f>
        <v>0.13940093173982171</v>
      </c>
      <c r="CG156" s="81"/>
      <c r="CH156" s="74"/>
      <c r="CI156" s="76">
        <f>CI155/CC155-1</f>
        <v>0.13779254235526728</v>
      </c>
      <c r="CJ156" s="76">
        <f>CJ155/CD155-1</f>
        <v>0.16403414732678612</v>
      </c>
      <c r="CK156" s="76">
        <f>CK155/CE155-1</f>
        <v>0.11909512812571643</v>
      </c>
      <c r="CL156" s="76">
        <f>CL155/CF155-1</f>
        <v>9.4959074318921699E-2</v>
      </c>
      <c r="CM156" s="81"/>
      <c r="CN156" s="74"/>
      <c r="CO156" s="76">
        <f>CO155/CI155-1</f>
        <v>7.4450480049883749E-2</v>
      </c>
      <c r="CP156" s="76">
        <f>CP155/CJ155-1</f>
        <v>9.2395756477298141E-2</v>
      </c>
      <c r="CQ156" s="76">
        <f>CQ155/CK155-1</f>
        <v>0.10297522210557375</v>
      </c>
      <c r="CR156" s="76">
        <f>CR155/CL155-1</f>
        <v>0.12140226032733792</v>
      </c>
      <c r="CS156" s="81"/>
      <c r="CT156" s="74"/>
      <c r="CU156" s="76">
        <f>CU155/CO155-1</f>
        <v>0.14188591315409327</v>
      </c>
      <c r="CV156" s="76">
        <f>CV155/CP155-1</f>
        <v>0.12419925029707257</v>
      </c>
      <c r="CW156" s="76">
        <f>CW155/CQ155-1</f>
        <v>0.13240845514165311</v>
      </c>
      <c r="CX156" s="76">
        <f>CX155/CR155-1</f>
        <v>0.1457701516100478</v>
      </c>
      <c r="CY156" s="81"/>
      <c r="CZ156" s="74"/>
      <c r="DA156" s="76">
        <f>DA155/CU155-1</f>
        <v>0.13834319495731284</v>
      </c>
      <c r="DB156" s="76">
        <f>DB155/CV155-1</f>
        <v>0.16125405194855102</v>
      </c>
      <c r="DC156" s="76">
        <f>DC155/CW155-1</f>
        <v>0.16242433588866745</v>
      </c>
      <c r="DD156" s="76">
        <f>DD155/CX155-1</f>
        <v>0.17173051809261808</v>
      </c>
      <c r="DE156" s="81"/>
      <c r="DF156" s="74"/>
      <c r="DG156" s="76">
        <f>DG155/DA155-1</f>
        <v>0.15162678879982905</v>
      </c>
      <c r="DH156" s="76">
        <f>DH155/DB155-1</f>
        <v>0.13613145615048028</v>
      </c>
      <c r="DI156" s="76">
        <f>DI155/DC155-1</f>
        <v>0.12730272726654235</v>
      </c>
      <c r="DJ156" s="76">
        <f>DJ155/DD155-1</f>
        <v>0.11951782543585399</v>
      </c>
      <c r="DK156" s="81"/>
      <c r="DL156" s="74"/>
      <c r="DM156" s="76">
        <f>DM155/DG155-1</f>
        <v>0.1236209459729618</v>
      </c>
      <c r="DN156" s="76">
        <f>DN155/DH155-1</f>
        <v>0.12213927772381861</v>
      </c>
      <c r="DO156" s="76">
        <f>DO155/DI155-1</f>
        <v>0.12088426265740493</v>
      </c>
      <c r="DP156" s="76">
        <f>DP155/DJ155-1</f>
        <v>0.11658618953728683</v>
      </c>
      <c r="DQ156" s="81"/>
      <c r="DR156" s="74"/>
      <c r="DS156" s="76">
        <f>DS155/DM155-1</f>
        <v>0.11826581623181021</v>
      </c>
      <c r="DT156" s="76">
        <f>DT155/DN155-1</f>
        <v>0.11464006858987696</v>
      </c>
      <c r="DU156" s="76">
        <f>DU155/DO155-1</f>
        <v>0.11212646901429113</v>
      </c>
      <c r="DV156" s="76">
        <f>DV155/DP155-1</f>
        <v>0.11229876760802115</v>
      </c>
      <c r="DW156" s="81"/>
      <c r="DX156" s="656"/>
      <c r="DY156" s="656"/>
      <c r="DZ156" s="656"/>
      <c r="EA156" s="656"/>
      <c r="EB156" s="656"/>
      <c r="EC156" s="656"/>
      <c r="ED156" s="656"/>
      <c r="EE156" s="656"/>
      <c r="EF156" s="656"/>
      <c r="EJ156" s="656"/>
      <c r="EK156" s="656"/>
      <c r="EL156" s="656"/>
    </row>
    <row r="157" spans="1:142" s="475" customFormat="1" ht="12" hidden="1" customHeight="1" outlineLevel="1">
      <c r="A157" s="80" t="s">
        <v>878</v>
      </c>
      <c r="B157" s="74"/>
      <c r="C157" s="74"/>
      <c r="D157" s="74"/>
      <c r="E157" s="74"/>
      <c r="F157" s="74"/>
      <c r="G157" s="75"/>
      <c r="H157" s="74"/>
      <c r="I157" s="74"/>
      <c r="J157" s="74"/>
      <c r="K157" s="74"/>
      <c r="L157" s="74"/>
      <c r="M157" s="75"/>
      <c r="N157" s="74"/>
      <c r="O157" s="74"/>
      <c r="P157" s="74"/>
      <c r="Q157" s="74"/>
      <c r="R157" s="74"/>
      <c r="S157" s="75"/>
      <c r="T157" s="74"/>
      <c r="U157" s="74"/>
      <c r="V157" s="76"/>
      <c r="W157" s="76"/>
      <c r="X157" s="76"/>
      <c r="Y157" s="75"/>
      <c r="Z157" s="74"/>
      <c r="AA157" s="76"/>
      <c r="AB157" s="76">
        <f>AB155/AA155-1</f>
        <v>2.4587882601360356E-2</v>
      </c>
      <c r="AC157" s="76">
        <f>AC155/AB155-1</f>
        <v>1.9549737106253406E-2</v>
      </c>
      <c r="AD157" s="76">
        <f>AD155/AC155-1</f>
        <v>6.4556453233650668E-2</v>
      </c>
      <c r="AE157" s="75"/>
      <c r="AF157" s="74"/>
      <c r="AG157" s="76">
        <f>AG155/AD155-1</f>
        <v>5.8187587799655383E-2</v>
      </c>
      <c r="AH157" s="76">
        <f>AH155/AG155-1</f>
        <v>2.3550565516539335E-2</v>
      </c>
      <c r="AI157" s="76">
        <f>AI155/AH155-1</f>
        <v>3.1408909130809404E-2</v>
      </c>
      <c r="AJ157" s="76">
        <f>AJ155/AI155-1</f>
        <v>6.3097510668290724E-3</v>
      </c>
      <c r="AK157" s="75"/>
      <c r="AL157" s="74"/>
      <c r="AM157" s="76">
        <f>AM155/AJ155-1</f>
        <v>4.0262640559880714E-2</v>
      </c>
      <c r="AN157" s="76">
        <f>AN155/AM155-1</f>
        <v>2.660717279531144E-2</v>
      </c>
      <c r="AO157" s="76">
        <f>AO155/AN155-1</f>
        <v>1.6214032790903499E-2</v>
      </c>
      <c r="AP157" s="76">
        <f>AP155/AO155-1</f>
        <v>1.7161297711621337E-2</v>
      </c>
      <c r="AQ157" s="78"/>
      <c r="AR157" s="74"/>
      <c r="AS157" s="76">
        <f>AS155/AP155-1</f>
        <v>2.4623448586448715E-2</v>
      </c>
      <c r="AT157" s="76">
        <f>AT155/AS155-1</f>
        <v>-4.8045822831365159E-3</v>
      </c>
      <c r="AU157" s="76">
        <f>AU155/AT155-1</f>
        <v>1.5256014950868035E-2</v>
      </c>
      <c r="AV157" s="76">
        <f>AV155/AU155-1</f>
        <v>3.3903993863930504E-2</v>
      </c>
      <c r="AW157" s="78"/>
      <c r="AX157" s="74"/>
      <c r="AY157" s="76">
        <f>AY155/AV155-1</f>
        <v>7.2126947769399541E-2</v>
      </c>
      <c r="AZ157" s="76">
        <f>AZ155/AY155-1</f>
        <v>-1.4257146305801105E-2</v>
      </c>
      <c r="BA157" s="76">
        <f>BA155/AZ155-1</f>
        <v>-3.0036973621654139E-2</v>
      </c>
      <c r="BB157" s="76">
        <f>BB155/BA155-1</f>
        <v>-2.5284800902061311E-2</v>
      </c>
      <c r="BC157" s="78"/>
      <c r="BD157" s="74"/>
      <c r="BE157" s="76">
        <f>BE155/BB155-1</f>
        <v>-1.0395089024712423E-2</v>
      </c>
      <c r="BF157" s="76">
        <f>BF155/BE155-1</f>
        <v>-2.488693839308509E-2</v>
      </c>
      <c r="BG157" s="76">
        <f>BG155/BF155-1</f>
        <v>-2.2833620102363561E-2</v>
      </c>
      <c r="BH157" s="76">
        <f>BH155/BG155-1</f>
        <v>-3.7877756080902936E-3</v>
      </c>
      <c r="BI157" s="78"/>
      <c r="BJ157" s="74"/>
      <c r="BK157" s="76">
        <f>BK155/BH155-1</f>
        <v>4.0034482608717337E-3</v>
      </c>
      <c r="BL157" s="76">
        <f>BL155/BK155-1</f>
        <v>-1.3209492729865824E-2</v>
      </c>
      <c r="BM157" s="76">
        <f>BM155/BL155-1</f>
        <v>2.8393637228403046E-2</v>
      </c>
      <c r="BN157" s="76">
        <f>BN155/BM155-1</f>
        <v>4.8417591321321396E-3</v>
      </c>
      <c r="BO157" s="78"/>
      <c r="BP157" s="74"/>
      <c r="BQ157" s="76">
        <f>BQ155/BN155-1</f>
        <v>4.3876737164870283E-2</v>
      </c>
      <c r="BR157" s="76">
        <f>BR155/BQ155-1</f>
        <v>1.316416142990029E-2</v>
      </c>
      <c r="BS157" s="76">
        <f>BS155/BR155-1</f>
        <v>1.4002737660693487E-2</v>
      </c>
      <c r="BT157" s="76">
        <f>BT155/BS155-1</f>
        <v>1.98025555584318E-2</v>
      </c>
      <c r="BU157" s="78"/>
      <c r="BV157" s="74"/>
      <c r="BW157" s="76">
        <f>BW155/BT155-1</f>
        <v>5.2162315000155779E-2</v>
      </c>
      <c r="BX157" s="76">
        <f>BX155/BW155-1</f>
        <v>1.0693051019987188E-2</v>
      </c>
      <c r="BY157" s="76">
        <f>BY155/BX155-1</f>
        <v>3.6636933769386149E-2</v>
      </c>
      <c r="BZ157" s="76">
        <f>BZ155/BY155-1</f>
        <v>2.0178350998455441E-2</v>
      </c>
      <c r="CA157" s="78"/>
      <c r="CB157" s="74"/>
      <c r="CC157" s="76">
        <f>CC155/BZ155-1</f>
        <v>3.4324714681268187E-2</v>
      </c>
      <c r="CD157" s="76">
        <f>CD155/CC155-1</f>
        <v>1.2509964717533517E-2</v>
      </c>
      <c r="CE157" s="76">
        <f>CE155/CD155-1</f>
        <v>5.1669036623817943E-2</v>
      </c>
      <c r="CF157" s="76">
        <f>CF155/CE155-1</f>
        <v>3.4525677556495937E-2</v>
      </c>
      <c r="CG157" s="78"/>
      <c r="CH157" s="74"/>
      <c r="CI157" s="76">
        <f>CI155/CF155-1</f>
        <v>3.2864651901842956E-2</v>
      </c>
      <c r="CJ157" s="76">
        <f>CJ155/CI155-1</f>
        <v>3.5862101011943981E-2</v>
      </c>
      <c r="CK157" s="76">
        <f>CK155/CJ155-1</f>
        <v>1.1068015478052251E-2</v>
      </c>
      <c r="CL157" s="76">
        <f>CL155/CK155-1</f>
        <v>1.2213573079878692E-2</v>
      </c>
      <c r="CM157" s="78"/>
      <c r="CN157" s="74"/>
      <c r="CO157" s="76">
        <f>CO155/CL155-1</f>
        <v>1.3519086777537437E-2</v>
      </c>
      <c r="CP157" s="76">
        <f>CP155/CO155-1</f>
        <v>5.3162881353610913E-2</v>
      </c>
      <c r="CQ157" s="76">
        <f>CQ155/CP155-1</f>
        <v>2.0859850766842269E-2</v>
      </c>
      <c r="CR157" s="76">
        <f>CR155/CQ155-1</f>
        <v>2.912428678034118E-2</v>
      </c>
      <c r="CS157" s="78"/>
      <c r="CT157" s="74"/>
      <c r="CU157" s="76">
        <f>CU155/CR155-1</f>
        <v>3.2032134094546638E-2</v>
      </c>
      <c r="CV157" s="76">
        <f>CV155/CU155-1</f>
        <v>3.6850448910531908E-2</v>
      </c>
      <c r="CW157" s="76">
        <f>CW155/CV155-1</f>
        <v>2.8314443562859726E-2</v>
      </c>
      <c r="CX157" s="76">
        <f>CX155/CW155-1</f>
        <v>4.1267296032680312E-2</v>
      </c>
      <c r="CY157" s="78"/>
      <c r="CZ157" s="74"/>
      <c r="DA157" s="76">
        <f>DA155/CX155-1</f>
        <v>2.5342434669771929E-2</v>
      </c>
      <c r="DB157" s="76">
        <f>DB155/DA155-1</f>
        <v>5.7718612801282765E-2</v>
      </c>
      <c r="DC157" s="76">
        <f>DC155/DB155-1</f>
        <v>2.9350754158867565E-2</v>
      </c>
      <c r="DD157" s="76">
        <f>DD155/DC155-1</f>
        <v>4.960351446920086E-2</v>
      </c>
      <c r="DE157" s="78"/>
      <c r="DF157" s="74"/>
      <c r="DG157" s="76">
        <f>DG155/DD155-1</f>
        <v>7.7503293002154638E-3</v>
      </c>
      <c r="DH157" s="76">
        <f>DH155/DG155-1</f>
        <v>4.3486830496319184E-2</v>
      </c>
      <c r="DI157" s="76">
        <f>DI155/DH155-1</f>
        <v>2.1351804137945241E-2</v>
      </c>
      <c r="DJ157" s="76">
        <f>DJ155/DI155-1</f>
        <v>4.2355186115466292E-2</v>
      </c>
      <c r="DK157" s="78"/>
      <c r="DL157" s="74"/>
      <c r="DM157" s="76">
        <f>DM155/DJ155-1</f>
        <v>1.1443813207735243E-2</v>
      </c>
      <c r="DN157" s="76">
        <f>DN155/DM155-1</f>
        <v>4.2110831489993394E-2</v>
      </c>
      <c r="DO157" s="76">
        <f>DO155/DN155-1</f>
        <v>2.0209511084179121E-2</v>
      </c>
      <c r="DP157" s="76">
        <f>DP155/DO155-1</f>
        <v>3.8358235710937549E-2</v>
      </c>
      <c r="DQ157" s="78"/>
      <c r="DR157" s="74"/>
      <c r="DS157" s="76">
        <f>DS155/DP155-1</f>
        <v>1.296527930197211E-2</v>
      </c>
      <c r="DT157" s="76">
        <f>DT155/DS155-1</f>
        <v>3.8732000772767616E-2</v>
      </c>
      <c r="DU157" s="76">
        <f>DU155/DT155-1</f>
        <v>1.7908859720269232E-2</v>
      </c>
      <c r="DV157" s="76">
        <f>DV155/DU155-1</f>
        <v>3.8519105601894754E-2</v>
      </c>
      <c r="DW157" s="78"/>
      <c r="DX157" s="656"/>
      <c r="DY157" s="656"/>
      <c r="DZ157" s="656"/>
      <c r="EA157" s="656"/>
      <c r="EB157" s="656"/>
      <c r="EC157" s="656"/>
      <c r="ED157" s="656"/>
      <c r="EE157" s="656"/>
      <c r="EF157" s="656"/>
      <c r="EJ157" s="656"/>
      <c r="EK157" s="656"/>
      <c r="EL157" s="656"/>
    </row>
    <row r="158" spans="1:142" s="475" customFormat="1" ht="12" customHeight="1" collapsed="1">
      <c r="G158" s="476"/>
      <c r="M158" s="476"/>
      <c r="S158" s="476"/>
      <c r="Y158" s="476"/>
      <c r="AE158" s="476"/>
      <c r="AK158" s="476"/>
      <c r="AQ158" s="481"/>
      <c r="AW158" s="481"/>
      <c r="BC158" s="481"/>
      <c r="BG158" s="1516"/>
      <c r="BH158" s="1516"/>
      <c r="BI158" s="481"/>
      <c r="BO158" s="481"/>
      <c r="BU158" s="481"/>
      <c r="BW158" s="1516"/>
      <c r="BX158" s="1516"/>
      <c r="BY158" s="1516"/>
      <c r="CA158" s="1524"/>
      <c r="CC158" s="1516"/>
      <c r="CG158" s="481"/>
      <c r="CI158" s="1522"/>
      <c r="CJ158" s="1522"/>
      <c r="CM158" s="481"/>
      <c r="CO158" s="1522"/>
      <c r="CR158" s="483"/>
      <c r="CS158" s="481"/>
      <c r="CU158" s="1522"/>
      <c r="CX158" s="483"/>
      <c r="CY158" s="482"/>
      <c r="CZ158" s="483"/>
      <c r="DA158" s="483"/>
      <c r="DD158" s="483"/>
      <c r="DE158" s="481"/>
      <c r="DK158" s="481"/>
      <c r="DQ158" s="481"/>
      <c r="DW158" s="481"/>
      <c r="DX158" s="656"/>
      <c r="DY158" s="656"/>
      <c r="DZ158" s="656"/>
      <c r="EA158" s="656"/>
      <c r="EB158" s="656"/>
      <c r="EC158" s="656"/>
      <c r="ED158" s="656"/>
      <c r="EE158" s="656"/>
      <c r="EF158" s="656"/>
      <c r="EJ158" s="656"/>
      <c r="EK158" s="656"/>
      <c r="EL158" s="656"/>
    </row>
    <row r="159" spans="1:142" s="476" customFormat="1">
      <c r="A159" s="853" t="s">
        <v>188</v>
      </c>
      <c r="B159" s="853"/>
      <c r="C159" s="1525"/>
      <c r="D159" s="1525"/>
      <c r="E159" s="1525"/>
      <c r="F159" s="1525"/>
      <c r="G159" s="1526">
        <f>BS!D33</f>
        <v>1.78</v>
      </c>
      <c r="H159" s="1526"/>
      <c r="I159" s="1525">
        <v>3</v>
      </c>
      <c r="J159" s="1525">
        <v>4</v>
      </c>
      <c r="K159" s="1525">
        <v>8</v>
      </c>
      <c r="L159" s="1525">
        <v>7</v>
      </c>
      <c r="M159" s="1526">
        <f>BS!E33</f>
        <v>7.1280000000000001</v>
      </c>
      <c r="N159" s="1526"/>
      <c r="O159" s="1525">
        <f>BS!G33</f>
        <v>10.487</v>
      </c>
      <c r="P159" s="1525">
        <f>BS!H33</f>
        <v>15.101000000000001</v>
      </c>
      <c r="Q159" s="1525">
        <f>BS!I33</f>
        <v>14.247</v>
      </c>
      <c r="R159" s="1525">
        <f>BS!J33</f>
        <v>19.170999999999999</v>
      </c>
      <c r="S159" s="1526">
        <f>BS!K33</f>
        <v>19.170999999999999</v>
      </c>
      <c r="T159" s="1525"/>
      <c r="U159" s="1525">
        <f>BS!M33</f>
        <v>24.31</v>
      </c>
      <c r="V159" s="1525">
        <f>BS!N33</f>
        <v>29.449000000000002</v>
      </c>
      <c r="W159" s="1525">
        <f>BS!O33</f>
        <v>34.408000000000001</v>
      </c>
      <c r="X159" s="1525">
        <f>BS!P33</f>
        <v>49.677</v>
      </c>
      <c r="Y159" s="1526">
        <f>BS!Q33</f>
        <v>49.677</v>
      </c>
      <c r="Z159" s="1525"/>
      <c r="AA159" s="1525">
        <f>BS!S33</f>
        <v>52.34</v>
      </c>
      <c r="AB159" s="1525">
        <f>BS!T33</f>
        <v>61.557000000000002</v>
      </c>
      <c r="AC159" s="1525">
        <f>BS!U33</f>
        <v>74.239999999999995</v>
      </c>
      <c r="AD159" s="1525">
        <f>BS!V33</f>
        <v>95.9</v>
      </c>
      <c r="AE159" s="1526">
        <f>BS!W33</f>
        <v>95.9</v>
      </c>
      <c r="AF159" s="1525"/>
      <c r="AG159" s="1525">
        <f>BS!Y33</f>
        <v>104.645</v>
      </c>
      <c r="AH159" s="1525">
        <f>BS!Z33</f>
        <v>117.31100000000001</v>
      </c>
      <c r="AI159" s="1525">
        <f>BS!AA33</f>
        <v>127.11</v>
      </c>
      <c r="AJ159" s="1525">
        <f>BS!AB33</f>
        <v>169.17500000000001</v>
      </c>
      <c r="AK159" s="1526">
        <f>BS!AC33</f>
        <v>169.17500000000001</v>
      </c>
      <c r="AL159" s="1525"/>
      <c r="AM159" s="1525">
        <f>BS!AE33</f>
        <v>182.036</v>
      </c>
      <c r="AN159" s="1525">
        <f>BS!AF33</f>
        <v>202.83600000000001</v>
      </c>
      <c r="AO159" s="1525">
        <f>BS!AG33</f>
        <v>219.43100000000001</v>
      </c>
      <c r="AP159" s="1525">
        <f>BS!AH33</f>
        <v>284.06299999999999</v>
      </c>
      <c r="AQ159" s="1527">
        <f>BS!AI33</f>
        <v>284.06299999999999</v>
      </c>
      <c r="AR159" s="1525"/>
      <c r="AS159" s="1525">
        <f>BS!AK33</f>
        <v>295.67200000000003</v>
      </c>
      <c r="AT159" s="1525">
        <f>BS!AL33</f>
        <v>321.85199999999998</v>
      </c>
      <c r="AU159" s="1525">
        <f>BS!AM33</f>
        <v>340.80799999999999</v>
      </c>
      <c r="AV159" s="1525">
        <f>BS!AN33+BS!AN43</f>
        <v>480.89400000000001</v>
      </c>
      <c r="AW159" s="1527">
        <f>AV159</f>
        <v>480.89400000000001</v>
      </c>
      <c r="AX159" s="1525"/>
      <c r="AY159" s="1525">
        <f>BS!AQ33+BS!AQ43</f>
        <v>470.29700000000003</v>
      </c>
      <c r="AZ159" s="1525">
        <f>BS!AR33+BS!AR43</f>
        <v>479.54599999999999</v>
      </c>
      <c r="BA159" s="1525">
        <f>BS!AS33+BS!AS43</f>
        <v>469.53399999999999</v>
      </c>
      <c r="BB159" s="1525">
        <f>BS!AT33+BS!AT43</f>
        <v>594.02600000000007</v>
      </c>
      <c r="BC159" s="1527">
        <f>BB159</f>
        <v>594.02600000000007</v>
      </c>
      <c r="BD159" s="1525"/>
      <c r="BE159" s="1525">
        <f>BS!AW33+BS!AW43</f>
        <v>549.37300000000005</v>
      </c>
      <c r="BF159" s="1525">
        <f>BS!AX33+BS!AX43</f>
        <v>549.01</v>
      </c>
      <c r="BG159" s="1525">
        <f>BS!AY33+BS!AY43</f>
        <v>545.43499999999995</v>
      </c>
      <c r="BH159" s="1525">
        <f>BS!AZ33+BS!AZ43</f>
        <v>704.34800000000007</v>
      </c>
      <c r="BI159" s="1527">
        <f>BH159</f>
        <v>704.34800000000007</v>
      </c>
      <c r="BJ159" s="1428"/>
      <c r="BK159" s="1525">
        <f>BS!BC33+BS!BC43</f>
        <v>664.529</v>
      </c>
      <c r="BL159" s="1525">
        <f>BS!BD33+BS!BD43</f>
        <v>683.01900000000001</v>
      </c>
      <c r="BM159" s="1525">
        <f>BS!BE33+BS!BE43</f>
        <v>694.5569999999999</v>
      </c>
      <c r="BN159" s="1525">
        <f>BS!BF33+BS!BF43</f>
        <v>934.94100000000003</v>
      </c>
      <c r="BO159" s="1527">
        <f>BN159</f>
        <v>934.94100000000003</v>
      </c>
      <c r="BP159" s="1428"/>
      <c r="BQ159" s="1525">
        <f>BS!BI33+BS!BI43</f>
        <v>915.13300000000004</v>
      </c>
      <c r="BR159" s="1525">
        <f>BS!BJ33+BS!BJ43</f>
        <v>935.26599999999996</v>
      </c>
      <c r="BS159" s="1525">
        <f>BS!BK33+BS!BK43</f>
        <v>917.82099999999991</v>
      </c>
      <c r="BT159" s="1525">
        <f>BS!BL33+BS!BL43</f>
        <v>1380.2950000000001</v>
      </c>
      <c r="BU159" s="1527">
        <f>BT159</f>
        <v>1380.2950000000001</v>
      </c>
      <c r="BV159" s="1428"/>
      <c r="BW159" s="1525">
        <f>BS!BO33+BS!BO43</f>
        <v>1334.7159999999999</v>
      </c>
      <c r="BX159" s="1525">
        <f>BS!BP33+BS!BP43</f>
        <v>1337.184</v>
      </c>
      <c r="BY159" s="1525">
        <f>BS!BQ33+BS!BQ43</f>
        <v>1291.703</v>
      </c>
      <c r="BZ159" s="1525">
        <f>BS!BR33+BS!BR43</f>
        <v>1862.9950000000001</v>
      </c>
      <c r="CA159" s="1527">
        <f>BZ159</f>
        <v>1862.9950000000001</v>
      </c>
      <c r="CB159" s="1428"/>
      <c r="CC159" s="1525">
        <f>BS!BU33+BS!BU43</f>
        <v>1733.16</v>
      </c>
      <c r="CD159" s="1525">
        <f>BS!BV33+BS!BV43</f>
        <v>1789.6479999999999</v>
      </c>
      <c r="CE159" s="1425">
        <f>BS!BW33+BS!BW43</f>
        <v>1734.6189999999999</v>
      </c>
      <c r="CF159" s="1425">
        <f>BS!BX33+BS!BX43</f>
        <v>2522.1149999999998</v>
      </c>
      <c r="CG159" s="1527">
        <f>CF159</f>
        <v>2522.1149999999998</v>
      </c>
      <c r="CH159" s="1428"/>
      <c r="CI159" s="1525">
        <f>BS!CA33+BS!CA43</f>
        <v>2324.6150000000002</v>
      </c>
      <c r="CJ159" s="1425">
        <f>BS!CB33+BS!CB43</f>
        <v>2352.904</v>
      </c>
      <c r="CK159" s="1425">
        <f>BS!CC33+BS!CC43</f>
        <v>2223.9770000000003</v>
      </c>
      <c r="CL159" s="1425">
        <f>BS!CD33+BS!CD43</f>
        <v>3321.4490000000001</v>
      </c>
      <c r="CM159" s="1527">
        <f>CL159</f>
        <v>3321.4490000000001</v>
      </c>
      <c r="CN159" s="1428"/>
      <c r="CO159" s="1525">
        <f>BS!CG33+BS!CG43</f>
        <v>3056.82</v>
      </c>
      <c r="CP159" s="1425">
        <f>BS!CH33+BS!CH43</f>
        <v>3034.991</v>
      </c>
      <c r="CQ159" s="1425">
        <f>BS!CI33+BS!CI43</f>
        <v>2846.5099999999998</v>
      </c>
      <c r="CR159" s="1425">
        <f>BS!CJ33+BS!CJ43</f>
        <v>4291.5530000000008</v>
      </c>
      <c r="CS159" s="1527">
        <f>CR159</f>
        <v>4291.5530000000008</v>
      </c>
      <c r="CT159" s="1428"/>
      <c r="CU159" s="1525">
        <f>BS!CM33+BS!CM43</f>
        <v>4006.9139999999998</v>
      </c>
      <c r="CV159" s="1525">
        <f>BS!CN33+BS!CN43</f>
        <v>3823.5609999999997</v>
      </c>
      <c r="CW159" s="1425">
        <f>BS!CO33+BS!CO43</f>
        <v>3495.1330000000003</v>
      </c>
      <c r="CX159" s="1425">
        <f>BS!CP33+BS!CP43</f>
        <v>5542.8020000000006</v>
      </c>
      <c r="CY159" s="1527">
        <f>CX159</f>
        <v>5542.8020000000006</v>
      </c>
      <c r="CZ159" s="1428"/>
      <c r="DA159" s="1525">
        <f>BS!CS33+BS!CS43</f>
        <v>5042.652</v>
      </c>
      <c r="DB159" s="1525">
        <f>BS!CT33+BS!CT43</f>
        <v>4818.634</v>
      </c>
      <c r="DC159" s="1425">
        <f>BS!CU33+BS!CU43</f>
        <v>4392.0820000000003</v>
      </c>
      <c r="DD159" s="1425">
        <f>BS!CV33+BS!CV43</f>
        <v>7094.7049999999999</v>
      </c>
      <c r="DE159" s="1527">
        <f>DD159</f>
        <v>7094.7049999999999</v>
      </c>
      <c r="DF159" s="1428"/>
      <c r="DG159" s="1425">
        <f>DD159+DG139-Model!CY19</f>
        <v>6236.8411734401525</v>
      </c>
      <c r="DH159" s="1425">
        <f>DG159+DH139-Model!CZ19</f>
        <v>5943.2151205906903</v>
      </c>
      <c r="DI159" s="1425">
        <f>DH159+DI139-Model!DA19</f>
        <v>5444.6095237232348</v>
      </c>
      <c r="DJ159" s="1425">
        <f>DI159+DJ139-Model!DB19</f>
        <v>8922.21128245215</v>
      </c>
      <c r="DK159" s="1527">
        <f>DJ159</f>
        <v>8922.21128245215</v>
      </c>
      <c r="DL159" s="1428"/>
      <c r="DM159" s="1425">
        <f>DJ159+DM139-Model!DE19</f>
        <v>7748.8065175613392</v>
      </c>
      <c r="DN159" s="1425">
        <f>DM159+DN139-Model!DF19</f>
        <v>7370.2144620320978</v>
      </c>
      <c r="DO159" s="1425">
        <f>DN159+DO139-Model!DG19</f>
        <v>6750.5336802127586</v>
      </c>
      <c r="DP159" s="1425">
        <f>DO159+DP139-Model!DH19</f>
        <v>11114.135527916565</v>
      </c>
      <c r="DQ159" s="1527">
        <f>DP159</f>
        <v>11114.135527916565</v>
      </c>
      <c r="DR159" s="1428"/>
      <c r="DS159" s="1425">
        <f>DP159+DS139-Model!DK19</f>
        <v>9556.5619039500889</v>
      </c>
      <c r="DT159" s="1425">
        <f>DS159+DT139-Model!DL19</f>
        <v>9107.8293127977176</v>
      </c>
      <c r="DU159" s="1425">
        <f>DT159+DU139-Model!DM19</f>
        <v>8383.1908500294448</v>
      </c>
      <c r="DV159" s="1425">
        <f>DU159+DV139-Model!DN19</f>
        <v>13743.688088975687</v>
      </c>
      <c r="DW159" s="1527">
        <f>DV159</f>
        <v>13743.688088975687</v>
      </c>
      <c r="DX159" s="656"/>
      <c r="DY159" s="656"/>
      <c r="DZ159" s="656"/>
      <c r="EA159" s="656"/>
      <c r="EB159" s="656"/>
      <c r="EC159" s="656"/>
      <c r="ED159" s="656"/>
      <c r="EE159" s="656"/>
      <c r="EF159" s="656"/>
      <c r="EJ159" s="656"/>
      <c r="EK159" s="656"/>
      <c r="EL159" s="656"/>
    </row>
    <row r="160" spans="1:142" s="476" customFormat="1">
      <c r="A160" s="431" t="s">
        <v>97</v>
      </c>
      <c r="B160" s="431"/>
      <c r="C160" s="489"/>
      <c r="D160" s="489"/>
      <c r="E160" s="489"/>
      <c r="F160" s="489"/>
      <c r="G160" s="490"/>
      <c r="H160" s="490"/>
      <c r="I160" s="489"/>
      <c r="J160" s="489"/>
      <c r="K160" s="489"/>
      <c r="L160" s="489"/>
      <c r="M160" s="490"/>
      <c r="N160" s="490"/>
      <c r="O160" s="491">
        <f>O159-M159</f>
        <v>3.359</v>
      </c>
      <c r="P160" s="491">
        <f>P159-O159</f>
        <v>4.6140000000000008</v>
      </c>
      <c r="Q160" s="491">
        <f>Q159-P159</f>
        <v>-0.85400000000000098</v>
      </c>
      <c r="R160" s="491">
        <f>R159-Q159</f>
        <v>4.9239999999999995</v>
      </c>
      <c r="S160" s="443">
        <f>S159-M159</f>
        <v>12.042999999999999</v>
      </c>
      <c r="T160" s="489"/>
      <c r="U160" s="491">
        <f>U159-S159</f>
        <v>5.1389999999999993</v>
      </c>
      <c r="V160" s="491">
        <f>V159-U159</f>
        <v>5.1390000000000029</v>
      </c>
      <c r="W160" s="491">
        <f>W159-V159</f>
        <v>4.9589999999999996</v>
      </c>
      <c r="X160" s="491">
        <f>X159-W159</f>
        <v>15.268999999999998</v>
      </c>
      <c r="Y160" s="443">
        <f>Y159-S159</f>
        <v>30.506</v>
      </c>
      <c r="Z160" s="489"/>
      <c r="AA160" s="491">
        <f>AA159-Y159</f>
        <v>2.6630000000000038</v>
      </c>
      <c r="AB160" s="491">
        <f>AB159-AA159</f>
        <v>9.2169999999999987</v>
      </c>
      <c r="AC160" s="491">
        <f>AC159-AB159</f>
        <v>12.682999999999993</v>
      </c>
      <c r="AD160" s="491">
        <f>AD159-AC159</f>
        <v>21.660000000000011</v>
      </c>
      <c r="AE160" s="443">
        <f>AE159-Y159</f>
        <v>46.223000000000006</v>
      </c>
      <c r="AF160" s="489"/>
      <c r="AG160" s="491">
        <f>AG159-AE159</f>
        <v>8.7449999999999903</v>
      </c>
      <c r="AH160" s="491">
        <f>AH159-AG159</f>
        <v>12.666000000000011</v>
      </c>
      <c r="AI160" s="491">
        <f>AI159-AH159</f>
        <v>9.7989999999999924</v>
      </c>
      <c r="AJ160" s="491">
        <f>AJ159-AI159</f>
        <v>42.065000000000012</v>
      </c>
      <c r="AK160" s="443">
        <f>AK159-AE159</f>
        <v>73.275000000000006</v>
      </c>
      <c r="AL160" s="489"/>
      <c r="AM160" s="491">
        <f>AM159-AK159</f>
        <v>12.86099999999999</v>
      </c>
      <c r="AN160" s="491">
        <f>AN159-AM159</f>
        <v>20.800000000000011</v>
      </c>
      <c r="AO160" s="491">
        <f>AO159-AN159</f>
        <v>16.594999999999999</v>
      </c>
      <c r="AP160" s="491">
        <f>AP159-AO159</f>
        <v>64.631999999999977</v>
      </c>
      <c r="AQ160" s="492">
        <f>AQ159-AK159</f>
        <v>114.88799999999998</v>
      </c>
      <c r="AR160" s="489"/>
      <c r="AS160" s="491">
        <f>AS159-AQ159</f>
        <v>11.609000000000037</v>
      </c>
      <c r="AT160" s="491">
        <f>AT159-AS159</f>
        <v>26.17999999999995</v>
      </c>
      <c r="AU160" s="491">
        <f>AU159-AT159</f>
        <v>18.956000000000017</v>
      </c>
      <c r="AV160" s="491">
        <f>AV159-AU159</f>
        <v>140.08600000000001</v>
      </c>
      <c r="AW160" s="492">
        <f>AW159-AQ159</f>
        <v>196.83100000000002</v>
      </c>
      <c r="AX160" s="489"/>
      <c r="AY160" s="491">
        <f>AY159-AW159</f>
        <v>-10.59699999999998</v>
      </c>
      <c r="AZ160" s="491">
        <f>AZ159-AY159</f>
        <v>9.2489999999999668</v>
      </c>
      <c r="BA160" s="491">
        <f>BA159-AZ159</f>
        <v>-10.012</v>
      </c>
      <c r="BB160" s="491">
        <f>BB159-BA159</f>
        <v>124.49200000000008</v>
      </c>
      <c r="BC160" s="492">
        <f>BC159-AW159</f>
        <v>113.13200000000006</v>
      </c>
      <c r="BD160" s="489"/>
      <c r="BE160" s="491">
        <f>BE159-BC159</f>
        <v>-44.65300000000002</v>
      </c>
      <c r="BF160" s="491">
        <f>BF159-BE159</f>
        <v>-0.36300000000005639</v>
      </c>
      <c r="BG160" s="491">
        <f>BG159-BF159</f>
        <v>-3.5750000000000455</v>
      </c>
      <c r="BH160" s="491">
        <f>BH159-BG159</f>
        <v>158.91300000000012</v>
      </c>
      <c r="BI160" s="492">
        <f>BI159-BC159</f>
        <v>110.322</v>
      </c>
      <c r="BJ160" s="493"/>
      <c r="BK160" s="491">
        <f>BK159-BI159</f>
        <v>-39.819000000000074</v>
      </c>
      <c r="BL160" s="491">
        <f>BL159-BK159</f>
        <v>18.490000000000009</v>
      </c>
      <c r="BM160" s="491">
        <f>BM159-BL159</f>
        <v>11.537999999999897</v>
      </c>
      <c r="BN160" s="491">
        <f>BN159-BM159</f>
        <v>240.38400000000013</v>
      </c>
      <c r="BO160" s="492">
        <f>BO159-BI159</f>
        <v>230.59299999999996</v>
      </c>
      <c r="BP160" s="493"/>
      <c r="BQ160" s="491">
        <f>BQ159-BO159</f>
        <v>-19.807999999999993</v>
      </c>
      <c r="BR160" s="491">
        <f>BR159-BQ159</f>
        <v>20.132999999999925</v>
      </c>
      <c r="BS160" s="491">
        <f>BS159-BR159</f>
        <v>-17.44500000000005</v>
      </c>
      <c r="BT160" s="491">
        <f>BT159-BS159</f>
        <v>462.47400000000016</v>
      </c>
      <c r="BU160" s="492">
        <f>BU159-BO159</f>
        <v>445.35400000000004</v>
      </c>
      <c r="BV160" s="493"/>
      <c r="BW160" s="491">
        <f>BW159-BU159</f>
        <v>-45.579000000000178</v>
      </c>
      <c r="BX160" s="491">
        <f>BX159-BW159</f>
        <v>2.4680000000000746</v>
      </c>
      <c r="BY160" s="491">
        <f>CF!BQ100</f>
        <v>-48.762000000000008</v>
      </c>
      <c r="BZ160" s="491">
        <f>BZ159-BY159</f>
        <v>571.29200000000014</v>
      </c>
      <c r="CA160" s="492">
        <f>CA159-BU159</f>
        <v>482.70000000000005</v>
      </c>
      <c r="CB160" s="493"/>
      <c r="CC160" s="491">
        <f>CC159-CA159</f>
        <v>-129.83500000000004</v>
      </c>
      <c r="CD160" s="491">
        <f>CD159-CC159</f>
        <v>56.487999999999829</v>
      </c>
      <c r="CE160" s="491">
        <f>CE159-CD159</f>
        <v>-55.028999999999996</v>
      </c>
      <c r="CF160" s="491">
        <f>CF159-CE159</f>
        <v>787.49599999999987</v>
      </c>
      <c r="CG160" s="492">
        <f>CG159-CA159</f>
        <v>659.11999999999966</v>
      </c>
      <c r="CH160" s="493"/>
      <c r="CI160" s="491">
        <f>CI159-CG159</f>
        <v>-197.49999999999955</v>
      </c>
      <c r="CJ160" s="491">
        <f>CJ159-CI159</f>
        <v>28.28899999999976</v>
      </c>
      <c r="CK160" s="491">
        <f>CK159-CJ159</f>
        <v>-128.92699999999968</v>
      </c>
      <c r="CL160" s="491">
        <f>CL159-CK159</f>
        <v>1097.4719999999998</v>
      </c>
      <c r="CM160" s="492">
        <f>CM159-CG159</f>
        <v>799.33400000000029</v>
      </c>
      <c r="CN160" s="493"/>
      <c r="CO160" s="491">
        <f>CO159-CM159</f>
        <v>-264.62899999999991</v>
      </c>
      <c r="CP160" s="491">
        <f>CP159-CO159</f>
        <v>-21.829000000000178</v>
      </c>
      <c r="CQ160" s="491">
        <f>CQ159-CP159</f>
        <v>-188.48100000000022</v>
      </c>
      <c r="CR160" s="491">
        <f>CR159-CQ159</f>
        <v>1445.043000000001</v>
      </c>
      <c r="CS160" s="492">
        <f>CS159-CM159</f>
        <v>970.10400000000072</v>
      </c>
      <c r="CT160" s="493"/>
      <c r="CU160" s="491">
        <f>CU159-CS159</f>
        <v>-284.63900000000103</v>
      </c>
      <c r="CV160" s="491">
        <f>CV159-CU159</f>
        <v>-183.35300000000007</v>
      </c>
      <c r="CW160" s="491">
        <f>CW159-CV159</f>
        <v>-328.42799999999943</v>
      </c>
      <c r="CX160" s="491">
        <f>CX159-CW159</f>
        <v>2047.6690000000003</v>
      </c>
      <c r="CY160" s="492">
        <f>CY159-CS159</f>
        <v>1251.2489999999998</v>
      </c>
      <c r="CZ160" s="493"/>
      <c r="DA160" s="491">
        <f>DA159-CY159</f>
        <v>-500.15000000000055</v>
      </c>
      <c r="DB160" s="491">
        <f>DB159-DA159</f>
        <v>-224.01800000000003</v>
      </c>
      <c r="DC160" s="491">
        <f>DC159-DB159</f>
        <v>-426.55199999999968</v>
      </c>
      <c r="DD160" s="491">
        <f>DD159-DC159</f>
        <v>2702.6229999999996</v>
      </c>
      <c r="DE160" s="492">
        <f>DE159-CY159</f>
        <v>1551.9029999999993</v>
      </c>
      <c r="DF160" s="493"/>
      <c r="DG160" s="491">
        <f>DG159-DE159</f>
        <v>-857.86382655984744</v>
      </c>
      <c r="DH160" s="491">
        <f>DH159-DG159</f>
        <v>-293.62605284946221</v>
      </c>
      <c r="DI160" s="491">
        <f>DI159-DH159</f>
        <v>-498.60559686745546</v>
      </c>
      <c r="DJ160" s="491">
        <f>DJ159-DI159</f>
        <v>3477.6017587289152</v>
      </c>
      <c r="DK160" s="492">
        <f>DK159-DE159</f>
        <v>1827.5062824521501</v>
      </c>
      <c r="DL160" s="493"/>
      <c r="DM160" s="491">
        <f>DM159-DK159</f>
        <v>-1173.4047648908108</v>
      </c>
      <c r="DN160" s="491">
        <f>DN159-DM159</f>
        <v>-378.59205552924141</v>
      </c>
      <c r="DO160" s="491">
        <f>DO159-DN159</f>
        <v>-619.68078181933924</v>
      </c>
      <c r="DP160" s="491">
        <f>DP159-DO159</f>
        <v>4363.6018477038069</v>
      </c>
      <c r="DQ160" s="492">
        <f>DQ159-DK159</f>
        <v>2191.9242454644154</v>
      </c>
      <c r="DR160" s="493"/>
      <c r="DS160" s="491">
        <f>DS159-DQ159</f>
        <v>-1557.5736239664766</v>
      </c>
      <c r="DT160" s="491">
        <f>DT159-DS159</f>
        <v>-448.73259115237124</v>
      </c>
      <c r="DU160" s="491">
        <f>DU159-DT159</f>
        <v>-724.6384627682728</v>
      </c>
      <c r="DV160" s="491">
        <f>DV159-DU159</f>
        <v>5360.4972389462419</v>
      </c>
      <c r="DW160" s="492">
        <f>DW159-DQ159</f>
        <v>2629.5525610591212</v>
      </c>
      <c r="DX160" s="656"/>
      <c r="DY160" s="656"/>
      <c r="DZ160" s="656"/>
      <c r="EA160" s="656"/>
      <c r="EB160" s="656"/>
      <c r="EC160" s="656"/>
      <c r="ED160" s="656"/>
      <c r="EE160" s="656"/>
      <c r="EF160" s="656"/>
      <c r="EJ160" s="656"/>
      <c r="EK160" s="656"/>
      <c r="EL160" s="656"/>
    </row>
    <row r="161" spans="1:142" s="475" customFormat="1" ht="11.25" customHeight="1">
      <c r="A161" s="494" t="s">
        <v>366</v>
      </c>
      <c r="B161" s="439"/>
      <c r="C161" s="439"/>
      <c r="D161" s="439"/>
      <c r="E161" s="439"/>
      <c r="F161" s="439"/>
      <c r="G161" s="440"/>
      <c r="H161" s="439"/>
      <c r="I161" s="439"/>
      <c r="J161" s="439"/>
      <c r="K161" s="439"/>
      <c r="L161" s="439"/>
      <c r="M161" s="440"/>
      <c r="N161" s="439"/>
      <c r="O161" s="495">
        <f>O159/I159-1</f>
        <v>2.4956666666666667</v>
      </c>
      <c r="P161" s="495">
        <f>P159/J159-1</f>
        <v>2.7752500000000002</v>
      </c>
      <c r="Q161" s="495">
        <f>Q159/K159-1</f>
        <v>0.78087499999999999</v>
      </c>
      <c r="R161" s="495">
        <f>R159/L159-1</f>
        <v>1.7387142857142854</v>
      </c>
      <c r="S161" s="440"/>
      <c r="T161" s="439"/>
      <c r="U161" s="495">
        <f>U159/O159-1</f>
        <v>1.3181081338800418</v>
      </c>
      <c r="V161" s="495">
        <f>V159/P159-1</f>
        <v>0.95013575259916561</v>
      </c>
      <c r="W161" s="495">
        <f>W159/Q159-1</f>
        <v>1.4151049343721485</v>
      </c>
      <c r="X161" s="495">
        <f>X159/R159-1</f>
        <v>1.5912576287100308</v>
      </c>
      <c r="Y161" s="495"/>
      <c r="Z161" s="439"/>
      <c r="AA161" s="495">
        <f>AA159/U159-1</f>
        <v>1.1530234471410945</v>
      </c>
      <c r="AB161" s="495">
        <f>AB159/V159-1</f>
        <v>1.0902916907195488</v>
      </c>
      <c r="AC161" s="495">
        <f>AC159/W159-1</f>
        <v>1.1576377586607762</v>
      </c>
      <c r="AD161" s="495">
        <f>AD159/X159-1</f>
        <v>0.93047084163697491</v>
      </c>
      <c r="AE161" s="440"/>
      <c r="AF161" s="439"/>
      <c r="AG161" s="495">
        <f>AG159/AA159-1</f>
        <v>0.99933129537638488</v>
      </c>
      <c r="AH161" s="495">
        <f>AH159/AB159-1</f>
        <v>0.90572964894325581</v>
      </c>
      <c r="AI161" s="495">
        <f>AI159/AC159-1</f>
        <v>0.71214978448275867</v>
      </c>
      <c r="AJ161" s="495">
        <f>AJ159/AD159-1</f>
        <v>0.76407716371220014</v>
      </c>
      <c r="AK161" s="496"/>
      <c r="AL161" s="439"/>
      <c r="AM161" s="495">
        <f>AM159/AG159-1</f>
        <v>0.73955755172249038</v>
      </c>
      <c r="AN161" s="495">
        <f>AN159/AH159-1</f>
        <v>0.72904501709132141</v>
      </c>
      <c r="AO161" s="495">
        <f>AO159/AI159-1</f>
        <v>0.72630792227204788</v>
      </c>
      <c r="AP161" s="495">
        <f>AP159/AJ159-1</f>
        <v>0.67910743313137267</v>
      </c>
      <c r="AQ161" s="497"/>
      <c r="AR161" s="439"/>
      <c r="AS161" s="495">
        <f>AS159/AM159-1</f>
        <v>0.62425014832230996</v>
      </c>
      <c r="AT161" s="495">
        <f>AT159/AN159-1</f>
        <v>0.58675974679051035</v>
      </c>
      <c r="AU161" s="495">
        <f>AU159/AO159-1</f>
        <v>0.55314426858556898</v>
      </c>
      <c r="AV161" s="495">
        <f>AV159/AP159-1</f>
        <v>0.69291319179196176</v>
      </c>
      <c r="AW161" s="498"/>
      <c r="AX161" s="439"/>
      <c r="AY161" s="495">
        <f>AY159/AS159-1</f>
        <v>0.5906037771584729</v>
      </c>
      <c r="AZ161" s="495">
        <f>AZ159/AT159-1</f>
        <v>0.48995811739557316</v>
      </c>
      <c r="BA161" s="495">
        <f>BA159/AU159-1</f>
        <v>0.3777082697589258</v>
      </c>
      <c r="BB161" s="495">
        <f>BB159/AV159-1</f>
        <v>0.23525350700986092</v>
      </c>
      <c r="BC161" s="498"/>
      <c r="BD161" s="439"/>
      <c r="BE161" s="495">
        <f>BE159/AY159-1</f>
        <v>0.16814055798782479</v>
      </c>
      <c r="BF161" s="495">
        <f>BF159/AZ159-1</f>
        <v>0.14485367410008632</v>
      </c>
      <c r="BG161" s="495">
        <f>BG159/BA159-1</f>
        <v>0.16165176536736414</v>
      </c>
      <c r="BH161" s="495">
        <f>BH159/BB159-1</f>
        <v>0.18571914360650887</v>
      </c>
      <c r="BI161" s="498"/>
      <c r="BJ161" s="439"/>
      <c r="BK161" s="495">
        <f>BK159/BE159-1</f>
        <v>0.20961350485007446</v>
      </c>
      <c r="BL161" s="495">
        <f>BL159/BF159-1</f>
        <v>0.24409209304019974</v>
      </c>
      <c r="BM161" s="495">
        <f>BM159/BG159-1</f>
        <v>0.27340013017133113</v>
      </c>
      <c r="BN161" s="495">
        <f>BN159/BH159-1</f>
        <v>0.32738504262097701</v>
      </c>
      <c r="BO161" s="498"/>
      <c r="BP161" s="439"/>
      <c r="BQ161" s="495">
        <f>BQ159/BK159-1</f>
        <v>0.37711521995277875</v>
      </c>
      <c r="BR161" s="495">
        <f>BR159/BL159-1</f>
        <v>0.36931183466345741</v>
      </c>
      <c r="BS161" s="495">
        <f>BS159/BM159-1</f>
        <v>0.32144805969848411</v>
      </c>
      <c r="BT161" s="495">
        <f>BT159/BN159-1</f>
        <v>0.47634449660459866</v>
      </c>
      <c r="BU161" s="498"/>
      <c r="BV161" s="439"/>
      <c r="BW161" s="495">
        <f>BW159/BQ159-1</f>
        <v>0.45849401125300893</v>
      </c>
      <c r="BX161" s="495">
        <f>BX159/BR159-1</f>
        <v>0.42973656692320694</v>
      </c>
      <c r="BY161" s="495">
        <f>BY159/BS159-1</f>
        <v>0.40735829753296127</v>
      </c>
      <c r="BZ161" s="495">
        <f>BZ159/BT159-1</f>
        <v>0.34970785230693435</v>
      </c>
      <c r="CA161" s="498"/>
      <c r="CB161" s="439"/>
      <c r="CC161" s="495">
        <f>CC159/BW159-1</f>
        <v>0.29852343120184388</v>
      </c>
      <c r="CD161" s="495">
        <f>CD159/BX159-1</f>
        <v>0.33837078517242203</v>
      </c>
      <c r="CE161" s="495">
        <f>CE159/BY159-1</f>
        <v>0.3428930644273489</v>
      </c>
      <c r="CF161" s="495">
        <f>CF159/BZ159-1</f>
        <v>0.35379590390741766</v>
      </c>
      <c r="CG161" s="498"/>
      <c r="CH161" s="439"/>
      <c r="CI161" s="495">
        <f>CI159/CC159-1</f>
        <v>0.3412581642779664</v>
      </c>
      <c r="CJ161" s="495">
        <f>CJ159/CD159-1</f>
        <v>0.3147300474730228</v>
      </c>
      <c r="CK161" s="495">
        <f>CK159/CE159-1</f>
        <v>0.28211267142813523</v>
      </c>
      <c r="CL161" s="442">
        <f>CL159/CF159-1</f>
        <v>0.31693003689363897</v>
      </c>
      <c r="CM161" s="498"/>
      <c r="CN161" s="439"/>
      <c r="CO161" s="495">
        <f>CO159/CI159-1</f>
        <v>0.31497903953988082</v>
      </c>
      <c r="CP161" s="495">
        <f>CP159/CJ159-1</f>
        <v>0.28989155528657351</v>
      </c>
      <c r="CQ161" s="495">
        <f>CQ159/CK159-1</f>
        <v>0.27991881211001712</v>
      </c>
      <c r="CR161" s="495">
        <f>CR159/CL159-1</f>
        <v>0.29207252617758117</v>
      </c>
      <c r="CS161" s="498"/>
      <c r="CT161" s="439"/>
      <c r="CU161" s="495">
        <f>CU159/CO159-1</f>
        <v>0.31081123520521303</v>
      </c>
      <c r="CV161" s="1784">
        <f>CV159/CP159-1</f>
        <v>0.25982614116483371</v>
      </c>
      <c r="CW161" s="495">
        <f>CW159/CQ159-1</f>
        <v>0.22786605351816802</v>
      </c>
      <c r="CX161" s="495">
        <f>CX159/CR159-1</f>
        <v>0.29156088716602113</v>
      </c>
      <c r="CY161" s="366"/>
      <c r="CZ161" s="439"/>
      <c r="DA161" s="495">
        <f>DA159/CU159-1</f>
        <v>0.25848770400362975</v>
      </c>
      <c r="DB161" s="442">
        <f>DB159/CV159-1</f>
        <v>0.26024771149198367</v>
      </c>
      <c r="DC161" s="495">
        <f>DC159/CW159-1</f>
        <v>0.25662800242508643</v>
      </c>
      <c r="DD161" s="495">
        <f>DD159/CX159-1</f>
        <v>0.27998528542062284</v>
      </c>
      <c r="DE161" s="498"/>
      <c r="DF161" s="439"/>
      <c r="DG161" s="442">
        <f>DG159/DA159-1</f>
        <v>0.23681768510699386</v>
      </c>
      <c r="DH161" s="495">
        <f>DH159/DB159-1</f>
        <v>0.23338172614701391</v>
      </c>
      <c r="DI161" s="495">
        <f>DI159/DC159-1</f>
        <v>0.23964204760367269</v>
      </c>
      <c r="DJ161" s="495">
        <f>DJ159/DD159-1</f>
        <v>0.25758735316720704</v>
      </c>
      <c r="DK161" s="498"/>
      <c r="DL161" s="439"/>
      <c r="DM161" s="495">
        <f>DM159/DG159-1</f>
        <v>0.24242485932782021</v>
      </c>
      <c r="DN161" s="495">
        <f>DN159/DH159-1</f>
        <v>0.24010561833736532</v>
      </c>
      <c r="DO161" s="495">
        <f>DO159/DI159-1</f>
        <v>0.23985634797120992</v>
      </c>
      <c r="DP161" s="495">
        <f>DP159/DJ159-1</f>
        <v>0.24567051553412611</v>
      </c>
      <c r="DQ161" s="498"/>
      <c r="DR161" s="439"/>
      <c r="DS161" s="495">
        <f>DS159/DM159-1</f>
        <v>0.23329468638709483</v>
      </c>
      <c r="DT161" s="495">
        <f>DT159/DN159-1</f>
        <v>0.23576177595875936</v>
      </c>
      <c r="DU161" s="495">
        <f>DU159/DO159-1</f>
        <v>0.24185601422926739</v>
      </c>
      <c r="DV161" s="495">
        <f>DV159/DP159-1</f>
        <v>0.23659532983507292</v>
      </c>
      <c r="DW161" s="498"/>
      <c r="DX161" s="656"/>
      <c r="DY161" s="656"/>
      <c r="DZ161" s="656"/>
      <c r="EA161" s="656"/>
      <c r="EB161" s="656"/>
      <c r="EC161" s="656"/>
      <c r="ED161" s="656"/>
      <c r="EE161" s="656"/>
      <c r="EF161" s="656"/>
      <c r="EJ161" s="656"/>
      <c r="EK161" s="656"/>
      <c r="EL161" s="656"/>
    </row>
    <row r="162" spans="1:142" s="475" customFormat="1" ht="11.25" customHeight="1">
      <c r="A162" s="494" t="s">
        <v>1225</v>
      </c>
      <c r="B162" s="439"/>
      <c r="C162" s="439"/>
      <c r="D162" s="439"/>
      <c r="E162" s="439"/>
      <c r="F162" s="439"/>
      <c r="G162" s="440"/>
      <c r="H162" s="439"/>
      <c r="I162" s="439"/>
      <c r="J162" s="439"/>
      <c r="K162" s="439"/>
      <c r="L162" s="439"/>
      <c r="M162" s="440"/>
      <c r="N162" s="439"/>
      <c r="O162" s="495"/>
      <c r="P162" s="495"/>
      <c r="Q162" s="495"/>
      <c r="R162" s="495"/>
      <c r="S162" s="440"/>
      <c r="T162" s="439"/>
      <c r="U162" s="495"/>
      <c r="V162" s="495"/>
      <c r="W162" s="495"/>
      <c r="X162" s="495"/>
      <c r="Y162" s="495"/>
      <c r="Z162" s="439"/>
      <c r="AA162" s="495"/>
      <c r="AB162" s="495"/>
      <c r="AC162" s="495"/>
      <c r="AD162" s="495"/>
      <c r="AE162" s="440"/>
      <c r="AF162" s="439"/>
      <c r="AG162" s="495"/>
      <c r="AH162" s="495"/>
      <c r="AI162" s="495"/>
      <c r="AJ162" s="495"/>
      <c r="AK162" s="496"/>
      <c r="AL162" s="439"/>
      <c r="AM162" s="495"/>
      <c r="AN162" s="495"/>
      <c r="AO162" s="495"/>
      <c r="AP162" s="495"/>
      <c r="AQ162" s="497"/>
      <c r="AR162" s="439"/>
      <c r="AS162" s="495"/>
      <c r="AT162" s="495"/>
      <c r="AU162" s="495"/>
      <c r="AV162" s="495"/>
      <c r="AW162" s="498"/>
      <c r="AX162" s="439"/>
      <c r="AY162" s="495"/>
      <c r="AZ162" s="495"/>
      <c r="BA162" s="495"/>
      <c r="BB162" s="495"/>
      <c r="BC162" s="498"/>
      <c r="BD162" s="439"/>
      <c r="BE162" s="495"/>
      <c r="BF162" s="495"/>
      <c r="BG162" s="495"/>
      <c r="BH162" s="495"/>
      <c r="BI162" s="498"/>
      <c r="BJ162" s="439"/>
      <c r="BK162" s="495">
        <f>BK159/BH159-1</f>
        <v>-5.6533134189349687E-2</v>
      </c>
      <c r="BL162" s="495">
        <f>BL159/BK159-1</f>
        <v>2.7824218356159003E-2</v>
      </c>
      <c r="BM162" s="495">
        <f>BM159/BL159-1</f>
        <v>1.689264866716722E-2</v>
      </c>
      <c r="BN162" s="495">
        <f>BN159/BM159-1</f>
        <v>0.34609686462018252</v>
      </c>
      <c r="BO162" s="498"/>
      <c r="BP162" s="439"/>
      <c r="BQ162" s="495">
        <f>BQ159/BN159-1</f>
        <v>-2.1186363631501837E-2</v>
      </c>
      <c r="BR162" s="495">
        <f>BR159/BQ159-1</f>
        <v>2.2000080862563109E-2</v>
      </c>
      <c r="BS162" s="495">
        <f>BS159/BR159-1</f>
        <v>-1.8652447538988981E-2</v>
      </c>
      <c r="BT162" s="495">
        <f>BT159/BS159-1</f>
        <v>0.50388256533681419</v>
      </c>
      <c r="BU162" s="498"/>
      <c r="BV162" s="439"/>
      <c r="BW162" s="495">
        <f>BW159/BT159-1</f>
        <v>-3.3021201989429927E-2</v>
      </c>
      <c r="BX162" s="495">
        <f>BX159/BW159-1</f>
        <v>1.8490825014461088E-3</v>
      </c>
      <c r="BY162" s="495">
        <f>BY159/BX159-1</f>
        <v>-3.4012521836934928E-2</v>
      </c>
      <c r="BZ162" s="495">
        <f>BZ159/BY159-1</f>
        <v>0.44227813978910024</v>
      </c>
      <c r="CA162" s="498"/>
      <c r="CB162" s="439"/>
      <c r="CC162" s="495">
        <f>CC159/BZ159-1</f>
        <v>-6.969154506587516E-2</v>
      </c>
      <c r="CD162" s="495">
        <f>CD159/CC159-1</f>
        <v>3.259249001823239E-2</v>
      </c>
      <c r="CE162" s="495">
        <f>CE159/CD159-1</f>
        <v>-3.0748504733891791E-2</v>
      </c>
      <c r="CF162" s="495">
        <f>CF159/CE159-1</f>
        <v>0.45398787860619527</v>
      </c>
      <c r="CG162" s="498"/>
      <c r="CH162" s="439"/>
      <c r="CI162" s="495">
        <f>CI159/CF159-1</f>
        <v>-7.8307293680105583E-2</v>
      </c>
      <c r="CJ162" s="495">
        <f>CJ159/CI159-1</f>
        <v>1.2169326963819671E-2</v>
      </c>
      <c r="CK162" s="495">
        <f>CK159/CJ159-1</f>
        <v>-5.4794840758483843E-2</v>
      </c>
      <c r="CL162" s="495">
        <f>CL159/CK159-1</f>
        <v>0.49347272925934016</v>
      </c>
      <c r="CM162" s="498"/>
      <c r="CN162" s="439"/>
      <c r="CO162" s="495">
        <f>CO159/CL159-1</f>
        <v>-7.9672757281535778E-2</v>
      </c>
      <c r="CP162" s="495">
        <f>CP159/CO159-1</f>
        <v>-7.1410812543755142E-3</v>
      </c>
      <c r="CQ162" s="495">
        <f>CQ159/CP159-1</f>
        <v>-6.2102655329126288E-2</v>
      </c>
      <c r="CR162" s="495">
        <f>CR159/CQ159-1</f>
        <v>0.5076542854232029</v>
      </c>
      <c r="CS162" s="498"/>
      <c r="CT162" s="439"/>
      <c r="CU162" s="495">
        <f>CU159/CR159-1</f>
        <v>-6.6325407142822423E-2</v>
      </c>
      <c r="CV162" s="495">
        <f>CV159/CU159-1</f>
        <v>-4.5759155300063914E-2</v>
      </c>
      <c r="CW162" s="495">
        <f>CW159/CV159-1</f>
        <v>-8.589584421433305E-2</v>
      </c>
      <c r="CX162" s="495">
        <f>CX159/CW159-1</f>
        <v>0.58586297002145549</v>
      </c>
      <c r="CY162" s="366"/>
      <c r="CZ162" s="439"/>
      <c r="DA162" s="495">
        <f>DA159/CX159-1</f>
        <v>-9.0234145112887076E-2</v>
      </c>
      <c r="DB162" s="495">
        <f>DB159/DA159-1</f>
        <v>-4.4424640050513053E-2</v>
      </c>
      <c r="DC162" s="495">
        <f>DC159/DB159-1</f>
        <v>-8.8521352731915193E-2</v>
      </c>
      <c r="DD162" s="495">
        <f>DD159/DC159-1</f>
        <v>0.61533983199767195</v>
      </c>
      <c r="DE162" s="498"/>
      <c r="DF162" s="439"/>
      <c r="DG162" s="495">
        <f>DG159/DD159-1</f>
        <v>-0.12091606720220893</v>
      </c>
      <c r="DH162" s="495">
        <f>DH159/DG159-1</f>
        <v>-4.707928976929554E-2</v>
      </c>
      <c r="DI162" s="495">
        <f>DI159/DH159-1</f>
        <v>-8.3894926693802607E-2</v>
      </c>
      <c r="DJ162" s="495">
        <f>DJ159/DI159-1</f>
        <v>0.63872381363187203</v>
      </c>
      <c r="DK162" s="498"/>
      <c r="DL162" s="439"/>
      <c r="DM162" s="495">
        <f>DM159/DJ159-1</f>
        <v>-0.13151501659668341</v>
      </c>
      <c r="DN162" s="495">
        <f>DN159/DM159-1</f>
        <v>-4.8858111848737895E-2</v>
      </c>
      <c r="DO162" s="495">
        <f>DO159/DN159-1</f>
        <v>-8.4079070563230607E-2</v>
      </c>
      <c r="DP162" s="495">
        <f>DP159/DO159-1</f>
        <v>0.64640842552855426</v>
      </c>
      <c r="DQ162" s="498"/>
      <c r="DR162" s="439"/>
      <c r="DS162" s="495">
        <f>DS159/DP159-1</f>
        <v>-0.14014347945048466</v>
      </c>
      <c r="DT162" s="495">
        <f>DT159/DS159-1</f>
        <v>-4.6955442308901141E-2</v>
      </c>
      <c r="DU162" s="495">
        <f>DU159/DT159-1</f>
        <v>-7.9562147892918822E-2</v>
      </c>
      <c r="DV162" s="495">
        <f>DV159/DU159-1</f>
        <v>0.63943399772741838</v>
      </c>
      <c r="DW162" s="498"/>
      <c r="DX162" s="656"/>
      <c r="DY162" s="656"/>
      <c r="DZ162" s="656"/>
      <c r="EA162" s="656"/>
      <c r="EB162" s="656"/>
      <c r="EC162" s="656"/>
      <c r="ED162" s="656"/>
      <c r="EE162" s="656"/>
      <c r="EF162" s="656"/>
      <c r="EJ162" s="656"/>
      <c r="EK162" s="656"/>
      <c r="EL162" s="656"/>
    </row>
    <row r="163" spans="1:142">
      <c r="A163" s="500" t="s">
        <v>189</v>
      </c>
      <c r="B163" s="500"/>
      <c r="C163" s="500"/>
      <c r="D163" s="500"/>
      <c r="E163" s="500"/>
      <c r="F163" s="500"/>
      <c r="G163" s="1528">
        <f>G159/G22</f>
        <v>0.35444046196734369</v>
      </c>
      <c r="H163" s="500"/>
      <c r="I163" s="500"/>
      <c r="J163" s="500"/>
      <c r="K163" s="500"/>
      <c r="L163" s="500"/>
      <c r="M163" s="1528">
        <f>M159/M22</f>
        <v>0.3313345419048947</v>
      </c>
      <c r="N163" s="500"/>
      <c r="O163" s="514">
        <f>O159/O22</f>
        <v>1.1903518728717366</v>
      </c>
      <c r="P163" s="514">
        <f>P159/P22</f>
        <v>1.3393348115299335</v>
      </c>
      <c r="Q163" s="514">
        <f>Q159/Q22</f>
        <v>1.1012599520754425</v>
      </c>
      <c r="R163" s="514">
        <f>R159/R22</f>
        <v>1.3100314336476697</v>
      </c>
      <c r="S163" s="1528">
        <f>S159/S22</f>
        <v>0.40227883162665773</v>
      </c>
      <c r="T163" s="500"/>
      <c r="U163" s="514">
        <f>U159/U22</f>
        <v>1.4365914194539651</v>
      </c>
      <c r="V163" s="514">
        <f>V159/V22</f>
        <v>1.5031135157207025</v>
      </c>
      <c r="W163" s="514">
        <f>W159/W22</f>
        <v>1.5306049822064056</v>
      </c>
      <c r="X163" s="514">
        <f>X159/X22</f>
        <v>1.8534810835012312</v>
      </c>
      <c r="Y163" s="1528">
        <f>Y159/Y22</f>
        <v>0.57901300759942198</v>
      </c>
      <c r="Z163" s="500"/>
      <c r="AA163" s="514">
        <f>AA159/AA22</f>
        <v>1.6820928139863738</v>
      </c>
      <c r="AB163" s="514">
        <f>AB159/AB22</f>
        <v>1.7091095871394064</v>
      </c>
      <c r="AC163" s="514">
        <f>AC159/AC22</f>
        <v>1.7904256601953452</v>
      </c>
      <c r="AD163" s="514">
        <f>AD159/AD22</f>
        <v>1.9421211446161326</v>
      </c>
      <c r="AE163" s="1528">
        <f>AE159/AE22</f>
        <v>0.6070503934116992</v>
      </c>
      <c r="AF163" s="500"/>
      <c r="AG163" s="514">
        <f>AG159/AG22</f>
        <v>1.7983330469152776</v>
      </c>
      <c r="AH163" s="514">
        <f>AH159/AH22</f>
        <v>1.7872421463176817</v>
      </c>
      <c r="AI163" s="514">
        <f>AI159/AI22</f>
        <v>1.7087892883069395</v>
      </c>
      <c r="AJ163" s="514">
        <f>AJ159/AJ22</f>
        <v>2.0524719441916894</v>
      </c>
      <c r="AK163" s="1528">
        <f>AK159/AK22</f>
        <v>0.60282070560399659</v>
      </c>
      <c r="AL163" s="500"/>
      <c r="AM163" s="514">
        <f>AM159/AM22</f>
        <v>1.9264495782756397</v>
      </c>
      <c r="AN163" s="514">
        <f>AN159/AN22</f>
        <v>1.9016528693173829</v>
      </c>
      <c r="AO163" s="514">
        <f>AO159/AO22</f>
        <v>1.8527859633716954</v>
      </c>
      <c r="AP163" s="514">
        <f>AP159/AP22</f>
        <v>2.1508355354316997</v>
      </c>
      <c r="AQ163" s="1529">
        <f>AQ159/AQ22</f>
        <v>0.6289310543329053</v>
      </c>
      <c r="AR163" s="500"/>
      <c r="AS163" s="514">
        <f>AS159/AS22</f>
        <v>2.0019771142257432</v>
      </c>
      <c r="AT163" s="514">
        <f>AT159/AT22</f>
        <v>2.0116001450018124</v>
      </c>
      <c r="AU163" s="514">
        <f>AU159/AU22</f>
        <v>1.9322810359686124</v>
      </c>
      <c r="AV163" s="514">
        <f>AV159/AV22</f>
        <v>2.4470860027376768</v>
      </c>
      <c r="AW163" s="1529">
        <f>AW159/AW22</f>
        <v>0.70659333716339434</v>
      </c>
      <c r="AX163" s="500"/>
      <c r="AY163" s="514">
        <f>AY159/AY22</f>
        <v>2.0870458549487223</v>
      </c>
      <c r="AZ163" s="514">
        <f>AZ159/AZ22</f>
        <v>2.0004421825463039</v>
      </c>
      <c r="BA163" s="514">
        <f>BA159/BA22</f>
        <v>1.8529141328239997</v>
      </c>
      <c r="BB163" s="514">
        <f>BB159/BB22</f>
        <v>2.232257337191387</v>
      </c>
      <c r="BC163" s="1529">
        <f>BC159/BC22</f>
        <v>0.60333301509079051</v>
      </c>
      <c r="BD163" s="500"/>
      <c r="BE163" s="514">
        <f>BE159/BE22</f>
        <v>1.9497352431787858</v>
      </c>
      <c r="BF163" s="514">
        <f>BF159/BF22</f>
        <v>1.8709446564885497</v>
      </c>
      <c r="BG163" s="514">
        <f>BG159/BG22</f>
        <v>1.7774138886173296</v>
      </c>
      <c r="BH163" s="514">
        <f>BH159/BH22</f>
        <v>2.1513772396561941</v>
      </c>
      <c r="BI163" s="1529">
        <f>BI159/BI22</f>
        <v>0.58235990581013874</v>
      </c>
      <c r="BJ163" s="500"/>
      <c r="BK163" s="514">
        <f>BK159/BK22</f>
        <v>1.8947997217089807</v>
      </c>
      <c r="BL163" s="514">
        <f>BL159/BL22</f>
        <v>1.8512458293919787</v>
      </c>
      <c r="BM163" s="514">
        <f>BM159/BM22</f>
        <v>1.7236889127133028</v>
      </c>
      <c r="BN163" s="514">
        <f>BN159/BN22</f>
        <v>2.1817195368395508</v>
      </c>
      <c r="BO163" s="1529">
        <f>BO159/BO22</f>
        <v>0.60274249022496285</v>
      </c>
      <c r="BP163" s="500"/>
      <c r="BQ163" s="514">
        <f>BQ159/BQ22</f>
        <v>1.9326827228492263</v>
      </c>
      <c r="BR163" s="514">
        <f>BR159/BR22</f>
        <v>1.8364511397485463</v>
      </c>
      <c r="BS163" s="514">
        <f>BS159/BS22</f>
        <v>1.6712510606684121</v>
      </c>
      <c r="BT163" s="514">
        <f>BT159/BT22</f>
        <v>2.3226771041397081</v>
      </c>
      <c r="BU163" s="1529">
        <f>BU159/BU22</f>
        <v>0.6491736093017042</v>
      </c>
      <c r="BV163" s="500"/>
      <c r="BW163" s="514">
        <f>BW159/BW22</f>
        <v>2.0370501510942889</v>
      </c>
      <c r="BX163" s="514">
        <f>BX159/BX22</f>
        <v>1.9450147128770763</v>
      </c>
      <c r="BY163" s="514">
        <f>BY159/BY22</f>
        <v>1.7441304347826085</v>
      </c>
      <c r="BZ163" s="514">
        <f>BZ159/BZ22</f>
        <v>2.3717464783353175</v>
      </c>
      <c r="CA163" s="1529">
        <f>CA159/CA22</f>
        <v>0.64939689236784059</v>
      </c>
      <c r="CB163" s="500"/>
      <c r="CC163" s="514">
        <f>CC159/CC22</f>
        <v>2.0578446749724835</v>
      </c>
      <c r="CD163" s="514">
        <f>CD159/CD22</f>
        <v>1.9822339185950173</v>
      </c>
      <c r="CE163" s="514">
        <f>CE159/CE22</f>
        <v>1.7268894428537864</v>
      </c>
      <c r="CF163" s="514">
        <f>CF159/CF22</f>
        <v>2.3461513059057619</v>
      </c>
      <c r="CG163" s="1529">
        <f>CG159/CG22</f>
        <v>0.65945543283352603</v>
      </c>
      <c r="CH163" s="500"/>
      <c r="CI163" s="514">
        <f>CI159/CI22</f>
        <v>2.0261508263706456</v>
      </c>
      <c r="CJ163" s="514">
        <f>CJ159/CJ22</f>
        <v>1.9089151516282421</v>
      </c>
      <c r="CK163" s="514">
        <f>CK159/CK22</f>
        <v>1.7260027644269018</v>
      </c>
      <c r="CL163" s="514">
        <f>CL159/CL22</f>
        <v>2.4688216816639144</v>
      </c>
      <c r="CM163" s="1529">
        <f>CM159/CM22</f>
        <v>0.66246616314609141</v>
      </c>
      <c r="CN163" s="500"/>
      <c r="CO163" s="514">
        <f>CO159/CO22</f>
        <v>2.1752282629811561</v>
      </c>
      <c r="CP163" s="514">
        <f>CP159/CP22</f>
        <v>1.9949734408102444</v>
      </c>
      <c r="CQ163" s="514">
        <f>CQ159/CQ22</f>
        <v>1.7831555195563831</v>
      </c>
      <c r="CR163" s="514">
        <f>CR159/CR22</f>
        <v>2.5504576087860888</v>
      </c>
      <c r="CS163" s="1529">
        <f>CS159/CS22</f>
        <v>0.69156144314191115</v>
      </c>
      <c r="CT163" s="500"/>
      <c r="CU163" s="514">
        <f>CU159/CU22</f>
        <v>2.2567895226846852</v>
      </c>
      <c r="CV163" s="514">
        <f>CV159/CV22</f>
        <v>2.0272528206650828</v>
      </c>
      <c r="CW163" s="514">
        <f>CW159/CW22</f>
        <v>1.761676649121136</v>
      </c>
      <c r="CX163" s="514">
        <f>CX159/CX22</f>
        <v>2.626110143268594</v>
      </c>
      <c r="CY163" s="1529">
        <f>CY159/CY22</f>
        <v>0.71462809453850185</v>
      </c>
      <c r="CZ163" s="500"/>
      <c r="DA163" s="514">
        <f>DA159/DA22</f>
        <v>2.2911689175558454</v>
      </c>
      <c r="DB163" s="514">
        <f>DB159/DB22</f>
        <v>2.0344673989729363</v>
      </c>
      <c r="DC163" s="514">
        <f>DC159/DC22</f>
        <v>1.766633375312886</v>
      </c>
      <c r="DD163" s="514">
        <f>DD159/DD22</f>
        <v>2.6722052730696797</v>
      </c>
      <c r="DE163" s="1529">
        <f>DE159/DE22</f>
        <v>0.73061914798129624</v>
      </c>
      <c r="DF163" s="500"/>
      <c r="DG163" s="514">
        <f>DG159/DG22</f>
        <v>2.297657952947703</v>
      </c>
      <c r="DH163" s="514">
        <f>DH159/DH22</f>
        <v>2.0625989398932996</v>
      </c>
      <c r="DI163" s="514">
        <f>DI159/DI22</f>
        <v>1.81406945209148</v>
      </c>
      <c r="DJ163" s="514">
        <f>DJ159/DJ22</f>
        <v>2.8036335562564108</v>
      </c>
      <c r="DK163" s="1529">
        <f>DK159/DK22</f>
        <v>0.75743209795513156</v>
      </c>
      <c r="DL163" s="500"/>
      <c r="DM163" s="514">
        <f>DM159/DM22</f>
        <v>2.3722616318036511</v>
      </c>
      <c r="DN163" s="514">
        <f>DN159/DN22</f>
        <v>2.1254567332989094</v>
      </c>
      <c r="DO163" s="514">
        <f>DO159/DO22</f>
        <v>1.869226386605652</v>
      </c>
      <c r="DP163" s="514">
        <f>DP159/DP22</f>
        <v>2.9165782560293256</v>
      </c>
      <c r="DQ163" s="1529">
        <f>DQ159/DQ22</f>
        <v>0.78511315850156349</v>
      </c>
      <c r="DR163" s="500"/>
      <c r="DS163" s="514">
        <f>DS159/DS22</f>
        <v>2.4420804332562209</v>
      </c>
      <c r="DT163" s="514">
        <f>DT159/DT22</f>
        <v>2.1984880223554759</v>
      </c>
      <c r="DU163" s="514">
        <f>DU159/DU22</f>
        <v>1.9459574040318841</v>
      </c>
      <c r="DV163" s="514">
        <f>DV159/DV22</f>
        <v>3.0219981524929374</v>
      </c>
      <c r="DW163" s="1529">
        <f>DW159/DW22</f>
        <v>0.81266178046818671</v>
      </c>
      <c r="EG163" s="500"/>
      <c r="EH163" s="500"/>
      <c r="EI163" s="500"/>
    </row>
    <row r="164" spans="1:142">
      <c r="A164" s="500" t="s">
        <v>33</v>
      </c>
      <c r="B164" s="500"/>
      <c r="C164" s="500"/>
      <c r="D164" s="500"/>
      <c r="E164" s="500"/>
      <c r="F164" s="500"/>
      <c r="G164" s="1528"/>
      <c r="H164" s="500"/>
      <c r="I164" s="514"/>
      <c r="J164" s="514"/>
      <c r="K164" s="514"/>
      <c r="L164" s="514"/>
      <c r="M164" s="1528"/>
      <c r="N164" s="500"/>
      <c r="O164" s="514">
        <f>O159/SUM(P22:R22,U22)</f>
        <v>0.18804690862143164</v>
      </c>
      <c r="P164" s="514">
        <f>P159/SUM(Q22:R22,U22:V22)</f>
        <v>0.23564016540532109</v>
      </c>
      <c r="Q164" s="514">
        <f>Q159/SUM(R22,U22:W22)</f>
        <v>0.19349975552778834</v>
      </c>
      <c r="R164" s="514">
        <f>R159/SUM(U22,V22:X22)</f>
        <v>0.22344864562450464</v>
      </c>
      <c r="S164" s="1528"/>
      <c r="T164" s="500"/>
      <c r="U164" s="514">
        <f>U159/SUM(V22:X22,AA22)</f>
        <v>0.24312431243124313</v>
      </c>
      <c r="V164" s="514">
        <f>V159/SUM(W22:X22,AA22:AB22)</f>
        <v>0.25296568311643691</v>
      </c>
      <c r="W164" s="514">
        <f>W159/SUM(X22,AA22:AC22)</f>
        <v>0.2541211225997046</v>
      </c>
      <c r="X164" s="514">
        <f>X159/SUM(AA22,AB22:AD22)</f>
        <v>0.31445716781556809</v>
      </c>
      <c r="Y164" s="1528"/>
      <c r="Z164" s="500"/>
      <c r="AA164" s="514">
        <f>AA159/SUM(AB22:AD22,AG22)</f>
        <v>0.28284094654987008</v>
      </c>
      <c r="AB164" s="514">
        <f>AB159/SUM(AC22:AD22,AG22:AH22)</f>
        <v>0.28674908697920548</v>
      </c>
      <c r="AC164" s="514">
        <f>AC159/SUM(AD22,AG22:AI22)</f>
        <v>0.29984692620550663</v>
      </c>
      <c r="AD164" s="514">
        <f>AD159/SUM(AG22,AH22:AJ22)</f>
        <v>0.34172014581009769</v>
      </c>
      <c r="AE164" s="1528"/>
      <c r="AF164" s="500"/>
      <c r="AG164" s="514">
        <f>AG159/SUM(AH22:AJ22,AM22)</f>
        <v>0.33017081989764685</v>
      </c>
      <c r="AH164" s="514">
        <f>AH159/SUM(AI22:AJ22,AM22:AN22)</f>
        <v>0.32771456586780351</v>
      </c>
      <c r="AI164" s="514">
        <f>AI159/SUM(AJ22,AM22:AO22)</f>
        <v>0.31618301850184322</v>
      </c>
      <c r="AJ164" s="514">
        <f>AJ159/SUM(AM22,AN22:AP22)</f>
        <v>0.37456272417305059</v>
      </c>
      <c r="AK164" s="1528"/>
      <c r="AL164" s="500"/>
      <c r="AM164" s="514">
        <f>AM159/SUM(AN22:AP22,AS22)</f>
        <v>0.3605694285708626</v>
      </c>
      <c r="AN164" s="514">
        <f>AN159/SUM(AO22:AP22,AS22:AT22)</f>
        <v>0.36338034224782872</v>
      </c>
      <c r="AO164" s="514">
        <f>AO159/SUM(AP22,AS22:AU22)</f>
        <v>0.35614110543955468</v>
      </c>
      <c r="AP164" s="514">
        <f>AP159/SUM(AS22,AT22:AV22)</f>
        <v>0.41738308886084102</v>
      </c>
      <c r="AQ164" s="1529"/>
      <c r="AR164" s="500"/>
      <c r="AS164" s="514">
        <f>AS159/SUM(AT22:AV22,AY22)</f>
        <v>0.38994925036136696</v>
      </c>
      <c r="AT164" s="514">
        <f>AT159/SUM(AU22:AV22,AY22:AZ22)</f>
        <v>0.38409268289190091</v>
      </c>
      <c r="AU164" s="514">
        <f>AU159/SUM(AV22,AY22:BA22)</f>
        <v>0.37247549402665192</v>
      </c>
      <c r="AV164" s="514">
        <f>AV159/SUM(AY22,AZ22:BB22)</f>
        <v>0.48842849801030697</v>
      </c>
      <c r="AW164" s="1529"/>
      <c r="AX164" s="500"/>
      <c r="AY164" s="514">
        <f>AY159/SUM(AZ22:BB22,BE22)</f>
        <v>0.45177382154291884</v>
      </c>
      <c r="AZ164" s="514">
        <f>AZ159/SUM(BA22:BB22,BE22:BF22)</f>
        <v>0.43805316605783573</v>
      </c>
      <c r="BA164" s="514">
        <f>BA159/SUM(BB22,BE22:BG22)</f>
        <v>0.40893477374785309</v>
      </c>
      <c r="BB164" s="514">
        <f>BB159/SUM(BE22,BF22:BH22)</f>
        <v>0.49114489628532126</v>
      </c>
      <c r="BC164" s="1529"/>
      <c r="BD164" s="500"/>
      <c r="BE164" s="514">
        <f>BE159/SUM(BF22:BH22,BK22)</f>
        <v>0.42972944643996952</v>
      </c>
      <c r="BF164" s="514">
        <f>BF159/SUM(BG22:BH22,BK22:BL22)</f>
        <v>0.40549453552517967</v>
      </c>
      <c r="BG164" s="514">
        <f>BG159/SUM(BH22,BK22:BM22)</f>
        <v>0.37616077185940733</v>
      </c>
      <c r="BH164" s="514">
        <f>BH159/SUM(BI22,BL22:BN22)</f>
        <v>0.29227210201232001</v>
      </c>
      <c r="BI164" s="1529"/>
      <c r="BJ164" s="500"/>
      <c r="BK164" s="514">
        <f>BK159/SUM(BL22:BN22,BQ22)</f>
        <v>0.39698566911419009</v>
      </c>
      <c r="BL164" s="514">
        <f>BL159/SUM(BM22:BN22,BQ22:BR22)</f>
        <v>0.37647146365056927</v>
      </c>
      <c r="BM164" s="514">
        <f>BM159/SUM(BN22:BO22,BR22:BS22)</f>
        <v>0.22861257216586459</v>
      </c>
      <c r="BN164" s="514">
        <f>BN159/SUM(BO22:BP22,BS22:BT22)</f>
        <v>0.3469688962649688</v>
      </c>
      <c r="BO164" s="1529"/>
      <c r="BP164" s="500"/>
      <c r="BQ164" s="514">
        <f>BQ159/SUM(BR22:BT22,BW22)</f>
        <v>0.39651335600857907</v>
      </c>
      <c r="BR164" s="514">
        <f>BR159/SUM(BS22:BT22,BW22:BX22)</f>
        <v>0.3761883769534109</v>
      </c>
      <c r="BS164" s="514"/>
      <c r="BT164" s="514"/>
      <c r="BU164" s="1529"/>
      <c r="BV164" s="500"/>
      <c r="BW164" s="514"/>
      <c r="BX164" s="514">
        <f>BX159/SUM(BY22:BZ22,CC22:CD22)</f>
        <v>0.40877976008510741</v>
      </c>
      <c r="BY164" s="514">
        <f>BY159/SUM(BZ22:CA22,CD22:CE22)</f>
        <v>0.23225288733162966</v>
      </c>
      <c r="BZ164" s="514"/>
      <c r="CA164" s="1529"/>
      <c r="CB164" s="500"/>
      <c r="CC164" s="514"/>
      <c r="CD164" s="514">
        <f>CD159/SUM(CE22:CF22,CI22:CJ22)</f>
        <v>0.40132305684435243</v>
      </c>
      <c r="CE164" s="514"/>
      <c r="CF164" s="514"/>
      <c r="CG164" s="1529"/>
      <c r="CH164" s="500"/>
      <c r="CI164" s="514"/>
      <c r="CJ164" s="514"/>
      <c r="CK164" s="514"/>
      <c r="CL164" s="514"/>
      <c r="CM164" s="1529"/>
      <c r="CN164" s="500"/>
      <c r="CO164" s="514"/>
      <c r="CP164" s="514"/>
      <c r="CQ164" s="514"/>
      <c r="CR164" s="514"/>
      <c r="CS164" s="1529"/>
      <c r="CT164" s="500"/>
      <c r="CU164" s="514"/>
      <c r="CV164" s="514"/>
      <c r="CW164" s="514"/>
      <c r="CX164" s="514"/>
      <c r="CY164" s="1529"/>
      <c r="CZ164" s="500"/>
      <c r="DA164" s="514"/>
      <c r="DB164" s="1531"/>
      <c r="DC164" s="514"/>
      <c r="DD164" s="514"/>
      <c r="DE164" s="1529"/>
      <c r="DF164" s="500"/>
      <c r="DG164" s="514"/>
      <c r="DH164" s="514"/>
      <c r="DI164" s="514"/>
      <c r="DJ164" s="514"/>
      <c r="DK164" s="1529"/>
      <c r="DL164" s="500"/>
      <c r="DM164" s="514"/>
      <c r="DN164" s="514"/>
      <c r="DO164" s="514"/>
      <c r="DP164" s="514"/>
      <c r="DQ164" s="1529"/>
      <c r="DR164" s="500"/>
      <c r="DS164" s="514"/>
      <c r="DT164" s="514"/>
      <c r="DU164" s="514"/>
      <c r="DV164" s="514"/>
      <c r="DW164" s="1529"/>
      <c r="EG164" s="500"/>
      <c r="EH164" s="500"/>
      <c r="EI164" s="500"/>
    </row>
    <row r="165" spans="1:142">
      <c r="A165" s="500" t="s">
        <v>34</v>
      </c>
      <c r="B165" s="500"/>
      <c r="C165" s="500"/>
      <c r="D165" s="500"/>
      <c r="E165" s="500"/>
      <c r="F165" s="500"/>
      <c r="G165" s="1528"/>
      <c r="H165" s="500"/>
      <c r="I165" s="500"/>
      <c r="J165" s="500"/>
      <c r="K165" s="500"/>
      <c r="L165" s="500"/>
      <c r="M165" s="1528"/>
      <c r="N165" s="500"/>
      <c r="O165" s="514" t="str">
        <f>O23</f>
        <v>-</v>
      </c>
      <c r="P165" s="514" t="str">
        <f>P23</f>
        <v>-</v>
      </c>
      <c r="Q165" s="514" t="str">
        <f>Q23</f>
        <v>-</v>
      </c>
      <c r="R165" s="514" t="str">
        <f>R23</f>
        <v>-</v>
      </c>
      <c r="S165" s="514">
        <f>S23</f>
        <v>1.2152187049690881</v>
      </c>
      <c r="T165" s="500"/>
      <c r="U165" s="514">
        <f>U23</f>
        <v>0.92077185017026109</v>
      </c>
      <c r="V165" s="514">
        <f>V23</f>
        <v>0.73764966740576488</v>
      </c>
      <c r="W165" s="514">
        <f>W23</f>
        <v>0.73765169668392994</v>
      </c>
      <c r="X165" s="514">
        <f>X23</f>
        <v>0.83148831488314867</v>
      </c>
      <c r="Y165" s="514">
        <f>Y23</f>
        <v>0.80031895249286533</v>
      </c>
      <c r="Z165" s="500"/>
      <c r="AA165" s="514">
        <f>AA23</f>
        <v>0.83878974116534688</v>
      </c>
      <c r="AB165" s="514">
        <f>AB23</f>
        <v>0.8383523887300941</v>
      </c>
      <c r="AC165" s="514">
        <f>AC23</f>
        <v>0.84452846975088969</v>
      </c>
      <c r="AD165" s="514">
        <f>AD23</f>
        <v>0.84236251026042819</v>
      </c>
      <c r="AE165" s="514">
        <f>AE23</f>
        <v>0.84130961816401717</v>
      </c>
      <c r="AF165" s="500"/>
      <c r="AG165" s="514">
        <f>AG23</f>
        <v>0.87009898444530132</v>
      </c>
      <c r="AH165" s="514">
        <f>AH23</f>
        <v>0.82241719188161144</v>
      </c>
      <c r="AI165" s="514">
        <f>AI23</f>
        <v>0.79394670203786299</v>
      </c>
      <c r="AJ165" s="514">
        <f>AJ23</f>
        <v>0.66923185969744226</v>
      </c>
      <c r="AK165" s="514">
        <f>AK23</f>
        <v>0.77645480038233416</v>
      </c>
      <c r="AL165" s="500"/>
      <c r="AM165" s="514">
        <f>AM23</f>
        <v>0.62387008076989181</v>
      </c>
      <c r="AN165" s="514">
        <f>AN23</f>
        <v>0.62501904384655216</v>
      </c>
      <c r="AO165" s="514">
        <f>AO23</f>
        <v>0.59214099427311617</v>
      </c>
      <c r="AP165" s="514">
        <f>AP23</f>
        <v>0.60231725811343639</v>
      </c>
      <c r="AQ165" s="871">
        <f>AQ23</f>
        <v>0.60939855116359443</v>
      </c>
      <c r="AR165" s="500"/>
      <c r="AS165" s="514">
        <f>AS23</f>
        <v>0.5629729186288932</v>
      </c>
      <c r="AT165" s="514">
        <f>AT23</f>
        <v>0.50003281362796836</v>
      </c>
      <c r="AU165" s="514">
        <f>AU23</f>
        <v>0.48924708484966173</v>
      </c>
      <c r="AV165" s="514">
        <f>AV23</f>
        <v>0.487964806808459</v>
      </c>
      <c r="AW165" s="871">
        <f>AW23</f>
        <v>0.50684364344861166</v>
      </c>
      <c r="AX165" s="500"/>
      <c r="AY165" s="514">
        <f>AY23</f>
        <v>0.52577019432595318</v>
      </c>
      <c r="AZ165" s="514">
        <f>AZ23</f>
        <v>0.49826872835910452</v>
      </c>
      <c r="BA165" s="514">
        <f>BA23</f>
        <v>0.43672041547602847</v>
      </c>
      <c r="BB165" s="514">
        <f>BB23</f>
        <v>0.35413221248034521</v>
      </c>
      <c r="BC165" s="871">
        <f>BC23</f>
        <v>0.44666689196436615</v>
      </c>
      <c r="BD165" s="500"/>
      <c r="BE165" s="514">
        <f>BE23</f>
        <v>0.25040716070311198</v>
      </c>
      <c r="BF165" s="514">
        <f>BF23</f>
        <v>0.2240947772401134</v>
      </c>
      <c r="BG165" s="514">
        <f>BG23</f>
        <v>0.21099592348946161</v>
      </c>
      <c r="BH165" s="514">
        <f>BH23</f>
        <v>0.23029574236218098</v>
      </c>
      <c r="BI165" s="871">
        <f>BI23</f>
        <v>0.22842163209672406</v>
      </c>
      <c r="BJ165" s="500"/>
      <c r="BK165" s="514">
        <f>BK23</f>
        <v>0.24468356946140091</v>
      </c>
      <c r="BL165" s="514">
        <f>BL23</f>
        <v>0.25733028898582333</v>
      </c>
      <c r="BM165" s="514">
        <f>BM23</f>
        <v>0.31309023364942812</v>
      </c>
      <c r="BN165" s="514">
        <f>BN23</f>
        <v>0.30892441523057834</v>
      </c>
      <c r="BO165" s="871">
        <f>BO23</f>
        <v>0.28249765186792253</v>
      </c>
      <c r="BP165" s="500"/>
      <c r="BQ165" s="514">
        <f>BQ23</f>
        <v>0.35012203745523407</v>
      </c>
      <c r="BR165" s="514">
        <f>BR23</f>
        <v>0.38034318920398635</v>
      </c>
      <c r="BS165" s="514">
        <f>BS23</f>
        <v>0.36291035071522892</v>
      </c>
      <c r="BT165" s="514">
        <f>BT23</f>
        <v>0.38674877605977587</v>
      </c>
      <c r="BU165" s="871">
        <f>BU23</f>
        <v>0.37075128372911648</v>
      </c>
      <c r="BV165" s="500"/>
      <c r="BW165" s="514">
        <f>BW23</f>
        <v>0.3837686693248632</v>
      </c>
      <c r="BX165" s="514">
        <f>BX23</f>
        <v>0.34993392619762465</v>
      </c>
      <c r="BY165" s="514">
        <f>BY23</f>
        <v>0.34855111784435766</v>
      </c>
      <c r="BZ165" s="514">
        <f>BZ23</f>
        <v>0.32178356939365838</v>
      </c>
      <c r="CA165" s="871">
        <f>CA23</f>
        <v>0.34924378031768821</v>
      </c>
      <c r="CB165" s="500"/>
      <c r="CC165" s="514">
        <f>CC23</f>
        <v>0.28540184976038585</v>
      </c>
      <c r="CD165" s="514">
        <f>CD23</f>
        <v>0.313241007544804</v>
      </c>
      <c r="CE165" s="514">
        <f>CE23</f>
        <v>0.35630029705644062</v>
      </c>
      <c r="CF165" s="514">
        <f>CF23</f>
        <v>0.368565044971642</v>
      </c>
      <c r="CG165" s="871">
        <f>CG23</f>
        <v>0.33314672853673044</v>
      </c>
      <c r="CH165" s="500"/>
      <c r="CI165" s="514">
        <f>CI23</f>
        <v>0.36223865232522101</v>
      </c>
      <c r="CJ165" s="514">
        <f>CJ23</f>
        <v>0.36522699381066936</v>
      </c>
      <c r="CK165" s="514">
        <f>CK23</f>
        <v>0.28277131559141266</v>
      </c>
      <c r="CL165" s="514">
        <f>CL23</f>
        <v>0.25149464977241887</v>
      </c>
      <c r="CM165" s="871">
        <f>CM23</f>
        <v>0.3109449445188468</v>
      </c>
      <c r="CN165" s="500"/>
      <c r="CO165" s="514">
        <f>CO23</f>
        <v>0.22485805879163889</v>
      </c>
      <c r="CP165" s="514">
        <f>CP23</f>
        <v>0.23424877919367959</v>
      </c>
      <c r="CQ165" s="514">
        <f>CQ23</f>
        <v>0.23889553306796296</v>
      </c>
      <c r="CR165" s="514">
        <f>CR23</f>
        <v>0.25071542295805282</v>
      </c>
      <c r="CS165" s="871">
        <f>CS23</f>
        <v>0.23771262468676224</v>
      </c>
      <c r="CT165" s="500"/>
      <c r="CU165" s="514">
        <f>CU23</f>
        <v>0.26343800234400505</v>
      </c>
      <c r="CV165" s="514">
        <f>CV23</f>
        <v>0.23976628175944681</v>
      </c>
      <c r="CW165" s="514">
        <f>CW23</f>
        <v>0.24283655102036983</v>
      </c>
      <c r="CX165" s="514">
        <f>CX23</f>
        <v>0.25435382073621504</v>
      </c>
      <c r="CY165" s="871">
        <f>CY23</f>
        <v>0.2498720913162451</v>
      </c>
      <c r="CZ165" s="500"/>
      <c r="DA165" s="514">
        <f>DA23</f>
        <v>0.23960387340304923</v>
      </c>
      <c r="DB165" s="514">
        <f>DB23</f>
        <v>0.25577865201900241</v>
      </c>
      <c r="DC165" s="514">
        <f>DC23</f>
        <v>0.25310222224910417</v>
      </c>
      <c r="DD165" s="514">
        <f>DD23</f>
        <v>0.2579057361922934</v>
      </c>
      <c r="DE165" s="871">
        <f>DE23</f>
        <v>0.25197026122955735</v>
      </c>
      <c r="DF165" s="500"/>
      <c r="DG165" s="514">
        <f>DG23</f>
        <v>0.2333246700907079</v>
      </c>
      <c r="DH165" s="514">
        <f>DH23</f>
        <v>0.216559779898303</v>
      </c>
      <c r="DI165" s="514">
        <f>DI23</f>
        <v>0.20722666500610742</v>
      </c>
      <c r="DJ165" s="514">
        <f>DJ23</f>
        <v>0.19863437537334483</v>
      </c>
      <c r="DK165" s="871">
        <f>DK23</f>
        <v>0.21306900376105653</v>
      </c>
      <c r="DL165" s="500"/>
      <c r="DM165" s="514">
        <f>DM23</f>
        <v>0.20335266595534374</v>
      </c>
      <c r="DN165" s="514">
        <f>DN23</f>
        <v>0.20343100551774795</v>
      </c>
      <c r="DO165" s="514">
        <f>DO23</f>
        <v>0.20327079799071091</v>
      </c>
      <c r="DP165" s="514">
        <f>DP23</f>
        <v>0.19743183649229779</v>
      </c>
      <c r="DQ165" s="871">
        <f>DQ23</f>
        <v>0.20175139306365919</v>
      </c>
      <c r="DR165" s="500"/>
      <c r="DS165" s="514">
        <f>DS23</f>
        <v>0.19803493176609055</v>
      </c>
      <c r="DT165" s="514">
        <f>DT23</f>
        <v>0.19471116547219136</v>
      </c>
      <c r="DU165" s="514">
        <f>DU23</f>
        <v>0.19288840822141484</v>
      </c>
      <c r="DV165" s="514">
        <f>DV23</f>
        <v>0.19345772846656772</v>
      </c>
      <c r="DW165" s="871">
        <f>DW23</f>
        <v>0.19467568000523583</v>
      </c>
      <c r="EG165" s="500"/>
      <c r="EH165" s="500"/>
      <c r="EI165" s="500"/>
    </row>
    <row r="166" spans="1:142">
      <c r="A166" s="500"/>
      <c r="B166" s="500"/>
      <c r="C166" s="500"/>
      <c r="D166" s="500"/>
      <c r="E166" s="500"/>
      <c r="F166" s="500"/>
      <c r="G166" s="1528"/>
      <c r="H166" s="500"/>
      <c r="I166" s="500"/>
      <c r="J166" s="500"/>
      <c r="K166" s="500"/>
      <c r="L166" s="500"/>
      <c r="M166" s="1528"/>
      <c r="N166" s="500"/>
      <c r="O166" s="514"/>
      <c r="P166" s="514"/>
      <c r="Q166" s="514"/>
      <c r="R166" s="514"/>
      <c r="S166" s="514"/>
      <c r="T166" s="500"/>
      <c r="U166" s="514"/>
      <c r="V166" s="514"/>
      <c r="W166" s="514"/>
      <c r="X166" s="514"/>
      <c r="Y166" s="514"/>
      <c r="Z166" s="500"/>
      <c r="AA166" s="514"/>
      <c r="AB166" s="514"/>
      <c r="AC166" s="514"/>
      <c r="AD166" s="514"/>
      <c r="AE166" s="514"/>
      <c r="AF166" s="500"/>
      <c r="AG166" s="514"/>
      <c r="AH166" s="514"/>
      <c r="AI166" s="514"/>
      <c r="AJ166" s="514"/>
      <c r="AK166" s="514"/>
      <c r="AL166" s="500"/>
      <c r="AM166" s="514"/>
      <c r="AN166" s="514"/>
      <c r="AO166" s="514"/>
      <c r="AP166" s="514"/>
      <c r="AQ166" s="871"/>
      <c r="AR166" s="500"/>
      <c r="AS166" s="514"/>
      <c r="AT166" s="514"/>
      <c r="AU166" s="514"/>
      <c r="AV166" s="514"/>
      <c r="AW166" s="871"/>
      <c r="AX166" s="500"/>
      <c r="AY166" s="514"/>
      <c r="AZ166" s="514"/>
      <c r="BA166" s="514"/>
      <c r="BB166" s="514"/>
      <c r="BC166" s="871"/>
      <c r="BD166" s="500"/>
      <c r="BE166" s="514"/>
      <c r="BF166" s="514"/>
      <c r="BG166" s="514"/>
      <c r="BH166" s="1530">
        <f>BH159/BG159-1</f>
        <v>0.29135094007535289</v>
      </c>
      <c r="BI166" s="871"/>
      <c r="BJ166" s="500"/>
      <c r="BK166" s="1531"/>
      <c r="BL166" s="1532"/>
      <c r="BM166" s="1532"/>
      <c r="BN166" s="1530"/>
      <c r="BO166" s="871"/>
      <c r="BP166" s="500"/>
      <c r="BQ166" s="1531"/>
      <c r="BR166" s="1532"/>
      <c r="BS166" s="514"/>
      <c r="BT166" s="514"/>
      <c r="BU166" s="871"/>
      <c r="BV166" s="500"/>
      <c r="BW166" s="514"/>
      <c r="BX166" s="514"/>
      <c r="BY166" s="514"/>
      <c r="BZ166" s="514"/>
      <c r="CA166" s="871"/>
      <c r="CB166" s="500"/>
      <c r="CC166" s="514"/>
      <c r="CD166" s="514"/>
      <c r="CE166" s="514"/>
      <c r="CF166" s="514"/>
      <c r="CG166" s="871"/>
      <c r="CH166" s="500"/>
      <c r="CI166" s="1530"/>
      <c r="CJ166" s="1530"/>
      <c r="CK166" s="1530"/>
      <c r="CL166" s="514"/>
      <c r="CM166" s="871"/>
      <c r="CN166" s="500"/>
      <c r="CO166" s="1530"/>
      <c r="CP166" s="1530"/>
      <c r="CQ166" s="514"/>
      <c r="CR166" s="514"/>
      <c r="CS166" s="871"/>
      <c r="CT166" s="500"/>
      <c r="CU166" s="1530"/>
      <c r="CV166" s="514"/>
      <c r="CW166" s="514"/>
      <c r="CX166" s="514"/>
      <c r="CY166" s="871"/>
      <c r="CZ166" s="500"/>
      <c r="DA166" s="1530"/>
      <c r="DB166" s="514"/>
      <c r="DC166" s="514"/>
      <c r="DD166" s="514"/>
      <c r="DE166" s="871"/>
      <c r="DF166" s="500"/>
      <c r="DG166" s="514"/>
      <c r="DH166" s="514"/>
      <c r="DI166" s="514"/>
      <c r="DJ166" s="514"/>
      <c r="DK166" s="871"/>
      <c r="DL166" s="500"/>
      <c r="DM166" s="514"/>
      <c r="DN166" s="514"/>
      <c r="DO166" s="514"/>
      <c r="DP166" s="514"/>
      <c r="DQ166" s="871"/>
      <c r="DR166" s="500"/>
      <c r="DS166" s="514"/>
      <c r="DT166" s="514"/>
      <c r="DU166" s="514"/>
      <c r="DV166" s="514"/>
      <c r="DW166" s="871"/>
      <c r="EG166" s="500"/>
      <c r="EH166" s="500"/>
      <c r="EI166" s="500"/>
    </row>
    <row r="167" spans="1:142">
      <c r="A167" s="500" t="s">
        <v>696</v>
      </c>
      <c r="B167" s="500"/>
      <c r="C167" s="500"/>
      <c r="D167" s="500"/>
      <c r="E167" s="500"/>
      <c r="F167" s="500"/>
      <c r="G167" s="1528"/>
      <c r="H167" s="500"/>
      <c r="I167" s="500"/>
      <c r="J167" s="500"/>
      <c r="K167" s="500"/>
      <c r="L167" s="500"/>
      <c r="M167" s="1528"/>
      <c r="N167" s="500"/>
      <c r="O167" s="514"/>
      <c r="P167" s="514"/>
      <c r="Q167" s="514"/>
      <c r="R167" s="514"/>
      <c r="S167" s="1533">
        <f>S150+S105</f>
        <v>3.335</v>
      </c>
      <c r="T167" s="500"/>
      <c r="U167" s="514"/>
      <c r="V167" s="514"/>
      <c r="W167" s="514"/>
      <c r="X167" s="514"/>
      <c r="Y167" s="1533">
        <f>Y150+Y105</f>
        <v>96.022999999999996</v>
      </c>
      <c r="Z167" s="500"/>
      <c r="AA167" s="514"/>
      <c r="AB167" s="514"/>
      <c r="AC167" s="514"/>
      <c r="AD167" s="514"/>
      <c r="AE167" s="1533">
        <f>AE150+AE105</f>
        <v>176.375</v>
      </c>
      <c r="AF167" s="500"/>
      <c r="AG167" s="1532">
        <f>AG150+AG105</f>
        <v>64.176999999999992</v>
      </c>
      <c r="AH167" s="1532">
        <f>AH150+AH105</f>
        <v>71.943000000000012</v>
      </c>
      <c r="AI167" s="1532">
        <f>AI150+AI105</f>
        <v>82.673000000000002</v>
      </c>
      <c r="AJ167" s="1532">
        <f>AJ150+AJ105</f>
        <v>91.063999999999993</v>
      </c>
      <c r="AK167" s="1533">
        <f>AK150+AK105</f>
        <v>309.85700000000003</v>
      </c>
      <c r="AL167" s="500"/>
      <c r="AM167" s="1532">
        <f>AM150+AM105</f>
        <v>104.68599999999999</v>
      </c>
      <c r="AN167" s="1532">
        <f>AN150+AN105</f>
        <v>118.137</v>
      </c>
      <c r="AO167" s="1532">
        <f>AO150+AO105</f>
        <v>130.053</v>
      </c>
      <c r="AP167" s="1532">
        <f>AP150+AP105</f>
        <v>144.22200000000001</v>
      </c>
      <c r="AQ167" s="1533">
        <f>AQ150+AQ105</f>
        <v>497.09799999999996</v>
      </c>
      <c r="AR167" s="500"/>
      <c r="AS167" s="1532">
        <f>AS150+AS105</f>
        <v>162.41200000000001</v>
      </c>
      <c r="AT167" s="1532">
        <f>AT150+AT105</f>
        <v>176.57899999999998</v>
      </c>
      <c r="AU167" s="1532">
        <f>AU150+AU105</f>
        <v>192.803</v>
      </c>
      <c r="AV167" s="1532">
        <f>AV150+AV105</f>
        <v>216.90600000000001</v>
      </c>
      <c r="AW167" s="1533">
        <f>AW150+AW105</f>
        <v>748.69999999999993</v>
      </c>
      <c r="AX167" s="500"/>
      <c r="AY167" s="1532">
        <f>AY150+AY105</f>
        <v>247.62200000000001</v>
      </c>
      <c r="AZ167" s="1532">
        <f>AZ150+AZ105</f>
        <v>263.077</v>
      </c>
      <c r="BA167" s="1532">
        <f>BA150+BA105</f>
        <v>276.48699999999997</v>
      </c>
      <c r="BB167" s="1532">
        <f>BB150+BB105</f>
        <v>289.58300000000003</v>
      </c>
      <c r="BC167" s="1533">
        <f>BC150+BC105</f>
        <v>1076.769</v>
      </c>
      <c r="BD167" s="1534"/>
      <c r="BE167" s="1532">
        <f>BE150+BE105</f>
        <v>304.92399999999998</v>
      </c>
      <c r="BF167" s="1532">
        <f>BF150+BF105</f>
        <v>316.06099999999998</v>
      </c>
      <c r="BG167" s="1532">
        <f>BG150+BG105</f>
        <v>330.54899999999998</v>
      </c>
      <c r="BH167" s="1532">
        <f>BH150+BH105</f>
        <v>354.04899999999998</v>
      </c>
      <c r="BI167" s="1533">
        <f>BI150+BI105</f>
        <v>1305.5830000000001</v>
      </c>
      <c r="BJ167" s="500"/>
      <c r="BK167" s="1532">
        <f>BK150+BK105</f>
        <v>376.81299999999999</v>
      </c>
      <c r="BL167" s="1532">
        <f>BL150+BL105</f>
        <v>394.37200000000001</v>
      </c>
      <c r="BM167" s="1532">
        <f>BM150+BM105</f>
        <v>429.08699999999999</v>
      </c>
      <c r="BN167" s="1532">
        <f>BN150+BN105</f>
        <v>456.86699999999996</v>
      </c>
      <c r="BO167" s="1533">
        <f>BO150+BO105</f>
        <v>1657.1389999999999</v>
      </c>
      <c r="BP167" s="500"/>
      <c r="BQ167" s="1532">
        <f>BQ150+BQ105</f>
        <v>504.36400000000003</v>
      </c>
      <c r="BR167" s="1532">
        <f>BR150+BR105</f>
        <v>546.00199999999995</v>
      </c>
      <c r="BS167" s="1532">
        <f>BS150+BS105</f>
        <v>584.26</v>
      </c>
      <c r="BT167" s="1532">
        <f>BT150+BT105</f>
        <v>631.91300000000001</v>
      </c>
      <c r="BU167" s="1533">
        <f>BU150+BU105</f>
        <v>2266.5390000000002</v>
      </c>
      <c r="BV167" s="500"/>
      <c r="BW167" s="1532">
        <f>BW150+BW105</f>
        <v>695.46699999999998</v>
      </c>
      <c r="BX167" s="1532">
        <f>BX150+BX105</f>
        <v>731.649</v>
      </c>
      <c r="BY167" s="1532">
        <f>BY150+BY105</f>
        <v>788.39800000000002</v>
      </c>
      <c r="BZ167" s="1532">
        <f>BZ150+BZ105</f>
        <v>834.68100000000004</v>
      </c>
      <c r="CA167" s="1533">
        <f>CA150+CA105</f>
        <v>3050.1950000000002</v>
      </c>
      <c r="CB167" s="500"/>
      <c r="CC167" s="1532">
        <f>CC150+CC105</f>
        <v>892.63300000000004</v>
      </c>
      <c r="CD167" s="1532">
        <f>CD150+CD105</f>
        <v>957.09400000000005</v>
      </c>
      <c r="CE167" s="1532">
        <f>CE150+CE105</f>
        <v>1076.0340000000001</v>
      </c>
      <c r="CF167" s="1532">
        <f>CF150+CF105</f>
        <v>1145.242</v>
      </c>
      <c r="CG167" s="1533">
        <f>CG150+CG105</f>
        <v>4071.0030000000006</v>
      </c>
      <c r="CH167" s="500"/>
      <c r="CI167" s="1532">
        <f>CI150+CI105</f>
        <v>1226.7719999999999</v>
      </c>
      <c r="CJ167" s="1532">
        <f>CJ150+CJ105</f>
        <v>1318.5509999999999</v>
      </c>
      <c r="CK167" s="1532">
        <f>CK150+CK105</f>
        <v>1383.655</v>
      </c>
      <c r="CL167" s="1532">
        <f>CL150+CL105</f>
        <v>1444.6079999999999</v>
      </c>
      <c r="CM167" s="1533">
        <f>CM150+CM105</f>
        <v>5373.5860000000002</v>
      </c>
      <c r="CN167" s="500"/>
      <c r="CO167" s="1532">
        <f>CO150+CO105</f>
        <v>1511.1669999999999</v>
      </c>
      <c r="CP167" s="1532">
        <f>CP150+CP105</f>
        <v>1634.684</v>
      </c>
      <c r="CQ167" s="1532">
        <f>CQ150+CQ105</f>
        <v>1711.9670000000001</v>
      </c>
      <c r="CR167" s="1532">
        <f>CR150+CR105</f>
        <v>1809.3980000000001</v>
      </c>
      <c r="CS167" s="1533">
        <f>CS150+CS105</f>
        <v>6667.2160000000003</v>
      </c>
      <c r="CT167" s="500"/>
      <c r="CU167" s="1532">
        <f>CU150+CU105</f>
        <v>1916.6030000000001</v>
      </c>
      <c r="CV167" s="1532">
        <f>CV150+CV105</f>
        <v>2036.6179999999999</v>
      </c>
      <c r="CW167" s="1532">
        <f>CW150+CW105</f>
        <v>2144.7750000000001</v>
      </c>
      <c r="CX167" s="1532">
        <f>CX150+CX105</f>
        <v>2293.9879999999998</v>
      </c>
      <c r="CY167" s="1533">
        <f>CY150+CY105</f>
        <v>8391.9840000000004</v>
      </c>
      <c r="CZ167" s="500"/>
      <c r="DA167" s="1532">
        <f>DA150+DA105</f>
        <v>2387.5789999999997</v>
      </c>
      <c r="DB167" s="1532">
        <f>DB150+DB105</f>
        <v>2561.5889999999999</v>
      </c>
      <c r="DC167" s="1532">
        <f>DC150+DC105</f>
        <v>2679.8409999999999</v>
      </c>
      <c r="DD167" s="1532">
        <f>DD150+DD105</f>
        <v>2851.0030000000002</v>
      </c>
      <c r="DE167" s="1533">
        <f>DE150+DE105</f>
        <v>10480.011999999999</v>
      </c>
      <c r="DF167" s="500"/>
      <c r="DG167" s="1532">
        <f>DG150+DG105</f>
        <v>2944.2216235598462</v>
      </c>
      <c r="DH167" s="1532">
        <f>DH150+DH105</f>
        <v>3116.7661816494619</v>
      </c>
      <c r="DI167" s="1532">
        <f>DI150+DI105</f>
        <v>3235.4692938674539</v>
      </c>
      <c r="DJ167" s="1532">
        <f>DJ150+DJ105</f>
        <v>3413.1776402710848</v>
      </c>
      <c r="DK167" s="1533">
        <f>DK150+DK105</f>
        <v>12709.634739347848</v>
      </c>
      <c r="DL167" s="500"/>
      <c r="DM167" s="1532">
        <f>DM150+DM105</f>
        <v>3539.176440403678</v>
      </c>
      <c r="DN167" s="1532">
        <f>DN150+DN105</f>
        <v>3749.4573141068863</v>
      </c>
      <c r="DO167" s="1532">
        <f>DO150+DO105</f>
        <v>3892.4561931677731</v>
      </c>
      <c r="DP167" s="1532">
        <f>DP150+DP105</f>
        <v>4081.7640022424512</v>
      </c>
      <c r="DQ167" s="1533">
        <f>DQ150+DQ105</f>
        <v>15262.853949920789</v>
      </c>
      <c r="DR167" s="500"/>
      <c r="DS167" s="1532">
        <f>DS150+DS105</f>
        <v>4236.1138469512844</v>
      </c>
      <c r="DT167" s="1532">
        <f>DT150+DT105</f>
        <v>4477.5561359561852</v>
      </c>
      <c r="DU167" s="1532">
        <f>DU150+DU105</f>
        <v>4643.5168125880909</v>
      </c>
      <c r="DV167" s="1532">
        <f>DV150+DV105</f>
        <v>4866.0241676385549</v>
      </c>
      <c r="DW167" s="1533">
        <f>DW150+DW105</f>
        <v>18223.210963134115</v>
      </c>
      <c r="EG167" s="500"/>
      <c r="EH167" s="500"/>
      <c r="EI167" s="500"/>
    </row>
    <row r="168" spans="1:142" s="475" customFormat="1" ht="12" customHeight="1">
      <c r="G168" s="476"/>
      <c r="M168" s="476"/>
      <c r="S168" s="476"/>
      <c r="Y168" s="476"/>
      <c r="AE168" s="476"/>
      <c r="AG168" s="483" t="e">
        <f>AG167/AA167-1</f>
        <v>#DIV/0!</v>
      </c>
      <c r="AH168" s="483" t="e">
        <f>AH167/AB167-1</f>
        <v>#DIV/0!</v>
      </c>
      <c r="AI168" s="483" t="e">
        <f>AI167/AC167-1</f>
        <v>#DIV/0!</v>
      </c>
      <c r="AJ168" s="483" t="e">
        <f>AJ167/AD167-1</f>
        <v>#DIV/0!</v>
      </c>
      <c r="AK168" s="1535">
        <f>AK167/AE167-1</f>
        <v>0.75680793763288468</v>
      </c>
      <c r="AM168" s="483">
        <f>AM167/AG167-1</f>
        <v>0.63120744191844436</v>
      </c>
      <c r="AN168" s="483">
        <f>AN167/AH167-1</f>
        <v>0.64209165589424932</v>
      </c>
      <c r="AO168" s="483">
        <f>AO167/AI167-1</f>
        <v>0.57310125433938519</v>
      </c>
      <c r="AP168" s="483">
        <f>AP167/AJ167-1</f>
        <v>0.58374330141439001</v>
      </c>
      <c r="AQ168" s="1535">
        <f>AQ167/AK167-1</f>
        <v>0.6042819752337365</v>
      </c>
      <c r="AS168" s="483">
        <f>AS167/AM167-1</f>
        <v>0.55142043826299614</v>
      </c>
      <c r="AT168" s="483">
        <f>AT167/AN167-1</f>
        <v>0.4946968350305152</v>
      </c>
      <c r="AU168" s="483">
        <f>AU167/AO167-1</f>
        <v>0.48249559794852859</v>
      </c>
      <c r="AV168" s="483">
        <f>AV167/AP167-1</f>
        <v>0.50397304156092693</v>
      </c>
      <c r="AW168" s="1535">
        <f>AW167/AQ167-1</f>
        <v>0.506141646114046</v>
      </c>
      <c r="AY168" s="483">
        <f>AY167/AS167-1</f>
        <v>0.52465335073763031</v>
      </c>
      <c r="AZ168" s="483">
        <f>AZ167/AT167-1</f>
        <v>0.48985439944727305</v>
      </c>
      <c r="BA168" s="483">
        <f>BA167/AU167-1</f>
        <v>0.43403888943636759</v>
      </c>
      <c r="BB168" s="483">
        <f>BB167/AV167-1</f>
        <v>0.3350621928392945</v>
      </c>
      <c r="BC168" s="1535">
        <f>BC167/AW167-1</f>
        <v>0.43818485374649407</v>
      </c>
      <c r="BE168" s="483">
        <f>BE167/AY167-1</f>
        <v>0.23140916396766031</v>
      </c>
      <c r="BF168" s="483">
        <f>BF167/AZ167-1</f>
        <v>0.20140111070142952</v>
      </c>
      <c r="BG168" s="483">
        <f>BG167/BA167-1</f>
        <v>0.19553179715502012</v>
      </c>
      <c r="BH168" s="483">
        <f>BH167/BB167-1</f>
        <v>0.2226166591270895</v>
      </c>
      <c r="BI168" s="1535">
        <f>BI167/BC167-1</f>
        <v>0.21250054561377607</v>
      </c>
      <c r="BK168" s="483">
        <f>BK167/BE167-1</f>
        <v>0.23576038619459272</v>
      </c>
      <c r="BL168" s="483">
        <f>BL167/BF167-1</f>
        <v>0.24777179088846779</v>
      </c>
      <c r="BM168" s="483">
        <f>BM167/BG167-1</f>
        <v>0.29810406324024585</v>
      </c>
      <c r="BN168" s="483">
        <f>BN167/BH167-1</f>
        <v>0.29040613022491235</v>
      </c>
      <c r="BO168" s="1535">
        <f>BO167/BI167-1</f>
        <v>0.26927127574424592</v>
      </c>
      <c r="BQ168" s="483">
        <f>BQ167/BK167-1</f>
        <v>0.3384994679058313</v>
      </c>
      <c r="BR168" s="483">
        <f>BR167/BL167-1</f>
        <v>0.38448469972513255</v>
      </c>
      <c r="BS168" s="483">
        <f>BS167/BM167-1</f>
        <v>0.36163528608417406</v>
      </c>
      <c r="BT168" s="483">
        <f>BT167/BN167-1</f>
        <v>0.38314432865582337</v>
      </c>
      <c r="BU168" s="1535">
        <f>BU167/BO167-1</f>
        <v>0.36774223526209959</v>
      </c>
      <c r="BW168" s="483">
        <f>BW167/BQ167-1</f>
        <v>0.37889896979165827</v>
      </c>
      <c r="BX168" s="483">
        <f>BX167/BR167-1</f>
        <v>0.34001157504917567</v>
      </c>
      <c r="BY168" s="483">
        <f>BY167/BS167-1</f>
        <v>0.34939581693081845</v>
      </c>
      <c r="BZ168" s="483">
        <f>BZ167/BT167-1</f>
        <v>0.3208796147570947</v>
      </c>
      <c r="CA168" s="1535">
        <f>CA167/BU167-1</f>
        <v>0.34575006209908588</v>
      </c>
      <c r="CC168" s="483">
        <f>CC167/BW167-1</f>
        <v>0.28350158957937621</v>
      </c>
      <c r="CD168" s="483">
        <f>CD167/BX167-1</f>
        <v>0.30813272484483689</v>
      </c>
      <c r="CE168" s="483">
        <f>CE167/BY167-1</f>
        <v>0.36483603459166569</v>
      </c>
      <c r="CF168" s="483">
        <f>CF167/BZ167-1</f>
        <v>0.37207148599285222</v>
      </c>
      <c r="CG168" s="1535">
        <f>CG167/CA167-1</f>
        <v>0.33466975062250137</v>
      </c>
      <c r="CI168" s="483">
        <f>CI167/CC167-1</f>
        <v>0.3743296517157666</v>
      </c>
      <c r="CJ168" s="483">
        <f>CJ167/CD167-1</f>
        <v>0.37766091940812485</v>
      </c>
      <c r="CK168" s="483">
        <f>CK167/CE167-1</f>
        <v>0.28588408916446872</v>
      </c>
      <c r="CL168" s="483">
        <f>CL167/CF167-1</f>
        <v>0.26139977402156056</v>
      </c>
      <c r="CM168" s="1535">
        <f>CM167/CG167-1</f>
        <v>0.31996611154548393</v>
      </c>
      <c r="CO168" s="483">
        <f>CO167/CI167-1</f>
        <v>0.23182384338736139</v>
      </c>
      <c r="CP168" s="483">
        <f>CP167/CJ167-1</f>
        <v>0.2397578857397249</v>
      </c>
      <c r="CQ168" s="483">
        <f>CQ167/CK167-1</f>
        <v>0.23727880143532909</v>
      </c>
      <c r="CR168" s="483">
        <f>CR167/CL167-1</f>
        <v>0.25251833023214609</v>
      </c>
      <c r="CS168" s="1535">
        <f>CS167/CM167-1</f>
        <v>0.24073867990574627</v>
      </c>
      <c r="CU168" s="483">
        <f>CU167/CO167-1</f>
        <v>0.26829331238704923</v>
      </c>
      <c r="CV168" s="483">
        <f>CV167/CP167-1</f>
        <v>0.24587871417350393</v>
      </c>
      <c r="CW168" s="483">
        <f>CW167/CQ167-1</f>
        <v>0.25281328436821493</v>
      </c>
      <c r="CX168" s="483">
        <f>CX167/CR167-1</f>
        <v>0.26781835726578662</v>
      </c>
      <c r="CY168" s="1535">
        <f>CY167/CS167-1</f>
        <v>0.25869388362398937</v>
      </c>
      <c r="DA168" s="483">
        <f>DA167/CU167-1</f>
        <v>0.24573477136370947</v>
      </c>
      <c r="DB168" s="483">
        <f>DB167/CV167-1</f>
        <v>0.25776606118575018</v>
      </c>
      <c r="DC168" s="483">
        <f>DC167/CW167-1</f>
        <v>0.24947418726906068</v>
      </c>
      <c r="DD168" s="483">
        <f>DD167/CX167-1</f>
        <v>0.242815132424407</v>
      </c>
      <c r="DE168" s="1535">
        <f>DE167/CY167-1</f>
        <v>0.24881219983260205</v>
      </c>
      <c r="DG168" s="483">
        <f>DG167/DA167-1</f>
        <v>0.23314102844758078</v>
      </c>
      <c r="DH168" s="483">
        <f>DH167/DB167-1</f>
        <v>0.21673156062485521</v>
      </c>
      <c r="DI168" s="483">
        <f>DI167/DC167-1</f>
        <v>0.20733629117080232</v>
      </c>
      <c r="DJ168" s="483">
        <f>DJ167/DD167-1</f>
        <v>0.19718486450946715</v>
      </c>
      <c r="DK168" s="1535">
        <f>DK167/DE167-1</f>
        <v>0.2127500177812629</v>
      </c>
      <c r="DM168" s="483">
        <f>DM167/DG167-1</f>
        <v>0.20207541853607958</v>
      </c>
      <c r="DN168" s="483">
        <f>DN167/DH167-1</f>
        <v>0.20299602074179024</v>
      </c>
      <c r="DO168" s="483">
        <f>DO167/DI167-1</f>
        <v>0.20305768333069318</v>
      </c>
      <c r="DP168" s="483">
        <f>DP167/DJ167-1</f>
        <v>0.19588384562318462</v>
      </c>
      <c r="DQ168" s="1535">
        <f>DQ167/DK167-1</f>
        <v>0.20088848050592767</v>
      </c>
      <c r="DS168" s="483">
        <f>DS167/DM167-1</f>
        <v>0.19692078603125918</v>
      </c>
      <c r="DT168" s="483">
        <f>DT167/DN167-1</f>
        <v>0.19418778795264946</v>
      </c>
      <c r="DU168" s="483">
        <f>DU167/DO167-1</f>
        <v>0.19295287657664995</v>
      </c>
      <c r="DV168" s="483">
        <f>DV167/DP167-1</f>
        <v>0.19213755742988692</v>
      </c>
      <c r="DW168" s="1535">
        <f>DW167/DQ167-1</f>
        <v>0.19395828741640364</v>
      </c>
      <c r="DX168" s="656"/>
      <c r="DY168" s="656"/>
      <c r="DZ168" s="656"/>
      <c r="EA168" s="656"/>
      <c r="EB168" s="656"/>
      <c r="EC168" s="656"/>
      <c r="ED168" s="656"/>
      <c r="EE168" s="656"/>
      <c r="EF168" s="656"/>
      <c r="EJ168" s="656"/>
      <c r="EK168" s="656"/>
      <c r="EL168" s="656"/>
    </row>
    <row r="169" spans="1:142" s="499" customFormat="1" hidden="1" outlineLevel="1">
      <c r="A169" s="519" t="s">
        <v>493</v>
      </c>
      <c r="B169" s="520"/>
      <c r="C169" s="521"/>
      <c r="D169" s="521"/>
      <c r="E169" s="521"/>
      <c r="F169" s="521"/>
      <c r="G169" s="520"/>
      <c r="H169" s="520"/>
      <c r="I169" s="522">
        <v>0</v>
      </c>
      <c r="J169" s="522">
        <v>1</v>
      </c>
      <c r="K169" s="522">
        <v>3</v>
      </c>
      <c r="L169" s="522">
        <v>6</v>
      </c>
      <c r="M169" s="520"/>
      <c r="N169" s="520"/>
      <c r="O169" s="522">
        <v>8</v>
      </c>
      <c r="P169" s="522">
        <v>13</v>
      </c>
      <c r="Q169" s="522">
        <v>18</v>
      </c>
      <c r="R169" s="522">
        <v>23</v>
      </c>
      <c r="S169" s="520"/>
      <c r="T169" s="521"/>
      <c r="U169" s="523">
        <v>25</v>
      </c>
      <c r="V169" s="523">
        <v>35</v>
      </c>
      <c r="W169" s="523">
        <v>50</v>
      </c>
      <c r="X169" s="523">
        <v>73</v>
      </c>
      <c r="Y169" s="520"/>
      <c r="Z169" s="521"/>
      <c r="AA169" s="524">
        <f>AA159*0.95</f>
        <v>49.722999999999999</v>
      </c>
      <c r="AB169" s="524">
        <f>AB159*0.95</f>
        <v>58.479149999999997</v>
      </c>
      <c r="AC169" s="524">
        <f>AC159*0.95</f>
        <v>70.527999999999992</v>
      </c>
      <c r="AD169" s="524">
        <f>AD159*0.95</f>
        <v>91.105000000000004</v>
      </c>
      <c r="AE169" s="525"/>
      <c r="AF169" s="525"/>
      <c r="AG169" s="524">
        <f>AG159*0.95</f>
        <v>99.412749999999988</v>
      </c>
      <c r="AH169" s="524">
        <f>AH159*0.95</f>
        <v>111.44545000000001</v>
      </c>
      <c r="AI169" s="524">
        <f>AI159*0.95</f>
        <v>120.75449999999999</v>
      </c>
      <c r="AJ169" s="524">
        <f>AJ159*0.95</f>
        <v>160.71625</v>
      </c>
      <c r="AK169" s="525"/>
      <c r="AL169" s="525"/>
      <c r="AM169" s="524">
        <f>AM159*1</f>
        <v>182.036</v>
      </c>
      <c r="AN169" s="524">
        <f>AN159*1</f>
        <v>202.83600000000001</v>
      </c>
      <c r="AO169" s="524">
        <f>AO159*1</f>
        <v>219.43100000000001</v>
      </c>
      <c r="AP169" s="524">
        <v>295</v>
      </c>
      <c r="AQ169" s="526"/>
      <c r="AR169" s="527"/>
      <c r="AS169" s="524">
        <f>AP169*1.05</f>
        <v>309.75</v>
      </c>
      <c r="AT169" s="524">
        <f>AS169*1.06</f>
        <v>328.33500000000004</v>
      </c>
      <c r="AU169" s="524">
        <f>AT169*1.15</f>
        <v>377.58525000000003</v>
      </c>
      <c r="AV169" s="524">
        <f>AV159*1.1</f>
        <v>528.98340000000007</v>
      </c>
      <c r="AW169" s="526"/>
      <c r="AX169" s="527"/>
      <c r="AY169" s="524">
        <f>AY159*1.15</f>
        <v>540.84154999999998</v>
      </c>
      <c r="AZ169" s="524">
        <f>AZ159*1.15</f>
        <v>551.47789999999998</v>
      </c>
      <c r="BA169" s="524">
        <f>BA159*1.2</f>
        <v>563.44079999999997</v>
      </c>
      <c r="BB169" s="524">
        <f>BB159*1.175</f>
        <v>697.98055000000011</v>
      </c>
      <c r="BC169" s="526"/>
      <c r="BD169" s="527"/>
      <c r="BE169" s="524">
        <f>BE159*1.3</f>
        <v>714.18490000000008</v>
      </c>
      <c r="BF169" s="524">
        <f>BF159*1.4</f>
        <v>768.61399999999992</v>
      </c>
      <c r="BG169" s="524">
        <f>BG159*1.5</f>
        <v>818.15249999999992</v>
      </c>
      <c r="BH169" s="524">
        <f>BH159*1.45</f>
        <v>1021.3046000000001</v>
      </c>
      <c r="BI169" s="528"/>
      <c r="BJ169" s="521"/>
      <c r="BK169" s="524">
        <f>BK159*1.65</f>
        <v>1096.4728499999999</v>
      </c>
      <c r="BL169" s="524">
        <f>BL159*1.7</f>
        <v>1161.1323</v>
      </c>
      <c r="BM169" s="524">
        <f>BM159*1.75</f>
        <v>1215.4747499999999</v>
      </c>
      <c r="BN169" s="524">
        <f>BN159*1.6</f>
        <v>1495.9056</v>
      </c>
      <c r="BO169" s="529"/>
      <c r="BP169" s="521"/>
      <c r="BQ169" s="524">
        <f>BQ159*1.75</f>
        <v>1601.4827500000001</v>
      </c>
      <c r="BR169" s="524">
        <f>BR159*1.8</f>
        <v>1683.4787999999999</v>
      </c>
      <c r="BS169" s="524">
        <f>BS159*1.9</f>
        <v>1743.8598999999997</v>
      </c>
      <c r="BT169" s="524">
        <f>BT159*1.595</f>
        <v>2201.5705250000001</v>
      </c>
      <c r="BU169" s="528"/>
      <c r="BV169" s="521"/>
      <c r="BW169" s="524">
        <v>2700</v>
      </c>
      <c r="BX169" s="524">
        <v>2800</v>
      </c>
      <c r="BY169" s="524">
        <v>3000</v>
      </c>
      <c r="BZ169" s="524">
        <v>3500</v>
      </c>
      <c r="CA169" s="528"/>
      <c r="CB169" s="521"/>
      <c r="CC169" s="524">
        <v>3600</v>
      </c>
      <c r="CD169" s="524">
        <v>3800</v>
      </c>
      <c r="CE169" s="524">
        <v>4200</v>
      </c>
      <c r="CF169" s="524">
        <v>4500</v>
      </c>
      <c r="CG169" s="528"/>
      <c r="CH169" s="521"/>
      <c r="CI169" s="524">
        <v>4800</v>
      </c>
      <c r="CJ169" s="524">
        <v>5000</v>
      </c>
      <c r="CK169" s="1600">
        <v>5400</v>
      </c>
      <c r="CL169" s="524">
        <v>5700</v>
      </c>
      <c r="CM169" s="528"/>
      <c r="CN169" s="521"/>
      <c r="CO169" s="524">
        <v>6000</v>
      </c>
      <c r="CP169" s="1600">
        <v>6200</v>
      </c>
      <c r="CQ169" s="524">
        <v>6700</v>
      </c>
      <c r="CR169" s="524">
        <v>7100</v>
      </c>
      <c r="CS169" s="528"/>
      <c r="CT169" s="521"/>
      <c r="CU169" s="524">
        <v>7600</v>
      </c>
      <c r="CV169" s="524">
        <v>8000</v>
      </c>
      <c r="CW169" s="524">
        <v>8600</v>
      </c>
      <c r="CX169" s="524">
        <v>9000</v>
      </c>
      <c r="CY169" s="528"/>
      <c r="CZ169" s="521"/>
      <c r="DA169" s="524">
        <v>9600</v>
      </c>
      <c r="DB169" s="524">
        <v>10400</v>
      </c>
      <c r="DC169" s="524">
        <v>11500</v>
      </c>
      <c r="DD169" s="524">
        <v>13300</v>
      </c>
      <c r="DE169" s="528"/>
      <c r="DF169" s="521"/>
      <c r="DG169" s="524">
        <f>DG159*DG170</f>
        <v>12497.133894371156</v>
      </c>
      <c r="DH169" s="524">
        <f>DH159*DH170</f>
        <v>13421.491463988013</v>
      </c>
      <c r="DI169" s="524">
        <f>DI159*DI170</f>
        <v>14800.344499814562</v>
      </c>
      <c r="DJ169" s="524">
        <f>DJ159*DJ170</f>
        <v>16725.911797123856</v>
      </c>
      <c r="DK169" s="528"/>
      <c r="DL169" s="521"/>
      <c r="DM169" s="524">
        <f>DM159*DM170</f>
        <v>15526.749820715018</v>
      </c>
      <c r="DN169" s="524">
        <f>DN159*DN170</f>
        <v>16644.066970958527</v>
      </c>
      <c r="DO169" s="524">
        <f>DO159*DO170</f>
        <v>18350.301080255867</v>
      </c>
      <c r="DP169" s="524">
        <f>DP159*DP170</f>
        <v>20834.975171101592</v>
      </c>
      <c r="DQ169" s="528"/>
      <c r="DR169" s="521"/>
      <c r="DS169" s="524">
        <f>DS159*DS170</f>
        <v>19149.058050749612</v>
      </c>
      <c r="DT169" s="524">
        <f>DT159*DT170</f>
        <v>20568.101759208239</v>
      </c>
      <c r="DU169" s="524">
        <f>DU159*DU170</f>
        <v>22788.431759433573</v>
      </c>
      <c r="DV169" s="524">
        <f>DV159*DV170</f>
        <v>25764.432993813927</v>
      </c>
      <c r="DW169" s="528"/>
      <c r="DX169" s="656"/>
      <c r="DY169" s="656"/>
      <c r="DZ169" s="656"/>
      <c r="EA169" s="656"/>
      <c r="EB169" s="656"/>
      <c r="EC169" s="656"/>
      <c r="ED169" s="656"/>
      <c r="EE169" s="656"/>
      <c r="EF169" s="1790"/>
      <c r="EJ169" s="656"/>
      <c r="EK169" s="656"/>
      <c r="EL169" s="656"/>
    </row>
    <row r="170" spans="1:142" s="499" customFormat="1" hidden="1" outlineLevel="1">
      <c r="A170" s="530" t="s">
        <v>25</v>
      </c>
      <c r="C170" s="500"/>
      <c r="D170" s="500"/>
      <c r="E170" s="500"/>
      <c r="F170" s="500"/>
      <c r="I170" s="501"/>
      <c r="J170" s="501"/>
      <c r="K170" s="501"/>
      <c r="L170" s="501"/>
      <c r="O170" s="501"/>
      <c r="P170" s="501"/>
      <c r="Q170" s="501"/>
      <c r="R170" s="501"/>
      <c r="T170" s="500"/>
      <c r="U170" s="502"/>
      <c r="V170" s="502"/>
      <c r="W170" s="502"/>
      <c r="X170" s="502"/>
      <c r="Z170" s="500"/>
      <c r="AA170" s="503"/>
      <c r="AB170" s="503"/>
      <c r="AC170" s="503"/>
      <c r="AD170" s="503"/>
      <c r="AE170" s="504"/>
      <c r="AF170" s="504"/>
      <c r="AG170" s="503"/>
      <c r="AH170" s="503"/>
      <c r="AI170" s="503"/>
      <c r="AJ170" s="503"/>
      <c r="AK170" s="504"/>
      <c r="AL170" s="504"/>
      <c r="AM170" s="503">
        <f>AM169+AM159</f>
        <v>364.072</v>
      </c>
      <c r="AN170" s="503">
        <f>AN169+AN159</f>
        <v>405.67200000000003</v>
      </c>
      <c r="AO170" s="503">
        <f>AO169+AO159</f>
        <v>438.86200000000002</v>
      </c>
      <c r="AP170" s="503">
        <f>AP169+AP159</f>
        <v>579.06299999999999</v>
      </c>
      <c r="AQ170" s="505"/>
      <c r="AR170" s="506"/>
      <c r="AS170" s="503">
        <f>AS169+AS159</f>
        <v>605.42200000000003</v>
      </c>
      <c r="AT170" s="503">
        <f>AT169+AT159</f>
        <v>650.18700000000001</v>
      </c>
      <c r="AU170" s="503">
        <f>AU169+AU159</f>
        <v>718.39325000000008</v>
      </c>
      <c r="AV170" s="503">
        <f>AV169+AV159</f>
        <v>1009.8774000000001</v>
      </c>
      <c r="AW170" s="505"/>
      <c r="AX170" s="506"/>
      <c r="AY170" s="503">
        <f>AY169+AY159</f>
        <v>1011.13855</v>
      </c>
      <c r="AZ170" s="503">
        <f>AZ169+AZ159</f>
        <v>1031.0238999999999</v>
      </c>
      <c r="BA170" s="503">
        <f>BA169+BA159</f>
        <v>1032.9748</v>
      </c>
      <c r="BB170" s="503">
        <f>BB169+BB159</f>
        <v>1292.0065500000001</v>
      </c>
      <c r="BC170" s="505"/>
      <c r="BD170" s="506"/>
      <c r="BE170" s="503"/>
      <c r="BF170" s="503"/>
      <c r="BG170" s="503"/>
      <c r="BH170" s="503">
        <f>BH169/BH159</f>
        <v>1.45</v>
      </c>
      <c r="BI170" s="507"/>
      <c r="BJ170" s="500"/>
      <c r="BK170" s="503">
        <f>BK169/BK159</f>
        <v>1.65</v>
      </c>
      <c r="BL170" s="503">
        <f>BL169/BL159</f>
        <v>1.7</v>
      </c>
      <c r="BM170" s="503">
        <f>BM169/BM159</f>
        <v>1.75</v>
      </c>
      <c r="BN170" s="503">
        <f>BN169/BN159</f>
        <v>1.6</v>
      </c>
      <c r="BO170" s="508"/>
      <c r="BP170" s="500"/>
      <c r="BQ170" s="503">
        <f>BQ169/BQ159</f>
        <v>1.75</v>
      </c>
      <c r="BR170" s="503">
        <f>BR169/BR159</f>
        <v>1.7999999999999998</v>
      </c>
      <c r="BS170" s="503">
        <f>BS169/BS159</f>
        <v>1.9</v>
      </c>
      <c r="BT170" s="503">
        <f>BT169/BT159</f>
        <v>1.595</v>
      </c>
      <c r="BU170" s="507"/>
      <c r="BV170" s="500"/>
      <c r="BW170" s="503">
        <f>BW169/BW159</f>
        <v>2.0229022503663701</v>
      </c>
      <c r="BX170" s="503">
        <f>BX169/BX159</f>
        <v>2.0939526647043341</v>
      </c>
      <c r="BY170" s="503">
        <f>BY169/BY159</f>
        <v>2.3225153150530735</v>
      </c>
      <c r="BZ170" s="503">
        <f>BZ169/BZ159</f>
        <v>1.8786953266111823</v>
      </c>
      <c r="CA170" s="509"/>
      <c r="CB170" s="510"/>
      <c r="CC170" s="503">
        <f>CC169/CC159</f>
        <v>2.077130790002077</v>
      </c>
      <c r="CD170" s="503">
        <f>CD169/CD159</f>
        <v>2.1233225751656191</v>
      </c>
      <c r="CE170" s="503">
        <f>CE169/CE159</f>
        <v>2.4212809844697887</v>
      </c>
      <c r="CF170" s="503">
        <f>CF169/CF159</f>
        <v>1.7842168180277269</v>
      </c>
      <c r="CG170" s="507"/>
      <c r="CH170" s="500"/>
      <c r="CI170" s="503">
        <f>CI169/CI159</f>
        <v>2.0648580517634101</v>
      </c>
      <c r="CJ170" s="503">
        <f>CJ169/CJ159</f>
        <v>2.1250335755304932</v>
      </c>
      <c r="CK170" s="503">
        <f>CK169/CK159</f>
        <v>2.4280826645239584</v>
      </c>
      <c r="CL170" s="503">
        <f>CL169/CL159</f>
        <v>1.7161184772067852</v>
      </c>
      <c r="CM170" s="507"/>
      <c r="CN170" s="500"/>
      <c r="CO170" s="503">
        <f>CO169/CO159</f>
        <v>1.9628241113313836</v>
      </c>
      <c r="CP170" s="503">
        <f>CP169/CP159</f>
        <v>2.0428396657518917</v>
      </c>
      <c r="CQ170" s="503">
        <f>CQ169/CQ159</f>
        <v>2.3537595160389393</v>
      </c>
      <c r="CR170" s="503">
        <f>CR169/CR159</f>
        <v>1.654412749883317</v>
      </c>
      <c r="CS170" s="507"/>
      <c r="CT170" s="500"/>
      <c r="CU170" s="503">
        <f>CU169/CU159</f>
        <v>1.8967215168581109</v>
      </c>
      <c r="CV170" s="503">
        <f>CV169/CV159</f>
        <v>2.0922904067700241</v>
      </c>
      <c r="CW170" s="503">
        <f>CW169/CW159</f>
        <v>2.4605644477620734</v>
      </c>
      <c r="CX170" s="503">
        <f>CX169/CX159</f>
        <v>1.6237274937838297</v>
      </c>
      <c r="CY170" s="507"/>
      <c r="CZ170" s="500"/>
      <c r="DA170" s="503">
        <f>DA169/DA159</f>
        <v>1.9037601642945021</v>
      </c>
      <c r="DB170" s="503">
        <f>DB169/DB159</f>
        <v>2.1582880127438604</v>
      </c>
      <c r="DC170" s="503">
        <f>DC169/DC159</f>
        <v>2.6183482002385201</v>
      </c>
      <c r="DD170" s="503">
        <f>DD169/DD159</f>
        <v>1.874637493736526</v>
      </c>
      <c r="DE170" s="507"/>
      <c r="DF170" s="500"/>
      <c r="DG170" s="503">
        <f>DA170+0.1</f>
        <v>2.0037601642945022</v>
      </c>
      <c r="DH170" s="503">
        <f>DB170+0.1</f>
        <v>2.2582880127438605</v>
      </c>
      <c r="DI170" s="503">
        <f>DC170+0.1</f>
        <v>2.7183482002385202</v>
      </c>
      <c r="DJ170" s="503">
        <f>DD170</f>
        <v>1.874637493736526</v>
      </c>
      <c r="DK170" s="507"/>
      <c r="DL170" s="500"/>
      <c r="DM170" s="503">
        <f>DG170</f>
        <v>2.0037601642945022</v>
      </c>
      <c r="DN170" s="503">
        <f>DH170</f>
        <v>2.2582880127438605</v>
      </c>
      <c r="DO170" s="503">
        <f>DI170</f>
        <v>2.7183482002385202</v>
      </c>
      <c r="DP170" s="503">
        <f>DJ170</f>
        <v>1.874637493736526</v>
      </c>
      <c r="DQ170" s="507"/>
      <c r="DR170" s="500"/>
      <c r="DS170" s="503">
        <f>DM170</f>
        <v>2.0037601642945022</v>
      </c>
      <c r="DT170" s="503">
        <f>DN170</f>
        <v>2.2582880127438605</v>
      </c>
      <c r="DU170" s="503">
        <f>DO170</f>
        <v>2.7183482002385202</v>
      </c>
      <c r="DV170" s="503">
        <f>DP170</f>
        <v>1.874637493736526</v>
      </c>
      <c r="DW170" s="507"/>
      <c r="DX170" s="656"/>
      <c r="DY170" s="656"/>
      <c r="DZ170" s="656"/>
      <c r="EA170" s="656"/>
      <c r="EB170" s="656"/>
      <c r="EC170" s="656"/>
      <c r="ED170" s="656"/>
      <c r="EE170" s="656"/>
      <c r="EF170" s="656"/>
      <c r="EJ170" s="656"/>
      <c r="EK170" s="656"/>
      <c r="EL170" s="656"/>
    </row>
    <row r="171" spans="1:142" s="499" customFormat="1" hidden="1" outlineLevel="1">
      <c r="A171" s="531" t="s">
        <v>877</v>
      </c>
      <c r="C171" s="500"/>
      <c r="D171" s="500"/>
      <c r="E171" s="500"/>
      <c r="F171" s="500"/>
      <c r="I171" s="500"/>
      <c r="J171" s="500"/>
      <c r="K171" s="500"/>
      <c r="L171" s="500"/>
      <c r="O171" s="485"/>
      <c r="P171" s="485"/>
      <c r="Q171" s="485"/>
      <c r="R171" s="485"/>
      <c r="S171" s="485"/>
      <c r="T171" s="500"/>
      <c r="U171" s="485">
        <f>U169/O169-1</f>
        <v>2.125</v>
      </c>
      <c r="V171" s="485">
        <f>V169/P169-1</f>
        <v>1.6923076923076925</v>
      </c>
      <c r="W171" s="485">
        <f>W169/Q169-1</f>
        <v>1.7777777777777777</v>
      </c>
      <c r="X171" s="485">
        <f>X169/R169-1</f>
        <v>2.1739130434782608</v>
      </c>
      <c r="Y171" s="485"/>
      <c r="Z171" s="500"/>
      <c r="AA171" s="485">
        <f>AA169/U169-1</f>
        <v>0.98892000000000002</v>
      </c>
      <c r="AB171" s="485">
        <f>AB169/V169-1</f>
        <v>0.67083285714285701</v>
      </c>
      <c r="AC171" s="485">
        <f>AC169/W169-1</f>
        <v>0.41055999999999981</v>
      </c>
      <c r="AD171" s="485">
        <f>AD169/X169-1</f>
        <v>0.24801369863013711</v>
      </c>
      <c r="AE171" s="485"/>
      <c r="AF171" s="500"/>
      <c r="AG171" s="485">
        <f>AG169/AA169-1</f>
        <v>0.99933129537638488</v>
      </c>
      <c r="AH171" s="485">
        <f>AH169/AB169-1</f>
        <v>0.90572964894325603</v>
      </c>
      <c r="AI171" s="485">
        <f>AI169/AC169-1</f>
        <v>0.71214978448275867</v>
      </c>
      <c r="AJ171" s="485">
        <f>AJ169/AD169-1</f>
        <v>0.76407716371220014</v>
      </c>
      <c r="AK171" s="485"/>
      <c r="AL171" s="500"/>
      <c r="AM171" s="485">
        <f>AM169/AG169-1</f>
        <v>0.83111321233946378</v>
      </c>
      <c r="AN171" s="485">
        <f>AN169/AH169-1</f>
        <v>0.8200473864119171</v>
      </c>
      <c r="AO171" s="485">
        <f>AO169/AI169-1</f>
        <v>0.81716623397057697</v>
      </c>
      <c r="AP171" s="485">
        <f>AP169/AJ169-1</f>
        <v>0.83553312126185131</v>
      </c>
      <c r="AQ171" s="511"/>
      <c r="AR171" s="500"/>
      <c r="AS171" s="485">
        <f>AS169/AM169-1</f>
        <v>0.70158649937375017</v>
      </c>
      <c r="AT171" s="485">
        <f>AT169/AN169-1</f>
        <v>0.61872152872271213</v>
      </c>
      <c r="AU171" s="485">
        <f>AU169/AO169-1</f>
        <v>0.72074706855457982</v>
      </c>
      <c r="AV171" s="485">
        <f>AV169/AP169-1</f>
        <v>0.79316406779661053</v>
      </c>
      <c r="AW171" s="511"/>
      <c r="AX171" s="500"/>
      <c r="AY171" s="485">
        <f>AY169/AS169-1</f>
        <v>0.74605827280064574</v>
      </c>
      <c r="AZ171" s="485">
        <f>AZ169/AT169-1</f>
        <v>0.67961959583961473</v>
      </c>
      <c r="BA171" s="485">
        <f>BA169/AU169-1</f>
        <v>0.49222142549265335</v>
      </c>
      <c r="BB171" s="485">
        <f>BB169/AV169-1</f>
        <v>0.31947533703326036</v>
      </c>
      <c r="BC171" s="511"/>
      <c r="BD171" s="500"/>
      <c r="BE171" s="485">
        <f>BE169/AY169-1</f>
        <v>0.32050671772536732</v>
      </c>
      <c r="BF171" s="485">
        <f>BF169/AZ169-1</f>
        <v>0.3937349076001051</v>
      </c>
      <c r="BG171" s="485">
        <f>BG169/BA169-1</f>
        <v>0.45206470670920518</v>
      </c>
      <c r="BH171" s="485">
        <f>BH169/BB169-1</f>
        <v>0.46322787934420218</v>
      </c>
      <c r="BI171" s="511"/>
      <c r="BJ171" s="500"/>
      <c r="BK171" s="485">
        <f>BK169/BE169-1</f>
        <v>0.5352786792327866</v>
      </c>
      <c r="BL171" s="485">
        <f>BL169/BF169-1</f>
        <v>0.51068325583452823</v>
      </c>
      <c r="BM171" s="485">
        <f>BM169/BG169-1</f>
        <v>0.48563348519988625</v>
      </c>
      <c r="BN171" s="485">
        <f>BN169/BH169-1</f>
        <v>0.46470073668521605</v>
      </c>
      <c r="BO171" s="512"/>
      <c r="BP171" s="500"/>
      <c r="BQ171" s="485">
        <f>BQ169/BK169-1</f>
        <v>0.46057674843476537</v>
      </c>
      <c r="BR171" s="485">
        <f>BR169/BL169-1</f>
        <v>0.44985958964366057</v>
      </c>
      <c r="BS171" s="485">
        <f>BS169/BM169-1</f>
        <v>0.43471503624406838</v>
      </c>
      <c r="BT171" s="485">
        <f>BT169/BN169-1</f>
        <v>0.47173092005270911</v>
      </c>
      <c r="BU171" s="511"/>
      <c r="BV171" s="500"/>
      <c r="BW171" s="485">
        <f>BW169/BQ169-1</f>
        <v>0.6859376100054777</v>
      </c>
      <c r="BX171" s="485">
        <f>BX169/BR169-1</f>
        <v>0.66322260785226406</v>
      </c>
      <c r="BY171" s="485">
        <f>BY169/BS169-1</f>
        <v>0.7203216840985911</v>
      </c>
      <c r="BZ171" s="485">
        <f>BZ169/BT169-1</f>
        <v>0.58977419085859162</v>
      </c>
      <c r="CA171" s="511"/>
      <c r="CB171" s="500"/>
      <c r="CC171" s="485">
        <f>CC169/BW169-1</f>
        <v>0.33333333333333326</v>
      </c>
      <c r="CD171" s="485">
        <f>CD169/BX169-1</f>
        <v>0.35714285714285721</v>
      </c>
      <c r="CE171" s="485">
        <f>CE169/BY169-1</f>
        <v>0.39999999999999991</v>
      </c>
      <c r="CF171" s="485">
        <f>CF169/BZ169-1</f>
        <v>0.28571428571428581</v>
      </c>
      <c r="CG171" s="511"/>
      <c r="CH171" s="500"/>
      <c r="CI171" s="485">
        <f>CI169/CC169-1</f>
        <v>0.33333333333333326</v>
      </c>
      <c r="CJ171" s="485">
        <f>CJ169/CD169-1</f>
        <v>0.31578947368421062</v>
      </c>
      <c r="CK171" s="485">
        <f>CK169/CE169-1</f>
        <v>0.28571428571428581</v>
      </c>
      <c r="CL171" s="485">
        <f>CL169/CF169-1</f>
        <v>0.26666666666666661</v>
      </c>
      <c r="CM171" s="511"/>
      <c r="CN171" s="500"/>
      <c r="CO171" s="485">
        <f>CO169/CI169-1</f>
        <v>0.25</v>
      </c>
      <c r="CP171" s="485">
        <f>CP169/CJ169-1</f>
        <v>0.24</v>
      </c>
      <c r="CQ171" s="485">
        <f>CQ169/CK169-1</f>
        <v>0.2407407407407407</v>
      </c>
      <c r="CR171" s="485">
        <f>CR169/CL169-1</f>
        <v>0.2456140350877194</v>
      </c>
      <c r="CS171" s="511"/>
      <c r="CT171" s="500"/>
      <c r="CU171" s="485">
        <f>CU169/CO169-1</f>
        <v>0.26666666666666661</v>
      </c>
      <c r="CV171" s="485">
        <f>CV169/CP169-1</f>
        <v>0.29032258064516125</v>
      </c>
      <c r="CW171" s="485">
        <f>CW169/CQ169-1</f>
        <v>0.28358208955223874</v>
      </c>
      <c r="CX171" s="485">
        <f>CX169/CR169-1</f>
        <v>0.26760563380281699</v>
      </c>
      <c r="CY171" s="511"/>
      <c r="CZ171" s="500"/>
      <c r="DA171" s="485">
        <f>DA169/CU169-1</f>
        <v>0.26315789473684204</v>
      </c>
      <c r="DB171" s="485">
        <f>DB169/CV169-1</f>
        <v>0.30000000000000004</v>
      </c>
      <c r="DC171" s="485">
        <f>DC169/CW169-1</f>
        <v>0.33720930232558133</v>
      </c>
      <c r="DD171" s="485">
        <f>DD169/CX169-1</f>
        <v>0.47777777777777786</v>
      </c>
      <c r="DE171" s="511"/>
      <c r="DF171" s="500"/>
      <c r="DG171" s="485">
        <f>DG169/DA169-1</f>
        <v>0.30178478066366221</v>
      </c>
      <c r="DH171" s="485">
        <f>DH169/DB169-1</f>
        <v>0.29052802538346278</v>
      </c>
      <c r="DI171" s="485">
        <f>DI169/DC169-1</f>
        <v>0.28698647824474466</v>
      </c>
      <c r="DJ171" s="485">
        <f>DJ169/DD169-1</f>
        <v>0.25758735316720727</v>
      </c>
      <c r="DK171" s="511"/>
      <c r="DL171" s="500"/>
      <c r="DM171" s="485">
        <f>DM169/DG169-1</f>
        <v>0.24242485932782021</v>
      </c>
      <c r="DN171" s="485">
        <f>DN169/DH169-1</f>
        <v>0.24010561833736532</v>
      </c>
      <c r="DO171" s="485">
        <f>DO169/DI169-1</f>
        <v>0.23985634797120992</v>
      </c>
      <c r="DP171" s="485">
        <f>DP169/DJ169-1</f>
        <v>0.24567051553412589</v>
      </c>
      <c r="DQ171" s="511"/>
      <c r="DR171" s="500"/>
      <c r="DS171" s="485">
        <f>DS169/DM169-1</f>
        <v>0.23329468638709505</v>
      </c>
      <c r="DT171" s="485">
        <f>DT169/DN169-1</f>
        <v>0.23576177595875936</v>
      </c>
      <c r="DU171" s="485">
        <f>DU169/DO169-1</f>
        <v>0.24185601422926761</v>
      </c>
      <c r="DV171" s="485">
        <f>DV169/DP169-1</f>
        <v>0.23659532983507292</v>
      </c>
      <c r="DW171" s="511"/>
      <c r="DX171" s="656"/>
      <c r="DY171" s="656"/>
      <c r="DZ171" s="656"/>
      <c r="EA171" s="656"/>
      <c r="EB171" s="656"/>
      <c r="EC171" s="656"/>
      <c r="ED171" s="656"/>
      <c r="EE171" s="656"/>
      <c r="EF171" s="656"/>
      <c r="EJ171" s="656"/>
      <c r="EK171" s="656"/>
      <c r="EL171" s="656"/>
    </row>
    <row r="172" spans="1:142" s="499" customFormat="1" hidden="1" outlineLevel="1">
      <c r="A172" s="531" t="s">
        <v>878</v>
      </c>
      <c r="C172" s="500"/>
      <c r="D172" s="500"/>
      <c r="E172" s="500"/>
      <c r="F172" s="500"/>
      <c r="I172" s="500"/>
      <c r="J172" s="500"/>
      <c r="K172" s="500"/>
      <c r="L172" s="500"/>
      <c r="O172" s="485"/>
      <c r="P172" s="485">
        <f>P169/O169-1</f>
        <v>0.625</v>
      </c>
      <c r="Q172" s="485">
        <f>Q169/P169-1</f>
        <v>0.38461538461538458</v>
      </c>
      <c r="R172" s="485">
        <f>R169/Q169-1</f>
        <v>0.27777777777777768</v>
      </c>
      <c r="S172" s="476"/>
      <c r="T172" s="500"/>
      <c r="U172" s="485">
        <f>U169/R169-1</f>
        <v>8.6956521739130377E-2</v>
      </c>
      <c r="V172" s="485">
        <f>V169/U169-1</f>
        <v>0.39999999999999991</v>
      </c>
      <c r="W172" s="485">
        <f>W169/V169-1</f>
        <v>0.4285714285714286</v>
      </c>
      <c r="X172" s="485">
        <f>X169/W169-1</f>
        <v>0.45999999999999996</v>
      </c>
      <c r="Y172" s="476"/>
      <c r="Z172" s="500"/>
      <c r="AA172" s="485">
        <f>AA169/X169-1</f>
        <v>-0.31886301369863013</v>
      </c>
      <c r="AB172" s="485">
        <f>AB169/AA169-1</f>
        <v>0.17609858616736718</v>
      </c>
      <c r="AC172" s="485">
        <f>AC169/AB169-1</f>
        <v>0.20603668144971321</v>
      </c>
      <c r="AD172" s="485">
        <f>AD169/AC169-1</f>
        <v>0.29175646551724155</v>
      </c>
      <c r="AE172" s="476"/>
      <c r="AF172" s="500"/>
      <c r="AG172" s="485">
        <f>AG169/AD169-1</f>
        <v>9.1188738269029956E-2</v>
      </c>
      <c r="AH172" s="485">
        <f>AH169/AG169-1</f>
        <v>0.12103779444789553</v>
      </c>
      <c r="AI172" s="485">
        <f>AI169/AH169-1</f>
        <v>8.3530103741336958E-2</v>
      </c>
      <c r="AJ172" s="485">
        <f>AJ169/AI169-1</f>
        <v>0.33093383683423805</v>
      </c>
      <c r="AK172" s="476"/>
      <c r="AL172" s="500"/>
      <c r="AM172" s="485">
        <f>AM169/AJ169-1</f>
        <v>0.13265460088821146</v>
      </c>
      <c r="AN172" s="485">
        <f>AN169/AM169-1</f>
        <v>0.11426311279087664</v>
      </c>
      <c r="AO172" s="485">
        <f>AO169/AN169-1</f>
        <v>8.1814865211303767E-2</v>
      </c>
      <c r="AP172" s="485">
        <f>AP169/AO169-1</f>
        <v>0.34438616239273379</v>
      </c>
      <c r="AQ172" s="481"/>
      <c r="AR172" s="500"/>
      <c r="AS172" s="485">
        <f>AS169/AP169-1</f>
        <v>5.0000000000000044E-2</v>
      </c>
      <c r="AT172" s="485">
        <f>AT169/AS169-1</f>
        <v>6.0000000000000053E-2</v>
      </c>
      <c r="AU172" s="485">
        <f>AU169/AT169-1</f>
        <v>0.14999999999999991</v>
      </c>
      <c r="AV172" s="485">
        <f>AV169/AU169-1</f>
        <v>0.40096415312833344</v>
      </c>
      <c r="AW172" s="481"/>
      <c r="AX172" s="500"/>
      <c r="AY172" s="485">
        <f>AY169/AV169-1</f>
        <v>2.2416866011296221E-2</v>
      </c>
      <c r="AZ172" s="485">
        <f>AZ169/AY169-1</f>
        <v>1.9666295978923998E-2</v>
      </c>
      <c r="BA172" s="485">
        <f>BA169/AZ169-1</f>
        <v>2.1692437720532309E-2</v>
      </c>
      <c r="BB172" s="485">
        <f>BB169/BA169-1</f>
        <v>0.23878240624392144</v>
      </c>
      <c r="BC172" s="481"/>
      <c r="BD172" s="500"/>
      <c r="BE172" s="485">
        <f>BE169/BB169-1</f>
        <v>2.3216048068961159E-2</v>
      </c>
      <c r="BF172" s="485">
        <f>BF169/BE169-1</f>
        <v>7.6211496490614428E-2</v>
      </c>
      <c r="BG172" s="485">
        <f>BG169/BF169-1</f>
        <v>6.445172739502536E-2</v>
      </c>
      <c r="BH172" s="485">
        <f>BH169/BG169-1</f>
        <v>0.24830590873950786</v>
      </c>
      <c r="BI172" s="481"/>
      <c r="BJ172" s="500"/>
      <c r="BK172" s="485">
        <f>BK169/BH169-1</f>
        <v>7.3600226612119179E-2</v>
      </c>
      <c r="BL172" s="485">
        <f>BL169/BK169-1</f>
        <v>5.8970406791194252E-2</v>
      </c>
      <c r="BM172" s="485">
        <f>BM169/BL169-1</f>
        <v>4.6801255980907452E-2</v>
      </c>
      <c r="BN172" s="485">
        <f>BN169/BM169-1</f>
        <v>0.23071713336702415</v>
      </c>
      <c r="BO172" s="513"/>
      <c r="BP172" s="500"/>
      <c r="BQ172" s="485">
        <f>BQ169/BN169-1</f>
        <v>7.0577414778044911E-2</v>
      </c>
      <c r="BR172" s="485">
        <f>BR169/BQ169-1</f>
        <v>5.1200083172922017E-2</v>
      </c>
      <c r="BS172" s="485">
        <f>BS169/BR169-1</f>
        <v>3.5866860931067057E-2</v>
      </c>
      <c r="BT172" s="485">
        <f>BT169/BS169-1</f>
        <v>0.26246983774327304</v>
      </c>
      <c r="BU172" s="481"/>
      <c r="BV172" s="500"/>
      <c r="BW172" s="485">
        <f>BW169/BT169-1</f>
        <v>0.22639723294805636</v>
      </c>
      <c r="BX172" s="485">
        <f>BX169/BW169-1</f>
        <v>3.7037037037036979E-2</v>
      </c>
      <c r="BY172" s="485">
        <f>BY169/BX169-1</f>
        <v>7.1428571428571397E-2</v>
      </c>
      <c r="BZ172" s="485">
        <f>BZ169/BY169-1</f>
        <v>0.16666666666666674</v>
      </c>
      <c r="CA172" s="481"/>
      <c r="CB172" s="500"/>
      <c r="CC172" s="485">
        <f>CC169/BZ169-1</f>
        <v>2.857142857142847E-2</v>
      </c>
      <c r="CD172" s="485">
        <f>CD169/CC169-1</f>
        <v>5.555555555555558E-2</v>
      </c>
      <c r="CE172" s="485">
        <f>CE169/CD169-1</f>
        <v>0.10526315789473695</v>
      </c>
      <c r="CF172" s="485">
        <f>CF169/CE169-1</f>
        <v>7.1428571428571397E-2</v>
      </c>
      <c r="CG172" s="481"/>
      <c r="CH172" s="500"/>
      <c r="CI172" s="485">
        <f>CI169/CF169-1</f>
        <v>6.6666666666666652E-2</v>
      </c>
      <c r="CJ172" s="485">
        <f>CJ169/CI169-1</f>
        <v>4.1666666666666741E-2</v>
      </c>
      <c r="CK172" s="485">
        <f>CK169/CJ169-1</f>
        <v>8.0000000000000071E-2</v>
      </c>
      <c r="CL172" s="485">
        <f>CL169/CK169-1</f>
        <v>5.555555555555558E-2</v>
      </c>
      <c r="CM172" s="481"/>
      <c r="CN172" s="500"/>
      <c r="CO172" s="485">
        <f>CO169/CL169-1</f>
        <v>5.2631578947368363E-2</v>
      </c>
      <c r="CP172" s="485">
        <f>CP169/CO169-1</f>
        <v>3.3333333333333437E-2</v>
      </c>
      <c r="CQ172" s="485">
        <f>CQ169/CP169-1</f>
        <v>8.0645161290322509E-2</v>
      </c>
      <c r="CR172" s="485">
        <f>CR169/CQ169-1</f>
        <v>5.9701492537313383E-2</v>
      </c>
      <c r="CS172" s="481"/>
      <c r="CT172" s="500"/>
      <c r="CU172" s="485">
        <f>CU169/CR169-1</f>
        <v>7.0422535211267512E-2</v>
      </c>
      <c r="CV172" s="485">
        <f>CV169/CU169-1</f>
        <v>5.2631578947368363E-2</v>
      </c>
      <c r="CW172" s="485">
        <f>CW169/CV169-1</f>
        <v>7.4999999999999956E-2</v>
      </c>
      <c r="CX172" s="485">
        <f>CX169/CW169-1</f>
        <v>4.6511627906976827E-2</v>
      </c>
      <c r="CY172" s="481"/>
      <c r="CZ172" s="500"/>
      <c r="DA172" s="485">
        <f>DA169/CX169-1</f>
        <v>6.6666666666666652E-2</v>
      </c>
      <c r="DB172" s="485">
        <f>DB169/DA169-1</f>
        <v>8.3333333333333259E-2</v>
      </c>
      <c r="DC172" s="485">
        <f>DC169/DB169-1</f>
        <v>0.10576923076923084</v>
      </c>
      <c r="DD172" s="485">
        <f>DD169/DC169-1</f>
        <v>0.15652173913043477</v>
      </c>
      <c r="DE172" s="481"/>
      <c r="DF172" s="500"/>
      <c r="DG172" s="485">
        <f>DG169/DD169-1</f>
        <v>-6.0365872603672432E-2</v>
      </c>
      <c r="DH172" s="485">
        <f>DH169/DG169-1</f>
        <v>7.3965565019127988E-2</v>
      </c>
      <c r="DI172" s="485">
        <f>DI169/DH169-1</f>
        <v>0.1027347101867353</v>
      </c>
      <c r="DJ172" s="485">
        <f>DJ169/DI169-1</f>
        <v>0.13010287006045163</v>
      </c>
      <c r="DK172" s="481"/>
      <c r="DL172" s="500"/>
      <c r="DM172" s="485">
        <f>DM169/DJ169-1</f>
        <v>-7.1694864289254645E-2</v>
      </c>
      <c r="DN172" s="485">
        <f>DN169/DM169-1</f>
        <v>7.196078787544069E-2</v>
      </c>
      <c r="DO172" s="485">
        <f>DO169/DN169-1</f>
        <v>0.10251305238524155</v>
      </c>
      <c r="DP172" s="485">
        <f>DP169/DO169-1</f>
        <v>0.13540236097374603</v>
      </c>
      <c r="DQ172" s="481"/>
      <c r="DR172" s="500"/>
      <c r="DS172" s="485">
        <f>DS169/DP169-1</f>
        <v>-8.0917644801917987E-2</v>
      </c>
      <c r="DT172" s="485">
        <f>DT169/DS169-1</f>
        <v>7.4105144216379593E-2</v>
      </c>
      <c r="DU172" s="485">
        <f>DU169/DT169-1</f>
        <v>0.10795016604929542</v>
      </c>
      <c r="DV172" s="485">
        <f>DV169/DU169-1</f>
        <v>0.13059262988329157</v>
      </c>
      <c r="DW172" s="481"/>
      <c r="DX172" s="656"/>
      <c r="DY172" s="656"/>
      <c r="DZ172" s="656"/>
      <c r="EA172" s="656"/>
      <c r="EB172" s="656"/>
      <c r="EC172" s="656"/>
      <c r="ED172" s="656"/>
      <c r="EE172" s="656"/>
      <c r="EF172" s="656"/>
      <c r="EJ172" s="656"/>
      <c r="EK172" s="656"/>
      <c r="EL172" s="656"/>
    </row>
    <row r="173" spans="1:142" s="499" customFormat="1" hidden="1" outlineLevel="1">
      <c r="A173" s="530" t="s">
        <v>774</v>
      </c>
      <c r="C173" s="500"/>
      <c r="D173" s="500"/>
      <c r="E173" s="500"/>
      <c r="F173" s="500"/>
      <c r="I173" s="500"/>
      <c r="J173" s="514">
        <f>J169/J159</f>
        <v>0.25</v>
      </c>
      <c r="K173" s="514">
        <f>K169/K159</f>
        <v>0.375</v>
      </c>
      <c r="L173" s="514">
        <f>L169/L159</f>
        <v>0.8571428571428571</v>
      </c>
      <c r="O173" s="514">
        <f>O169/O159</f>
        <v>0.76284924191856585</v>
      </c>
      <c r="P173" s="514">
        <f>P169/P159</f>
        <v>0.86087014105026149</v>
      </c>
      <c r="Q173" s="514">
        <f>Q169/Q159</f>
        <v>1.2634238787113077</v>
      </c>
      <c r="R173" s="514">
        <f>R169/R159</f>
        <v>1.1997287569766835</v>
      </c>
      <c r="T173" s="500"/>
      <c r="U173" s="514">
        <f>U169/U159</f>
        <v>1.0283833813245578</v>
      </c>
      <c r="V173" s="514">
        <f>V169/V159</f>
        <v>1.1884953648680769</v>
      </c>
      <c r="W173" s="514">
        <f>W169/W159</f>
        <v>1.4531504301325273</v>
      </c>
      <c r="X173" s="514">
        <f>X169/X159</f>
        <v>1.4694929242909194</v>
      </c>
      <c r="Z173" s="500"/>
      <c r="AA173" s="514">
        <f>AA169/AA159</f>
        <v>0.95</v>
      </c>
      <c r="AB173" s="514">
        <f>AB169/AB159</f>
        <v>0.95</v>
      </c>
      <c r="AC173" s="514">
        <f>AC169/AC159</f>
        <v>0.95</v>
      </c>
      <c r="AD173" s="514">
        <f>AD169/AD159</f>
        <v>0.95</v>
      </c>
      <c r="AF173" s="500"/>
      <c r="AG173" s="514">
        <f>AG169/AG159</f>
        <v>0.95</v>
      </c>
      <c r="AH173" s="514">
        <f>AH169/AH159</f>
        <v>0.95000000000000007</v>
      </c>
      <c r="AI173" s="514">
        <f>AI169/AI159</f>
        <v>0.95</v>
      </c>
      <c r="AJ173" s="514">
        <f>AJ169/AJ159</f>
        <v>0.95</v>
      </c>
      <c r="AL173" s="500"/>
      <c r="AM173" s="514">
        <f>AM169/AM159</f>
        <v>1</v>
      </c>
      <c r="AN173" s="514">
        <f>AN169/AN159</f>
        <v>1</v>
      </c>
      <c r="AO173" s="514">
        <f>AO169/AO159</f>
        <v>1</v>
      </c>
      <c r="AP173" s="514">
        <f>AP169/AP159</f>
        <v>1.0385020224386845</v>
      </c>
      <c r="AQ173" s="507"/>
      <c r="AR173" s="500"/>
      <c r="AS173" s="514">
        <f>AS169/AS159</f>
        <v>1.0476135717957735</v>
      </c>
      <c r="AT173" s="514">
        <f>AT169/AT159</f>
        <v>1.0201427985533726</v>
      </c>
      <c r="AU173" s="514">
        <f>AU169/AU159</f>
        <v>1.1079119328184786</v>
      </c>
      <c r="AV173" s="514">
        <f>AV169/AV159</f>
        <v>1.1000000000000001</v>
      </c>
      <c r="AW173" s="507"/>
      <c r="AX173" s="500"/>
      <c r="AY173" s="514">
        <f>AY169/AY159</f>
        <v>1.1499999999999999</v>
      </c>
      <c r="AZ173" s="514">
        <f>AZ169/AZ159</f>
        <v>1.1499999999999999</v>
      </c>
      <c r="BA173" s="514">
        <f>BA169/BA159</f>
        <v>1.2</v>
      </c>
      <c r="BB173" s="514">
        <f>BB169/BB159</f>
        <v>1.175</v>
      </c>
      <c r="BC173" s="507"/>
      <c r="BD173" s="500"/>
      <c r="BE173" s="514">
        <f>BE169/BE159</f>
        <v>1.3</v>
      </c>
      <c r="BF173" s="514">
        <f>BF169/BF159</f>
        <v>1.4</v>
      </c>
      <c r="BG173" s="514">
        <f>BG169/BG159</f>
        <v>1.5</v>
      </c>
      <c r="BH173" s="514">
        <f>BH169/BH159</f>
        <v>1.45</v>
      </c>
      <c r="BI173" s="507"/>
      <c r="BJ173" s="500"/>
      <c r="BK173" s="514">
        <f>BK169/BK159</f>
        <v>1.65</v>
      </c>
      <c r="BL173" s="514">
        <f>BL169/BL159</f>
        <v>1.7</v>
      </c>
      <c r="BM173" s="514">
        <f>BM169/BM159</f>
        <v>1.75</v>
      </c>
      <c r="BN173" s="514">
        <f>BN169/BN159</f>
        <v>1.6</v>
      </c>
      <c r="BO173" s="508"/>
      <c r="BP173" s="500"/>
      <c r="BQ173" s="514">
        <f>BQ169/BQ159</f>
        <v>1.75</v>
      </c>
      <c r="BR173" s="514">
        <f>BR169/BR159</f>
        <v>1.7999999999999998</v>
      </c>
      <c r="BS173" s="514">
        <f>BS169/BS159</f>
        <v>1.9</v>
      </c>
      <c r="BT173" s="514">
        <f>BT169/BT159</f>
        <v>1.595</v>
      </c>
      <c r="BU173" s="515"/>
      <c r="BV173" s="500"/>
      <c r="BW173" s="514">
        <f>BW169/BW159</f>
        <v>2.0229022503663701</v>
      </c>
      <c r="BX173" s="514">
        <f>BX169/BX159</f>
        <v>2.0939526647043341</v>
      </c>
      <c r="BY173" s="514">
        <f>BY169/BY159</f>
        <v>2.3225153150530735</v>
      </c>
      <c r="BZ173" s="514">
        <f>BZ169/BZ159</f>
        <v>1.8786953266111823</v>
      </c>
      <c r="CA173" s="507"/>
      <c r="CB173" s="500"/>
      <c r="CC173" s="514">
        <f>CC169/CC159</f>
        <v>2.077130790002077</v>
      </c>
      <c r="CD173" s="514">
        <f>CD169/CD159</f>
        <v>2.1233225751656191</v>
      </c>
      <c r="CE173" s="514">
        <f>CE169/CE159</f>
        <v>2.4212809844697887</v>
      </c>
      <c r="CF173" s="514">
        <f>CF169/CF159</f>
        <v>1.7842168180277269</v>
      </c>
      <c r="CG173" s="507"/>
      <c r="CH173" s="500"/>
      <c r="CI173" s="514">
        <f>CI169/CI159</f>
        <v>2.0648580517634101</v>
      </c>
      <c r="CJ173" s="514">
        <f>CJ169/CJ159</f>
        <v>2.1250335755304932</v>
      </c>
      <c r="CK173" s="514">
        <f>CK169/CK159</f>
        <v>2.4280826645239584</v>
      </c>
      <c r="CL173" s="514">
        <f>CL169/CL159</f>
        <v>1.7161184772067852</v>
      </c>
      <c r="CM173" s="507"/>
      <c r="CN173" s="500"/>
      <c r="CO173" s="514">
        <f>CO169/CO159</f>
        <v>1.9628241113313836</v>
      </c>
      <c r="CP173" s="514">
        <f>CP169/CP159</f>
        <v>2.0428396657518917</v>
      </c>
      <c r="CQ173" s="514">
        <f>CQ169/CQ159</f>
        <v>2.3537595160389393</v>
      </c>
      <c r="CR173" s="514">
        <f>CR169/CR159</f>
        <v>1.654412749883317</v>
      </c>
      <c r="CS173" s="507"/>
      <c r="CT173" s="500"/>
      <c r="CU173" s="514">
        <f>CU169/CU159</f>
        <v>1.8967215168581109</v>
      </c>
      <c r="CV173" s="514">
        <f>CV169/CV159</f>
        <v>2.0922904067700241</v>
      </c>
      <c r="CW173" s="514">
        <f>CW169/CW159</f>
        <v>2.4605644477620734</v>
      </c>
      <c r="CX173" s="514">
        <f>CX169/CX159</f>
        <v>1.6237274937838297</v>
      </c>
      <c r="CY173" s="507"/>
      <c r="CZ173" s="500"/>
      <c r="DA173" s="514">
        <f>DA169/DA159</f>
        <v>1.9037601642945021</v>
      </c>
      <c r="DB173" s="514">
        <f>DB169/DB159</f>
        <v>2.1582880127438604</v>
      </c>
      <c r="DC173" s="514">
        <f>DC169/DC159</f>
        <v>2.6183482002385201</v>
      </c>
      <c r="DD173" s="514">
        <f>DD169/DD159</f>
        <v>1.874637493736526</v>
      </c>
      <c r="DE173" s="507"/>
      <c r="DF173" s="500"/>
      <c r="DG173" s="514">
        <f>DG169/DG159</f>
        <v>2.0037601642945022</v>
      </c>
      <c r="DH173" s="514">
        <f>DH169/DH159</f>
        <v>2.2582880127438605</v>
      </c>
      <c r="DI173" s="514">
        <f>DI169/DI159</f>
        <v>2.7183482002385202</v>
      </c>
      <c r="DJ173" s="514">
        <f>DJ169/DJ159</f>
        <v>1.8746374937365262</v>
      </c>
      <c r="DK173" s="507"/>
      <c r="DL173" s="500"/>
      <c r="DM173" s="514">
        <f>DM169/DM159</f>
        <v>2.0037601642945022</v>
      </c>
      <c r="DN173" s="514">
        <f>DN169/DN159</f>
        <v>2.2582880127438605</v>
      </c>
      <c r="DO173" s="514">
        <f>DO169/DO159</f>
        <v>2.7183482002385202</v>
      </c>
      <c r="DP173" s="514">
        <f>DP169/DP159</f>
        <v>1.874637493736526</v>
      </c>
      <c r="DQ173" s="507"/>
      <c r="DR173" s="500"/>
      <c r="DS173" s="514">
        <f>DS169/DS159</f>
        <v>2.0037601642945022</v>
      </c>
      <c r="DT173" s="514">
        <f>DT169/DT159</f>
        <v>2.2582880127438605</v>
      </c>
      <c r="DU173" s="514">
        <f>DU169/DU159</f>
        <v>2.7183482002385202</v>
      </c>
      <c r="DV173" s="514">
        <f>DV169/DV159</f>
        <v>1.874637493736526</v>
      </c>
      <c r="DW173" s="507"/>
      <c r="DX173" s="656"/>
      <c r="DY173" s="656"/>
      <c r="DZ173" s="656"/>
      <c r="EA173" s="656"/>
      <c r="EB173" s="656"/>
      <c r="EC173" s="656"/>
      <c r="ED173" s="656"/>
      <c r="EE173" s="656"/>
      <c r="EF173" s="656"/>
      <c r="EJ173" s="656"/>
      <c r="EK173" s="656"/>
      <c r="EL173" s="656"/>
    </row>
    <row r="174" spans="1:142" s="499" customFormat="1" hidden="1" outlineLevel="1">
      <c r="A174" s="530" t="s">
        <v>773</v>
      </c>
      <c r="C174" s="500"/>
      <c r="D174" s="500"/>
      <c r="E174" s="500"/>
      <c r="F174" s="500"/>
      <c r="I174" s="500"/>
      <c r="J174" s="500"/>
      <c r="K174" s="500"/>
      <c r="L174" s="500"/>
      <c r="O174" s="516">
        <f>Model!G13+('MS Revenue Analysis'!O169+'MS Revenue Analysis'!O159-'MS Revenue Analysis'!L169-'MS Revenue Analysis'!L159)</f>
        <v>14.297000000000002</v>
      </c>
      <c r="P174" s="516">
        <f>Model!H13+('MS Revenue Analysis'!P169+'MS Revenue Analysis'!P159-'MS Revenue Analysis'!O169-'MS Revenue Analysis'!O159)</f>
        <v>20.888999999999999</v>
      </c>
      <c r="Q174" s="516">
        <f>Model!I13+('MS Revenue Analysis'!Q169+'MS Revenue Analysis'!Q159-'MS Revenue Analysis'!P169-'MS Revenue Analysis'!P159)</f>
        <v>17.082999999999998</v>
      </c>
      <c r="R174" s="516">
        <f>Model!J13+('MS Revenue Analysis'!R169+'MS Revenue Analysis'!R159-'MS Revenue Analysis'!Q169-'MS Revenue Analysis'!Q159)</f>
        <v>24.558</v>
      </c>
      <c r="S174" s="517">
        <f>SUM(O174:R174)</f>
        <v>76.826999999999998</v>
      </c>
      <c r="T174" s="500"/>
      <c r="U174" s="510">
        <f>Model!M13+('MS Revenue Analysis'!U169+'MS Revenue Analysis'!U159-'MS Revenue Analysis'!R169-'MS Revenue Analysis'!R159)</f>
        <v>24.061000000000003</v>
      </c>
      <c r="V174" s="510">
        <f>Model!N13+('MS Revenue Analysis'!V169+'MS Revenue Analysis'!V159-'MS Revenue Analysis'!U169-'MS Revenue Analysis'!U159)</f>
        <v>34.730999999999995</v>
      </c>
      <c r="W174" s="510">
        <f>Model!O13+('MS Revenue Analysis'!W169+'MS Revenue Analysis'!W159-'MS Revenue Analysis'!V169-'MS Revenue Analysis'!V159)</f>
        <v>42.439</v>
      </c>
      <c r="X174" s="518">
        <f>Model!P13+('MS Revenue Analysis'!X169+'MS Revenue Analysis'!X159-'MS Revenue Analysis'!W169-'MS Revenue Analysis'!W159)</f>
        <v>65.070999999999998</v>
      </c>
      <c r="Y174" s="517">
        <f>SUM(U174:X174)</f>
        <v>166.30199999999999</v>
      </c>
      <c r="Z174" s="500"/>
      <c r="AA174" s="518">
        <f>Model!S13+('MS Revenue Analysis'!AA169+'MS Revenue Analysis'!AA159-'MS Revenue Analysis'!X169-'MS Revenue Analysis'!X159)</f>
        <v>10.502000000000002</v>
      </c>
      <c r="AB174" s="503">
        <f>Model!T13+('MS Revenue Analysis'!AB169+'MS Revenue Analysis'!AB159-'MS Revenue Analysis'!AA169-'MS Revenue Analysis'!AA159)</f>
        <v>53.990149999999993</v>
      </c>
      <c r="AC174" s="503">
        <f>Model!U13+('MS Revenue Analysis'!AC169+'MS Revenue Analysis'!AC159-'MS Revenue Analysis'!AB169-'MS Revenue Analysis'!AB159)</f>
        <v>66.196849999999969</v>
      </c>
      <c r="AD174" s="503">
        <f>Model!V13+('MS Revenue Analysis'!AD169+'MS Revenue Analysis'!AD159-'MS Revenue Analysis'!AC169-'MS Revenue Analysis'!AC159)</f>
        <v>91.616000000000014</v>
      </c>
      <c r="AE174" s="517">
        <f>SUM(AA174:AD174)</f>
        <v>222.30499999999998</v>
      </c>
      <c r="AF174" s="500"/>
      <c r="AG174" s="503">
        <f>Model!Y13+('MS Revenue Analysis'!AG169+'MS Revenue Analysis'!AG159-'MS Revenue Analysis'!AD169-'MS Revenue Analysis'!AD159)</f>
        <v>75.242749999999987</v>
      </c>
      <c r="AH174" s="503">
        <f>Model!Z13+('MS Revenue Analysis'!AH169+'MS Revenue Analysis'!AH159-'MS Revenue Analysis'!AG169-'MS Revenue Analysis'!AG159)</f>
        <v>90.33670000000005</v>
      </c>
      <c r="AI174" s="503">
        <f>Model!AA13+('MS Revenue Analysis'!AI169+'MS Revenue Analysis'!AI159-'MS Revenue Analysis'!AH169-'MS Revenue Analysis'!AH159)</f>
        <v>93.494049999999959</v>
      </c>
      <c r="AJ174" s="503">
        <f>Model!AB13+('MS Revenue Analysis'!AJ169+'MS Revenue Analysis'!AJ159-'MS Revenue Analysis'!AI169-'MS Revenue Analysis'!AI159)</f>
        <v>164.45175</v>
      </c>
      <c r="AK174" s="517">
        <f>SUM(AG174:AJ174)</f>
        <v>423.52524999999997</v>
      </c>
      <c r="AL174" s="500"/>
      <c r="AM174" s="503">
        <f>Model!AE19+('MS Revenue Analysis'!AM169+'MS Revenue Analysis'!AM159-'MS Revenue Analysis'!AJ169-'MS Revenue Analysis'!AJ159)</f>
        <v>138.86674999999997</v>
      </c>
      <c r="AN174" s="503">
        <f>Model!AF19+('MS Revenue Analysis'!AN169+'MS Revenue Analysis'!AN159-'MS Revenue Analysis'!AM169-'MS Revenue Analysis'!AM159)</f>
        <v>159.73700000000002</v>
      </c>
      <c r="AO174" s="503">
        <f>Model!AG19+('MS Revenue Analysis'!AO169+'MS Revenue Analysis'!AO159-'MS Revenue Analysis'!AN169-'MS Revenue Analysis'!AN159)</f>
        <v>163.24299999999999</v>
      </c>
      <c r="AP174" s="503">
        <f>Model!AH19+('MS Revenue Analysis'!AP169+'MS Revenue Analysis'!AP159-'MS Revenue Analysis'!AO169-'MS Revenue Analysis'!AO159)</f>
        <v>284.42299999999994</v>
      </c>
      <c r="AQ174" s="509">
        <f>SUM(AM174:AP174)</f>
        <v>746.26974999999993</v>
      </c>
      <c r="AR174" s="500"/>
      <c r="AS174" s="503">
        <f>Model!AK19+('MS Revenue Analysis'!AS169+'MS Revenue Analysis'!AS159-'MS Revenue Analysis'!AP169-'MS Revenue Analysis'!AP159)</f>
        <v>188.77100000000004</v>
      </c>
      <c r="AT174" s="503">
        <f>Model!AL19+('MS Revenue Analysis'!AT169+'MS Revenue Analysis'!AT159-'MS Revenue Analysis'!AS169-'MS Revenue Analysis'!AS159)</f>
        <v>221.34399999999997</v>
      </c>
      <c r="AU174" s="503">
        <f>Model!AM19+('MS Revenue Analysis'!AU169+'MS Revenue Analysis'!AU159-'MS Revenue Analysis'!AT169-'MS Revenue Analysis'!AT159)</f>
        <v>261.00925000000007</v>
      </c>
      <c r="AV174" s="503">
        <f>Model!AN19+('MS Revenue Analysis'!AV169+'MS Revenue Analysis'!AV159-'MS Revenue Analysis'!AU169-'MS Revenue Analysis'!AU159)</f>
        <v>508.39015000000001</v>
      </c>
      <c r="AW174" s="509">
        <f>SUM(AS174:AV174)</f>
        <v>1179.5144</v>
      </c>
      <c r="AX174" s="500"/>
      <c r="AY174" s="503">
        <f>Model!AQ19+('MS Revenue Analysis'!AY169+'MS Revenue Analysis'!AY159-'MS Revenue Analysis'!AV169-'MS Revenue Analysis'!AV159)</f>
        <v>248.88314999999994</v>
      </c>
      <c r="AZ174" s="503">
        <f>Model!AR19+('MS Revenue Analysis'!AZ169+'MS Revenue Analysis'!AZ159-'MS Revenue Analysis'!AY169-'MS Revenue Analysis'!AY159)</f>
        <v>282.9623499999999</v>
      </c>
      <c r="BA174" s="503">
        <f>Model!AS19+('MS Revenue Analysis'!BA169+'MS Revenue Analysis'!BA159-'MS Revenue Analysis'!AZ169-'MS Revenue Analysis'!AZ159)</f>
        <v>278.43789999999996</v>
      </c>
      <c r="BB174" s="503">
        <f>Model!AT19+('MS Revenue Analysis'!BB169+'MS Revenue Analysis'!BB159-'MS Revenue Analysis'!BA169-'MS Revenue Analysis'!BA159)</f>
        <v>548.61475000000019</v>
      </c>
      <c r="BC174" s="509">
        <f>SUM(AY174:BB174)</f>
        <v>1358.89815</v>
      </c>
      <c r="BD174" s="500"/>
      <c r="BE174" s="503">
        <f>Model!AW19+('MS Revenue Analysis'!BE169+'MS Revenue Analysis'!BE159-'MS Revenue Analysis'!BB169-'MS Revenue Analysis'!BB159)</f>
        <v>276.47535000000005</v>
      </c>
      <c r="BF174" s="503">
        <f>Model!AX19+('MS Revenue Analysis'!BF169+'MS Revenue Analysis'!BF159-'MS Revenue Analysis'!BE169-'MS Revenue Analysis'!BE159)</f>
        <v>370.12709999999964</v>
      </c>
      <c r="BG174" s="503">
        <f>Model!AY19+('MS Revenue Analysis'!BG169+'MS Revenue Analysis'!BG159-'MS Revenue Analysis'!BF169-'MS Revenue Analysis'!BF159)</f>
        <v>376.51249999999993</v>
      </c>
      <c r="BH174" s="503">
        <f>Model!AZ19+('MS Revenue Analysis'!BH169+'MS Revenue Analysis'!BH159-'MS Revenue Analysis'!BG169-'MS Revenue Analysis'!BG159)</f>
        <v>716.11410000000024</v>
      </c>
      <c r="BI174" s="509">
        <f>SUM(BE174:BH174)</f>
        <v>1739.2290499999999</v>
      </c>
      <c r="BJ174" s="500"/>
      <c r="BK174" s="503">
        <f>Model!BC19+('MS Revenue Analysis'!BK169+'MS Revenue Analysis'!BK159-'MS Revenue Analysis'!BH169-'MS Revenue Analysis'!BH159)</f>
        <v>412.16224999999974</v>
      </c>
      <c r="BL174" s="503">
        <f>Model!BD19+('MS Revenue Analysis'!BL169+'MS Revenue Analysis'!BL159-'MS Revenue Analysis'!BK169-'MS Revenue Analysis'!BK159)</f>
        <v>477.52145000000013</v>
      </c>
      <c r="BM174" s="503">
        <f>Model!BE19+('MS Revenue Analysis'!BM169+'MS Revenue Analysis'!BM159-'MS Revenue Analysis'!BL169-'MS Revenue Analysis'!BL159)</f>
        <v>494.96744999999964</v>
      </c>
      <c r="BN174" s="503">
        <f>Model!BF19+('MS Revenue Analysis'!BN169+'MS Revenue Analysis'!BN159-'MS Revenue Analysis'!BM169-'MS Revenue Analysis'!BM159)</f>
        <v>977.68185000000005</v>
      </c>
      <c r="BO174" s="509">
        <f>SUM(BK174:BN174)</f>
        <v>2362.3329999999996</v>
      </c>
      <c r="BP174" s="500"/>
      <c r="BQ174" s="503">
        <f>Model!BI19+('MS Revenue Analysis'!BQ169+'MS Revenue Analysis'!BQ159-'MS Revenue Analysis'!BN169-'MS Revenue Analysis'!BN159)</f>
        <v>590.13314999999989</v>
      </c>
      <c r="BR174" s="503">
        <f>Model!BJ19+('MS Revenue Analysis'!BR169+'MS Revenue Analysis'!BR159-'MS Revenue Analysis'!BQ169-'MS Revenue Analysis'!BQ159)</f>
        <v>648.13104999999973</v>
      </c>
      <c r="BS174" s="503">
        <f>Model!BK19+('MS Revenue Analysis'!BS169+'MS Revenue Analysis'!BS159-'MS Revenue Analysis'!BR169-'MS Revenue Analysis'!BR159)</f>
        <v>627.19609999999955</v>
      </c>
      <c r="BT174" s="503">
        <f>Model!BL19+('MS Revenue Analysis'!BT169+'MS Revenue Analysis'!BT159-'MS Revenue Analysis'!BS169-'MS Revenue Analysis'!BS159)</f>
        <v>1552.0976250000006</v>
      </c>
      <c r="BU174" s="509">
        <f>SUM(BQ174:BT174)</f>
        <v>3417.5579250000001</v>
      </c>
      <c r="BV174" s="500"/>
      <c r="BW174" s="503">
        <f>Model!BO19+('MS Revenue Analysis'!BW169+'MS Revenue Analysis'!BW159-'MS Revenue Analysis'!BT169-'MS Revenue Analysis'!BT159)</f>
        <v>1148.3174749999998</v>
      </c>
      <c r="BX174" s="503">
        <f>Model!BP19+('MS Revenue Analysis'!BX169+'MS Revenue Analysis'!BX159-'MS Revenue Analysis'!BW169-'MS Revenue Analysis'!BW159)</f>
        <v>834.1170000000003</v>
      </c>
      <c r="BY174" s="503">
        <f>Model!BQ19+('MS Revenue Analysis'!BY169+'MS Revenue Analysis'!BY159-'MS Revenue Analysis'!BX169-'MS Revenue Analysis'!BX159)</f>
        <v>942.91699999999958</v>
      </c>
      <c r="BZ174" s="503">
        <f>Model!BR19+('MS Revenue Analysis'!BZ169+'MS Revenue Analysis'!BZ159-'MS Revenue Analysis'!BY169-'MS Revenue Analysis'!BY159)</f>
        <v>1905.973</v>
      </c>
      <c r="CA174" s="509">
        <f>SUM(BW174:BZ174)</f>
        <v>4831.3244749999994</v>
      </c>
      <c r="CB174" s="500"/>
      <c r="CC174" s="503">
        <f>Model!BU19+('MS Revenue Analysis'!CC169+'MS Revenue Analysis'!CC159-'MS Revenue Analysis'!BZ169-'MS Revenue Analysis'!BZ159)</f>
        <v>862.79799999999977</v>
      </c>
      <c r="CD174" s="503">
        <f>Model!BV19+('MS Revenue Analysis'!CD169+'MS Revenue Analysis'!CD159-'MS Revenue Analysis'!CC169-'MS Revenue Analysis'!CC159)-44</f>
        <v>1169.5820000000001</v>
      </c>
      <c r="CE174" s="503">
        <f>Model!BW19+('MS Revenue Analysis'!CE169+'MS Revenue Analysis'!CE159-'MS Revenue Analysis'!CD169-'MS Revenue Analysis'!CD159)</f>
        <v>1421.0049999999999</v>
      </c>
      <c r="CF174" s="503">
        <f>Model!BX19+('MS Revenue Analysis'!CF169+'MS Revenue Analysis'!CF159-'MS Revenue Analysis'!CE169-'MS Revenue Analysis'!CE159)</f>
        <v>2232.7379999999998</v>
      </c>
      <c r="CG174" s="509">
        <f>SUM(CC174:CF174)</f>
        <v>5686.1229999999996</v>
      </c>
      <c r="CH174" s="500"/>
      <c r="CI174" s="503">
        <f>Model!CA19+('MS Revenue Analysis'!CI169+'MS Revenue Analysis'!CI159-'MS Revenue Analysis'!CF169-'MS Revenue Analysis'!CF159)</f>
        <v>1329.2719999999999</v>
      </c>
      <c r="CJ174" s="503">
        <f>Model!CB19+('MS Revenue Analysis'!CJ169+'MS Revenue Analysis'!CJ159-'MS Revenue Analysis'!CI169-'MS Revenue Analysis'!CI159)</f>
        <v>1546.8400000000001</v>
      </c>
      <c r="CK174" s="503">
        <f>Model!CC19+('MS Revenue Analysis'!CK169+'MS Revenue Analysis'!CK159-'MS Revenue Analysis'!CJ169-'MS Revenue Analysis'!CJ159)</f>
        <v>1654.7280000000007</v>
      </c>
      <c r="CL174" s="503">
        <f>Model!CD19+('MS Revenue Analysis'!CL169+'MS Revenue Analysis'!CL159-'MS Revenue Analysis'!CK169-'MS Revenue Analysis'!CK159)</f>
        <v>2842.08</v>
      </c>
      <c r="CM174" s="509">
        <f>SUM(CI174:CL174)</f>
        <v>7372.920000000001</v>
      </c>
      <c r="CN174" s="500"/>
      <c r="CO174" s="503">
        <f>Model!CG19+('MS Revenue Analysis'!CO169+'MS Revenue Analysis'!CO159-'MS Revenue Analysis'!CL169-'MS Revenue Analysis'!CL159)</f>
        <v>1546.5379999999996</v>
      </c>
      <c r="CP174" s="503">
        <f>Model!CH19+('MS Revenue Analysis'!CP169+'MS Revenue Analysis'!CP159-'MS Revenue Analysis'!CO169-'MS Revenue Analysis'!CO159)</f>
        <v>1812.8549999999998</v>
      </c>
      <c r="CQ174" s="503">
        <f>Model!CI19+('MS Revenue Analysis'!CQ169+'MS Revenue Analysis'!CQ159-'MS Revenue Analysis'!CP169-'MS Revenue Analysis'!CP159)</f>
        <v>2023.4860000000003</v>
      </c>
      <c r="CR174" s="503">
        <f>Model!CJ19+('MS Revenue Analysis'!CR169+'MS Revenue Analysis'!CR159-'MS Revenue Analysis'!CQ169-'MS Revenue Analysis'!CQ159)</f>
        <v>3654.4410000000003</v>
      </c>
      <c r="CS174" s="509">
        <f>SUM(CO174:CR174)</f>
        <v>9037.32</v>
      </c>
      <c r="CT174" s="500"/>
      <c r="CU174" s="503">
        <f>Model!CM19+('MS Revenue Analysis'!CU169+'MS Revenue Analysis'!CU159-'MS Revenue Analysis'!CR169-'MS Revenue Analysis'!CR159)</f>
        <v>2131.9639999999999</v>
      </c>
      <c r="CV174" s="503">
        <f>Model!CN19+('MS Revenue Analysis'!CV169+'MS Revenue Analysis'!CV159-'MS Revenue Analysis'!CU169-'MS Revenue Analysis'!CU159)</f>
        <v>2253.2649999999999</v>
      </c>
      <c r="CW174" s="503">
        <f>Model!CO19+('MS Revenue Analysis'!CW169+'MS Revenue Analysis'!CW159-'MS Revenue Analysis'!CV169-'MS Revenue Analysis'!CV159)</f>
        <v>2416.3470000000002</v>
      </c>
      <c r="CX174" s="503">
        <f>Model!CP19+('MS Revenue Analysis'!CX169+'MS Revenue Analysis'!CX159-'MS Revenue Analysis'!CW169-'MS Revenue Analysis'!CW159)</f>
        <v>4741.6569999999992</v>
      </c>
      <c r="CY174" s="509">
        <f>SUM(CU174:CX174)</f>
        <v>11543.232999999998</v>
      </c>
      <c r="CZ174" s="500"/>
      <c r="DA174" s="503">
        <f>Model!CS19+('MS Revenue Analysis'!DA169+'MS Revenue Analysis'!DA159-'MS Revenue Analysis'!CX169-'MS Revenue Analysis'!CX159)</f>
        <v>2487.4289999999992</v>
      </c>
      <c r="DB174" s="503">
        <f>Model!CT19+('MS Revenue Analysis'!DB169+'MS Revenue Analysis'!DB159-'MS Revenue Analysis'!DA169-'MS Revenue Analysis'!DA159)</f>
        <v>3137.5709999999999</v>
      </c>
      <c r="DC174" s="503">
        <f>Model!CU19+('MS Revenue Analysis'!DC169+'MS Revenue Analysis'!DC159-'MS Revenue Analysis'!DB169-'MS Revenue Analysis'!DB159)</f>
        <v>3353.2890000000002</v>
      </c>
      <c r="DD174" s="503">
        <f>Model!CV19+('MS Revenue Analysis'!DD169+'MS Revenue Analysis'!DD159-'MS Revenue Analysis'!DC169-'MS Revenue Analysis'!DC159)</f>
        <v>7353.626000000002</v>
      </c>
      <c r="DE174" s="509">
        <f>SUM(DA174:DD174)</f>
        <v>16331.915000000001</v>
      </c>
      <c r="DF174" s="500"/>
      <c r="DG174" s="503">
        <f>Model!CY19+('MS Revenue Analysis'!DG169+'MS Revenue Analysis'!DG159-'MS Revenue Analysis'!DD169-'MS Revenue Analysis'!DD159)</f>
        <v>1283.491691371155</v>
      </c>
      <c r="DH174" s="503">
        <f>Model!CZ19+('MS Revenue Analysis'!DH169+'MS Revenue Analysis'!DH159-'MS Revenue Analysis'!DG169-'MS Revenue Analysis'!DG159)</f>
        <v>3747.497698416857</v>
      </c>
      <c r="DI174" s="503">
        <f>Model!DA19+('MS Revenue Analysis'!DI169+'MS Revenue Analysis'!DI159-'MS Revenue Analysis'!DH169-'MS Revenue Analysis'!DH159)</f>
        <v>4115.7167328265477</v>
      </c>
      <c r="DJ174" s="503">
        <f>Model!DB19+('MS Revenue Analysis'!DJ169+'MS Revenue Analysis'!DJ159-'MS Revenue Analysis'!DI169-'MS Revenue Analysis'!DI159)</f>
        <v>8816.3466963092942</v>
      </c>
      <c r="DK174" s="509">
        <f>SUM(DG174:DJ174)</f>
        <v>17963.052818923854</v>
      </c>
      <c r="DL174" s="500"/>
      <c r="DM174" s="503">
        <f>Model!DE19+('MS Revenue Analysis'!DM169+'MS Revenue Analysis'!DM159-'MS Revenue Analysis'!DJ169-'MS Revenue Analysis'!DJ159)</f>
        <v>1166.6096991040299</v>
      </c>
      <c r="DN174" s="503">
        <f>Model!DF19+('MS Revenue Analysis'!DN169+'MS Revenue Analysis'!DN159-'MS Revenue Analysis'!DM169-'MS Revenue Analysis'!DM159)</f>
        <v>4488.1824088211542</v>
      </c>
      <c r="DO174" s="503">
        <f>Model!DG19+('MS Revenue Analysis'!DO169+'MS Revenue Analysis'!DO159-'MS Revenue Analysis'!DN169-'MS Revenue Analysis'!DN159)</f>
        <v>4979.0095206457754</v>
      </c>
      <c r="DP174" s="503">
        <f>Model!DH19+('MS Revenue Analysis'!DP169+'MS Revenue Analysis'!DP159-'MS Revenue Analysis'!DO169-'MS Revenue Analysis'!DO159)</f>
        <v>10930.039940791983</v>
      </c>
      <c r="DQ174" s="509">
        <f>SUM(DM174:DP174)</f>
        <v>21563.841569362943</v>
      </c>
      <c r="DR174" s="500"/>
      <c r="DS174" s="503">
        <f>Model!DK19+('MS Revenue Analysis'!DS169+'MS Revenue Analysis'!DS159-'MS Revenue Analysis'!DP169-'MS Revenue Analysis'!DP159)</f>
        <v>992.62310263282779</v>
      </c>
      <c r="DT174" s="503">
        <f>Model!DL19+('MS Revenue Analysis'!DT169+'MS Revenue Analysis'!DT159-'MS Revenue Analysis'!DS169-'MS Revenue Analysis'!DS159)</f>
        <v>5447.8672532624423</v>
      </c>
      <c r="DU174" s="503">
        <f>Model!DM19+('MS Revenue Analysis'!DU169+'MS Revenue Analysis'!DU159-'MS Revenue Analysis'!DT169-'MS Revenue Analysis'!DT159)</f>
        <v>6139.2083500451527</v>
      </c>
      <c r="DV174" s="503">
        <f>Model!DN19+('MS Revenue Analysis'!DV169+'MS Revenue Analysis'!DV159-'MS Revenue Analysis'!DU169-'MS Revenue Analysis'!DU159)</f>
        <v>13202.522640965151</v>
      </c>
      <c r="DW174" s="509">
        <f>SUM(DS174:DV174)</f>
        <v>25782.221346905575</v>
      </c>
      <c r="DX174" s="656"/>
      <c r="DY174" s="656"/>
      <c r="DZ174" s="656"/>
      <c r="EA174" s="656"/>
      <c r="EB174" s="656"/>
      <c r="EC174" s="656"/>
      <c r="ED174" s="656"/>
      <c r="EE174" s="656"/>
      <c r="EF174" s="656"/>
      <c r="EJ174" s="656"/>
      <c r="EK174" s="656"/>
      <c r="EL174" s="656"/>
    </row>
    <row r="175" spans="1:142" s="499" customFormat="1" hidden="1" outlineLevel="1">
      <c r="A175" s="531" t="s">
        <v>877</v>
      </c>
      <c r="C175" s="500"/>
      <c r="D175" s="500"/>
      <c r="E175" s="500"/>
      <c r="F175" s="500"/>
      <c r="I175" s="500"/>
      <c r="J175" s="500"/>
      <c r="K175" s="500"/>
      <c r="L175" s="500"/>
      <c r="O175" s="485"/>
      <c r="P175" s="485"/>
      <c r="Q175" s="485"/>
      <c r="R175" s="485"/>
      <c r="S175" s="485"/>
      <c r="T175" s="500"/>
      <c r="U175" s="485">
        <f>U174/O174-1</f>
        <v>0.68294047702315175</v>
      </c>
      <c r="V175" s="485">
        <f>V174/P174-1</f>
        <v>0.66264541146057709</v>
      </c>
      <c r="W175" s="485">
        <f>W174/Q174-1</f>
        <v>1.4842826201486861</v>
      </c>
      <c r="X175" s="485">
        <f>X174/R174-1</f>
        <v>1.6496864565518363</v>
      </c>
      <c r="Y175" s="485">
        <f>Y174/S174-1</f>
        <v>1.1646296223983756</v>
      </c>
      <c r="Z175" s="500"/>
      <c r="AA175" s="485">
        <f>AA174/U174-1</f>
        <v>-0.56352603798678358</v>
      </c>
      <c r="AB175" s="485">
        <f>AB174/V174-1</f>
        <v>0.55452333650053265</v>
      </c>
      <c r="AC175" s="485">
        <f>AC174/W174-1</f>
        <v>0.55981172977685545</v>
      </c>
      <c r="AD175" s="485">
        <f>AD174/X174-1</f>
        <v>0.40793902045458075</v>
      </c>
      <c r="AE175" s="485">
        <f>AE174/Y174-1</f>
        <v>0.33675481954516484</v>
      </c>
      <c r="AF175" s="500"/>
      <c r="AG175" s="485">
        <f>AG174/AA174-1</f>
        <v>6.1646115025709358</v>
      </c>
      <c r="AH175" s="485">
        <f>AH174/AB174-1</f>
        <v>0.67320705721321494</v>
      </c>
      <c r="AI175" s="485">
        <f>AI174/AC174-1</f>
        <v>0.41236403242752484</v>
      </c>
      <c r="AJ175" s="485">
        <f>AJ174/AD174-1</f>
        <v>0.79501124257771538</v>
      </c>
      <c r="AK175" s="485">
        <f>AK174/AE174-1</f>
        <v>0.90515395515170605</v>
      </c>
      <c r="AL175" s="500"/>
      <c r="AM175" s="485">
        <f>AM174/AG174-1</f>
        <v>0.84558312927159074</v>
      </c>
      <c r="AN175" s="485">
        <f>AN174/AH174-1</f>
        <v>0.7682403718532993</v>
      </c>
      <c r="AO175" s="485">
        <f>AO174/AI174-1</f>
        <v>0.74602554921944297</v>
      </c>
      <c r="AP175" s="485">
        <f>AP174/AJ174-1</f>
        <v>0.72952248911914852</v>
      </c>
      <c r="AQ175" s="511">
        <f>AQ174/AK174-1</f>
        <v>0.76204311313197959</v>
      </c>
      <c r="AR175" s="500"/>
      <c r="AS175" s="485">
        <f>AS174/AM174-1</f>
        <v>0.3593678832405891</v>
      </c>
      <c r="AT175" s="485">
        <f>AT174/AN174-1</f>
        <v>0.3856777077320841</v>
      </c>
      <c r="AU175" s="485">
        <f>AU174/AO174-1</f>
        <v>0.59890010597697962</v>
      </c>
      <c r="AV175" s="485">
        <f>AV174/AP174-1</f>
        <v>0.78744387760483536</v>
      </c>
      <c r="AW175" s="511">
        <f>AW174/AQ174-1</f>
        <v>0.58054698049867381</v>
      </c>
      <c r="AX175" s="500"/>
      <c r="AY175" s="485">
        <f>AY174/AS174-1</f>
        <v>0.31843953785274159</v>
      </c>
      <c r="AZ175" s="485">
        <f>AZ174/AT174-1</f>
        <v>0.27838274360271775</v>
      </c>
      <c r="BA175" s="485">
        <f>BA174/AU174-1</f>
        <v>6.6774070267624275E-2</v>
      </c>
      <c r="BB175" s="485">
        <f>BB174/AV174-1</f>
        <v>7.9121517204847835E-2</v>
      </c>
      <c r="BC175" s="511">
        <f>BC174/AW174-1</f>
        <v>0.15208271302156207</v>
      </c>
      <c r="BD175" s="500"/>
      <c r="BE175" s="485">
        <f>BE174/AY174-1</f>
        <v>0.11086407416492472</v>
      </c>
      <c r="BF175" s="485">
        <f>BF174/AZ174-1</f>
        <v>0.30804363195315476</v>
      </c>
      <c r="BG175" s="485">
        <f>BG174/BA174-1</f>
        <v>0.35223150296708883</v>
      </c>
      <c r="BH175" s="485">
        <f>BH174/BB174-1</f>
        <v>0.30531324577036978</v>
      </c>
      <c r="BI175" s="511">
        <f>BI174/BC174-1</f>
        <v>0.27988182925997807</v>
      </c>
      <c r="BJ175" s="500"/>
      <c r="BK175" s="485">
        <f>BK174/BE174-1</f>
        <v>0.49077395145715408</v>
      </c>
      <c r="BL175" s="485">
        <f>BL174/BF174-1</f>
        <v>0.29015532772391039</v>
      </c>
      <c r="BM175" s="485">
        <f>BM174/BG174-1</f>
        <v>0.31461093589190203</v>
      </c>
      <c r="BN175" s="485">
        <f>BN174/BH174-1</f>
        <v>0.36525987967559881</v>
      </c>
      <c r="BO175" s="512">
        <f>BO174/BI174-1</f>
        <v>0.35826445631183534</v>
      </c>
      <c r="BP175" s="500"/>
      <c r="BQ175" s="485">
        <f>BQ174/BK174-1</f>
        <v>0.43179815715777048</v>
      </c>
      <c r="BR175" s="485">
        <f>BR174/BL174-1</f>
        <v>0.35728154201240492</v>
      </c>
      <c r="BS175" s="485">
        <f>BS174/BM174-1</f>
        <v>0.26714615274196318</v>
      </c>
      <c r="BT175" s="485">
        <f>BT174/BN174-1</f>
        <v>0.58752832017900358</v>
      </c>
      <c r="BU175" s="511">
        <f>BU174/BO174-1</f>
        <v>0.44668762828949204</v>
      </c>
      <c r="BV175" s="500"/>
      <c r="BW175" s="485">
        <f>BW174/BQ174-1</f>
        <v>0.94586166698142615</v>
      </c>
      <c r="BX175" s="485">
        <f>BX174/BR174-1</f>
        <v>0.28695732136270991</v>
      </c>
      <c r="BY175" s="485">
        <f>BY174/BS174-1</f>
        <v>0.50338466709215868</v>
      </c>
      <c r="BZ175" s="485">
        <f>BZ174/BT174-1</f>
        <v>0.22799814219160308</v>
      </c>
      <c r="CA175" s="511">
        <f>CA174/BU174-1</f>
        <v>0.41367742142951358</v>
      </c>
      <c r="CB175" s="500"/>
      <c r="CC175" s="485">
        <f>CC174/BW174-1</f>
        <v>-0.2486415831998029</v>
      </c>
      <c r="CD175" s="485">
        <f>CD174/BX174-1</f>
        <v>0.40217979012536564</v>
      </c>
      <c r="CE175" s="485">
        <f>CE174/BY174-1</f>
        <v>0.50703084152687938</v>
      </c>
      <c r="CF175" s="485">
        <f>CF174/BZ174-1</f>
        <v>0.17144261749772949</v>
      </c>
      <c r="CG175" s="511">
        <f>CG174/CA174-1</f>
        <v>0.17692840326150949</v>
      </c>
      <c r="CH175" s="500"/>
      <c r="CI175" s="485">
        <f>CI174/CC174-1</f>
        <v>0.54065262089156474</v>
      </c>
      <c r="CJ175" s="485">
        <f>CJ174/CD174-1</f>
        <v>0.32255797370342565</v>
      </c>
      <c r="CK175" s="1514">
        <f>CK174/CE174-1</f>
        <v>0.16447725377461797</v>
      </c>
      <c r="CL175" s="485">
        <f>CL174/CF174-1</f>
        <v>0.27291245099066708</v>
      </c>
      <c r="CM175" s="511">
        <f>CM174/CG174-1</f>
        <v>0.29665151457328687</v>
      </c>
      <c r="CN175" s="500"/>
      <c r="CO175" s="485">
        <f>CO174/CI174-1</f>
        <v>0.16344736066057175</v>
      </c>
      <c r="CP175" s="485">
        <f>CP174/CJ174-1</f>
        <v>0.1719731840397194</v>
      </c>
      <c r="CQ175" s="485">
        <f>CQ174/CK174-1</f>
        <v>0.2228511271943181</v>
      </c>
      <c r="CR175" s="485">
        <f>CR174/CL174-1</f>
        <v>0.28583326296233746</v>
      </c>
      <c r="CS175" s="511">
        <f>CS174/CM174-1</f>
        <v>0.22574502368125504</v>
      </c>
      <c r="CT175" s="500"/>
      <c r="CU175" s="485">
        <f>CU174/CO174-1</f>
        <v>0.37853968024064111</v>
      </c>
      <c r="CV175" s="485">
        <f>CV174/CP174-1</f>
        <v>0.24293724539469519</v>
      </c>
      <c r="CW175" s="485">
        <f>CW174/CQ174-1</f>
        <v>0.19415058962602161</v>
      </c>
      <c r="CX175" s="485">
        <f>CX174/CR174-1</f>
        <v>0.29750541874940617</v>
      </c>
      <c r="CY175" s="511">
        <f>CY174/CS174-1</f>
        <v>0.27728496943784209</v>
      </c>
      <c r="CZ175" s="500"/>
      <c r="DA175" s="485">
        <f>DA174/CU174-1</f>
        <v>0.16673123936426659</v>
      </c>
      <c r="DB175" s="485">
        <f>DB174/CV174-1</f>
        <v>0.39245539250820483</v>
      </c>
      <c r="DC175" s="485">
        <f>DC174/CW174-1</f>
        <v>0.38775142808545282</v>
      </c>
      <c r="DD175" s="485">
        <f>DD174/CX174-1</f>
        <v>0.5508557451540681</v>
      </c>
      <c r="DE175" s="511">
        <f>DE174/CY174-1</f>
        <v>0.41484755613960167</v>
      </c>
      <c r="DF175" s="500"/>
      <c r="DG175" s="485">
        <f>DG174/DA174-1</f>
        <v>-0.48400871286329972</v>
      </c>
      <c r="DH175" s="485">
        <f>DH174/DB174-1</f>
        <v>0.19439454865463035</v>
      </c>
      <c r="DI175" s="485">
        <f>DI174/DC174-1</f>
        <v>0.22736714098502908</v>
      </c>
      <c r="DJ175" s="485">
        <f>DJ174/DD174-1</f>
        <v>0.19891148887763554</v>
      </c>
      <c r="DK175" s="511">
        <f>DK174/DE174-1</f>
        <v>9.9874253504494304E-2</v>
      </c>
      <c r="DL175" s="500"/>
      <c r="DM175" s="485">
        <f>DM174/DG174-1</f>
        <v>-9.1065639967065071E-2</v>
      </c>
      <c r="DN175" s="485">
        <f>DN174/DH174-1</f>
        <v>0.19764780928810222</v>
      </c>
      <c r="DO175" s="485">
        <f>DO174/DI174-1</f>
        <v>0.20975515174153991</v>
      </c>
      <c r="DP175" s="485">
        <f>DP174/DJ174-1</f>
        <v>0.2397470650022786</v>
      </c>
      <c r="DQ175" s="511">
        <f>DQ174/DK174-1</f>
        <v>0.20045527821672393</v>
      </c>
      <c r="DR175" s="500"/>
      <c r="DS175" s="485">
        <f>DS174/DM174-1</f>
        <v>-0.14913865074568289</v>
      </c>
      <c r="DT175" s="485">
        <f>DT174/DN174-1</f>
        <v>0.21382483086139858</v>
      </c>
      <c r="DU175" s="485">
        <f>DU174/DO174-1</f>
        <v>0.23301799777416377</v>
      </c>
      <c r="DV175" s="485">
        <f>DV174/DP174-1</f>
        <v>0.20791165562826897</v>
      </c>
      <c r="DW175" s="511">
        <f>DW174/DQ174-1</f>
        <v>0.19562283297127991</v>
      </c>
      <c r="DX175" s="656"/>
      <c r="DY175" s="656"/>
      <c r="DZ175" s="656"/>
      <c r="EA175" s="656"/>
      <c r="EB175" s="656"/>
      <c r="EC175" s="656"/>
      <c r="ED175" s="656"/>
      <c r="EE175" s="656"/>
      <c r="EF175" s="656"/>
      <c r="EJ175" s="656"/>
      <c r="EK175" s="656"/>
      <c r="EL175" s="656"/>
    </row>
    <row r="176" spans="1:142" s="499" customFormat="1" hidden="1" outlineLevel="1">
      <c r="A176" s="532" t="s">
        <v>878</v>
      </c>
      <c r="B176" s="346"/>
      <c r="C176" s="347"/>
      <c r="D176" s="347"/>
      <c r="E176" s="347"/>
      <c r="F176" s="347"/>
      <c r="G176" s="346"/>
      <c r="H176" s="346"/>
      <c r="I176" s="347"/>
      <c r="J176" s="347"/>
      <c r="K176" s="347"/>
      <c r="L176" s="347"/>
      <c r="M176" s="346"/>
      <c r="N176" s="346"/>
      <c r="O176" s="533"/>
      <c r="P176" s="533">
        <f>P174/O174-1</f>
        <v>0.46107575015737545</v>
      </c>
      <c r="Q176" s="533">
        <f>Q174/P174-1</f>
        <v>-0.18220115850447605</v>
      </c>
      <c r="R176" s="533">
        <f>R174/Q174-1</f>
        <v>0.4375695135514841</v>
      </c>
      <c r="S176" s="534"/>
      <c r="T176" s="347"/>
      <c r="U176" s="533">
        <f>U174/R174-1</f>
        <v>-2.0237804381464164E-2</v>
      </c>
      <c r="V176" s="533">
        <f>V174/U174-1</f>
        <v>0.44345621545239133</v>
      </c>
      <c r="W176" s="533">
        <f>W174/V174-1</f>
        <v>0.22193429501022166</v>
      </c>
      <c r="X176" s="533">
        <f>X174/W174-1</f>
        <v>0.53328306510520984</v>
      </c>
      <c r="Y176" s="534"/>
      <c r="Z176" s="347"/>
      <c r="AA176" s="533">
        <f>AA174/X174-1</f>
        <v>-0.83860705998063656</v>
      </c>
      <c r="AB176" s="533">
        <f>AB174/AA174-1</f>
        <v>4.1409398209864765</v>
      </c>
      <c r="AC176" s="533">
        <f>AC174/AB174-1</f>
        <v>0.22609124071705633</v>
      </c>
      <c r="AD176" s="533">
        <f>AD174/AC174-1</f>
        <v>0.38399334711546018</v>
      </c>
      <c r="AE176" s="534"/>
      <c r="AF176" s="347"/>
      <c r="AG176" s="533">
        <f>AG174/AD174-1</f>
        <v>-0.17871605396437329</v>
      </c>
      <c r="AH176" s="533">
        <f>AH174/AG174-1</f>
        <v>0.20060338039213166</v>
      </c>
      <c r="AI176" s="533">
        <f>AI174/AH174-1</f>
        <v>3.4950911423595299E-2</v>
      </c>
      <c r="AJ176" s="533">
        <f>AJ174/AI174-1</f>
        <v>0.75895417943708798</v>
      </c>
      <c r="AK176" s="534"/>
      <c r="AL176" s="347"/>
      <c r="AM176" s="533">
        <f>AM174/AJ174-1</f>
        <v>-0.15557754782177768</v>
      </c>
      <c r="AN176" s="533">
        <f>AN174/AM174-1</f>
        <v>0.15028975618713658</v>
      </c>
      <c r="AO176" s="533">
        <f>AO174/AN174-1</f>
        <v>2.1948577975046346E-2</v>
      </c>
      <c r="AP176" s="533">
        <f>AP174/AO174-1</f>
        <v>0.74232892068878886</v>
      </c>
      <c r="AQ176" s="535"/>
      <c r="AR176" s="347"/>
      <c r="AS176" s="533">
        <f>AS174/AP174-1</f>
        <v>-0.33630191651167418</v>
      </c>
      <c r="AT176" s="533">
        <f>AT174/AS174-1</f>
        <v>0.17255298748218695</v>
      </c>
      <c r="AU176" s="533">
        <f>AU174/AT174-1</f>
        <v>0.17920183063466877</v>
      </c>
      <c r="AV176" s="533">
        <f>AV174/AU174-1</f>
        <v>0.94778595011479427</v>
      </c>
      <c r="AW176" s="535"/>
      <c r="AX176" s="347"/>
      <c r="AY176" s="533">
        <f>AY174/AV174-1</f>
        <v>-0.51044852068829427</v>
      </c>
      <c r="AZ176" s="533">
        <f>AZ174/AY174-1</f>
        <v>0.1369285144454333</v>
      </c>
      <c r="BA176" s="533">
        <f>BA174/AZ174-1</f>
        <v>-1.5989583066439605E-2</v>
      </c>
      <c r="BB176" s="533">
        <f>BB174/BA174-1</f>
        <v>0.97033072724654312</v>
      </c>
      <c r="BC176" s="535"/>
      <c r="BD176" s="347"/>
      <c r="BE176" s="533">
        <f>BE174/BB174-1</f>
        <v>-0.49604827431271226</v>
      </c>
      <c r="BF176" s="533">
        <f>BF174/BE174-1</f>
        <v>0.33873453817853783</v>
      </c>
      <c r="BG176" s="533">
        <f>BG174/BF174-1</f>
        <v>1.725191157307937E-2</v>
      </c>
      <c r="BH176" s="533">
        <f>BH174/BG174-1</f>
        <v>0.90196633577902552</v>
      </c>
      <c r="BI176" s="535"/>
      <c r="BJ176" s="347"/>
      <c r="BK176" s="533">
        <f>BK174/BH174-1</f>
        <v>-0.42444611829316081</v>
      </c>
      <c r="BL176" s="533">
        <f>BL174/BK174-1</f>
        <v>0.15857638587716472</v>
      </c>
      <c r="BM176" s="533">
        <f>BM174/BL174-1</f>
        <v>3.6534484471848261E-2</v>
      </c>
      <c r="BN176" s="533">
        <f>BN174/BM174-1</f>
        <v>0.97524473579020343</v>
      </c>
      <c r="BO176" s="536"/>
      <c r="BP176" s="347"/>
      <c r="BQ176" s="533">
        <f>BQ174/BN174-1</f>
        <v>-0.39639551455312394</v>
      </c>
      <c r="BR176" s="533">
        <f>BR174/BQ174-1</f>
        <v>9.8279345940826879E-2</v>
      </c>
      <c r="BS176" s="533">
        <f>BS174/BR174-1</f>
        <v>-3.2300489229763363E-2</v>
      </c>
      <c r="BT176" s="533">
        <f>BT174/BS174-1</f>
        <v>1.4746608357418065</v>
      </c>
      <c r="BU176" s="535"/>
      <c r="BV176" s="347"/>
      <c r="BW176" s="533">
        <f>BW174/BT174-1</f>
        <v>-0.26015125820452212</v>
      </c>
      <c r="BX176" s="533">
        <f>BX174/BW174-1</f>
        <v>-0.27361812551010734</v>
      </c>
      <c r="BY176" s="533">
        <f>BY174/BX174-1</f>
        <v>0.13043733672853963</v>
      </c>
      <c r="BZ176" s="533">
        <f>BZ174/BY174-1</f>
        <v>1.0213581895331201</v>
      </c>
      <c r="CA176" s="535"/>
      <c r="CB176" s="347"/>
      <c r="CC176" s="533">
        <f>CC174/BZ174-1</f>
        <v>-0.54731887597568285</v>
      </c>
      <c r="CD176" s="533">
        <f>CD174/CC174-1</f>
        <v>0.35556874262573679</v>
      </c>
      <c r="CE176" s="533">
        <f>CE174/CD174-1</f>
        <v>0.21496825361539407</v>
      </c>
      <c r="CF176" s="533">
        <f>CF174/CE174-1</f>
        <v>0.57123866559230962</v>
      </c>
      <c r="CG176" s="535"/>
      <c r="CH176" s="347"/>
      <c r="CI176" s="533">
        <f>CI174/CF174-1</f>
        <v>-0.40464487996352461</v>
      </c>
      <c r="CJ176" s="533">
        <f>CJ174/CI174-1</f>
        <v>0.16367455268748632</v>
      </c>
      <c r="CK176" s="533">
        <f>CK174/CJ174-1</f>
        <v>6.9747355899770325E-2</v>
      </c>
      <c r="CL176" s="533">
        <f>CL174/CK174-1</f>
        <v>0.71755116248712691</v>
      </c>
      <c r="CM176" s="535"/>
      <c r="CN176" s="347"/>
      <c r="CO176" s="533">
        <f>CO174/CL174-1</f>
        <v>-0.45584290378877457</v>
      </c>
      <c r="CP176" s="533">
        <f>CP174/CO174-1</f>
        <v>0.17220204094564773</v>
      </c>
      <c r="CQ176" s="533">
        <f>CQ174/CP174-1</f>
        <v>0.11618745018217158</v>
      </c>
      <c r="CR176" s="533">
        <f>CR174/CQ174-1</f>
        <v>0.80601249526806695</v>
      </c>
      <c r="CS176" s="535"/>
      <c r="CT176" s="347"/>
      <c r="CU176" s="533">
        <f>CU174/CR174-1</f>
        <v>-0.41661009166655039</v>
      </c>
      <c r="CV176" s="533">
        <f>CV174/CU174-1</f>
        <v>5.6896364103709018E-2</v>
      </c>
      <c r="CW176" s="533">
        <f>CW174/CV174-1</f>
        <v>7.2375863469232637E-2</v>
      </c>
      <c r="CX176" s="533">
        <f>CX174/CW174-1</f>
        <v>0.96232453368659332</v>
      </c>
      <c r="CY176" s="535"/>
      <c r="CZ176" s="347"/>
      <c r="DA176" s="533">
        <f>DA174/CX174-1</f>
        <v>-0.47540933475365266</v>
      </c>
      <c r="DB176" s="533">
        <f>DB174/DA174-1</f>
        <v>0.26137107833027629</v>
      </c>
      <c r="DC176" s="533">
        <f>DC174/DB174-1</f>
        <v>6.8753185186885002E-2</v>
      </c>
      <c r="DD176" s="533">
        <f>DD174/DC174-1</f>
        <v>1.1929592110909621</v>
      </c>
      <c r="DE176" s="535"/>
      <c r="DF176" s="347"/>
      <c r="DG176" s="533">
        <f>DG174/DD174-1</f>
        <v>-0.82546138580189488</v>
      </c>
      <c r="DH176" s="533">
        <f>DH174/DG174-1</f>
        <v>1.9197677893912992</v>
      </c>
      <c r="DI176" s="533">
        <f>DI174/DH174-1</f>
        <v>9.8257307687005691E-2</v>
      </c>
      <c r="DJ176" s="533">
        <f>DJ174/DI174-1</f>
        <v>1.142116979526552</v>
      </c>
      <c r="DK176" s="535"/>
      <c r="DL176" s="347"/>
      <c r="DM176" s="533">
        <f>DM174/DJ174-1</f>
        <v>-0.86767651735016305</v>
      </c>
      <c r="DN176" s="533">
        <f>DN174/DM174-1</f>
        <v>2.8472013495757249</v>
      </c>
      <c r="DO176" s="533">
        <f>DO174/DN174-1</f>
        <v>0.10935988494138305</v>
      </c>
      <c r="DP176" s="533">
        <f>DP174/DO174-1</f>
        <v>1.1952237479100787</v>
      </c>
      <c r="DQ176" s="535"/>
      <c r="DR176" s="347"/>
      <c r="DS176" s="533">
        <f>DS174/DP174-1</f>
        <v>-0.90918394552903137</v>
      </c>
      <c r="DT176" s="533">
        <f>DT174/DS174-1</f>
        <v>4.4883542794969715</v>
      </c>
      <c r="DU176" s="533">
        <f>DU174/DT174-1</f>
        <v>0.12690123761159966</v>
      </c>
      <c r="DV176" s="533">
        <f>DV174/DU174-1</f>
        <v>1.1505252612689141</v>
      </c>
      <c r="DW176" s="535"/>
      <c r="DX176" s="656"/>
      <c r="DY176" s="656"/>
      <c r="DZ176" s="656"/>
      <c r="EA176" s="656"/>
      <c r="EB176" s="656"/>
      <c r="EC176" s="656"/>
      <c r="ED176" s="656"/>
      <c r="EE176" s="656"/>
      <c r="EF176" s="656"/>
      <c r="EJ176" s="656"/>
      <c r="EK176" s="656"/>
      <c r="EL176" s="656"/>
    </row>
    <row r="177" spans="1:142" s="499" customFormat="1" collapsed="1">
      <c r="A177" s="112" t="s">
        <v>357</v>
      </c>
      <c r="B177" s="113"/>
      <c r="C177" s="114"/>
      <c r="D177" s="114"/>
      <c r="E177" s="114"/>
      <c r="F177" s="114"/>
      <c r="G177" s="113"/>
      <c r="H177" s="113"/>
      <c r="I177" s="114"/>
      <c r="J177" s="114"/>
      <c r="K177" s="114"/>
      <c r="L177" s="114"/>
      <c r="M177" s="113"/>
      <c r="N177" s="113"/>
      <c r="O177" s="115"/>
      <c r="P177" s="115"/>
      <c r="Q177" s="115"/>
      <c r="R177" s="115"/>
      <c r="S177" s="116"/>
      <c r="T177" s="114"/>
      <c r="U177" s="115"/>
      <c r="V177" s="115"/>
      <c r="W177" s="115"/>
      <c r="X177" s="115"/>
      <c r="Y177" s="116"/>
      <c r="Z177" s="114"/>
      <c r="AA177" s="115"/>
      <c r="AB177" s="115"/>
      <c r="AC177" s="115"/>
      <c r="AD177" s="115"/>
      <c r="AE177" s="116"/>
      <c r="AF177" s="114"/>
      <c r="AG177" s="115"/>
      <c r="AH177" s="115"/>
      <c r="AI177" s="115"/>
      <c r="AJ177" s="115"/>
      <c r="AK177" s="116"/>
      <c r="AL177" s="114"/>
      <c r="AM177" s="117">
        <f>(AM139-Model!AE26-Model!AE58)</f>
        <v>20.435999999999993</v>
      </c>
      <c r="AN177" s="117">
        <f>(AN139-Model!AF26-Model!AF58)</f>
        <v>30.25500000000001</v>
      </c>
      <c r="AO177" s="117">
        <f>(AO139-Model!AG26-Model!AG58)</f>
        <v>26.712000000000003</v>
      </c>
      <c r="AP177" s="117">
        <f>(AP139-Model!AH26-Model!AH58)</f>
        <v>73.72999999999999</v>
      </c>
      <c r="AQ177" s="118">
        <f>(AQ139-Model!AI26-Model!AI58)</f>
        <v>151.13299999999992</v>
      </c>
      <c r="AR177" s="114"/>
      <c r="AS177" s="117">
        <f>(AS139-Model!AK26-Model!AK58)</f>
        <v>24.235000000000042</v>
      </c>
      <c r="AT177" s="117">
        <f>(AT139-Model!AL26-Model!AL58)</f>
        <v>44.457999999999942</v>
      </c>
      <c r="AU177" s="117">
        <f>(AU139-Model!AM26-Model!AM58)</f>
        <v>40.752000000000038</v>
      </c>
      <c r="AV177" s="117">
        <f>(AV139-Model!AN26-Model!AN58)</f>
        <v>167.70200000000003</v>
      </c>
      <c r="AW177" s="118">
        <f>(AW139-Model!AO26-Model!AO58)</f>
        <v>277.14699999999993</v>
      </c>
      <c r="AX177" s="114"/>
      <c r="AY177" s="117">
        <f>(AY139-Model!AQ26-Model!AQ58)</f>
        <v>24.189000000000021</v>
      </c>
      <c r="AZ177" s="117">
        <f>(AZ139-Model!AR26-Model!AR58)</f>
        <v>45.530999999999949</v>
      </c>
      <c r="BA177" s="117">
        <f>(BA139-Model!AS26-Model!AS58)</f>
        <v>27.896999999999963</v>
      </c>
      <c r="BB177" s="117">
        <f>(BB139-Model!AT26-Model!AT58)</f>
        <v>164.62300000000008</v>
      </c>
      <c r="BC177" s="118">
        <f>(BC139-Model!AU26-Model!AU58)</f>
        <v>262.24</v>
      </c>
      <c r="BD177" s="114"/>
      <c r="BE177" s="117">
        <f>(BE139-Model!AW26-Model!AW58)</f>
        <v>7.9329999999999927</v>
      </c>
      <c r="BF177" s="117">
        <f>(BF139-Model!AX26-Model!AX58)</f>
        <v>52.202999999999946</v>
      </c>
      <c r="BG177" s="117">
        <f>(BG139-Model!AY26-Model!AY58)</f>
        <v>49.172999999999945</v>
      </c>
      <c r="BH177" s="117">
        <f>(BH139-Model!AZ26-Model!AZ58)</f>
        <v>213.28500000000008</v>
      </c>
      <c r="BI177" s="118">
        <f>(BI139-Model!BA26-Model!BA58)</f>
        <v>322.59399999999994</v>
      </c>
      <c r="BJ177" s="114"/>
      <c r="BK177" s="117">
        <f>(BK139-Model!BC26-Model!BC58)</f>
        <v>22.202999999999918</v>
      </c>
      <c r="BL177" s="117">
        <f>(BL139-Model!BD26-Model!BD58)</f>
        <v>79.90300000000002</v>
      </c>
      <c r="BM177" s="117">
        <f>(BM139-Model!BE26-Model!BE58)</f>
        <v>77.506999999999891</v>
      </c>
      <c r="BN177" s="117">
        <f>(BN139-Model!BF26-Model!BF58)</f>
        <v>288.57400000000013</v>
      </c>
      <c r="BO177" s="118">
        <f>(BO139-Model!BG26-Model!BG58)</f>
        <v>468.1869999999999</v>
      </c>
      <c r="BP177" s="114"/>
      <c r="BQ177" s="117">
        <f>(BQ139-Model!BI26-Model!BI58)</f>
        <v>35.282000000000096</v>
      </c>
      <c r="BR177" s="117">
        <f>(BR139-Model!BJ26-Model!BJ58)</f>
        <v>77.657999999999902</v>
      </c>
      <c r="BS177" s="117">
        <f>(BS139-Model!BK26-Model!BK58)</f>
        <v>47.825999999999908</v>
      </c>
      <c r="BT177" s="117">
        <f>(BT139-Model!BL26-Model!BL58)</f>
        <v>546.08000000000015</v>
      </c>
      <c r="BU177" s="118">
        <f>(BU139-Model!BM26-Model!BM58)</f>
        <v>706.846</v>
      </c>
      <c r="BV177" s="114"/>
      <c r="BW177" s="117">
        <f>(BW139-Model!BO26-Model!BO58)</f>
        <v>34.312000000000012</v>
      </c>
      <c r="BX177" s="117">
        <f>(BX139-Model!BP26-Model!BP58)</f>
        <v>94.495000000000005</v>
      </c>
      <c r="BY177" s="117">
        <f>(BY139-Model!BQ26-Model!BQ58)</f>
        <v>28.403999999999996</v>
      </c>
      <c r="BZ177" s="117">
        <f>(BZ139-Model!BR26-Model!BR58)</f>
        <v>679.01900000000001</v>
      </c>
      <c r="CA177" s="118">
        <f>(CA139-Model!BS26-Model!BS58)</f>
        <v>836.23000000000047</v>
      </c>
      <c r="CB177" s="114"/>
      <c r="CC177" s="117">
        <f>(CC139-Model!BU26-Model!BU58)</f>
        <v>-35.880999999999972</v>
      </c>
      <c r="CD177" s="117">
        <f>(CD139-Model!BV26-Model!BV58)</f>
        <v>107.44600000000014</v>
      </c>
      <c r="CE177" s="117">
        <f>(CE139-Model!BW26-Model!BW58)</f>
        <v>37.54099999999994</v>
      </c>
      <c r="CF177" s="117">
        <f>(CF139-Model!BX26-Model!BX58)</f>
        <v>866.97799999999972</v>
      </c>
      <c r="CG177" s="118">
        <f>(CG139-Model!BY26-Model!BY58)</f>
        <v>976.08399999999938</v>
      </c>
      <c r="CH177" s="114"/>
      <c r="CI177" s="117">
        <f>(CI139-Model!CA26-Model!CA58)</f>
        <v>-78.111999999999966</v>
      </c>
      <c r="CJ177" s="117">
        <f>(CJ139-Model!CB26-Model!CB58)</f>
        <v>173.18500000000017</v>
      </c>
      <c r="CK177" s="117">
        <f>(CK139-Model!CC26-Model!CC58)</f>
        <v>23.432999999999993</v>
      </c>
      <c r="CL177" s="117">
        <f>(CL139-Model!CD26-Model!CD58)</f>
        <v>1254.4289999999996</v>
      </c>
      <c r="CM177" s="118">
        <f>(CM139-Model!CE26-Model!CE58)</f>
        <v>1372.9349999999999</v>
      </c>
      <c r="CN177" s="114"/>
      <c r="CO177" s="117">
        <f>(CO139-Model!CG26-Model!CG58)</f>
        <v>-87.863999999999919</v>
      </c>
      <c r="CP177" s="117">
        <f>(CP139-Model!CH26-Model!CH58)</f>
        <v>185.61399999999981</v>
      </c>
      <c r="CQ177" s="117">
        <f>(CQ139-Model!CI26-Model!CI58)</f>
        <v>38.114999999999782</v>
      </c>
      <c r="CR177" s="117">
        <f>(CR139-Model!CJ26-Model!CJ58)</f>
        <v>1663.8250000000003</v>
      </c>
      <c r="CS177" s="118">
        <f>(CS139-Model!CK26-Model!CK58)</f>
        <v>1799.6900000000005</v>
      </c>
      <c r="CT177" s="114"/>
      <c r="CU177" s="117">
        <f>(CU139-Model!CM26-Model!CM58)</f>
        <v>-14.611000000000104</v>
      </c>
      <c r="CV177" s="117">
        <f>(CV139-Model!CN26-Model!CN58)</f>
        <v>80.202999999999747</v>
      </c>
      <c r="CW177" s="117">
        <f>(CW139-Model!CO26-Model!CO58)</f>
        <v>-55.873999999999569</v>
      </c>
      <c r="CX177" s="117">
        <f>(CX139-Model!CP26-Model!CP58)</f>
        <v>2335.924</v>
      </c>
      <c r="CY177" s="118">
        <f>(CY139-Model!CQ26-Model!CQ58)</f>
        <v>2345.6420000000007</v>
      </c>
      <c r="CZ177" s="114"/>
      <c r="DA177" s="117">
        <f>(DA139-Model!CS26-Model!CS58)</f>
        <v>-183.23300000000017</v>
      </c>
      <c r="DB177" s="117">
        <f>(DB139-Model!CT26-Model!CT58)</f>
        <v>157.30600000000004</v>
      </c>
      <c r="DC177" s="117">
        <f>(DC139-Model!CU26-Model!CU58)</f>
        <v>10.390000000000327</v>
      </c>
      <c r="DD177" s="117">
        <f>(DD139-Model!CV26-Model!CV58)</f>
        <v>3087.1070000000009</v>
      </c>
      <c r="DE177" s="118">
        <f>(DE139-Model!CW26-Model!CW58)</f>
        <v>3071.5700000000024</v>
      </c>
      <c r="DF177" s="114"/>
      <c r="DG177" s="117">
        <f>(DG139-Model!CY26-Model!CY58)</f>
        <v>-395.2809365844721</v>
      </c>
      <c r="DH177" s="117">
        <f>(DH139-Model!CZ26-Model!CZ58)</f>
        <v>271.30929705332392</v>
      </c>
      <c r="DI177" s="117">
        <f>(DI139-Model!DA26-Model!DA58)</f>
        <v>129.84015293643324</v>
      </c>
      <c r="DJ177" s="117">
        <f>(DJ139-Model!DB26-Model!DB58)</f>
        <v>4057.1008389220356</v>
      </c>
      <c r="DK177" s="118">
        <f>(DK139-Model!DC26-Model!DC58)</f>
        <v>4062.9693523273181</v>
      </c>
      <c r="DL177" s="114"/>
      <c r="DM177" s="117">
        <f>(DM139-Model!DE26-Model!DE58)</f>
        <v>-540.01819624290511</v>
      </c>
      <c r="DN177" s="117">
        <f>(DN139-Model!DF26-Model!DF58)</f>
        <v>390.72698600330568</v>
      </c>
      <c r="DO177" s="117">
        <f>(DO139-Model!DG26-Model!DG58)</f>
        <v>219.38106389078803</v>
      </c>
      <c r="DP177" s="117">
        <f>(DP139-Model!DH26-Model!DH58)</f>
        <v>5189.6036820726295</v>
      </c>
      <c r="DQ177" s="118">
        <f>(DQ139-Model!DI26-Model!DI58)</f>
        <v>5259.6935357238162</v>
      </c>
      <c r="DR177" s="114"/>
      <c r="DS177" s="117">
        <f>(DS139-Model!DK26-Model!DK58)</f>
        <v>-696.62875706754357</v>
      </c>
      <c r="DT177" s="117">
        <f>(DT139-Model!DL26-Model!DL58)</f>
        <v>577.33116959990821</v>
      </c>
      <c r="DU177" s="117">
        <f>(DU139-Model!DM26-Model!DM58)</f>
        <v>381.61988416476288</v>
      </c>
      <c r="DV177" s="117">
        <f>(DV139-Model!DN26-Model!DN58)</f>
        <v>6478.8646848649387</v>
      </c>
      <c r="DW177" s="118">
        <f>(DW139-Model!DO26-Model!DO58)</f>
        <v>6741.1869815620703</v>
      </c>
      <c r="DX177" s="656"/>
      <c r="DY177" s="656"/>
      <c r="DZ177" s="656"/>
      <c r="EA177" s="656"/>
      <c r="EB177" s="656"/>
      <c r="EC177" s="656"/>
      <c r="ED177" s="656"/>
      <c r="EE177" s="656"/>
      <c r="EF177" s="656"/>
      <c r="EJ177" s="656"/>
      <c r="EK177" s="656"/>
      <c r="EL177" s="656"/>
    </row>
    <row r="178" spans="1:142" s="499" customFormat="1">
      <c r="A178" s="119" t="s">
        <v>335</v>
      </c>
      <c r="B178" s="120"/>
      <c r="C178" s="121"/>
      <c r="D178" s="121"/>
      <c r="E178" s="121"/>
      <c r="F178" s="121"/>
      <c r="G178" s="120"/>
      <c r="H178" s="120"/>
      <c r="I178" s="121"/>
      <c r="J178" s="121"/>
      <c r="K178" s="121"/>
      <c r="L178" s="121"/>
      <c r="M178" s="120"/>
      <c r="N178" s="120"/>
      <c r="O178" s="122"/>
      <c r="P178" s="122"/>
      <c r="Q178" s="122"/>
      <c r="R178" s="122"/>
      <c r="S178" s="120"/>
      <c r="T178" s="121"/>
      <c r="U178" s="122"/>
      <c r="V178" s="122"/>
      <c r="W178" s="122"/>
      <c r="X178" s="122"/>
      <c r="Y178" s="120"/>
      <c r="Z178" s="121"/>
      <c r="AA178" s="122"/>
      <c r="AB178" s="122"/>
      <c r="AC178" s="122"/>
      <c r="AD178" s="122"/>
      <c r="AE178" s="120"/>
      <c r="AF178" s="121"/>
      <c r="AG178" s="122"/>
      <c r="AH178" s="122"/>
      <c r="AI178" s="122"/>
      <c r="AJ178" s="122"/>
      <c r="AK178" s="120"/>
      <c r="AL178" s="121"/>
      <c r="AM178" s="122"/>
      <c r="AN178" s="122"/>
      <c r="AO178" s="122"/>
      <c r="AP178" s="122"/>
      <c r="AQ178" s="123"/>
      <c r="AR178" s="121"/>
      <c r="AS178" s="124">
        <f>AS177/AM177-1</f>
        <v>0.18589743589743835</v>
      </c>
      <c r="AT178" s="124">
        <f>AT177/AN177-1</f>
        <v>0.46944306726160723</v>
      </c>
      <c r="AU178" s="124">
        <f>AU177/AO177-1</f>
        <v>0.5256064690026967</v>
      </c>
      <c r="AV178" s="124">
        <f>AV177/AP177-1</f>
        <v>1.2745422487454232</v>
      </c>
      <c r="AW178" s="125">
        <f>AW177/AQ177-1</f>
        <v>0.83379539875473974</v>
      </c>
      <c r="AX178" s="121"/>
      <c r="AY178" s="124">
        <f>AY177/AS177-1</f>
        <v>-1.8980812873951036E-3</v>
      </c>
      <c r="AZ178" s="124">
        <f>AZ177/AT177-1</f>
        <v>2.4135138782671595E-2</v>
      </c>
      <c r="BA178" s="124">
        <f>BA177/AU177-1</f>
        <v>-0.31544464075382961</v>
      </c>
      <c r="BB178" s="124">
        <f>BB177/AV177-1</f>
        <v>-1.8359948003005E-2</v>
      </c>
      <c r="BC178" s="125">
        <f>BC177/AW177-1</f>
        <v>-5.3787340292335561E-2</v>
      </c>
      <c r="BD178" s="121"/>
      <c r="BE178" s="124">
        <f>BE177/AY177-1</f>
        <v>-0.67204101037661812</v>
      </c>
      <c r="BF178" s="124">
        <f>BF177/AZ177-1</f>
        <v>0.14653752388482588</v>
      </c>
      <c r="BG178" s="124">
        <f>BG177/BA177-1</f>
        <v>0.76266265189805393</v>
      </c>
      <c r="BH178" s="124">
        <f>BH177/BB177-1</f>
        <v>0.29559660557759226</v>
      </c>
      <c r="BI178" s="125">
        <f>BI177/BC177-1</f>
        <v>0.23014795607077465</v>
      </c>
      <c r="BJ178" s="121"/>
      <c r="BK178" s="124">
        <f>BK177/BE177-1</f>
        <v>1.798815076263701</v>
      </c>
      <c r="BL178" s="124">
        <f>BL177/BF177-1</f>
        <v>0.53062084554527722</v>
      </c>
      <c r="BM178" s="124">
        <f>BM177/BG177-1</f>
        <v>0.57621052203444934</v>
      </c>
      <c r="BN178" s="124">
        <f>BN177/BH177-1</f>
        <v>0.35299716341983745</v>
      </c>
      <c r="BO178" s="125">
        <f>BO177/BI177-1</f>
        <v>0.45131961536792375</v>
      </c>
      <c r="BP178" s="121"/>
      <c r="BQ178" s="124">
        <f>BQ177/BK177-1</f>
        <v>0.58906454082782633</v>
      </c>
      <c r="BR178" s="124">
        <f>BR177/BL177-1</f>
        <v>-2.8096567087595226E-2</v>
      </c>
      <c r="BS178" s="124">
        <f>BS177/BM177-1</f>
        <v>-0.38294605648522106</v>
      </c>
      <c r="BT178" s="124">
        <f>BT177/BN177-1</f>
        <v>0.89233957321172364</v>
      </c>
      <c r="BU178" s="125">
        <f>BU177/BO177-1</f>
        <v>0.50975144546943874</v>
      </c>
      <c r="BV178" s="121"/>
      <c r="BW178" s="124">
        <f>BW177/BQ177-1</f>
        <v>-2.7492772518566966E-2</v>
      </c>
      <c r="BX178" s="124">
        <f>BX177/BR177-1</f>
        <v>0.21680960107136582</v>
      </c>
      <c r="BY178" s="124">
        <f>BY177/BS177-1</f>
        <v>-0.40609710199472981</v>
      </c>
      <c r="BZ178" s="124">
        <f>BZ177/BT177-1</f>
        <v>0.24344235276882475</v>
      </c>
      <c r="CA178" s="125">
        <f>CA177/BU177-1</f>
        <v>0.18304411427666056</v>
      </c>
      <c r="CB178" s="121"/>
      <c r="CC178" s="124">
        <f>CC177/BW177-1</f>
        <v>-2.0457274422942398</v>
      </c>
      <c r="CD178" s="124">
        <f>CD177/BX177-1</f>
        <v>0.13705487062807697</v>
      </c>
      <c r="CE178" s="124">
        <f>CE177/BY177-1</f>
        <v>0.32168004506407355</v>
      </c>
      <c r="CF178" s="124">
        <f>CF177/BZ177-1</f>
        <v>0.27680963272014436</v>
      </c>
      <c r="CG178" s="125">
        <f>CG177/CA177-1</f>
        <v>0.16724346172703553</v>
      </c>
      <c r="CH178" s="121"/>
      <c r="CI178" s="124">
        <f>CI177/CC177-1</f>
        <v>1.1769738859006167</v>
      </c>
      <c r="CJ178" s="124">
        <f>CJ177/CD177-1</f>
        <v>0.61183292072296735</v>
      </c>
      <c r="CK178" s="124">
        <f>CK177/CE177-1</f>
        <v>-0.37580245598145945</v>
      </c>
      <c r="CL178" s="124">
        <f>CL177/CF177-1</f>
        <v>0.44689830653142293</v>
      </c>
      <c r="CM178" s="125">
        <f>CM177/CG177-1</f>
        <v>0.40657463906794988</v>
      </c>
      <c r="CN178" s="121"/>
      <c r="CO178" s="124">
        <f>CO177/CI177-1</f>
        <v>0.12484637443670565</v>
      </c>
      <c r="CP178" s="124">
        <f>CP177/CJ177-1</f>
        <v>7.1767185379793874E-2</v>
      </c>
      <c r="CQ178" s="124">
        <f>CQ177/CK177-1</f>
        <v>0.62655229804121504</v>
      </c>
      <c r="CR178" s="124">
        <f>CR177/CL177-1</f>
        <v>0.32636043969009076</v>
      </c>
      <c r="CS178" s="125">
        <f>CS177/CM177-1</f>
        <v>0.3108340890136827</v>
      </c>
      <c r="CT178" s="121"/>
      <c r="CU178" s="124">
        <f>CU177/CO177-1</f>
        <v>-0.833708913775834</v>
      </c>
      <c r="CV178" s="124">
        <f>CV177/CP177-1</f>
        <v>-0.56790436066245098</v>
      </c>
      <c r="CW178" s="124">
        <f>CW177/CQ177-1</f>
        <v>-2.4659320477502265</v>
      </c>
      <c r="CX178" s="124">
        <f>CX177/CR177-1</f>
        <v>0.40394813156431697</v>
      </c>
      <c r="CY178" s="125">
        <f>CY177/CS177-1</f>
        <v>0.30335891181258989</v>
      </c>
      <c r="CZ178" s="121"/>
      <c r="DA178" s="124">
        <f>DA177/CU177-1</f>
        <v>11.540756963931207</v>
      </c>
      <c r="DB178" s="124">
        <f>DB177/CV177-1</f>
        <v>0.96134807924891263</v>
      </c>
      <c r="DC178" s="124">
        <f>DC177/CW177-1</f>
        <v>-1.1859541110355516</v>
      </c>
      <c r="DD178" s="124">
        <f>DD177/CX177-1</f>
        <v>0.32157852738359671</v>
      </c>
      <c r="DE178" s="125">
        <f>DE177/CY177-1</f>
        <v>0.30947945168103286</v>
      </c>
      <c r="DF178" s="121"/>
      <c r="DG178" s="124">
        <f>DG177/DA177-1</f>
        <v>1.1572584446277236</v>
      </c>
      <c r="DH178" s="124">
        <f>DH177/DB177-1</f>
        <v>0.72472313232377572</v>
      </c>
      <c r="DI178" s="124">
        <f>DI177/DC177-1</f>
        <v>11.49664609590271</v>
      </c>
      <c r="DJ178" s="124">
        <f>DJ177/DD177-1</f>
        <v>0.31420803973494738</v>
      </c>
      <c r="DK178" s="125">
        <f>DK177/DE177-1</f>
        <v>0.32276632221545176</v>
      </c>
      <c r="DL178" s="121"/>
      <c r="DM178" s="124">
        <f>DM177/DG177-1</f>
        <v>0.36616301537097384</v>
      </c>
      <c r="DN178" s="124">
        <f>DN177/DH177-1</f>
        <v>0.44015332407319252</v>
      </c>
      <c r="DO178" s="124">
        <f>DO177/DI177-1</f>
        <v>0.68962419505306616</v>
      </c>
      <c r="DP178" s="124">
        <f>DP177/DJ177-1</f>
        <v>0.27914091567206345</v>
      </c>
      <c r="DQ178" s="125">
        <f>DQ177/DK177-1</f>
        <v>0.29454423098490756</v>
      </c>
      <c r="DR178" s="121"/>
      <c r="DS178" s="124">
        <f>DS177/DM177-1</f>
        <v>0.29000978469657634</v>
      </c>
      <c r="DT178" s="124">
        <f>DT177/DN177-1</f>
        <v>0.47758202090250257</v>
      </c>
      <c r="DU178" s="124">
        <f>DU177/DO177-1</f>
        <v>0.73952973605206118</v>
      </c>
      <c r="DV178" s="124">
        <f>DV177/DP177-1</f>
        <v>0.24843149530782727</v>
      </c>
      <c r="DW178" s="125">
        <f>DW177/DQ177-1</f>
        <v>0.28166915729518394</v>
      </c>
      <c r="DX178" s="656"/>
      <c r="DY178" s="656"/>
      <c r="DZ178" s="656"/>
      <c r="EA178" s="656"/>
      <c r="EB178" s="656"/>
      <c r="EC178" s="656"/>
      <c r="ED178" s="656"/>
      <c r="EE178" s="656"/>
      <c r="EF178" s="656"/>
      <c r="EJ178" s="656"/>
      <c r="EK178" s="656"/>
      <c r="EL178" s="656"/>
    </row>
    <row r="179" spans="1:142" s="475" customFormat="1">
      <c r="A179" s="475" t="s">
        <v>495</v>
      </c>
      <c r="G179" s="476"/>
      <c r="M179" s="476"/>
      <c r="S179" s="476"/>
      <c r="U179" s="483">
        <f>(U139-Model!M26-Model!M58)/'MS Revenue Analysis'!U139</f>
        <v>0.21436886745384995</v>
      </c>
      <c r="V179" s="483">
        <f>(V139-Model!N26-Model!N58)/'MS Revenue Analysis'!V139</f>
        <v>0.1970331066437486</v>
      </c>
      <c r="W179" s="483">
        <f>(W139-Model!O26-Model!O58)/'MS Revenue Analysis'!W139</f>
        <v>0.16214259862468333</v>
      </c>
      <c r="X179" s="483">
        <f>(X139-Model!P26-Model!P58)/'MS Revenue Analysis'!X139</f>
        <v>0.34027624553197128</v>
      </c>
      <c r="Y179" s="483">
        <f>(Y139-Model!Q26-Model!Q58)/'MS Revenue Analysis'!Y139</f>
        <v>0.24325648665523317</v>
      </c>
      <c r="AA179" s="483">
        <f>(AA139-Model!S26-Model!S58)/'MS Revenue Analysis'!AA139</f>
        <v>8.0635699429363883E-2</v>
      </c>
      <c r="AB179" s="483">
        <f>(AB139-Model!T26-Model!T58)/'MS Revenue Analysis'!AB139</f>
        <v>0.20848226836419143</v>
      </c>
      <c r="AC179" s="483">
        <f>(AC139-Model!U26-Model!U58)/'MS Revenue Analysis'!AC139</f>
        <v>0.24483436081566284</v>
      </c>
      <c r="AD179" s="483">
        <f>(AD139-Model!V26-Model!V58)/'MS Revenue Analysis'!AD139</f>
        <v>0.32629107981220656</v>
      </c>
      <c r="AE179" s="483">
        <f>(AE139-Model!W26-Model!W58)/'MS Revenue Analysis'!AE139</f>
        <v>0.23694282967501964</v>
      </c>
      <c r="AG179" s="483">
        <f>(AG139-Model!Y26-Model!Y58)/'MS Revenue Analysis'!AG139</f>
        <v>0.17457008858780584</v>
      </c>
      <c r="AH179" s="483">
        <f>(AH139-Model!Z26-Model!Z58)/'MS Revenue Analysis'!AH139</f>
        <v>0.19925776217660066</v>
      </c>
      <c r="AI179" s="483">
        <f>(AI139-Model!AA26-Model!AA58)/'MS Revenue Analysis'!AI139</f>
        <v>0.17503676788649522</v>
      </c>
      <c r="AJ179" s="483">
        <f>(AJ139-Model!AB26-Model!AB58)/'MS Revenue Analysis'!AJ139</f>
        <v>0.35542218449774282</v>
      </c>
      <c r="AK179" s="483">
        <f>(AK139-Model!AC26-Model!AC58)/'MS Revenue Analysis'!AK139</f>
        <v>0.2429763110364051</v>
      </c>
      <c r="AM179" s="483">
        <f>(AM139-Model!AE26-Model!AE58)/'MS Revenue Analysis'!AM139</f>
        <v>0.17385386271023501</v>
      </c>
      <c r="AN179" s="483">
        <f>(AN139-Model!AF26-Model!AF58)/'MS Revenue Analysis'!AN139</f>
        <v>0.21776056773933514</v>
      </c>
      <c r="AO179" s="483">
        <f>(AO139-Model!AG26-Model!AG58)/'MS Revenue Analysis'!AO139</f>
        <v>0.18215045551251979</v>
      </c>
      <c r="AP179" s="483">
        <f>(AP139-Model!AH26-Model!AH58)/'MS Revenue Analysis'!AP139</f>
        <v>0.35302172809713961</v>
      </c>
      <c r="AQ179" s="1485">
        <f>(AQ139-Model!AI26-Model!AI58)/'MS Revenue Analysis'!AQ139</f>
        <v>0.246954995702516</v>
      </c>
      <c r="AS179" s="483">
        <f>(AS139-Model!AK26-Model!AK58)/'MS Revenue Analysis'!AS139</f>
        <v>0.13926480137454697</v>
      </c>
      <c r="AT179" s="483">
        <f>(AT139-Model!AL26-Model!AL58)/'MS Revenue Analysis'!AT139</f>
        <v>0.2192652360684357</v>
      </c>
      <c r="AU179" s="483">
        <f>(AU139-Model!AM26-Model!AM58)/'MS Revenue Analysis'!AU139</f>
        <v>0.19244518532860486</v>
      </c>
      <c r="AV179" s="483">
        <f>(AV139-Model!AN26-Model!AN58)/'MS Revenue Analysis'!AV139</f>
        <v>0.46976402832556474</v>
      </c>
      <c r="AW179" s="1485">
        <f>(AW139-Model!AO26-Model!AO58)/'MS Revenue Analysis'!AW139</f>
        <v>0.29311254734112363</v>
      </c>
      <c r="AY179" s="483">
        <f>(AY139-Model!AQ26-Model!AQ58)/'MS Revenue Analysis'!AY139</f>
        <v>0.10205252610484133</v>
      </c>
      <c r="AZ179" s="483">
        <f>(AZ139-Model!AR26-Model!AR58)/'MS Revenue Analysis'!AZ139</f>
        <v>0.16719299662904002</v>
      </c>
      <c r="BA179" s="483">
        <f>(BA139-Model!AS26-Model!AS58)/'MS Revenue Analysis'!BA139</f>
        <v>0.10468899521531087</v>
      </c>
      <c r="BB179" s="483">
        <f>(BB139-Model!AT26-Model!AT58)/'MS Revenue Analysis'!BB139</f>
        <v>0.39756807341665168</v>
      </c>
      <c r="BC179" s="1485">
        <f>(BC139-Model!AU26-Model!AU58)/'MS Revenue Analysis'!BC139</f>
        <v>0.22038808270604024</v>
      </c>
      <c r="BE179" s="483">
        <f>(BE139-Model!AW26-Model!AW58)/'MS Revenue Analysis'!BE139</f>
        <v>3.0479769163679372E-2</v>
      </c>
      <c r="BF179" s="483">
        <f>(BF139-Model!AX26-Model!AX58)/'MS Revenue Analysis'!BF139</f>
        <v>0.16535739852643969</v>
      </c>
      <c r="BG179" s="483">
        <f>(BG139-Model!AY26-Model!AY58)/'MS Revenue Analysis'!BG139</f>
        <v>0.15038810425293742</v>
      </c>
      <c r="BH179" s="483">
        <f>(BH139-Model!AZ26-Model!AZ58)/'MS Revenue Analysis'!BH139</f>
        <v>0.4157910332539253</v>
      </c>
      <c r="BI179" s="1485">
        <f>(BI139-Model!BA26-Model!BA58)/'MS Revenue Analysis'!BI139</f>
        <v>0.22783590707003643</v>
      </c>
      <c r="BK179" s="483">
        <f>(BK139-Model!BC26-Model!BC58)/'MS Revenue Analysis'!BK139</f>
        <v>6.5885446031679867E-2</v>
      </c>
      <c r="BL179" s="483">
        <f>(BL139-Model!BD26-Model!BD58)/'MS Revenue Analysis'!BL139</f>
        <v>0.19353440132538238</v>
      </c>
      <c r="BM179" s="483">
        <f>(BM139-Model!BE26-Model!BE58)/'MS Revenue Analysis'!BM139</f>
        <v>0.17590241134751752</v>
      </c>
      <c r="BN179" s="483">
        <f>(BN139-Model!BF26-Model!BF58)/'MS Revenue Analysis'!BN139</f>
        <v>0.41387391341138285</v>
      </c>
      <c r="BO179" s="1486">
        <f>(BO139-Model!BG26-Model!BG58)/'MS Revenue Analysis'!BO139</f>
        <v>0.24801560814776671</v>
      </c>
      <c r="BQ179" s="483">
        <f>(BQ139-Model!BI26-Model!BI58)/'MS Revenue Analysis'!BQ139</f>
        <v>7.281304947209423E-2</v>
      </c>
      <c r="BR179" s="483">
        <f>(BR139-Model!BJ26-Model!BJ58)/'MS Revenue Analysis'!BR139</f>
        <v>0.13717222923860903</v>
      </c>
      <c r="BS179" s="483">
        <f>(BS139-Model!BK26-Model!BK58)/'MS Revenue Analysis'!BS139</f>
        <v>8.4376736677751848E-2</v>
      </c>
      <c r="BT179" s="483">
        <f>(BT139-Model!BL26-Model!BL58)/'MS Revenue Analysis'!BT139</f>
        <v>0.49898253542850934</v>
      </c>
      <c r="BU179" s="1485">
        <f>(BU139-Model!BM26-Model!BM58)/'MS Revenue Analysis'!BU139</f>
        <v>0.26064671430620601</v>
      </c>
      <c r="BW179" s="483">
        <f>(BW139-Model!BO26-Model!BO58)/'MS Revenue Analysis'!BW139</f>
        <v>5.2796870840623088E-2</v>
      </c>
      <c r="BX179" s="483">
        <f>(BX139-Model!BP26-Model!BP58)/'MS Revenue Analysis'!BX139</f>
        <v>0.12871908875684834</v>
      </c>
      <c r="BY179" s="483">
        <f>(BY139-Model!BQ26-Model!BQ58)/'MS Revenue Analysis'!BY139</f>
        <v>3.8402673747627208E-2</v>
      </c>
      <c r="BZ179" s="483">
        <f>(BZ139-Model!BR26-Model!BR58)/'MS Revenue Analysis'!BZ139</f>
        <v>0.4829530865813213</v>
      </c>
      <c r="CA179" s="1485">
        <f>(CA139-Model!BS26-Model!BS58)/'MS Revenue Analysis'!CA139</f>
        <v>0.23691825791715482</v>
      </c>
      <c r="CC179" s="483">
        <f>(CC139-Model!BU26-Model!BU58)/'MS Revenue Analysis'!CC139</f>
        <v>-4.7038665544482251E-2</v>
      </c>
      <c r="CD179" s="483">
        <f>(CD139-Model!BV26-Model!BV58)/'MS Revenue Analysis'!CD139</f>
        <v>0.11112478604191782</v>
      </c>
      <c r="CE179" s="483">
        <f>(CE139-Model!BW26-Model!BW58)/'MS Revenue Analysis'!CE139</f>
        <v>3.677191538962591E-2</v>
      </c>
      <c r="CF179" s="483">
        <f>(CF139-Model!BX26-Model!BX58)/'MS Revenue Analysis'!CF139</f>
        <v>0.44857502672374622</v>
      </c>
      <c r="CG179" s="1485">
        <f>(CG139-Model!BY26-Model!BY58)/'MS Revenue Analysis'!CG139</f>
        <v>0.20841594876825234</v>
      </c>
      <c r="CI179" s="483">
        <f>(CI139-Model!CA26-Model!CA58)/'MS Revenue Analysis'!CI139</f>
        <v>-7.5890532337419048E-2</v>
      </c>
      <c r="CJ179" s="483">
        <f>(CJ139-Model!CB26-Model!CB58)/'MS Revenue Analysis'!CJ139</f>
        <v>0.12858617207686154</v>
      </c>
      <c r="CK179" s="483">
        <f>(CK139-Model!CC26-Model!CC58)/'MS Revenue Analysis'!CK139</f>
        <v>1.8683265509191336E-2</v>
      </c>
      <c r="CL179" s="483">
        <f>(CL139-Model!CD26-Model!CD58)/'MS Revenue Analysis'!CL139</f>
        <v>0.49346558723564943</v>
      </c>
      <c r="CM179" s="1485">
        <f>(CM139-Model!CE26-Model!CE58)/'MS Revenue Analysis'!CM139</f>
        <v>0.22243073052756002</v>
      </c>
      <c r="CO179" s="483">
        <f>(CO139-Model!CG26-Model!CG58)/'MS Revenue Analysis'!CO139</f>
        <v>-7.048641918657908E-2</v>
      </c>
      <c r="CP179" s="483">
        <f>(CP139-Model!CH26-Model!CH58)/'MS Revenue Analysis'!CP139</f>
        <v>0.11508419236955099</v>
      </c>
      <c r="CQ179" s="483">
        <f>(CQ139-Model!CI26-Model!CI58)/'MS Revenue Analysis'!CQ139</f>
        <v>2.5025130181232619E-2</v>
      </c>
      <c r="CR179" s="483">
        <f>(CR139-Model!CJ26-Model!CJ58)/'MS Revenue Analysis'!CR139</f>
        <v>0.51124755372735287</v>
      </c>
      <c r="CS179" s="1485">
        <f>(CS139-Model!CK26-Model!CK58)/'MS Revenue Analysis'!CS139</f>
        <v>0.23565707665228655</v>
      </c>
      <c r="CU179" s="483">
        <f>(CU139-Model!CM26-Model!CM58)/'MS Revenue Analysis'!CU139</f>
        <v>-8.9997696315213694E-3</v>
      </c>
      <c r="CV179" s="483">
        <f>(CV139-Model!CN26-Model!CN58)/'MS Revenue Analysis'!CV139</f>
        <v>4.3276595629874709E-2</v>
      </c>
      <c r="CW179" s="483">
        <f>(CW139-Model!CO26-Model!CO58)/'MS Revenue Analysis'!CW139</f>
        <v>-3.0761743213163315E-2</v>
      </c>
      <c r="CX179" s="483">
        <f>(CX139-Model!CP26-Model!CP58)/'MS Revenue Analysis'!CX139</f>
        <v>0.53889489731134377</v>
      </c>
      <c r="CY179" s="1485">
        <f>(CY139-Model!CQ26-Model!CQ58)/'MS Revenue Analysis'!CY139</f>
        <v>0.24363335415508131</v>
      </c>
      <c r="DA179" s="483">
        <f>(DA139-Model!CS26-Model!CS58)/'MS Revenue Analysis'!DA139</f>
        <v>-9.7080737871464415E-2</v>
      </c>
      <c r="DB179" s="483">
        <f>(DB139-Model!CT26-Model!CT58)/'MS Revenue Analysis'!DB139</f>
        <v>6.7294640462257638E-2</v>
      </c>
      <c r="DC179" s="483">
        <f>(DC139-Model!CU26-Model!CU58)/'MS Revenue Analysis'!DC139</f>
        <v>4.6110374656780934E-3</v>
      </c>
      <c r="DD179" s="483">
        <f>(DD139-Model!CV26-Model!CV58)/'MS Revenue Analysis'!DD139</f>
        <v>0.55587222548435478</v>
      </c>
      <c r="DE179" s="1485">
        <f>(DE139-Model!CW26-Model!CW58)/'MS Revenue Analysis'!DE139</f>
        <v>0.25528519314795767</v>
      </c>
      <c r="DG179" s="483">
        <f>(DG139-Model!CY26-Model!CY58)/'MS Revenue Analysis'!DG139</f>
        <v>-0.18945980270155563</v>
      </c>
      <c r="DH179" s="483">
        <f>(DH139-Model!CZ26-Model!CZ58)/'MS Revenue Analysis'!DH139</f>
        <v>9.6101959051053662E-2</v>
      </c>
      <c r="DI179" s="483">
        <f>(DI139-Model!DA26-Model!DA58)/'MS Revenue Analysis'!DI139</f>
        <v>4.7441220064688247E-2</v>
      </c>
      <c r="DJ179" s="483">
        <f>(DJ139-Model!DB26-Model!DB58)/'MS Revenue Analysis'!DJ139</f>
        <v>0.58877241658770962</v>
      </c>
      <c r="DK179" s="1485">
        <f>(DK139-Model!DC26-Model!DC58)/'MS Revenue Analysis'!DK139</f>
        <v>0.27948888617331707</v>
      </c>
      <c r="DM179" s="483">
        <f>(DM139-Model!DE26-Model!DE58)/'MS Revenue Analysis'!DM139</f>
        <v>-0.22826302378729607</v>
      </c>
      <c r="DN179" s="483">
        <f>(DN139-Model!DF26-Model!DF58)/'MS Revenue Analysis'!DN139</f>
        <v>0.11591296478227525</v>
      </c>
      <c r="DO179" s="483">
        <f>(DO139-Model!DG26-Model!DG58)/'MS Revenue Analysis'!DO139</f>
        <v>6.7032116878560769E-2</v>
      </c>
      <c r="DP179" s="483">
        <f>(DP139-Model!DH26-Model!DH58)/'MS Revenue Analysis'!DP139</f>
        <v>0.61449128128719888</v>
      </c>
      <c r="DQ179" s="1485">
        <f>(DQ139-Model!DI26-Model!DI58)/'MS Revenue Analysis'!DQ139</f>
        <v>0.3013325908154138</v>
      </c>
      <c r="DS179" s="483">
        <f>(DS139-Model!DK26-Model!DK58)/'MS Revenue Analysis'!DS139</f>
        <v>-0.26007776590013704</v>
      </c>
      <c r="DT179" s="483">
        <f>(DT139-Model!DL26-Model!DL58)/'MS Revenue Analysis'!DT139</f>
        <v>0.14330018755587415</v>
      </c>
      <c r="DU179" s="483">
        <f>(DU139-Model!DM26-Model!DM58)/'MS Revenue Analysis'!DU139</f>
        <v>9.7379875081427064E-2</v>
      </c>
      <c r="DV179" s="483">
        <f>(DV139-Model!DN26-Model!DN58)/'MS Revenue Analysis'!DV139</f>
        <v>0.63353553249233252</v>
      </c>
      <c r="DW179" s="1485">
        <f>(DW139-Model!DO26-Model!DO58)/'MS Revenue Analysis'!DW139</f>
        <v>0.32327547251667577</v>
      </c>
      <c r="EJ179" s="656"/>
      <c r="EK179" s="656"/>
      <c r="EL179" s="656"/>
    </row>
    <row r="180" spans="1:142" s="475" customFormat="1">
      <c r="A180" s="475" t="s">
        <v>821</v>
      </c>
      <c r="G180" s="476"/>
      <c r="M180" s="476"/>
      <c r="S180" s="476"/>
      <c r="U180" s="483">
        <f>(CF!M102+CF!M107)/'MS Revenue Analysis'!U139</f>
        <v>0.18418426742058872</v>
      </c>
      <c r="V180" s="483">
        <f>(CF!N102+CF!N107)/'MS Revenue Analysis'!V139</f>
        <v>0.13070771990135263</v>
      </c>
      <c r="W180" s="483">
        <f>(CF!O102+CF!O107)/'MS Revenue Analysis'!W139</f>
        <v>0.20320468528937591</v>
      </c>
      <c r="X180" s="483">
        <f>(CF!P102+CF!P107)/'MS Revenue Analysis'!X139</f>
        <v>0.10504832090375535</v>
      </c>
      <c r="Y180" s="483">
        <f>(CF!Q102+CF!Q107)/'MS Revenue Analysis'!Y139</f>
        <v>0.14909625461356696</v>
      </c>
      <c r="AA180" s="483">
        <f>(CF!S102+CF!S107)/'MS Revenue Analysis'!AA139</f>
        <v>0.1701509252839849</v>
      </c>
      <c r="AB180" s="483">
        <f>(CF!T102+CF!T107)/'MS Revenue Analysis'!AB139</f>
        <v>0.29019237720390367</v>
      </c>
      <c r="AC180" s="483">
        <f>(CF!U102+CF!U107)/'MS Revenue Analysis'!AC139</f>
        <v>0.20101957861933478</v>
      </c>
      <c r="AD180" s="483">
        <f>(CF!V102+CF!V107)/'MS Revenue Analysis'!AD139</f>
        <v>0.24737062973745641</v>
      </c>
      <c r="AE180" s="483">
        <f>(CF!W102+CF!W107)/'MS Revenue Analysis'!AE139</f>
        <v>0.23164628613015389</v>
      </c>
      <c r="AG180" s="483">
        <f>(CF!Y102+CF!Y107)/'MS Revenue Analysis'!AG139</f>
        <v>0.12003236334713807</v>
      </c>
      <c r="AH180" s="483">
        <f>(CF!Z102+CF!Z107)/'MS Revenue Analysis'!AH139</f>
        <v>0.12646408774480253</v>
      </c>
      <c r="AI180" s="483">
        <f>(CF!AA102+CF!AA107)/'MS Revenue Analysis'!AI139</f>
        <v>0.20849554459728353</v>
      </c>
      <c r="AJ180" s="483">
        <f>(CF!AB102+CF!AB107)/'MS Revenue Analysis'!AJ139</f>
        <v>0.25333323317984807</v>
      </c>
      <c r="AK180" s="483">
        <f>(CF!AC102+CF!AC107)/'MS Revenue Analysis'!AK139</f>
        <v>0.18912280884916949</v>
      </c>
      <c r="AM180" s="483">
        <f>(CF!AE102+CF!AE107)/'MS Revenue Analysis'!AM139</f>
        <v>8.3549558899844306E-2</v>
      </c>
      <c r="AN180" s="483">
        <f>(CF!AF102+CF!AF107)/'MS Revenue Analysis'!AN139</f>
        <v>0.19580097454241846</v>
      </c>
      <c r="AO180" s="483">
        <f>(CF!AG102+CF!AG107)/'MS Revenue Analysis'!AO139</f>
        <v>0.14689596857781897</v>
      </c>
      <c r="AP180" s="483">
        <f>(CF!AH102+CF!AH107)/'MS Revenue Analysis'!AP139</f>
        <v>0.14619599266192287</v>
      </c>
      <c r="AQ180" s="1485">
        <f>(CF!AI102+CF!AI107)/'MS Revenue Analysis'!AQ139</f>
        <v>0.14559257540436096</v>
      </c>
      <c r="AS180" s="483">
        <f>(CF!AK102+CF!AK107)/'MS Revenue Analysis'!AS139</f>
        <v>0.11994529395877508</v>
      </c>
      <c r="AT180" s="483">
        <f>(CF!AL102+CF!AL107)/'MS Revenue Analysis'!AT139</f>
        <v>0.12107970546313607</v>
      </c>
      <c r="AU180" s="483">
        <f>(CF!AM102+CF!AM107)/'MS Revenue Analysis'!AU139</f>
        <v>0.20247545558866448</v>
      </c>
      <c r="AV180" s="483">
        <f>(CF!AN102+CF!AN107)/'MS Revenue Analysis'!AV139</f>
        <v>0.20287289351021864</v>
      </c>
      <c r="AW180" s="1485">
        <f>(CF!AO102+CF!AO107)/'MS Revenue Analysis'!AW139</f>
        <v>0.1699817351308418</v>
      </c>
      <c r="AY180" s="483">
        <f>(CF!AQ102+CF!AQ107)/'MS Revenue Analysis'!AY139</f>
        <v>0.25168231199240587</v>
      </c>
      <c r="AZ180" s="483">
        <f>(CF!AR102+CF!AR107)/'MS Revenue Analysis'!AZ139</f>
        <v>0.14702599090795587</v>
      </c>
      <c r="BA180" s="483">
        <f>(CF!AS102+CF!AS107)/'MS Revenue Analysis'!BA139</f>
        <v>2.0666103762079016E-2</v>
      </c>
      <c r="BB180" s="483">
        <f>(CF!AT102+CF!AT107)/'MS Revenue Analysis'!BB139</f>
        <v>0.15286361166455348</v>
      </c>
      <c r="BC180" s="1485">
        <f>(CF!AU102+CF!AU107)/'MS Revenue Analysis'!BC139</f>
        <v>0.14160673871187598</v>
      </c>
      <c r="BE180" s="483">
        <f>(CF!AW102+CF!AW107)/'MS Revenue Analysis'!BE139</f>
        <v>0.32698610294654429</v>
      </c>
      <c r="BF180" s="483">
        <f>(CF!AX102+CF!AX107)/'MS Revenue Analysis'!BF139</f>
        <v>8.226216193957514E-2</v>
      </c>
      <c r="BG180" s="483">
        <f>(CF!AY102+CF!AY107)/'MS Revenue Analysis'!BG139</f>
        <v>6.5543437704526974E-2</v>
      </c>
      <c r="BH180" s="483">
        <f>(CF!AZ102+CF!AZ107)/'MS Revenue Analysis'!BH139</f>
        <v>0.16473734896542033</v>
      </c>
      <c r="BI180" s="1485">
        <f>(CF!BA102+CF!BA107)/'MS Revenue Analysis'!BI139</f>
        <v>0.15326593238953182</v>
      </c>
      <c r="BK180" s="483">
        <f>(CF!BC102+CF!BC107)/'MS Revenue Analysis'!BK139</f>
        <v>0.388710184751064</v>
      </c>
      <c r="BL180" s="483">
        <f>(CF!BD102+CF!BD107)/'MS Revenue Analysis'!BL139</f>
        <v>0.11811452737234229</v>
      </c>
      <c r="BM180" s="483">
        <f>(CF!BE102+CF!BE107)/'MS Revenue Analysis'!BM139</f>
        <v>0.12085106382978732</v>
      </c>
      <c r="BN180" s="483">
        <f>(CF!BF102+CF!BF107)/'MS Revenue Analysis'!BN139</f>
        <v>0.19388426836246922</v>
      </c>
      <c r="BO180" s="1486">
        <f>(CF!BG102+CF!BG107)/'MS Revenue Analysis'!BO139</f>
        <v>0.19504569504569502</v>
      </c>
      <c r="BQ180" s="483">
        <f>(CF!BI102+CF!BI107)/'MS Revenue Analysis'!BQ139</f>
        <v>0.23156043883472704</v>
      </c>
      <c r="BR180" s="483">
        <f>(CF!BJ102+CF!BJ107)/'MS Revenue Analysis'!BR139</f>
        <v>6.691336871947505E-2</v>
      </c>
      <c r="BS180" s="483">
        <f>(CF!BK102+CF!BK107)/'MS Revenue Analysis'!BS139</f>
        <v>0.16589363372528956</v>
      </c>
      <c r="BT180" s="483">
        <f>(CF!BL102+CF!BL107)/'MS Revenue Analysis'!BT139</f>
        <v>0.1788626875136492</v>
      </c>
      <c r="BU180" s="1485">
        <f>(CF!BS102+CF!BS107)/'MS Revenue Analysis'!BU139</f>
        <v>0.20697571769977657</v>
      </c>
      <c r="BW180" s="483">
        <f>(CF!BO102+CF!BO107)/'MS Revenue Analysis'!BW139</f>
        <v>0.25926199477755374</v>
      </c>
      <c r="BX180" s="483">
        <f>(CF!BP102+CF!BP107)/'MS Revenue Analysis'!BX139</f>
        <v>0.14560738191952782</v>
      </c>
      <c r="BY180" s="483">
        <f>(CF!BQ102+CF!BQ107)/'MS Revenue Analysis'!BY139</f>
        <v>7.4172971569799281E-2</v>
      </c>
      <c r="BZ180" s="483">
        <f>(CF!BR102+CF!BR107)/'MS Revenue Analysis'!BZ139</f>
        <v>0.16433530373627378</v>
      </c>
      <c r="CA180" s="1485">
        <f>(CF!DH102+CF!DH107)/'MS Revenue Analysis'!CA139</f>
        <v>0.47068226977014743</v>
      </c>
      <c r="CC180" s="483">
        <f>(CF!BU102+CF!BU107)/'MS Revenue Analysis'!CC139</f>
        <v>0.30044520305506828</v>
      </c>
      <c r="CD180" s="483">
        <f>(CF!BV102+CF!BV107)/'MS Revenue Analysis'!CD139</f>
        <v>8.3394784335424257E-2</v>
      </c>
      <c r="CE180" s="483">
        <f>(CF!BW102+CF!BW107)/'MS Revenue Analysis'!CE139</f>
        <v>6.3822159533359762E-2</v>
      </c>
      <c r="CF180" s="483">
        <f>(CF!BX102+CF!BX107)/'MS Revenue Analysis'!CF139</f>
        <v>0.10419881018534331</v>
      </c>
      <c r="CG180" s="1485">
        <f>(CF!DT102+CF!DT107)/'MS Revenue Analysis'!CG139</f>
        <v>0</v>
      </c>
      <c r="CI180" s="483">
        <f>(CF!CA102+CF!CA107)/'MS Revenue Analysis'!CI139</f>
        <v>0.4012437917285227</v>
      </c>
      <c r="CJ180" s="483">
        <f>(CF!CB102+CF!CB107)/'MS Revenue Analysis'!CJ139</f>
        <v>0.12942665795491667</v>
      </c>
      <c r="CK180" s="483">
        <f>(CF!CC102+CF!CC107)/'MS Revenue Analysis'!CK139</f>
        <v>3.9135752465269506E-2</v>
      </c>
      <c r="CL180" s="483">
        <f>(CF!CD102+CF!CD107)/'MS Revenue Analysis'!CL139</f>
        <v>9.711299408358498E-2</v>
      </c>
      <c r="CM180" s="1485">
        <f>(CF!DZ102+CF!DZ107)/'MS Revenue Analysis'!CM139</f>
        <v>0</v>
      </c>
      <c r="CO180" s="483">
        <f>(CF!CG102+CF!CG107)/'MS Revenue Analysis'!CO139</f>
        <v>0.52928189914787993</v>
      </c>
      <c r="CP180" s="483">
        <f>(CF!CH102+CF!CH107)/'MS Revenue Analysis'!CP139</f>
        <v>0.1485118925829616</v>
      </c>
      <c r="CQ180" s="483">
        <f>(CF!CI102+CF!CI107)/'MS Revenue Analysis'!CQ139</f>
        <v>2.4861644482292031E-2</v>
      </c>
      <c r="CR180" s="483">
        <f>(CF!CJ102+CF!CJ107)/'MS Revenue Analysis'!CR139</f>
        <v>0.12012662082366848</v>
      </c>
      <c r="CS180" s="1485">
        <f>(CF!EF102+CF!EF107)/'MS Revenue Analysis'!CS139</f>
        <v>0</v>
      </c>
      <c r="CU180" s="483">
        <f>(CF!CM102+CF!CM107)/'MS Revenue Analysis'!CU139</f>
        <v>0.59610061312509</v>
      </c>
      <c r="CV180" s="483">
        <f>(CF!CN102+CF!CN107)/'MS Revenue Analysis'!CV139</f>
        <v>8.3446242172598176E-2</v>
      </c>
      <c r="CW180" s="483">
        <f>(CF!CO102+CF!CO107)/'MS Revenue Analysis'!CW139</f>
        <v>7.5200388472026628E-3</v>
      </c>
      <c r="CX180" s="483">
        <f>(CF!CP102+CF!CP107)/'MS Revenue Analysis'!CX139</f>
        <v>0.12969241388474653</v>
      </c>
      <c r="CY180" s="1485">
        <f>(CF!EL102+CF!EL107)/'MS Revenue Analysis'!CY139</f>
        <v>0</v>
      </c>
      <c r="DA180" s="483">
        <f>(CF!CS102+CF!CS107)/'MS Revenue Analysis'!DA139</f>
        <v>0.56848866897774697</v>
      </c>
      <c r="DB180" s="483">
        <f>(CF!CT102+CF!CT107)/'MS Revenue Analysis'!DB139</f>
        <v>8.6791374465203311E-2</v>
      </c>
      <c r="DC180" s="483">
        <f>(CF!CU102+CF!CU107)/'MS Revenue Analysis'!DC139</f>
        <v>6.4412509891096249E-3</v>
      </c>
      <c r="DD180" s="483">
        <f>(CF!CV102+CF!CV107)/'MS Revenue Analysis'!DD139</f>
        <v>0.16449808386483286</v>
      </c>
      <c r="DE180" s="1485">
        <f>(CF!ER102+CF!ER107)/'MS Revenue Analysis'!DE139</f>
        <v>0</v>
      </c>
      <c r="DG180" s="483">
        <f>(CF!CY102+CF!CY107)/'MS Revenue Analysis'!DG139</f>
        <v>0.69396430927202368</v>
      </c>
      <c r="DH180" s="483">
        <f>(CF!CZ102+CF!CZ107)/'MS Revenue Analysis'!DH139</f>
        <v>0.10480000292275872</v>
      </c>
      <c r="DI180" s="483">
        <f>(CF!DA102+CF!DA107)/'MS Revenue Analysis'!DI139</f>
        <v>5.6921152914905515E-2</v>
      </c>
      <c r="DJ180" s="483">
        <f>(CF!DB102+CF!DB107)/'MS Revenue Analysis'!DJ139</f>
        <v>0.15792107700083813</v>
      </c>
      <c r="DK180" s="1485">
        <f>(CF!EX102+CF!EX107)/'MS Revenue Analysis'!DK139</f>
        <v>0</v>
      </c>
      <c r="DM180" s="483"/>
      <c r="DN180" s="483"/>
      <c r="DO180" s="483"/>
      <c r="DP180" s="483"/>
      <c r="DQ180" s="1485">
        <f>(CF!FD102+CF!FD107)/'MS Revenue Analysis'!DQ139</f>
        <v>0</v>
      </c>
      <c r="DS180" s="483"/>
      <c r="DT180" s="483"/>
      <c r="DU180" s="483"/>
      <c r="DV180" s="483"/>
      <c r="DW180" s="1485">
        <f>(CF!FJ102+CF!FJ107)/'MS Revenue Analysis'!DW139</f>
        <v>0</v>
      </c>
      <c r="EK180" s="656"/>
      <c r="EL180" s="656"/>
    </row>
    <row r="181" spans="1:142" s="475" customFormat="1">
      <c r="A181" s="475" t="s">
        <v>963</v>
      </c>
      <c r="G181" s="476"/>
      <c r="I181" s="483" t="e">
        <f>(CF!A102+CF!A107)/Model!A19</f>
        <v>#VALUE!</v>
      </c>
      <c r="J181" s="483" t="e">
        <f>(CF!B102+CF!B107)/Model!B19</f>
        <v>#VALUE!</v>
      </c>
      <c r="K181" s="483" t="e">
        <f>(CF!C102+CF!C107)/Model!C19</f>
        <v>#DIV/0!</v>
      </c>
      <c r="L181" s="483">
        <f>(CF!D102+CF!D107)/Model!D19</f>
        <v>-5.9898804047838077</v>
      </c>
      <c r="M181" s="483">
        <f>(CF!E102+CF!E107)/Model!E19</f>
        <v>-0.61934936855727618</v>
      </c>
      <c r="O181" s="483">
        <f>(CF!G102+CF!G107)/Model!G19</f>
        <v>0.2459629986097743</v>
      </c>
      <c r="P181" s="483">
        <f>(CF!H102+CF!H107)/Model!H19</f>
        <v>0.15240259193806277</v>
      </c>
      <c r="Q181" s="483">
        <f>(CF!I102+CF!I107)/Model!I19</f>
        <v>-4.3337326474526143E-2</v>
      </c>
      <c r="R181" s="483">
        <f>(CF!J102+CF!J107)/Model!J19</f>
        <v>-1.9593986894513672E-2</v>
      </c>
      <c r="S181" s="483">
        <f>(CF!K102+CF!K107)/Model!K19</f>
        <v>6.2579670922319627E-2</v>
      </c>
      <c r="U181" s="483">
        <f>(CF!M102+CF!M107)/Model!M19</f>
        <v>0.23423042351821496</v>
      </c>
      <c r="V181" s="483">
        <f>(CF!N102+CF!N107)/Model!N19</f>
        <v>0.16177218702307727</v>
      </c>
      <c r="W181" s="483">
        <f>(CF!O102+CF!O107)/Model!O19</f>
        <v>0.24282456554218768</v>
      </c>
      <c r="X181" s="483">
        <f>(CF!P102+CF!P107)/Model!P19</f>
        <v>0.15842012444681064</v>
      </c>
      <c r="Y181" s="483">
        <f>(CF!Q102+CF!Q107)/Model!Q19</f>
        <v>0.19646334732303733</v>
      </c>
      <c r="AA181" s="483">
        <f>(CF!S102+CF!S107)/Model!S19</f>
        <v>0.18315680702660816</v>
      </c>
      <c r="AB181" s="483">
        <f>(CF!T102+CF!T107)/Model!T19</f>
        <v>0.35610260959562345</v>
      </c>
      <c r="AC181" s="483">
        <f>(CF!U102+CF!U107)/Model!U19</f>
        <v>0.25601259679471972</v>
      </c>
      <c r="AD181" s="483">
        <f>(CF!V102+CF!V107)/Model!V19</f>
        <v>0.3455141590650988</v>
      </c>
      <c r="AE181" s="483">
        <f>(CF!W102+CF!W107)/Model!W19</f>
        <v>0.29235435861091424</v>
      </c>
      <c r="AG181" s="483">
        <f>(CF!Y102+CF!Y107)/Model!Y19</f>
        <v>0.13638842576000751</v>
      </c>
      <c r="AH181" s="483">
        <f>(CF!Z102+CF!Z107)/Model!Z19</f>
        <v>0.14872885478781811</v>
      </c>
      <c r="AI181" s="483">
        <f>(CF!AA102+CF!AA107)/Model!AA19</f>
        <v>0.2332079397142961</v>
      </c>
      <c r="AJ181" s="483">
        <f>(CF!AB102+CF!AB107)/Model!AB19</f>
        <v>0.37035491522445757</v>
      </c>
      <c r="AK181" s="483">
        <f>(CF!AC102+CF!AC107)/Model!AC19</f>
        <v>0.23384658084213039</v>
      </c>
      <c r="AM181" s="483">
        <f>(CF!AE102+CF!AE107)/Model!AE19</f>
        <v>9.3813881512332109E-2</v>
      </c>
      <c r="AN181" s="483">
        <f>(CF!AF102+CF!AF107)/Model!AF19</f>
        <v>0.23027501968054037</v>
      </c>
      <c r="AO181" s="483">
        <f>(CF!AG102+CF!AG107)/Model!AG19</f>
        <v>0.16564016208776422</v>
      </c>
      <c r="AP181" s="483">
        <f>(CF!AH102+CF!AH107)/Model!AH19</f>
        <v>0.21171262256391701</v>
      </c>
      <c r="AQ181" s="1485">
        <f>(CF!AI102+CF!AI107)/Model!AI19</f>
        <v>0.17924155368038744</v>
      </c>
      <c r="AS181" s="483">
        <f>(CF!AK102+CF!AK107)/Model!AK19</f>
        <v>0.12851882865798095</v>
      </c>
      <c r="AT181" s="483">
        <f>(CF!AL102+CF!AL107)/Model!AL19</f>
        <v>0.13903125513226375</v>
      </c>
      <c r="AU181" s="483">
        <f>(CF!AM102+CF!AM107)/Model!AM19</f>
        <v>0.22238243180863371</v>
      </c>
      <c r="AV181" s="483">
        <f>(CF!AN102+CF!AN107)/Model!AN19</f>
        <v>0.33389578895927258</v>
      </c>
      <c r="AW181" s="1485">
        <f>(CF!AO102+CF!AO107)/Model!AO19</f>
        <v>0.2146694270068118</v>
      </c>
      <c r="AY181" s="483">
        <f>(CF!AQ102+CF!AQ107)/Model!AQ19</f>
        <v>0.2409115506699728</v>
      </c>
      <c r="AZ181" s="483">
        <f>(CF!AR102+CF!AR107)/Model!AR19</f>
        <v>0.1521949847383085</v>
      </c>
      <c r="BA181" s="483">
        <f>(CF!AS102+CF!AS107)/Model!AS19</f>
        <v>1.9917753818443563E-2</v>
      </c>
      <c r="BB181" s="483">
        <f>(CF!AT102+CF!AT107)/Model!AT19</f>
        <v>0.21857981994799416</v>
      </c>
      <c r="BC181" s="1485">
        <f>(CF!AU102+CF!AU107)/Model!AU19</f>
        <v>0.15648481707775758</v>
      </c>
      <c r="BE181" s="483">
        <f>(CF!AW102+CF!AW107)/Model!AW19</f>
        <v>0.27910233369626536</v>
      </c>
      <c r="BF181" s="483">
        <f>(CF!AX102+CF!AX107)/Model!AX19</f>
        <v>8.2167682820721288E-2</v>
      </c>
      <c r="BG181" s="483">
        <f>(CF!AY102+CF!AY107)/Model!AY19</f>
        <v>6.4834563105621246E-2</v>
      </c>
      <c r="BH181" s="483">
        <f>(CF!AZ102+CF!AZ107)/Model!AZ19</f>
        <v>0.23867882694203335</v>
      </c>
      <c r="BI181" s="1485">
        <f>(CF!BA102+CF!BA107)/Model!BA19</f>
        <v>0.16621693143982422</v>
      </c>
      <c r="BK181" s="483">
        <f>(CF!BC102+CF!BC107)/Model!BC19</f>
        <v>0.3476339722886419</v>
      </c>
      <c r="BL181" s="483">
        <f>(CF!BD102+CF!BD107)/Model!BD19</f>
        <v>0.12365228768776684</v>
      </c>
      <c r="BM181" s="483">
        <f>(CF!BE102+CF!BE107)/Model!BE19</f>
        <v>0.12410070684965992</v>
      </c>
      <c r="BN181" s="483">
        <f>(CF!BF102+CF!BF107)/Model!BF19</f>
        <v>0.29589793090768218</v>
      </c>
      <c r="BO181" s="1486">
        <f>(CF!BG102+CF!BG107)/Model!BG19</f>
        <v>0.22218655164111153</v>
      </c>
      <c r="BQ181" s="483">
        <f>(CF!BI102+CF!BI107)/Model!BI19</f>
        <v>0.22246631401130929</v>
      </c>
      <c r="BR181" s="483">
        <f>(CF!BJ102+CF!BJ107)/Model!BJ19</f>
        <v>6.9380698239200594E-2</v>
      </c>
      <c r="BS181" s="483">
        <f>(CF!BK102+CF!BK107)/Model!BK19</f>
        <v>0.16094033478245987</v>
      </c>
      <c r="BT181" s="483">
        <f>(CF!BL102+CF!BL107)/Model!BL19</f>
        <v>0.30976574306906179</v>
      </c>
      <c r="BU181" s="1485">
        <f>(CF!BS102+CF!BS107)/Model!BM19</f>
        <v>0.24764453644962656</v>
      </c>
      <c r="BW181" s="483">
        <f>(CF!BO102+CF!BO107)/Model!BO19</f>
        <v>0.24227030182596737</v>
      </c>
      <c r="BX181" s="483">
        <f>(CF!BP102+CF!BP107)/Model!BP19</f>
        <v>0.14609874406990228</v>
      </c>
      <c r="BY181" s="483">
        <f>(CF!BQ102+CF!BQ107)/Model!BQ19</f>
        <v>6.9585412443968736E-2</v>
      </c>
      <c r="BZ181" s="483">
        <f>(CF!BR102+CF!BR107)/Model!BR19</f>
        <v>0.27681353714772472</v>
      </c>
      <c r="CA181" s="1485">
        <f>(CF!BS102+CF!BS107)/Model!BS19</f>
        <v>0.18401971021524857</v>
      </c>
      <c r="CC181" s="483">
        <f>(CF!BU102+CF!BU107)/Model!BU19</f>
        <v>0.25674493324804254</v>
      </c>
      <c r="CD181" s="483">
        <f>(CF!BV102+CF!BV107)/Model!BV19</f>
        <v>8.4248778071955355E-2</v>
      </c>
      <c r="CE181" s="483">
        <f>(CF!BW102+CF!BW107)/Model!BW19</f>
        <v>6.055291933154526E-2</v>
      </c>
      <c r="CF181" s="483">
        <f>(CF!BX102+CF!BX107)/Model!BX19</f>
        <v>0.1758484233026732</v>
      </c>
      <c r="CG181" s="1485">
        <f>(CF!BY102+CF!BY107)/Model!BY19</f>
        <v>0.1415766581355995</v>
      </c>
      <c r="CI181" s="483">
        <f>(CF!CA102+CF!CA107)/Model!CA19</f>
        <v>0.33664690749381304</v>
      </c>
      <c r="CJ181" s="483">
        <f>(CF!CB102+CF!CB107)/Model!CB19</f>
        <v>0.13220345667327238</v>
      </c>
      <c r="CK181" s="483">
        <f>(CF!CC102+CF!CC107)/Model!CC19</f>
        <v>3.5474883551174376E-2</v>
      </c>
      <c r="CL181" s="483">
        <f>(CF!CD102+CF!CD107)/Model!CD19</f>
        <v>0.17088995769094434</v>
      </c>
      <c r="CM181" s="1485">
        <f>(CF!CE102+CF!CE107)/Model!CE19</f>
        <v>0.16437068281776823</v>
      </c>
      <c r="CO181" s="483">
        <f>(CF!CG102+CF!CG107)/Model!CG19</f>
        <v>0.43659635235549743</v>
      </c>
      <c r="CP181" s="483">
        <f>(CF!CH102+CF!CH107)/Model!CH19</f>
        <v>0.1465286257160405</v>
      </c>
      <c r="CQ181" s="483">
        <f>(CF!CI102+CF!CI107)/Model!CI19</f>
        <v>2.2118417002196911E-2</v>
      </c>
      <c r="CR181" s="483">
        <f>(CF!CJ102+CF!CJ107)/Model!CJ19</f>
        <v>0.2160635747359069</v>
      </c>
      <c r="CS181" s="1485">
        <f>(CF!CK102+CF!CK107)/Model!CK19</f>
        <v>0.19919993592527979</v>
      </c>
      <c r="CU181" s="483">
        <f>(CF!CM102+CF!CM107)/Model!CM19</f>
        <v>0.50493555525061784</v>
      </c>
      <c r="CV181" s="483">
        <f>(CF!CN102+CF!CN107)/Model!CN19</f>
        <v>7.5933729349342949E-2</v>
      </c>
      <c r="CW181" s="483">
        <f>(CF!CO102+CF!CO107)/Model!CO19</f>
        <v>6.3685001923278759E-3</v>
      </c>
      <c r="CX181" s="483">
        <f>(CF!CP102+CF!CP107)/Model!CP19</f>
        <v>0.24506318254498277</v>
      </c>
      <c r="CY181" s="1485">
        <f>(CF!CQ102+CF!CQ107)/Model!CQ19</f>
        <v>0.20236454216309274</v>
      </c>
      <c r="DA181" s="483">
        <f>(CF!CS102+CF!CS107)/Model!CS19</f>
        <v>0.44940167424826566</v>
      </c>
      <c r="DB181" s="483">
        <f>(CF!CT102+CF!CT107)/Model!CT19</f>
        <v>7.9201230173927106E-2</v>
      </c>
      <c r="DC181" s="483">
        <f>(CF!CU102+CF!CU107)/Model!CU19</f>
        <v>5.4159929637615963E-3</v>
      </c>
      <c r="DD181" s="483">
        <f>(CF!CV102+CF!CV107)/Model!CV19</f>
        <v>0.32043494868297229</v>
      </c>
      <c r="DE181" s="1485">
        <f>(CF!CW102+CF!CW107)/Model!CW19</f>
        <v>0.21029918668032058</v>
      </c>
      <c r="DG181" s="483">
        <f>(CF!CY102+CF!CY107)/Model!CY19</f>
        <v>0.49176252083184097</v>
      </c>
      <c r="DH181" s="483">
        <f>(CF!CZ102+CF!CZ107)/Model!CZ19</f>
        <v>9.4926945592376466E-2</v>
      </c>
      <c r="DI181" s="483">
        <f>(CF!DA102+CF!DA107)/Model!DA19</f>
        <v>4.8149255287159777E-2</v>
      </c>
      <c r="DJ181" s="483">
        <f>(CF!DB102+CF!DB107)/Model!DB19</f>
        <v>0.31882293239763526</v>
      </c>
      <c r="DK181" s="1485">
        <f>(CF!EX102+CF!EX107)/Model!DC19</f>
        <v>0</v>
      </c>
      <c r="DM181" s="483"/>
      <c r="DN181" s="483"/>
      <c r="DO181" s="483"/>
      <c r="DP181" s="483"/>
      <c r="DQ181" s="1485">
        <f>(CF!FD102+CF!FD107)/Model!DI19</f>
        <v>0</v>
      </c>
      <c r="DS181" s="483"/>
      <c r="DT181" s="483"/>
      <c r="DU181" s="483"/>
      <c r="DV181" s="483"/>
      <c r="DW181" s="1485">
        <f>(CF!FJ102+CF!FJ107)/Model!DO19</f>
        <v>0</v>
      </c>
      <c r="EK181" s="656"/>
      <c r="EL181" s="656"/>
    </row>
    <row r="182" spans="1:142" s="475" customFormat="1">
      <c r="G182" s="476"/>
      <c r="M182" s="476"/>
      <c r="S182" s="476"/>
      <c r="U182" s="483"/>
      <c r="V182" s="483"/>
      <c r="W182" s="483"/>
      <c r="X182" s="483"/>
      <c r="Y182" s="483"/>
      <c r="AA182" s="483"/>
      <c r="AB182" s="483"/>
      <c r="AC182" s="483"/>
      <c r="AD182" s="483"/>
      <c r="AE182" s="483"/>
      <c r="AG182" s="483"/>
      <c r="AH182" s="483"/>
      <c r="AI182" s="483"/>
      <c r="AJ182" s="483"/>
      <c r="AK182" s="483"/>
      <c r="AM182" s="483"/>
      <c r="AN182" s="483"/>
      <c r="AO182" s="483"/>
      <c r="AP182" s="483"/>
      <c r="AQ182" s="1485"/>
      <c r="AS182" s="483"/>
      <c r="AT182" s="483"/>
      <c r="AU182" s="483"/>
      <c r="AV182" s="483"/>
      <c r="AW182" s="1485"/>
      <c r="AY182" s="483"/>
      <c r="AZ182" s="483"/>
      <c r="BA182" s="483"/>
      <c r="BB182" s="483"/>
      <c r="BC182" s="1485"/>
      <c r="BE182" s="483"/>
      <c r="BF182" s="483"/>
      <c r="BG182" s="483"/>
      <c r="BH182" s="483"/>
      <c r="BI182" s="1485"/>
      <c r="BK182" s="483"/>
      <c r="BL182" s="483"/>
      <c r="BM182" s="483"/>
      <c r="BN182" s="483"/>
      <c r="BO182" s="1486"/>
      <c r="BQ182" s="483"/>
      <c r="BR182" s="483"/>
      <c r="BS182" s="483"/>
      <c r="BT182" s="483"/>
      <c r="BU182" s="1485"/>
      <c r="BW182" s="483"/>
      <c r="BX182" s="483"/>
      <c r="BY182" s="483"/>
      <c r="BZ182" s="483"/>
      <c r="CA182" s="1485"/>
      <c r="CC182" s="483"/>
      <c r="CD182" s="483"/>
      <c r="CE182" s="483"/>
      <c r="CF182" s="483"/>
      <c r="CG182" s="1485"/>
      <c r="CI182" s="483"/>
      <c r="CJ182" s="483"/>
      <c r="CK182" s="483"/>
      <c r="CL182" s="483"/>
      <c r="CM182" s="1485"/>
      <c r="CO182" s="483"/>
      <c r="CP182" s="483"/>
      <c r="CQ182" s="483"/>
      <c r="CR182" s="483"/>
      <c r="CS182" s="1485"/>
      <c r="CU182" s="483"/>
      <c r="CV182" s="483"/>
      <c r="CW182" s="483"/>
      <c r="CX182" s="483"/>
      <c r="CY182" s="1485"/>
      <c r="DA182" s="483"/>
      <c r="DB182" s="483"/>
      <c r="DC182" s="483"/>
      <c r="DD182" s="483"/>
      <c r="DE182" s="1485"/>
      <c r="DG182" s="483"/>
      <c r="DH182" s="483"/>
      <c r="DI182" s="483"/>
      <c r="DJ182" s="483"/>
      <c r="DK182" s="1485"/>
      <c r="DM182" s="483"/>
      <c r="DN182" s="483"/>
      <c r="DO182" s="483"/>
      <c r="DP182" s="483"/>
      <c r="DQ182" s="1485"/>
      <c r="DS182" s="483"/>
      <c r="DT182" s="483"/>
      <c r="DU182" s="483"/>
      <c r="DV182" s="483"/>
      <c r="DW182" s="1485"/>
      <c r="EK182" s="656"/>
      <c r="EL182" s="656"/>
    </row>
    <row r="183" spans="1:142" s="475" customFormat="1">
      <c r="A183" s="500" t="s">
        <v>1073</v>
      </c>
      <c r="G183" s="476">
        <f>BS!D14</f>
        <v>0</v>
      </c>
      <c r="M183" s="476">
        <f>BS!E14</f>
        <v>0.629</v>
      </c>
      <c r="O183" s="510">
        <f>BS!G14</f>
        <v>1.2829999999999999</v>
      </c>
      <c r="P183" s="510">
        <f>BS!H14</f>
        <v>1.716</v>
      </c>
      <c r="Q183" s="510">
        <f>BS!I14</f>
        <v>2.2909999999999999</v>
      </c>
      <c r="R183" s="510">
        <f>BS!J14</f>
        <v>3.4350000000000001</v>
      </c>
      <c r="S183" s="510">
        <f>BS!K14</f>
        <v>3.4350000000000001</v>
      </c>
      <c r="U183" s="510">
        <f>BS!M14</f>
        <v>3.899</v>
      </c>
      <c r="V183" s="510">
        <f>BS!N14</f>
        <v>4.8360000000000003</v>
      </c>
      <c r="W183" s="510">
        <f>BS!O14</f>
        <v>6.6130000000000004</v>
      </c>
      <c r="X183" s="510">
        <f>BS!P14</f>
        <v>11.156000000000001</v>
      </c>
      <c r="Y183" s="510">
        <f>BS!Q14</f>
        <v>11.156000000000001</v>
      </c>
      <c r="AA183" s="510">
        <f>BS!S14</f>
        <v>7.782</v>
      </c>
      <c r="AB183" s="510">
        <f>BS!T14</f>
        <v>7.3739999999999997</v>
      </c>
      <c r="AC183" s="510">
        <f>BS!U14</f>
        <v>6.843</v>
      </c>
      <c r="AD183" s="510">
        <f>BS!V14</f>
        <v>7.556</v>
      </c>
      <c r="AE183" s="510">
        <f>BS!W14</f>
        <v>7.556</v>
      </c>
      <c r="AG183" s="510">
        <f>BS!Y14</f>
        <v>7.8019999999999996</v>
      </c>
      <c r="AH183" s="510">
        <f>BS!Z14</f>
        <v>8.5129999999999999</v>
      </c>
      <c r="AI183" s="510">
        <f>BS!AA14</f>
        <v>9.4930000000000003</v>
      </c>
      <c r="AJ183" s="510">
        <f>BS!AB14</f>
        <v>13.186</v>
      </c>
      <c r="AK183" s="510">
        <f>BS!AC14</f>
        <v>13.186</v>
      </c>
      <c r="AM183" s="510">
        <f>BS!AE14</f>
        <v>12.731</v>
      </c>
      <c r="AN183" s="510">
        <f>BS!AF14</f>
        <v>13.87</v>
      </c>
      <c r="AO183" s="510">
        <f>BS!AG14</f>
        <v>15.478999999999999</v>
      </c>
      <c r="AP183" s="510">
        <f>BS!AH14</f>
        <v>22.071999999999999</v>
      </c>
      <c r="AQ183" s="265">
        <f>BS!AI14</f>
        <v>22.071999999999999</v>
      </c>
      <c r="AS183" s="510">
        <f>BS!AK14</f>
        <v>22.97</v>
      </c>
      <c r="AT183" s="510">
        <f>BS!AL14</f>
        <v>25.15</v>
      </c>
      <c r="AU183" s="510">
        <f>BS!AM14</f>
        <v>26.023</v>
      </c>
      <c r="AV183" s="510">
        <f>BS!AN14</f>
        <v>35.679000000000002</v>
      </c>
      <c r="AW183" s="265">
        <f>BS!AO14</f>
        <v>35.679000000000002</v>
      </c>
      <c r="AY183" s="510">
        <f>BS!AQ14</f>
        <v>34.936999999999998</v>
      </c>
      <c r="AZ183" s="510">
        <f>BS!AR14</f>
        <v>35.750999999999998</v>
      </c>
      <c r="BA183" s="510">
        <f>BS!AS14</f>
        <v>35.354999999999997</v>
      </c>
      <c r="BB183" s="510">
        <f>BS!AT14</f>
        <v>39.384</v>
      </c>
      <c r="BC183" s="265">
        <f>BS!AU14</f>
        <v>39.384</v>
      </c>
      <c r="BE183" s="510">
        <f>BS!AW14</f>
        <v>36.862000000000002</v>
      </c>
      <c r="BF183" s="510">
        <f>BS!AX14</f>
        <v>36.369999999999997</v>
      </c>
      <c r="BG183" s="510">
        <f>BS!AY14</f>
        <v>37.064999999999998</v>
      </c>
      <c r="BH183" s="510">
        <f>BS!AZ14</f>
        <v>47.387999999999998</v>
      </c>
      <c r="BI183" s="265">
        <f>BS!BA14</f>
        <v>47.387999999999998</v>
      </c>
      <c r="BK183" s="510">
        <f>BS!BC14</f>
        <v>46.215000000000003</v>
      </c>
      <c r="BL183" s="510">
        <f>BS!BD14</f>
        <v>47.093000000000004</v>
      </c>
      <c r="BM183" s="510">
        <f>BS!BE14</f>
        <v>50.360999999999997</v>
      </c>
      <c r="BN183" s="510">
        <f>BS!BF14</f>
        <v>67.774000000000001</v>
      </c>
      <c r="BO183" s="265">
        <f>BS!BG14</f>
        <v>67.774000000000001</v>
      </c>
      <c r="BQ183" s="510">
        <f>BS!BI14</f>
        <v>65.8</v>
      </c>
      <c r="BR183" s="510">
        <f>BS!BJ14</f>
        <v>66.091999999999999</v>
      </c>
      <c r="BS183" s="510">
        <f>BS!BK14</f>
        <v>71.799000000000007</v>
      </c>
      <c r="BT183" s="510">
        <f>BS!BL14</f>
        <v>98.471000000000004</v>
      </c>
      <c r="BU183" s="265">
        <f>BS!BM14</f>
        <v>98.471000000000004</v>
      </c>
      <c r="BW183" s="510">
        <f>BS!BO14</f>
        <v>93.923000000000002</v>
      </c>
      <c r="BX183" s="510">
        <f>BS!BP14</f>
        <v>94.921000000000006</v>
      </c>
      <c r="BY183" s="510">
        <f>BS!BQ14</f>
        <v>100.80800000000001</v>
      </c>
      <c r="BZ183" s="510">
        <f>BS!BR14</f>
        <v>142.31100000000001</v>
      </c>
      <c r="CA183" s="265">
        <f>BS!BS14</f>
        <v>142.31100000000001</v>
      </c>
      <c r="CC183" s="510">
        <f>BS!BU14</f>
        <v>119.499</v>
      </c>
      <c r="CD183" s="510">
        <f>BS!BV14</f>
        <v>119.503</v>
      </c>
      <c r="CE183" s="510">
        <f>BS!BW14</f>
        <v>126.054</v>
      </c>
      <c r="CF183" s="510">
        <f>BS!BX14</f>
        <v>171.46100000000001</v>
      </c>
      <c r="CG183" s="265">
        <f>BS!BY14</f>
        <v>171.46100000000001</v>
      </c>
      <c r="CI183" s="510">
        <f>BS!CA14</f>
        <v>162.494</v>
      </c>
      <c r="CJ183" s="510">
        <f>BS!CB14</f>
        <v>169.24700000000001</v>
      </c>
      <c r="CK183" s="510">
        <f>BS!CC14</f>
        <v>172.71700000000001</v>
      </c>
      <c r="CL183" s="510">
        <f>BS!CD14</f>
        <v>225.386</v>
      </c>
      <c r="CM183" s="265">
        <f>BS!CE14</f>
        <v>225.386</v>
      </c>
      <c r="CO183" s="510">
        <f>BS!CG14</f>
        <v>208.101</v>
      </c>
      <c r="CP183" s="510">
        <f>BS!CH14</f>
        <v>211.31399999999999</v>
      </c>
      <c r="CQ183" s="510">
        <f>BS!CI14</f>
        <v>208.13300000000001</v>
      </c>
      <c r="CR183" s="510">
        <f>BS!CJ14</f>
        <v>259.18700000000001</v>
      </c>
      <c r="CS183" s="265">
        <f>BS!CK14</f>
        <v>259.18700000000001</v>
      </c>
      <c r="CU183" s="510">
        <f>BS!CM14</f>
        <v>243.89</v>
      </c>
      <c r="CV183" s="510">
        <f>BS!CN14</f>
        <v>236.75</v>
      </c>
      <c r="CW183" s="510">
        <f>BS!CO14</f>
        <v>237.72900000000001</v>
      </c>
      <c r="CX183" s="510">
        <f>BS!CP14</f>
        <v>311.77</v>
      </c>
      <c r="CY183" s="265">
        <f>BS!CQ14</f>
        <v>311.77</v>
      </c>
      <c r="DA183" s="510">
        <f>BS!CS14</f>
        <v>297.41899999999998</v>
      </c>
      <c r="DB183" s="510">
        <f>BS!CT14</f>
        <v>302.52800000000002</v>
      </c>
      <c r="DC183" s="510">
        <f>BS!CU14</f>
        <v>327.64299999999997</v>
      </c>
      <c r="DD183" s="510">
        <f>BS!CV14</f>
        <v>460.887</v>
      </c>
      <c r="DE183" s="265">
        <f>BS!CW14</f>
        <v>460.887</v>
      </c>
      <c r="DG183" s="510">
        <f>BS!CY14</f>
        <v>411.53374052238701</v>
      </c>
      <c r="DH183" s="510">
        <f>BS!CZ14</f>
        <v>381.12734435380702</v>
      </c>
      <c r="DI183" s="510">
        <f>BS!DA14</f>
        <v>402.02676969039982</v>
      </c>
      <c r="DJ183" s="510">
        <f>BS!DB14</f>
        <v>576.13052415708785</v>
      </c>
      <c r="DK183" s="265">
        <f>BS!DC14</f>
        <v>576.13052415708785</v>
      </c>
      <c r="DM183" s="510">
        <f>BS!DE14</f>
        <v>499.6029131134942</v>
      </c>
      <c r="DN183" s="510">
        <f>BS!DF14</f>
        <v>451.1746063546957</v>
      </c>
      <c r="DO183" s="510">
        <f>BS!DG14</f>
        <v>467.5481706280496</v>
      </c>
      <c r="DP183" s="510">
        <f>BS!DH14</f>
        <v>674.14520653952934</v>
      </c>
      <c r="DQ183" s="265">
        <f>BS!DI14</f>
        <v>674.14520653952934</v>
      </c>
      <c r="DS183" s="510">
        <f>BS!DK14</f>
        <v>571.78840096577255</v>
      </c>
      <c r="DT183" s="510">
        <f>BS!DL14</f>
        <v>507.60033987044403</v>
      </c>
      <c r="DU183" s="510">
        <f>BS!DM14</f>
        <v>523.87804207081911</v>
      </c>
      <c r="DV183" s="510">
        <f>BS!DN14</f>
        <v>768.90809767922747</v>
      </c>
      <c r="DW183" s="265">
        <f>BS!DO14</f>
        <v>768.90809767922747</v>
      </c>
      <c r="EK183" s="656"/>
      <c r="EL183" s="656"/>
    </row>
    <row r="184" spans="1:142" s="475" customFormat="1">
      <c r="A184" s="1634" t="s">
        <v>855</v>
      </c>
      <c r="G184" s="476"/>
      <c r="M184" s="476"/>
      <c r="P184" s="485">
        <f>P183/P159</f>
        <v>0.11363485861863452</v>
      </c>
      <c r="Q184" s="485">
        <f>Q183/Q159</f>
        <v>0.16080578367375586</v>
      </c>
      <c r="R184" s="485">
        <f>R183/R159</f>
        <v>0.17917688174847426</v>
      </c>
      <c r="S184" s="485">
        <f>S183/S159</f>
        <v>0.17917688174847426</v>
      </c>
      <c r="U184" s="485">
        <f>U183/U159</f>
        <v>0.16038667215137806</v>
      </c>
      <c r="V184" s="485">
        <f>V183/V159</f>
        <v>0.16421610241434345</v>
      </c>
      <c r="W184" s="485">
        <f>W183/W159</f>
        <v>0.19219367588932806</v>
      </c>
      <c r="X184" s="485">
        <f>X183/X159</f>
        <v>0.22457072689574653</v>
      </c>
      <c r="Y184" s="485">
        <f>Y183/Y159</f>
        <v>0.22457072689574653</v>
      </c>
      <c r="AA184" s="485">
        <f>AA183/AA159</f>
        <v>0.14868169659915934</v>
      </c>
      <c r="AB184" s="485">
        <f>AB183/AB159</f>
        <v>0.11979141283688288</v>
      </c>
      <c r="AC184" s="485">
        <f>AC183/AC159</f>
        <v>9.2174030172413796E-2</v>
      </c>
      <c r="AD184" s="485">
        <f>AD183/AD159</f>
        <v>7.8790406673618349E-2</v>
      </c>
      <c r="AE184" s="485">
        <f>AE183/AE159</f>
        <v>7.8790406673618349E-2</v>
      </c>
      <c r="AG184" s="485">
        <f>AG183/AG159</f>
        <v>7.455683501361747E-2</v>
      </c>
      <c r="AH184" s="485">
        <f>AH183/AH159</f>
        <v>7.2567789891825996E-2</v>
      </c>
      <c r="AI184" s="485">
        <f>AI183/AI159</f>
        <v>7.4683345134135784E-2</v>
      </c>
      <c r="AJ184" s="485">
        <f>AJ183/AJ159</f>
        <v>7.7942958474951973E-2</v>
      </c>
      <c r="AK184" s="485">
        <f>AK183/AK159</f>
        <v>7.7942958474951973E-2</v>
      </c>
      <c r="AM184" s="485">
        <f>AM183/AM159</f>
        <v>6.9936715814454278E-2</v>
      </c>
      <c r="AN184" s="485">
        <f>AN183/AN159</f>
        <v>6.8380366404385801E-2</v>
      </c>
      <c r="AO184" s="485">
        <f>AO183/AO159</f>
        <v>7.0541536975176705E-2</v>
      </c>
      <c r="AP184" s="485">
        <f>AP183/AP159</f>
        <v>7.770107335344624E-2</v>
      </c>
      <c r="AQ184" s="511">
        <f>AQ183/AQ159</f>
        <v>7.770107335344624E-2</v>
      </c>
      <c r="AS184" s="485">
        <f>AS183/AS159</f>
        <v>7.7687437430666403E-2</v>
      </c>
      <c r="AT184" s="485">
        <f>AT183/AT159</f>
        <v>7.8141506033829217E-2</v>
      </c>
      <c r="AU184" s="485">
        <f>AU183/AU159</f>
        <v>7.6356775662543133E-2</v>
      </c>
      <c r="AV184" s="485">
        <f>AV183/AV159</f>
        <v>7.4193065415663326E-2</v>
      </c>
      <c r="AW184" s="511">
        <f>AW183/AW159</f>
        <v>7.4193065415663326E-2</v>
      </c>
      <c r="AY184" s="485">
        <f>AY183/AY159</f>
        <v>7.4287099428658895E-2</v>
      </c>
      <c r="AZ184" s="485">
        <f>AZ183/AZ159</f>
        <v>7.4551763543017763E-2</v>
      </c>
      <c r="BA184" s="485">
        <f>BA183/BA159</f>
        <v>7.529806148223557E-2</v>
      </c>
      <c r="BB184" s="485">
        <f>BB183/BB159</f>
        <v>6.6300128277213446E-2</v>
      </c>
      <c r="BC184" s="511">
        <f>BC183/BC159</f>
        <v>6.6300128277213446E-2</v>
      </c>
      <c r="BE184" s="485">
        <f>BE183/BE159</f>
        <v>6.7098310255509455E-2</v>
      </c>
      <c r="BF184" s="485">
        <f>BF183/BF159</f>
        <v>6.6246516456895138E-2</v>
      </c>
      <c r="BG184" s="485">
        <f>BG183/BG159</f>
        <v>6.795493505183936E-2</v>
      </c>
      <c r="BH184" s="485">
        <f>BH183/BH159</f>
        <v>6.7279242647100571E-2</v>
      </c>
      <c r="BI184" s="511">
        <f>BI183/BI159</f>
        <v>6.7279242647100571E-2</v>
      </c>
      <c r="BK184" s="485">
        <f>BK183/BK159</f>
        <v>6.9545497638176815E-2</v>
      </c>
      <c r="BL184" s="485">
        <f>BL183/BL159</f>
        <v>6.8948301584582566E-2</v>
      </c>
      <c r="BM184" s="485">
        <f>BM183/BM159</f>
        <v>7.2508087889114933E-2</v>
      </c>
      <c r="BN184" s="485">
        <f>BN183/BN159</f>
        <v>7.2490135741185804E-2</v>
      </c>
      <c r="BO184" s="511">
        <f>BO183/BO159</f>
        <v>7.2490135741185804E-2</v>
      </c>
      <c r="BQ184" s="485">
        <f>BQ183/BQ159</f>
        <v>7.1902116960048418E-2</v>
      </c>
      <c r="BR184" s="485">
        <f>BR183/BR159</f>
        <v>7.0666526955967604E-2</v>
      </c>
      <c r="BS184" s="485">
        <f>BS183/BS159</f>
        <v>7.8227671844510002E-2</v>
      </c>
      <c r="BT184" s="485">
        <f>BT183/BT159</f>
        <v>7.1340546767176577E-2</v>
      </c>
      <c r="BU184" s="511">
        <f>BU183/BU159</f>
        <v>7.1340546767176577E-2</v>
      </c>
      <c r="BW184" s="485">
        <f>BW183/BW159</f>
        <v>7.0369277059689109E-2</v>
      </c>
      <c r="BX184" s="485">
        <f>BX183/BX159</f>
        <v>7.0985743173714325E-2</v>
      </c>
      <c r="BY184" s="485">
        <f>BY183/BY159</f>
        <v>7.8042707959956742E-2</v>
      </c>
      <c r="BZ184" s="485">
        <f>BZ183/BZ159</f>
        <v>7.6388288750103991E-2</v>
      </c>
      <c r="CA184" s="511">
        <f>CA183/CA159</f>
        <v>7.6388288750103991E-2</v>
      </c>
      <c r="CC184" s="485">
        <f>CC183/CC159</f>
        <v>6.8948625631793936E-2</v>
      </c>
      <c r="CD184" s="485">
        <f>CD183/CD159</f>
        <v>6.6774583605267626E-2</v>
      </c>
      <c r="CE184" s="485">
        <f>CE183/CE159</f>
        <v>7.2669560289608276E-2</v>
      </c>
      <c r="CF184" s="485">
        <f>CF183/CF159</f>
        <v>6.798302218574491E-2</v>
      </c>
      <c r="CG184" s="511">
        <f>CG183/CG159</f>
        <v>6.798302218574491E-2</v>
      </c>
      <c r="CI184" s="485">
        <f>CI183/CI159</f>
        <v>6.9901467554842403E-2</v>
      </c>
      <c r="CJ184" s="485">
        <f>CJ183/CJ159</f>
        <v>7.1931111511561882E-2</v>
      </c>
      <c r="CK184" s="485">
        <f>CK183/CK159</f>
        <v>7.7661324734923057E-2</v>
      </c>
      <c r="CL184" s="485">
        <f>CL183/CL159</f>
        <v>6.7857733176092727E-2</v>
      </c>
      <c r="CM184" s="511">
        <f>CM183/CM159</f>
        <v>6.7857733176092727E-2</v>
      </c>
      <c r="CO184" s="485">
        <f>CO183/CO159</f>
        <v>6.8077610065362046E-2</v>
      </c>
      <c r="CP184" s="485">
        <f>CP183/CP159</f>
        <v>6.9625906633660528E-2</v>
      </c>
      <c r="CQ184" s="485">
        <f>CQ183/CQ159</f>
        <v>7.311866109727351E-2</v>
      </c>
      <c r="CR184" s="485">
        <f>CR183/CR159</f>
        <v>6.0394686958310885E-2</v>
      </c>
      <c r="CS184" s="511">
        <f>CS183/CS159</f>
        <v>6.0394686958310885E-2</v>
      </c>
      <c r="CU184" s="485">
        <f>CU183/CU159</f>
        <v>6.0867290887700612E-2</v>
      </c>
      <c r="CV184" s="485">
        <f>CV183/CV159</f>
        <v>6.1918719225350402E-2</v>
      </c>
      <c r="CW184" s="485">
        <f>CW183/CW159</f>
        <v>6.8017154139770927E-2</v>
      </c>
      <c r="CX184" s="485">
        <f>CX183/CX159</f>
        <v>5.6247724526331616E-2</v>
      </c>
      <c r="CY184" s="511">
        <f>CY183/CY159</f>
        <v>5.6247724526331616E-2</v>
      </c>
      <c r="DA184" s="485">
        <f>DA183/DA159</f>
        <v>5.8980671281698593E-2</v>
      </c>
      <c r="DB184" s="485">
        <f>DB183/DB159</f>
        <v>6.2782938069170638E-2</v>
      </c>
      <c r="DC184" s="485">
        <f>DC183/DC159</f>
        <v>7.4598561684412978E-2</v>
      </c>
      <c r="DD184" s="485">
        <f>DD183/DD159</f>
        <v>6.4962109065845583E-2</v>
      </c>
      <c r="DE184" s="511">
        <f>DE183/DE159</f>
        <v>6.4962109065845583E-2</v>
      </c>
      <c r="DG184" s="485">
        <f>DG183/DG159</f>
        <v>6.5984322684842542E-2</v>
      </c>
      <c r="DH184" s="485">
        <f>DH183/DH159</f>
        <v>6.4128142195856969E-2</v>
      </c>
      <c r="DI184" s="485">
        <f>DI183/DI159</f>
        <v>7.3839412714298447E-2</v>
      </c>
      <c r="DJ184" s="485">
        <f>DJ183/DJ159</f>
        <v>6.4572616128268381E-2</v>
      </c>
      <c r="DK184" s="511">
        <f>DK183/DK159</f>
        <v>6.4572616128268381E-2</v>
      </c>
      <c r="DM184" s="485">
        <f>DM183/DM159</f>
        <v>6.4474820990978413E-2</v>
      </c>
      <c r="DN184" s="485">
        <f>DN183/DN159</f>
        <v>6.1215940008114623E-2</v>
      </c>
      <c r="DO184" s="485">
        <f>DO183/DO159</f>
        <v>6.9260919621589645E-2</v>
      </c>
      <c r="DP184" s="485">
        <f>DP183/DP159</f>
        <v>6.0656558024347156E-2</v>
      </c>
      <c r="DQ184" s="511">
        <f>DQ183/DQ159</f>
        <v>6.0656558024347156E-2</v>
      </c>
      <c r="DS184" s="485">
        <f>DS183/DS159</f>
        <v>5.9832019790446896E-2</v>
      </c>
      <c r="DT184" s="485">
        <f>DT183/DT159</f>
        <v>5.573230705555688E-2</v>
      </c>
      <c r="DU184" s="485">
        <f>DU183/DU159</f>
        <v>6.2491484619961749E-2</v>
      </c>
      <c r="DV184" s="485">
        <f>DV183/DV159</f>
        <v>5.5946270950080472E-2</v>
      </c>
      <c r="DW184" s="511">
        <f>DW183/DW159</f>
        <v>5.5946270950080472E-2</v>
      </c>
      <c r="EK184" s="656"/>
      <c r="EL184" s="656"/>
    </row>
    <row r="185" spans="1:142" s="475" customFormat="1">
      <c r="A185" s="1631" t="s">
        <v>1076</v>
      </c>
      <c r="G185" s="476"/>
      <c r="M185" s="476"/>
      <c r="P185" s="485"/>
      <c r="Q185" s="485"/>
      <c r="R185" s="485"/>
      <c r="S185" s="485"/>
      <c r="U185" s="485"/>
      <c r="V185" s="485"/>
      <c r="W185" s="485"/>
      <c r="X185" s="485"/>
      <c r="Y185" s="485"/>
      <c r="AA185" s="485"/>
      <c r="AB185" s="485"/>
      <c r="AC185" s="485"/>
      <c r="AD185" s="485"/>
      <c r="AE185" s="485"/>
      <c r="AG185" s="485"/>
      <c r="AH185" s="485"/>
      <c r="AI185" s="485"/>
      <c r="AJ185" s="485"/>
      <c r="AK185" s="485"/>
      <c r="AM185" s="485"/>
      <c r="AN185" s="485"/>
      <c r="AO185" s="485"/>
      <c r="AP185" s="485"/>
      <c r="AQ185" s="511"/>
      <c r="AS185" s="485"/>
      <c r="AT185" s="485"/>
      <c r="AU185" s="485"/>
      <c r="AV185" s="485"/>
      <c r="AW185" s="511"/>
      <c r="AY185" s="485"/>
      <c r="AZ185" s="485"/>
      <c r="BA185" s="485"/>
      <c r="BB185" s="485"/>
      <c r="BC185" s="511"/>
      <c r="BE185" s="485"/>
      <c r="BF185" s="485"/>
      <c r="BG185" s="485"/>
      <c r="BH185" s="485"/>
      <c r="BI185" s="511"/>
      <c r="BK185" s="485"/>
      <c r="BL185" s="485"/>
      <c r="BM185" s="485"/>
      <c r="BN185" s="485"/>
      <c r="BO185" s="511"/>
      <c r="BQ185" s="485">
        <f>BQ183/BK183-1</f>
        <v>0.423780157957373</v>
      </c>
      <c r="BR185" s="485">
        <f>BR183/BL183-1</f>
        <v>0.40343575478308868</v>
      </c>
      <c r="BS185" s="485">
        <f>BS183/BM183-1</f>
        <v>0.42568654315839649</v>
      </c>
      <c r="BT185" s="485">
        <f>BT183/BN183-1</f>
        <v>0.45293180275621925</v>
      </c>
      <c r="BU185" s="511"/>
      <c r="BW185" s="485">
        <f>BW183/BQ183-1</f>
        <v>0.42740121580547119</v>
      </c>
      <c r="BX185" s="485">
        <f>BX183/BR183-1</f>
        <v>0.43619500090782548</v>
      </c>
      <c r="BY185" s="485">
        <f>BY183/BS183-1</f>
        <v>0.40403069680636228</v>
      </c>
      <c r="BZ185" s="485">
        <f>BZ183/BT183-1</f>
        <v>0.44520721836885979</v>
      </c>
      <c r="CA185" s="511"/>
      <c r="CC185" s="485">
        <f>CC183/BW183-1</f>
        <v>0.27230816732855634</v>
      </c>
      <c r="CD185" s="485">
        <f>CD183/BX183-1</f>
        <v>0.25897325144067174</v>
      </c>
      <c r="CE185" s="485">
        <f>CE183/BY183-1</f>
        <v>0.25043647329577001</v>
      </c>
      <c r="CF185" s="485">
        <f>CF183/BZ183-1</f>
        <v>0.20483307685280838</v>
      </c>
      <c r="CG185" s="511"/>
      <c r="CI185" s="485">
        <f>CI183/CC183-1</f>
        <v>0.35979380580590647</v>
      </c>
      <c r="CJ185" s="485">
        <f>CJ183/CD183-1</f>
        <v>0.41625733245190499</v>
      </c>
      <c r="CK185" s="485">
        <f>CK183/CE183-1</f>
        <v>0.37018262014692116</v>
      </c>
      <c r="CL185" s="485">
        <f>CL183/CF183-1</f>
        <v>0.31450300651460084</v>
      </c>
      <c r="CM185" s="511"/>
      <c r="CO185" s="485">
        <f>CO183/CI183-1</f>
        <v>0.28066882469506571</v>
      </c>
      <c r="CP185" s="485">
        <f>CP183/CJ183-1</f>
        <v>0.24855388869522055</v>
      </c>
      <c r="CQ185" s="485">
        <f>CQ183/CK183-1</f>
        <v>0.20505219520950457</v>
      </c>
      <c r="CR185" s="485">
        <f>CR183/CL183-1</f>
        <v>0.14996938585360242</v>
      </c>
      <c r="CS185" s="511"/>
      <c r="CU185" s="485">
        <f>CU183/CO183-1</f>
        <v>0.17197899097073055</v>
      </c>
      <c r="CV185" s="485">
        <f>CV183/CP183-1</f>
        <v>0.12037063327559938</v>
      </c>
      <c r="CW185" s="485">
        <f>CW183/CQ183-1</f>
        <v>0.14219753715172501</v>
      </c>
      <c r="CX185" s="485">
        <f>CX183/CR183-1</f>
        <v>0.20287668748818399</v>
      </c>
      <c r="CY185" s="511"/>
      <c r="DA185" s="485">
        <f>DA183/CU183-1</f>
        <v>0.21948009348476782</v>
      </c>
      <c r="DB185" s="485">
        <f>DB183/CV183-1</f>
        <v>0.27783738120380153</v>
      </c>
      <c r="DC185" s="485">
        <f>DC183/CW183-1</f>
        <v>0.37822057889445526</v>
      </c>
      <c r="DD185" s="485">
        <f>DD183/CX183-1</f>
        <v>0.47829168938640665</v>
      </c>
      <c r="DE185" s="511"/>
      <c r="DG185" s="485"/>
      <c r="DH185" s="485"/>
      <c r="DI185" s="485"/>
      <c r="DJ185" s="485"/>
      <c r="DK185" s="511"/>
      <c r="DM185" s="485"/>
      <c r="DN185" s="485"/>
      <c r="DO185" s="485"/>
      <c r="DP185" s="485"/>
      <c r="DQ185" s="511"/>
      <c r="DS185" s="485"/>
      <c r="DT185" s="485"/>
      <c r="DU185" s="485"/>
      <c r="DV185" s="485"/>
      <c r="DW185" s="511"/>
      <c r="EK185" s="656"/>
      <c r="EL185" s="656"/>
    </row>
    <row r="186" spans="1:142" s="475" customFormat="1">
      <c r="A186" s="500" t="s">
        <v>1074</v>
      </c>
      <c r="G186" s="476"/>
      <c r="M186" s="476"/>
      <c r="P186" s="484">
        <f>P183-O183</f>
        <v>0.43300000000000005</v>
      </c>
      <c r="Q186" s="484">
        <f>Q183-P183</f>
        <v>0.57499999999999996</v>
      </c>
      <c r="R186" s="484">
        <f>R183-Q183</f>
        <v>1.1440000000000001</v>
      </c>
      <c r="S186" s="484">
        <f>S183-M183</f>
        <v>2.806</v>
      </c>
      <c r="U186" s="484">
        <f>U183-R183</f>
        <v>0.46399999999999997</v>
      </c>
      <c r="V186" s="484">
        <f>V183-U183</f>
        <v>0.93700000000000028</v>
      </c>
      <c r="W186" s="484">
        <f>W183-V183</f>
        <v>1.7770000000000001</v>
      </c>
      <c r="X186" s="484">
        <f>X183-W183</f>
        <v>4.5430000000000001</v>
      </c>
      <c r="Y186" s="484">
        <f>Y183-S183</f>
        <v>7.7210000000000001</v>
      </c>
      <c r="AA186" s="484">
        <f>AA183-X183</f>
        <v>-3.3740000000000006</v>
      </c>
      <c r="AB186" s="484">
        <f>AB183-AA183</f>
        <v>-0.40800000000000036</v>
      </c>
      <c r="AC186" s="484">
        <f>AC183-AB183</f>
        <v>-0.53099999999999969</v>
      </c>
      <c r="AD186" s="484">
        <f>AD183-AC183</f>
        <v>0.71300000000000008</v>
      </c>
      <c r="AE186" s="484">
        <f>AE183-Y183</f>
        <v>-3.6000000000000005</v>
      </c>
      <c r="AG186" s="484">
        <f>AG183-AD183</f>
        <v>0.24599999999999955</v>
      </c>
      <c r="AH186" s="484">
        <f>AH183-AG183</f>
        <v>0.7110000000000003</v>
      </c>
      <c r="AI186" s="484">
        <f>AI183-AH183</f>
        <v>0.98000000000000043</v>
      </c>
      <c r="AJ186" s="484">
        <f>AJ183-AI183</f>
        <v>3.6929999999999996</v>
      </c>
      <c r="AK186" s="484">
        <f>AK183-AE183</f>
        <v>5.63</v>
      </c>
      <c r="AM186" s="484">
        <f>AM183-AJ183</f>
        <v>-0.45500000000000007</v>
      </c>
      <c r="AN186" s="484">
        <f>AN183-AM183</f>
        <v>1.1389999999999993</v>
      </c>
      <c r="AO186" s="484">
        <f>AO183-AN183</f>
        <v>1.609</v>
      </c>
      <c r="AP186" s="484">
        <f>AP183-AO183</f>
        <v>6.593</v>
      </c>
      <c r="AQ186" s="1536">
        <f>AQ183-AK183</f>
        <v>8.8859999999999992</v>
      </c>
      <c r="AS186" s="484">
        <f>AS183-AP183</f>
        <v>0.89799999999999969</v>
      </c>
      <c r="AT186" s="484">
        <f>AT183-AS183</f>
        <v>2.1799999999999997</v>
      </c>
      <c r="AU186" s="484">
        <f>AU183-AT183</f>
        <v>0.87300000000000111</v>
      </c>
      <c r="AV186" s="484">
        <f>AV183-AU183</f>
        <v>9.6560000000000024</v>
      </c>
      <c r="AW186" s="1536">
        <f>AW183-AQ183</f>
        <v>13.607000000000003</v>
      </c>
      <c r="AY186" s="484">
        <f>AY183-AV183</f>
        <v>-0.74200000000000443</v>
      </c>
      <c r="AZ186" s="484">
        <f>AZ183-AY183</f>
        <v>0.81400000000000006</v>
      </c>
      <c r="BA186" s="484">
        <f>BA183-AZ183</f>
        <v>-0.3960000000000008</v>
      </c>
      <c r="BB186" s="484">
        <f>BB183-BA183</f>
        <v>4.0290000000000035</v>
      </c>
      <c r="BC186" s="1536">
        <f>BC183-AW183</f>
        <v>3.7049999999999983</v>
      </c>
      <c r="BE186" s="484">
        <f>BE183-BB183</f>
        <v>-2.5219999999999985</v>
      </c>
      <c r="BF186" s="484">
        <f>BF183-BE183</f>
        <v>-0.49200000000000443</v>
      </c>
      <c r="BG186" s="484">
        <f>BG183-BF183</f>
        <v>0.69500000000000028</v>
      </c>
      <c r="BH186" s="484">
        <f>BH183-BG183</f>
        <v>10.323</v>
      </c>
      <c r="BI186" s="1536">
        <f>BI183-BC183</f>
        <v>8.0039999999999978</v>
      </c>
      <c r="BK186" s="484">
        <f>BK183-BH183</f>
        <v>-1.1729999999999947</v>
      </c>
      <c r="BL186" s="484">
        <f>BL183-BK183</f>
        <v>0.87800000000000011</v>
      </c>
      <c r="BM186" s="484">
        <f>BM183-BL183</f>
        <v>3.2679999999999936</v>
      </c>
      <c r="BN186" s="484">
        <f>BN183-BM183</f>
        <v>17.413000000000004</v>
      </c>
      <c r="BO186" s="1536">
        <f>BO183-BI183</f>
        <v>20.386000000000003</v>
      </c>
      <c r="BQ186" s="484">
        <f>BQ183-BN183</f>
        <v>-1.9740000000000038</v>
      </c>
      <c r="BR186" s="484">
        <f>BR183-BQ183</f>
        <v>0.29200000000000159</v>
      </c>
      <c r="BS186" s="484">
        <f>BS183-BR183</f>
        <v>5.7070000000000078</v>
      </c>
      <c r="BT186" s="484">
        <f>BT183-BS183</f>
        <v>26.671999999999997</v>
      </c>
      <c r="BU186" s="1536">
        <f>BU183-BO183</f>
        <v>30.697000000000003</v>
      </c>
      <c r="BW186" s="484">
        <f>BW183-BT183</f>
        <v>-4.5480000000000018</v>
      </c>
      <c r="BX186" s="484">
        <f>BX183-BW183</f>
        <v>0.99800000000000466</v>
      </c>
      <c r="BY186" s="484">
        <f>BY183-BX183</f>
        <v>5.8870000000000005</v>
      </c>
      <c r="BZ186" s="484">
        <f>BZ183-BY183</f>
        <v>41.503</v>
      </c>
      <c r="CA186" s="1536">
        <f>CA183-BU183</f>
        <v>43.84</v>
      </c>
      <c r="CC186" s="484">
        <f>CC183-BZ183</f>
        <v>-22.812000000000012</v>
      </c>
      <c r="CD186" s="484">
        <f>CD183-CC183</f>
        <v>4.0000000000048885E-3</v>
      </c>
      <c r="CE186" s="484">
        <f>CE183-CD183</f>
        <v>6.5510000000000019</v>
      </c>
      <c r="CF186" s="484">
        <f>CF183-CE183</f>
        <v>45.407000000000011</v>
      </c>
      <c r="CG186" s="1536">
        <f>CG183-CA183</f>
        <v>29.150000000000006</v>
      </c>
      <c r="CI186" s="484">
        <f>CI183-CF183</f>
        <v>-8.967000000000013</v>
      </c>
      <c r="CJ186" s="484">
        <f>CJ183-CI183</f>
        <v>6.7530000000000143</v>
      </c>
      <c r="CK186" s="484">
        <f>CK183-CJ183</f>
        <v>3.4699999999999989</v>
      </c>
      <c r="CL186" s="484">
        <f>CL183-CK183</f>
        <v>52.668999999999983</v>
      </c>
      <c r="CM186" s="1536">
        <f>CM183-CG183</f>
        <v>53.924999999999983</v>
      </c>
      <c r="CO186" s="484">
        <f>CO183-CL183</f>
        <v>-17.284999999999997</v>
      </c>
      <c r="CP186" s="484">
        <f>CP183-CO183</f>
        <v>3.2129999999999939</v>
      </c>
      <c r="CQ186" s="484">
        <f>CQ183-CP183</f>
        <v>-3.1809999999999832</v>
      </c>
      <c r="CR186" s="484">
        <f>CR183-CQ183</f>
        <v>51.054000000000002</v>
      </c>
      <c r="CS186" s="1536">
        <f>CS183-CM183</f>
        <v>33.801000000000016</v>
      </c>
      <c r="CU186" s="484">
        <f>CU183-CR183</f>
        <v>-15.297000000000025</v>
      </c>
      <c r="CV186" s="484">
        <f>CV183-CU183</f>
        <v>-7.1399999999999864</v>
      </c>
      <c r="CW186" s="484">
        <f>CW183-CV183</f>
        <v>0.97900000000001342</v>
      </c>
      <c r="CX186" s="484">
        <f>CX183-CW183</f>
        <v>74.040999999999968</v>
      </c>
      <c r="CY186" s="1536">
        <f>CY183-CS183</f>
        <v>52.58299999999997</v>
      </c>
      <c r="DA186" s="484">
        <f>DA183-CX183</f>
        <v>-14.350999999999999</v>
      </c>
      <c r="DB186" s="484">
        <f>DB183-DA183</f>
        <v>5.1090000000000373</v>
      </c>
      <c r="DC186" s="484">
        <f>DC183-DB183</f>
        <v>25.114999999999952</v>
      </c>
      <c r="DD186" s="484">
        <f>DD183-DC183</f>
        <v>133.24400000000003</v>
      </c>
      <c r="DE186" s="1536">
        <f>DE183-CY183</f>
        <v>149.11700000000002</v>
      </c>
      <c r="DG186" s="484">
        <f>DG183-DD183</f>
        <v>-49.353259477612994</v>
      </c>
      <c r="DH186" s="484">
        <f>DH183-DG183</f>
        <v>-30.406396168579988</v>
      </c>
      <c r="DI186" s="484">
        <f>DI183-DH183</f>
        <v>20.899425336592799</v>
      </c>
      <c r="DJ186" s="484">
        <f>DJ183-DI183</f>
        <v>174.10375446668803</v>
      </c>
      <c r="DK186" s="1536">
        <f>DK183-DE183</f>
        <v>115.24352415708785</v>
      </c>
      <c r="DM186" s="484">
        <f>DM183-DJ183</f>
        <v>-76.527611043593652</v>
      </c>
      <c r="DN186" s="484">
        <f>DN183-DM183</f>
        <v>-48.428306758798499</v>
      </c>
      <c r="DO186" s="484">
        <f>DO183-DN183</f>
        <v>16.373564273353907</v>
      </c>
      <c r="DP186" s="484">
        <f>DP183-DO183</f>
        <v>206.59703591147974</v>
      </c>
      <c r="DQ186" s="1536">
        <f>DQ183-DK183</f>
        <v>98.014682382441492</v>
      </c>
      <c r="DS186" s="484">
        <f>DS183-DP183</f>
        <v>-102.35680557375679</v>
      </c>
      <c r="DT186" s="484">
        <f>DT183-DS183</f>
        <v>-64.188061095328521</v>
      </c>
      <c r="DU186" s="484">
        <f>DU183-DT183</f>
        <v>16.277702200375074</v>
      </c>
      <c r="DV186" s="484">
        <f>DV183-DU183</f>
        <v>245.03005560840836</v>
      </c>
      <c r="DW186" s="1536">
        <f>DW183-DQ183</f>
        <v>94.762891139698127</v>
      </c>
      <c r="EK186" s="656"/>
      <c r="EL186" s="656"/>
    </row>
    <row r="187" spans="1:142" s="475" customFormat="1">
      <c r="A187" s="475" t="s">
        <v>343</v>
      </c>
      <c r="G187" s="476"/>
      <c r="M187" s="476"/>
      <c r="P187" s="485">
        <f>P186/P160</f>
        <v>9.3844820112700469E-2</v>
      </c>
      <c r="Q187" s="485">
        <f>Q186/Q160</f>
        <v>-0.67330210772833643</v>
      </c>
      <c r="R187" s="485">
        <f>R186/R160</f>
        <v>0.23233143785540217</v>
      </c>
      <c r="S187" s="485">
        <f>S186/S160</f>
        <v>0.23299842232001994</v>
      </c>
      <c r="U187" s="485">
        <f>U186/U160</f>
        <v>9.0289939676979958E-2</v>
      </c>
      <c r="V187" s="485">
        <f>V186/V160</f>
        <v>0.1823311928390737</v>
      </c>
      <c r="W187" s="485">
        <f>W186/W160</f>
        <v>0.358338374672313</v>
      </c>
      <c r="X187" s="485">
        <f>X186/X160</f>
        <v>0.29753094505206634</v>
      </c>
      <c r="Y187" s="485">
        <f>Y186/Y160</f>
        <v>0.25309775126204681</v>
      </c>
      <c r="AA187" s="485">
        <f>AA186/AA160</f>
        <v>-1.2669921141569642</v>
      </c>
      <c r="AB187" s="485">
        <f>AB186/AB160</f>
        <v>-4.4266030161657852E-2</v>
      </c>
      <c r="AC187" s="485">
        <f>AC186/AC160</f>
        <v>-4.1867066151541434E-2</v>
      </c>
      <c r="AD187" s="485">
        <f>AD186/AD160</f>
        <v>3.2917820867959358E-2</v>
      </c>
      <c r="AE187" s="485">
        <f>AE186/AE160</f>
        <v>-7.7883304848235732E-2</v>
      </c>
      <c r="AG187" s="485">
        <f>AG186/AG160</f>
        <v>2.8130360205831883E-2</v>
      </c>
      <c r="AH187" s="485">
        <f>AH186/AH160</f>
        <v>5.6134533396494525E-2</v>
      </c>
      <c r="AI187" s="485">
        <f>AI186/AI160</f>
        <v>0.10001020512297186</v>
      </c>
      <c r="AJ187" s="485">
        <f>AJ186/AJ160</f>
        <v>8.7792701771068557E-2</v>
      </c>
      <c r="AK187" s="485">
        <f>AK186/AK160</f>
        <v>7.6833845104060036E-2</v>
      </c>
      <c r="AM187" s="485">
        <f>AM186/AM160</f>
        <v>-3.5378275406267042E-2</v>
      </c>
      <c r="AN187" s="485">
        <f>AN186/AN160</f>
        <v>5.4759615384615323E-2</v>
      </c>
      <c r="AO187" s="485">
        <f>AO186/AO160</f>
        <v>9.6956914733353425E-2</v>
      </c>
      <c r="AP187" s="485">
        <f>AP186/AP160</f>
        <v>0.1020082931055824</v>
      </c>
      <c r="AQ187" s="511">
        <f>AQ186/AQ160</f>
        <v>7.7344892416962616E-2</v>
      </c>
      <c r="AS187" s="485">
        <f>AS186/AS160</f>
        <v>7.7353777241794888E-2</v>
      </c>
      <c r="AT187" s="485">
        <f>AT186/AT160</f>
        <v>8.3269671504965767E-2</v>
      </c>
      <c r="AU187" s="485">
        <f>AU186/AU160</f>
        <v>4.6054019835408327E-2</v>
      </c>
      <c r="AV187" s="485">
        <f>AV186/AV160</f>
        <v>6.8929086418343027E-2</v>
      </c>
      <c r="AW187" s="511">
        <f>AW186/AW160</f>
        <v>6.9130370724123744E-2</v>
      </c>
      <c r="AY187" s="485">
        <f>AY186/AY160</f>
        <v>7.0019816929320175E-2</v>
      </c>
      <c r="AZ187" s="485">
        <f>AZ186/AZ160</f>
        <v>8.8009514542112977E-2</v>
      </c>
      <c r="BA187" s="485">
        <f>BA186/BA160</f>
        <v>3.9552536955653292E-2</v>
      </c>
      <c r="BB187" s="485">
        <f>BB186/BB160</f>
        <v>3.2363525367091868E-2</v>
      </c>
      <c r="BC187" s="511">
        <f>BC186/BC160</f>
        <v>3.2749354736060499E-2</v>
      </c>
      <c r="BE187" s="485">
        <f>BE186/BE160</f>
        <v>5.647996775132684E-2</v>
      </c>
      <c r="BF187" s="485">
        <f>BF186/BF160</f>
        <v>1.3553719008262479</v>
      </c>
      <c r="BG187" s="485">
        <f>BG186/BG160</f>
        <v>-0.19440559440559202</v>
      </c>
      <c r="BH187" s="485">
        <f>BH186/BH160</f>
        <v>6.4960072492495843E-2</v>
      </c>
      <c r="BI187" s="511">
        <f>BI186/BI160</f>
        <v>7.2551259041714236E-2</v>
      </c>
      <c r="BK187" s="485">
        <f>BK186/BK160</f>
        <v>2.9458298802079223E-2</v>
      </c>
      <c r="BL187" s="485">
        <f>BL186/BL160</f>
        <v>4.74851270957274E-2</v>
      </c>
      <c r="BM187" s="485">
        <f>BM186/BM160</f>
        <v>0.28323799618651607</v>
      </c>
      <c r="BN187" s="485">
        <f>BN186/BN160</f>
        <v>7.2438265441959512E-2</v>
      </c>
      <c r="BO187" s="511">
        <f>BO186/BO160</f>
        <v>8.8406846695259639E-2</v>
      </c>
      <c r="BQ187" s="485">
        <f>BQ186/BQ160</f>
        <v>9.965670436187421E-2</v>
      </c>
      <c r="BR187" s="485">
        <f>BR186/BR160</f>
        <v>1.4503551383301181E-2</v>
      </c>
      <c r="BS187" s="485">
        <f>BS186/BS160</f>
        <v>-0.32714244769274814</v>
      </c>
      <c r="BT187" s="485">
        <f>BT186/BT160</f>
        <v>5.7672431315057684E-2</v>
      </c>
      <c r="BU187" s="511">
        <f>BU186/BU160</f>
        <v>6.8927190504632266E-2</v>
      </c>
      <c r="BW187" s="485">
        <f>BW186/BW160</f>
        <v>9.9782794708088901E-2</v>
      </c>
      <c r="BX187" s="485">
        <f>BX186/BX160</f>
        <v>0.40437601296595399</v>
      </c>
      <c r="BY187" s="485">
        <f>BY186/BY160</f>
        <v>-0.12072925638817111</v>
      </c>
      <c r="BZ187" s="485">
        <f>BZ186/BZ160</f>
        <v>7.2647612779454265E-2</v>
      </c>
      <c r="CA187" s="511">
        <f>CA186/CA160</f>
        <v>9.0822457012637248E-2</v>
      </c>
      <c r="CC187" s="485">
        <f>CC186/CC160</f>
        <v>0.1756999268302076</v>
      </c>
      <c r="CD187" s="485">
        <f>CD186/CD160</f>
        <v>7.081149978765226E-5</v>
      </c>
      <c r="CE187" s="485">
        <f>CE186/CE160</f>
        <v>-0.11904632103072929</v>
      </c>
      <c r="CF187" s="485">
        <f>CF186/CF160</f>
        <v>5.7659975415748167E-2</v>
      </c>
      <c r="CG187" s="511">
        <f>CG186/CG160</f>
        <v>4.4225634178905238E-2</v>
      </c>
      <c r="CI187" s="485">
        <f>CI186/CI160</f>
        <v>4.5402531645569788E-2</v>
      </c>
      <c r="CJ187" s="485">
        <f>CJ186/CJ160</f>
        <v>0.2387146947576822</v>
      </c>
      <c r="CK187" s="485">
        <f>CK186/CK160</f>
        <v>-2.69144554670473E-2</v>
      </c>
      <c r="CL187" s="485">
        <f>CL186/CL160</f>
        <v>4.7991201597853972E-2</v>
      </c>
      <c r="CM187" s="511">
        <f>CM186/CM160</f>
        <v>6.7462412458371548E-2</v>
      </c>
      <c r="CO187" s="485">
        <f>CO186/CO160</f>
        <v>6.5317860098477495E-2</v>
      </c>
      <c r="CP187" s="485">
        <f>CP186/CP160</f>
        <v>-0.14718951853039386</v>
      </c>
      <c r="CQ187" s="485">
        <f>CQ186/CQ160</f>
        <v>1.687703269825595E-2</v>
      </c>
      <c r="CR187" s="485">
        <f>CR186/CR160</f>
        <v>3.5330436533722503E-2</v>
      </c>
      <c r="CS187" s="511">
        <f>CS186/CS160</f>
        <v>3.4842656045125049E-2</v>
      </c>
      <c r="CU187" s="485">
        <f>CU186/CU160</f>
        <v>5.3741757102856495E-2</v>
      </c>
      <c r="CV187" s="485">
        <f>CV186/CV160</f>
        <v>3.8941277208444827E-2</v>
      </c>
      <c r="CW187" s="485">
        <f>CW186/CW160</f>
        <v>-2.9808664303896597E-3</v>
      </c>
      <c r="CX187" s="485">
        <f>CX186/CX160</f>
        <v>3.6158676036019473E-2</v>
      </c>
      <c r="CY187" s="511">
        <f>CY186/CY160</f>
        <v>4.2024409210317033E-2</v>
      </c>
      <c r="DA187" s="485">
        <f>DA186/DA160</f>
        <v>2.8693391982405246E-2</v>
      </c>
      <c r="DB187" s="485">
        <f>DB186/DB160</f>
        <v>-2.2806203072967515E-2</v>
      </c>
      <c r="DC187" s="485">
        <f>DC186/DC160</f>
        <v>-5.887910500947123E-2</v>
      </c>
      <c r="DD187" s="485">
        <f>DD186/DD160</f>
        <v>4.9301733908132972E-2</v>
      </c>
      <c r="DE187" s="511">
        <f>DE186/DE160</f>
        <v>9.6086546646278845E-2</v>
      </c>
      <c r="DG187" s="485">
        <f>DG186/DG160</f>
        <v>5.7530412111589303E-2</v>
      </c>
      <c r="DH187" s="485">
        <f>DH186/DH160</f>
        <v>0.10355483062045895</v>
      </c>
      <c r="DI187" s="485">
        <f>DI186/DI160</f>
        <v>-4.191574556702881E-2</v>
      </c>
      <c r="DJ187" s="485">
        <f>DJ186/DJ160</f>
        <v>5.0064316315023956E-2</v>
      </c>
      <c r="DK187" s="511">
        <f>DK186/DK160</f>
        <v>6.3060535147629673E-2</v>
      </c>
      <c r="DM187" s="485">
        <f>DM186/DM160</f>
        <v>6.5218425332297672E-2</v>
      </c>
      <c r="DN187" s="485">
        <f>DN186/DN160</f>
        <v>0.12791685945733752</v>
      </c>
      <c r="DO187" s="485">
        <f>DO186/DO160</f>
        <v>-2.6422578775611327E-2</v>
      </c>
      <c r="DP187" s="485">
        <f>DP186/DP160</f>
        <v>4.7345528561501142E-2</v>
      </c>
      <c r="DQ187" s="511">
        <f>DQ186/DQ160</f>
        <v>4.4716272738556509E-2</v>
      </c>
      <c r="DS187" s="485">
        <f>DS186/DS160</f>
        <v>6.5715548850331457E-2</v>
      </c>
      <c r="DT187" s="485">
        <f>DT186/DT160</f>
        <v>0.14304301127424213</v>
      </c>
      <c r="DU187" s="485">
        <f>DU186/DU160</f>
        <v>-2.246320480725077E-2</v>
      </c>
      <c r="DV187" s="485">
        <f>DV186/DV160</f>
        <v>4.5710322137312763E-2</v>
      </c>
      <c r="DW187" s="511">
        <f>DW186/DW160</f>
        <v>3.6037648588218327E-2</v>
      </c>
      <c r="EK187" s="656"/>
      <c r="EL187" s="656"/>
    </row>
    <row r="188" spans="1:142" s="475" customFormat="1">
      <c r="A188" s="500" t="s">
        <v>1075</v>
      </c>
      <c r="G188" s="476"/>
      <c r="M188" s="476"/>
      <c r="P188" s="484"/>
      <c r="Q188" s="484"/>
      <c r="R188" s="484"/>
      <c r="S188" s="484"/>
      <c r="U188" s="484"/>
      <c r="V188" s="484"/>
      <c r="W188" s="484"/>
      <c r="X188" s="484"/>
      <c r="Y188" s="484"/>
      <c r="AA188" s="484"/>
      <c r="AB188" s="484"/>
      <c r="AC188" s="484"/>
      <c r="AD188" s="484"/>
      <c r="AE188" s="484"/>
      <c r="AG188" s="484"/>
      <c r="AH188" s="484"/>
      <c r="AI188" s="484"/>
      <c r="AJ188" s="484"/>
      <c r="AK188" s="484"/>
      <c r="AM188" s="484"/>
      <c r="AN188" s="484"/>
      <c r="AO188" s="484"/>
      <c r="AP188" s="484"/>
      <c r="AQ188" s="1536"/>
      <c r="AS188" s="484"/>
      <c r="AT188" s="484"/>
      <c r="AU188" s="484"/>
      <c r="AV188" s="484"/>
      <c r="AW188" s="1536"/>
      <c r="AY188" s="484"/>
      <c r="AZ188" s="484"/>
      <c r="BA188" s="484"/>
      <c r="BB188" s="484"/>
      <c r="BC188" s="1536"/>
      <c r="BE188" s="484"/>
      <c r="BF188" s="484"/>
      <c r="BG188" s="484"/>
      <c r="BH188" s="484"/>
      <c r="BI188" s="1536"/>
      <c r="BK188" s="484"/>
      <c r="BL188" s="484"/>
      <c r="BM188" s="484"/>
      <c r="BN188" s="484"/>
      <c r="BO188" s="1536"/>
      <c r="BQ188" s="484">
        <f>BS!BI23</f>
        <v>46.645000000000003</v>
      </c>
      <c r="BR188" s="484">
        <f>BS!BJ23</f>
        <v>47.573999999999998</v>
      </c>
      <c r="BS188" s="484">
        <f>BS!BK23</f>
        <v>48.616</v>
      </c>
      <c r="BT188" s="484">
        <f>BS!BL23</f>
        <v>78.149000000000001</v>
      </c>
      <c r="BU188" s="1536"/>
      <c r="BW188" s="484">
        <f>BS!BO23</f>
        <v>78.569000000000003</v>
      </c>
      <c r="BX188" s="484">
        <f>BS!BP23</f>
        <v>77.010000000000005</v>
      </c>
      <c r="BY188" s="484">
        <f>BS!BQ23</f>
        <v>80.304000000000002</v>
      </c>
      <c r="BZ188" s="484">
        <f>BS!BR23</f>
        <v>112.08199999999999</v>
      </c>
      <c r="CA188" s="1536"/>
      <c r="CC188" s="484">
        <f>BS!BU23</f>
        <v>106.71</v>
      </c>
      <c r="CD188" s="484">
        <f>BS!BV23</f>
        <v>105.864</v>
      </c>
      <c r="CE188" s="484">
        <f>BS!BW23</f>
        <v>109.273</v>
      </c>
      <c r="CF188" s="484">
        <f>BS!BX23</f>
        <v>153.459</v>
      </c>
      <c r="CG188" s="1536"/>
      <c r="CI188" s="484">
        <f>BS!CA23</f>
        <v>143.46700000000001</v>
      </c>
      <c r="CJ188" s="484">
        <f>BS!CB23</f>
        <v>141.26</v>
      </c>
      <c r="CK188" s="484">
        <f>BS!CC23</f>
        <v>136.69900000000001</v>
      </c>
      <c r="CL188" s="484">
        <f>BS!CD23</f>
        <v>162.79599999999999</v>
      </c>
      <c r="CM188" s="1536"/>
      <c r="CO188" s="484">
        <f>BS!CG23</f>
        <v>153.018</v>
      </c>
      <c r="CP188" s="484">
        <f>BS!CH23</f>
        <v>143.87100000000001</v>
      </c>
      <c r="CQ188" s="484">
        <f>BS!CI23</f>
        <v>148.14699999999999</v>
      </c>
      <c r="CR188" s="484">
        <f>BS!CJ23</f>
        <v>189.94300000000001</v>
      </c>
      <c r="CS188" s="1536"/>
      <c r="CU188" s="484">
        <f>BS!CM23</f>
        <v>180.245</v>
      </c>
      <c r="CV188" s="484">
        <f>BS!CN23</f>
        <v>169.245</v>
      </c>
      <c r="CW188" s="484">
        <f>BS!CO23</f>
        <v>167.839</v>
      </c>
      <c r="CX188" s="484">
        <f>BS!CP23</f>
        <v>227.84899999999999</v>
      </c>
      <c r="CY188" s="1536"/>
      <c r="DA188" s="484">
        <f>BS!CS23</f>
        <v>220.50700000000001</v>
      </c>
      <c r="DB188" s="484">
        <f>BS!CT23</f>
        <v>224.232</v>
      </c>
      <c r="DC188" s="484">
        <f>BS!CU23</f>
        <v>253.00399999999999</v>
      </c>
      <c r="DD188" s="484">
        <f>BS!CV23</f>
        <v>413.375</v>
      </c>
      <c r="DE188" s="1536"/>
      <c r="DG188" s="484"/>
      <c r="DH188" s="484"/>
      <c r="DI188" s="484"/>
      <c r="DJ188" s="484"/>
      <c r="DK188" s="1536"/>
      <c r="DM188" s="484"/>
      <c r="DN188" s="484"/>
      <c r="DO188" s="484"/>
      <c r="DP188" s="484"/>
      <c r="DQ188" s="1536"/>
      <c r="DS188" s="484"/>
      <c r="DT188" s="484"/>
      <c r="DU188" s="484"/>
      <c r="DV188" s="484"/>
      <c r="DW188" s="1536"/>
      <c r="EK188" s="656"/>
      <c r="EL188" s="656"/>
    </row>
    <row r="189" spans="1:142" s="475" customFormat="1">
      <c r="A189" s="1634" t="s">
        <v>855</v>
      </c>
      <c r="G189" s="476"/>
      <c r="M189" s="476"/>
      <c r="P189" s="484"/>
      <c r="Q189" s="484"/>
      <c r="R189" s="484"/>
      <c r="S189" s="484"/>
      <c r="U189" s="484"/>
      <c r="V189" s="484"/>
      <c r="W189" s="484"/>
      <c r="X189" s="484"/>
      <c r="Y189" s="484"/>
      <c r="AA189" s="484"/>
      <c r="AB189" s="484"/>
      <c r="AC189" s="484"/>
      <c r="AD189" s="484"/>
      <c r="AE189" s="484"/>
      <c r="AG189" s="484"/>
      <c r="AH189" s="484"/>
      <c r="AI189" s="484"/>
      <c r="AJ189" s="484"/>
      <c r="AK189" s="484"/>
      <c r="AM189" s="484"/>
      <c r="AN189" s="484"/>
      <c r="AO189" s="484"/>
      <c r="AP189" s="484"/>
      <c r="AQ189" s="1536"/>
      <c r="AS189" s="484"/>
      <c r="AT189" s="484"/>
      <c r="AU189" s="484"/>
      <c r="AV189" s="484"/>
      <c r="AW189" s="1536"/>
      <c r="AY189" s="484"/>
      <c r="AZ189" s="484"/>
      <c r="BA189" s="484"/>
      <c r="BB189" s="484"/>
      <c r="BC189" s="1536"/>
      <c r="BE189" s="484"/>
      <c r="BF189" s="484"/>
      <c r="BG189" s="484"/>
      <c r="BH189" s="484"/>
      <c r="BI189" s="1536"/>
      <c r="BK189" s="484"/>
      <c r="BL189" s="484"/>
      <c r="BM189" s="484"/>
      <c r="BN189" s="484"/>
      <c r="BO189" s="1536"/>
      <c r="BQ189" s="485">
        <f>BQ188/BQ159</f>
        <v>5.0970733215827645E-2</v>
      </c>
      <c r="BR189" s="485">
        <f>BR188/BR159</f>
        <v>5.0866812222405175E-2</v>
      </c>
      <c r="BS189" s="485">
        <f>BS188/BS159</f>
        <v>5.2968934029620163E-2</v>
      </c>
      <c r="BT189" s="485">
        <f>BT188/BT159</f>
        <v>5.6617607105727399E-2</v>
      </c>
      <c r="BU189" s="1536"/>
      <c r="BW189" s="485">
        <f>BW188/BW159</f>
        <v>5.8865706262605684E-2</v>
      </c>
      <c r="BX189" s="485">
        <f>BX188/BX159</f>
        <v>5.7591176681743128E-2</v>
      </c>
      <c r="BY189" s="485">
        <f>BY188/BY159</f>
        <v>6.2169089953340667E-2</v>
      </c>
      <c r="BZ189" s="485">
        <f>BZ188/BZ159</f>
        <v>6.0162265599209869E-2</v>
      </c>
      <c r="CA189" s="1536"/>
      <c r="CC189" s="485">
        <f>CC188/CC159</f>
        <v>6.1569618500311563E-2</v>
      </c>
      <c r="CD189" s="485">
        <f>CD188/CD159</f>
        <v>5.9153531867719246E-2</v>
      </c>
      <c r="CE189" s="485">
        <f>CE188/CE159</f>
        <v>6.2995389765706469E-2</v>
      </c>
      <c r="CF189" s="485">
        <f>CF188/CF159</f>
        <v>6.0845361928381546E-2</v>
      </c>
      <c r="CG189" s="1536"/>
      <c r="CI189" s="485">
        <f>CI188/CI159</f>
        <v>6.1716456273404413E-2</v>
      </c>
      <c r="CJ189" s="485">
        <f>CJ188/CJ159</f>
        <v>6.0036448575887497E-2</v>
      </c>
      <c r="CK189" s="485">
        <f>CK188/CK159</f>
        <v>6.1466013362548262E-2</v>
      </c>
      <c r="CL189" s="485">
        <f>CL188/CL159</f>
        <v>4.9013548002694002E-2</v>
      </c>
      <c r="CM189" s="1536"/>
      <c r="CO189" s="485">
        <f>CO188/CO159</f>
        <v>5.005790331128427E-2</v>
      </c>
      <c r="CP189" s="485">
        <f>CP188/CP159</f>
        <v>4.7404094443772651E-2</v>
      </c>
      <c r="CQ189" s="484">
        <f>CQ188/CQ159</f>
        <v>5.2045135973525475E-2</v>
      </c>
      <c r="CR189" s="484">
        <f>CR188/CR159</f>
        <v>4.4259735345223504E-2</v>
      </c>
      <c r="CS189" s="1536"/>
      <c r="CU189" s="485">
        <f>CU188/CU159</f>
        <v>4.4983496027117133E-2</v>
      </c>
      <c r="CV189" s="485">
        <f>CV188/CV159</f>
        <v>4.4263711236724096E-2</v>
      </c>
      <c r="CW189" s="484">
        <f>CW188/CW159</f>
        <v>4.8020776319527753E-2</v>
      </c>
      <c r="CX189" s="484">
        <f>CX188/CX159</f>
        <v>4.1107187303461315E-2</v>
      </c>
      <c r="CY189" s="1536"/>
      <c r="DA189" s="485">
        <f>DA188/DA159</f>
        <v>4.3728379432092478E-2</v>
      </c>
      <c r="DB189" s="485">
        <f>DB188/DB159</f>
        <v>4.6534349776305897E-2</v>
      </c>
      <c r="DC189" s="484">
        <f>DC188/DC159</f>
        <v>5.7604571135056216E-2</v>
      </c>
      <c r="DD189" s="484">
        <f>DD188/DD159</f>
        <v>5.8265283757393718E-2</v>
      </c>
      <c r="DE189" s="1536"/>
      <c r="DG189" s="484"/>
      <c r="DH189" s="484"/>
      <c r="DI189" s="484"/>
      <c r="DJ189" s="484"/>
      <c r="DK189" s="1536"/>
      <c r="DM189" s="484"/>
      <c r="DN189" s="484"/>
      <c r="DO189" s="484"/>
      <c r="DP189" s="484"/>
      <c r="DQ189" s="1536"/>
      <c r="DS189" s="484"/>
      <c r="DT189" s="484"/>
      <c r="DU189" s="484"/>
      <c r="DV189" s="484"/>
      <c r="DW189" s="1536"/>
      <c r="EK189" s="656"/>
      <c r="EL189" s="656"/>
    </row>
    <row r="190" spans="1:142" s="475" customFormat="1">
      <c r="A190" s="1631" t="s">
        <v>1076</v>
      </c>
      <c r="G190" s="476"/>
      <c r="M190" s="476"/>
      <c r="P190" s="484"/>
      <c r="Q190" s="484"/>
      <c r="R190" s="484"/>
      <c r="S190" s="484"/>
      <c r="U190" s="484"/>
      <c r="V190" s="484"/>
      <c r="W190" s="484"/>
      <c r="X190" s="484"/>
      <c r="Y190" s="484"/>
      <c r="AA190" s="484"/>
      <c r="AB190" s="484"/>
      <c r="AC190" s="484"/>
      <c r="AD190" s="484"/>
      <c r="AE190" s="484"/>
      <c r="AG190" s="484"/>
      <c r="AH190" s="484"/>
      <c r="AI190" s="484"/>
      <c r="AJ190" s="484"/>
      <c r="AK190" s="484"/>
      <c r="AM190" s="484"/>
      <c r="AN190" s="484"/>
      <c r="AO190" s="484"/>
      <c r="AP190" s="484"/>
      <c r="AQ190" s="1536"/>
      <c r="AS190" s="484"/>
      <c r="AT190" s="484"/>
      <c r="AU190" s="484"/>
      <c r="AV190" s="484"/>
      <c r="AW190" s="1536"/>
      <c r="AY190" s="484"/>
      <c r="AZ190" s="484"/>
      <c r="BA190" s="484"/>
      <c r="BB190" s="484"/>
      <c r="BC190" s="1536"/>
      <c r="BE190" s="484"/>
      <c r="BF190" s="484"/>
      <c r="BG190" s="484"/>
      <c r="BH190" s="484"/>
      <c r="BI190" s="1536"/>
      <c r="BK190" s="484"/>
      <c r="BL190" s="484"/>
      <c r="BM190" s="484"/>
      <c r="BN190" s="484"/>
      <c r="BO190" s="1536"/>
      <c r="BQ190" s="485"/>
      <c r="BR190" s="485"/>
      <c r="BS190" s="485"/>
      <c r="BT190" s="485"/>
      <c r="BU190" s="1536"/>
      <c r="BW190" s="485">
        <f>BW188/BQ188-1</f>
        <v>0.68440347304105464</v>
      </c>
      <c r="BX190" s="485">
        <f>BX188/BR188-1</f>
        <v>0.61874132929751569</v>
      </c>
      <c r="BY190" s="485">
        <f>BY188/BS188-1</f>
        <v>0.65180187592562122</v>
      </c>
      <c r="BZ190" s="485">
        <f>BZ188/BT188-1</f>
        <v>0.4342090109918233</v>
      </c>
      <c r="CA190" s="1536"/>
      <c r="CC190" s="485">
        <f>CC188/BW188-1</f>
        <v>0.3581692525041682</v>
      </c>
      <c r="CD190" s="485">
        <f>CD188/BX188-1</f>
        <v>0.37467861316712114</v>
      </c>
      <c r="CE190" s="485">
        <f>CE188/BY188-1</f>
        <v>0.36074168160988229</v>
      </c>
      <c r="CF190" s="485">
        <f>CF188/BZ188-1</f>
        <v>0.36916721685908538</v>
      </c>
      <c r="CG190" s="1536"/>
      <c r="CI190" s="485">
        <f>CI188/CC188-1</f>
        <v>0.34445693936838184</v>
      </c>
      <c r="CJ190" s="485">
        <f>CJ188/CD188-1</f>
        <v>0.33435351016398385</v>
      </c>
      <c r="CK190" s="485">
        <f>CK188/CE188-1</f>
        <v>0.25098606243079269</v>
      </c>
      <c r="CL190" s="485">
        <f>CL188/CF188-1</f>
        <v>6.0843612951993586E-2</v>
      </c>
      <c r="CM190" s="1536"/>
      <c r="CO190" s="485">
        <f>CO188/CI188-1</f>
        <v>6.6572800713752933E-2</v>
      </c>
      <c r="CP190" s="485">
        <f>CP188/CJ188-1</f>
        <v>1.8483647175421281E-2</v>
      </c>
      <c r="CQ190" s="484">
        <f>CQ188/CK188-1</f>
        <v>8.3746040570889191E-2</v>
      </c>
      <c r="CR190" s="484">
        <f>CR188/CL188-1</f>
        <v>0.16675471141797105</v>
      </c>
      <c r="CS190" s="1536"/>
      <c r="CU190" s="485">
        <f>CU188/CO188-1</f>
        <v>0.17793331503483256</v>
      </c>
      <c r="CV190" s="485">
        <f>CV188/CP188-1</f>
        <v>0.17636632816898468</v>
      </c>
      <c r="CW190" s="484">
        <f>CW188/CQ188-1</f>
        <v>0.13292203014573367</v>
      </c>
      <c r="CX190" s="484">
        <f>CX188/CR188-1</f>
        <v>0.19956513269770393</v>
      </c>
      <c r="CY190" s="1536"/>
      <c r="DA190" s="485">
        <f>DA188/CU188-1</f>
        <v>0.22337374129656862</v>
      </c>
      <c r="DB190" s="485">
        <f>DB188/CV188-1</f>
        <v>0.324895861029868</v>
      </c>
      <c r="DC190" s="484">
        <f>DC188/CW188-1</f>
        <v>0.50742080207818208</v>
      </c>
      <c r="DD190" s="484">
        <f>DD188/CX188-1</f>
        <v>0.81424978823694638</v>
      </c>
      <c r="DE190" s="1536"/>
      <c r="DG190" s="484"/>
      <c r="DH190" s="484"/>
      <c r="DI190" s="484"/>
      <c r="DJ190" s="484"/>
      <c r="DK190" s="1536"/>
      <c r="DM190" s="484"/>
      <c r="DN190" s="484"/>
      <c r="DO190" s="484"/>
      <c r="DP190" s="484"/>
      <c r="DQ190" s="1536"/>
      <c r="DS190" s="484"/>
      <c r="DT190" s="484"/>
      <c r="DU190" s="484"/>
      <c r="DV190" s="484"/>
      <c r="DW190" s="1536"/>
      <c r="EK190" s="656"/>
      <c r="EL190" s="656"/>
    </row>
    <row r="191" spans="1:142" s="475" customFormat="1">
      <c r="A191" s="500" t="s">
        <v>1077</v>
      </c>
      <c r="G191" s="476"/>
      <c r="M191" s="476"/>
      <c r="P191" s="484"/>
      <c r="Q191" s="484"/>
      <c r="R191" s="484"/>
      <c r="S191" s="484"/>
      <c r="U191" s="484"/>
      <c r="V191" s="484"/>
      <c r="W191" s="484"/>
      <c r="X191" s="484"/>
      <c r="Y191" s="484"/>
      <c r="AA191" s="484"/>
      <c r="AB191" s="484"/>
      <c r="AC191" s="484"/>
      <c r="AD191" s="484"/>
      <c r="AE191" s="484"/>
      <c r="AG191" s="484"/>
      <c r="AH191" s="484"/>
      <c r="AI191" s="484"/>
      <c r="AJ191" s="484"/>
      <c r="AK191" s="484"/>
      <c r="AM191" s="484"/>
      <c r="AN191" s="484"/>
      <c r="AO191" s="484"/>
      <c r="AP191" s="484"/>
      <c r="AQ191" s="1536"/>
      <c r="AS191" s="484"/>
      <c r="AT191" s="484"/>
      <c r="AU191" s="484"/>
      <c r="AV191" s="484"/>
      <c r="AW191" s="1536"/>
      <c r="AY191" s="484"/>
      <c r="AZ191" s="484"/>
      <c r="BA191" s="484"/>
      <c r="BB191" s="484"/>
      <c r="BC191" s="1536"/>
      <c r="BE191" s="484"/>
      <c r="BF191" s="484"/>
      <c r="BG191" s="484"/>
      <c r="BH191" s="484"/>
      <c r="BI191" s="1536"/>
      <c r="BK191" s="484"/>
      <c r="BL191" s="484"/>
      <c r="BM191" s="484"/>
      <c r="BN191" s="484"/>
      <c r="BO191" s="1536"/>
      <c r="BQ191" s="484">
        <f>BQ188+BQ183</f>
        <v>112.44499999999999</v>
      </c>
      <c r="BR191" s="484">
        <f>BR188+BR183</f>
        <v>113.666</v>
      </c>
      <c r="BS191" s="484">
        <f>BS188+BS183</f>
        <v>120.41500000000001</v>
      </c>
      <c r="BT191" s="484">
        <f>BT188+BT183</f>
        <v>176.62</v>
      </c>
      <c r="BU191" s="1536"/>
      <c r="BW191" s="484">
        <f>BW188+BW183</f>
        <v>172.49200000000002</v>
      </c>
      <c r="BX191" s="484">
        <f>BX188+BX183</f>
        <v>171.93100000000001</v>
      </c>
      <c r="BY191" s="484">
        <f>BY188+BY183</f>
        <v>181.11200000000002</v>
      </c>
      <c r="BZ191" s="484">
        <f>BZ188+BZ183</f>
        <v>254.393</v>
      </c>
      <c r="CA191" s="1536"/>
      <c r="CC191" s="484">
        <f>CC188+CC183</f>
        <v>226.209</v>
      </c>
      <c r="CD191" s="484">
        <f>CD188+CD183</f>
        <v>225.36700000000002</v>
      </c>
      <c r="CE191" s="484">
        <f>CE188+CE183</f>
        <v>235.327</v>
      </c>
      <c r="CF191" s="484">
        <f>CF188+CF183</f>
        <v>324.92</v>
      </c>
      <c r="CG191" s="1536"/>
      <c r="CI191" s="484">
        <f>CI188+CI183</f>
        <v>305.96100000000001</v>
      </c>
      <c r="CJ191" s="484">
        <f>CJ188+CJ183</f>
        <v>310.50700000000001</v>
      </c>
      <c r="CK191" s="484">
        <f>CK188+CK183</f>
        <v>309.41600000000005</v>
      </c>
      <c r="CL191" s="484">
        <f>CL188+CL183</f>
        <v>388.18200000000002</v>
      </c>
      <c r="CM191" s="1536"/>
      <c r="CO191" s="484">
        <f>CO188+CO183</f>
        <v>361.11900000000003</v>
      </c>
      <c r="CP191" s="484">
        <f>CP188+CP183</f>
        <v>355.185</v>
      </c>
      <c r="CQ191" s="484">
        <f>CQ188+CQ183</f>
        <v>356.28</v>
      </c>
      <c r="CR191" s="484">
        <f>CR188+CR183</f>
        <v>449.13</v>
      </c>
      <c r="CS191" s="1536"/>
      <c r="CU191" s="484">
        <f>CU188+CU183</f>
        <v>424.13499999999999</v>
      </c>
      <c r="CV191" s="484">
        <f>CV188+CV183</f>
        <v>405.995</v>
      </c>
      <c r="CW191" s="484">
        <f>CW188+CW183</f>
        <v>405.56799999999998</v>
      </c>
      <c r="CX191" s="484">
        <f>CX188+CX183</f>
        <v>539.61899999999991</v>
      </c>
      <c r="CY191" s="1536"/>
      <c r="DA191" s="484">
        <f>DA188+DA183</f>
        <v>517.92599999999993</v>
      </c>
      <c r="DB191" s="484">
        <f>DB188+DB183</f>
        <v>526.76</v>
      </c>
      <c r="DC191" s="484">
        <f>DC188+DC183</f>
        <v>580.64699999999993</v>
      </c>
      <c r="DD191" s="484">
        <f>DD188+DD183</f>
        <v>874.26199999999994</v>
      </c>
      <c r="DE191" s="1536"/>
      <c r="DG191" s="484"/>
      <c r="DH191" s="484"/>
      <c r="DI191" s="484"/>
      <c r="DJ191" s="484"/>
      <c r="DK191" s="1536"/>
      <c r="DM191" s="484"/>
      <c r="DN191" s="484"/>
      <c r="DO191" s="484"/>
      <c r="DP191" s="484"/>
      <c r="DQ191" s="1536"/>
      <c r="DS191" s="484"/>
      <c r="DT191" s="484"/>
      <c r="DU191" s="484"/>
      <c r="DV191" s="484"/>
      <c r="DW191" s="1536"/>
      <c r="EK191" s="656"/>
      <c r="EL191" s="656"/>
    </row>
    <row r="192" spans="1:142" s="475" customFormat="1">
      <c r="A192" s="1634" t="s">
        <v>855</v>
      </c>
      <c r="G192" s="476"/>
      <c r="M192" s="476"/>
      <c r="P192" s="484"/>
      <c r="Q192" s="484"/>
      <c r="R192" s="484"/>
      <c r="S192" s="484"/>
      <c r="U192" s="484"/>
      <c r="V192" s="484"/>
      <c r="W192" s="484"/>
      <c r="X192" s="484"/>
      <c r="Y192" s="484"/>
      <c r="AA192" s="484"/>
      <c r="AB192" s="484"/>
      <c r="AC192" s="484"/>
      <c r="AD192" s="484"/>
      <c r="AE192" s="484"/>
      <c r="AG192" s="484"/>
      <c r="AH192" s="484"/>
      <c r="AI192" s="484"/>
      <c r="AJ192" s="484"/>
      <c r="AK192" s="484"/>
      <c r="AM192" s="484"/>
      <c r="AN192" s="484"/>
      <c r="AO192" s="484"/>
      <c r="AP192" s="484"/>
      <c r="AQ192" s="1536"/>
      <c r="AS192" s="484"/>
      <c r="AT192" s="484"/>
      <c r="AU192" s="484"/>
      <c r="AV192" s="484"/>
      <c r="AW192" s="1536"/>
      <c r="AY192" s="484"/>
      <c r="AZ192" s="484"/>
      <c r="BA192" s="484"/>
      <c r="BB192" s="484"/>
      <c r="BC192" s="1536"/>
      <c r="BE192" s="484"/>
      <c r="BF192" s="484"/>
      <c r="BG192" s="484"/>
      <c r="BH192" s="484"/>
      <c r="BI192" s="1536"/>
      <c r="BK192" s="484"/>
      <c r="BL192" s="484"/>
      <c r="BM192" s="484"/>
      <c r="BN192" s="484"/>
      <c r="BO192" s="1536"/>
      <c r="BQ192" s="485">
        <f>BQ191/BQ159</f>
        <v>0.12287285017587606</v>
      </c>
      <c r="BR192" s="485">
        <f>BR191/BR159</f>
        <v>0.12153333917837278</v>
      </c>
      <c r="BS192" s="485">
        <f>BS191/BS159</f>
        <v>0.13119660587413015</v>
      </c>
      <c r="BT192" s="485">
        <f>BT191/BT159</f>
        <v>0.12795815387290399</v>
      </c>
      <c r="BU192" s="1536"/>
      <c r="BW192" s="485">
        <f>BW191/BW159</f>
        <v>0.1292349833222948</v>
      </c>
      <c r="BX192" s="485">
        <f>BX191/BX159</f>
        <v>0.12857691985545744</v>
      </c>
      <c r="BY192" s="485">
        <f>BY191/BY159</f>
        <v>0.14021179791329744</v>
      </c>
      <c r="BZ192" s="485">
        <f>BZ191/BZ159</f>
        <v>0.13655055434931387</v>
      </c>
      <c r="CA192" s="1536"/>
      <c r="CC192" s="485">
        <f>CC191/CC159</f>
        <v>0.13051824413210553</v>
      </c>
      <c r="CD192" s="485">
        <f>CD191/CD159</f>
        <v>0.12592811547298688</v>
      </c>
      <c r="CE192" s="485">
        <f>CE191/CE159</f>
        <v>0.13566495005531476</v>
      </c>
      <c r="CF192" s="485">
        <f>CF191/CF159</f>
        <v>0.12882838411412645</v>
      </c>
      <c r="CG192" s="1536"/>
      <c r="CI192" s="485">
        <f>CI191/CI159</f>
        <v>0.13161792382824683</v>
      </c>
      <c r="CJ192" s="485">
        <f>CJ191/CJ159</f>
        <v>0.13196756008744939</v>
      </c>
      <c r="CK192" s="485">
        <f>CK191/CK159</f>
        <v>0.13912733809747133</v>
      </c>
      <c r="CL192" s="485">
        <f>CL191/CL159</f>
        <v>0.11687128117878673</v>
      </c>
      <c r="CM192" s="1536"/>
      <c r="CO192" s="485">
        <f>CO191/CO159</f>
        <v>0.11813551337664632</v>
      </c>
      <c r="CP192" s="485">
        <f>CP191/CP159</f>
        <v>0.11703000107743318</v>
      </c>
      <c r="CQ192" s="484">
        <f>CQ191/CQ159</f>
        <v>0.12516379707079897</v>
      </c>
      <c r="CR192" s="484">
        <f>CR191/CR159</f>
        <v>0.10465442230353439</v>
      </c>
      <c r="CS192" s="1536"/>
      <c r="CU192" s="485">
        <f>CU191/CU159</f>
        <v>0.10585078691481774</v>
      </c>
      <c r="CV192" s="485">
        <f>CV191/CV159</f>
        <v>0.1061824304620745</v>
      </c>
      <c r="CW192" s="484">
        <f>CW191/CW159</f>
        <v>0.11603793045929868</v>
      </c>
      <c r="CX192" s="484">
        <f>CX191/CX159</f>
        <v>9.7354911829792917E-2</v>
      </c>
      <c r="CY192" s="1536"/>
      <c r="DA192" s="485">
        <f>DA191/DA159</f>
        <v>0.10270905071379106</v>
      </c>
      <c r="DB192" s="485">
        <f>DB191/DB159</f>
        <v>0.10931728784547654</v>
      </c>
      <c r="DC192" s="484">
        <f>DC191/DC159</f>
        <v>0.13220313281946919</v>
      </c>
      <c r="DD192" s="484">
        <f>DD191/DD159</f>
        <v>0.1232273928232393</v>
      </c>
      <c r="DE192" s="1536"/>
      <c r="DG192" s="484"/>
      <c r="DH192" s="484"/>
      <c r="DI192" s="484"/>
      <c r="DJ192" s="484"/>
      <c r="DK192" s="1536"/>
      <c r="DM192" s="484"/>
      <c r="DN192" s="484"/>
      <c r="DO192" s="484"/>
      <c r="DP192" s="484"/>
      <c r="DQ192" s="1536"/>
      <c r="DS192" s="484"/>
      <c r="DT192" s="484"/>
      <c r="DU192" s="484"/>
      <c r="DV192" s="484"/>
      <c r="DW192" s="1536"/>
      <c r="EK192" s="656"/>
      <c r="EL192" s="656"/>
    </row>
    <row r="193" spans="1:142" s="475" customFormat="1">
      <c r="A193" s="1631" t="s">
        <v>1076</v>
      </c>
      <c r="G193" s="476"/>
      <c r="M193" s="476"/>
      <c r="P193" s="484"/>
      <c r="Q193" s="484"/>
      <c r="R193" s="484"/>
      <c r="S193" s="484"/>
      <c r="U193" s="484"/>
      <c r="V193" s="484"/>
      <c r="W193" s="484"/>
      <c r="X193" s="484"/>
      <c r="Y193" s="484"/>
      <c r="AA193" s="484"/>
      <c r="AB193" s="484"/>
      <c r="AC193" s="484"/>
      <c r="AD193" s="484"/>
      <c r="AE193" s="484"/>
      <c r="AG193" s="484"/>
      <c r="AH193" s="484"/>
      <c r="AI193" s="484"/>
      <c r="AJ193" s="484"/>
      <c r="AK193" s="484"/>
      <c r="AM193" s="484"/>
      <c r="AN193" s="484"/>
      <c r="AO193" s="484"/>
      <c r="AP193" s="484"/>
      <c r="AQ193" s="1536"/>
      <c r="AS193" s="484"/>
      <c r="AT193" s="484"/>
      <c r="AU193" s="484"/>
      <c r="AV193" s="484"/>
      <c r="AW193" s="1536"/>
      <c r="AY193" s="484"/>
      <c r="AZ193" s="484"/>
      <c r="BA193" s="484"/>
      <c r="BB193" s="484"/>
      <c r="BC193" s="1536"/>
      <c r="BE193" s="484"/>
      <c r="BF193" s="484"/>
      <c r="BG193" s="484"/>
      <c r="BH193" s="484"/>
      <c r="BI193" s="1536"/>
      <c r="BK193" s="484"/>
      <c r="BL193" s="484"/>
      <c r="BM193" s="484"/>
      <c r="BN193" s="484"/>
      <c r="BO193" s="1536"/>
      <c r="BQ193" s="485"/>
      <c r="BR193" s="485"/>
      <c r="BS193" s="485"/>
      <c r="BT193" s="485"/>
      <c r="BU193" s="1536"/>
      <c r="BW193" s="485">
        <f>BW191/BQ191-1</f>
        <v>0.5340121837342704</v>
      </c>
      <c r="BX193" s="485">
        <f>BX191/BR191-1</f>
        <v>0.51259831435961511</v>
      </c>
      <c r="BY193" s="485">
        <f>BY191/BS191-1</f>
        <v>0.50406510816758732</v>
      </c>
      <c r="BZ193" s="485">
        <f>BZ191/BT191-1</f>
        <v>0.44034084475144364</v>
      </c>
      <c r="CA193" s="1536"/>
      <c r="CC193" s="485">
        <f>CC191/BW191-1</f>
        <v>0.3114173410940797</v>
      </c>
      <c r="CD193" s="485">
        <f>CD191/BX191-1</f>
        <v>0.31079909963880858</v>
      </c>
      <c r="CE193" s="485">
        <f>CE191/BY191-1</f>
        <v>0.29934515658818839</v>
      </c>
      <c r="CF193" s="485">
        <f>CF191/BZ191-1</f>
        <v>0.27723640194502219</v>
      </c>
      <c r="CG193" s="1536"/>
      <c r="CI193" s="485">
        <f>CI191/CC191-1</f>
        <v>0.35255891675397533</v>
      </c>
      <c r="CJ193" s="485">
        <f>CJ191/CD191-1</f>
        <v>0.3777837926581975</v>
      </c>
      <c r="CK193" s="485">
        <f>CK191/CE191-1</f>
        <v>0.31483425191329539</v>
      </c>
      <c r="CL193" s="485">
        <f>CL191/CF191-1</f>
        <v>0.19470023390373004</v>
      </c>
      <c r="CM193" s="1536"/>
      <c r="CO193" s="485">
        <f>CO191/CI191-1</f>
        <v>0.18027787855314892</v>
      </c>
      <c r="CP193" s="485">
        <f>CP191/CJ191-1</f>
        <v>0.14388725535978253</v>
      </c>
      <c r="CQ193" s="484">
        <f>CQ191/CK191-1</f>
        <v>0.15145952374796368</v>
      </c>
      <c r="CR193" s="484">
        <f>CR191/CL191-1</f>
        <v>0.15700882575699016</v>
      </c>
      <c r="CS193" s="1536"/>
      <c r="CU193" s="485">
        <f>CU191/CO191-1</f>
        <v>0.17450203395556585</v>
      </c>
      <c r="CV193" s="485">
        <f>CV191/CP191-1</f>
        <v>0.1430522122274307</v>
      </c>
      <c r="CW193" s="484">
        <f>CW191/CQ191-1</f>
        <v>0.13834063096440996</v>
      </c>
      <c r="CX193" s="484">
        <f>CX191/CR191-1</f>
        <v>0.20147618729543759</v>
      </c>
      <c r="CY193" s="1536"/>
      <c r="DA193" s="485">
        <f>DA191/CU191-1</f>
        <v>0.22113478019970034</v>
      </c>
      <c r="DB193" s="485">
        <f>DB191/CV191-1</f>
        <v>0.2974544021478096</v>
      </c>
      <c r="DC193" s="484">
        <f>DC191/CW191-1</f>
        <v>0.43168839750670651</v>
      </c>
      <c r="DD193" s="484">
        <f>DD191/CX191-1</f>
        <v>0.62014680728439897</v>
      </c>
      <c r="DE193" s="1536"/>
      <c r="DG193" s="484"/>
      <c r="DH193" s="484"/>
      <c r="DI193" s="484"/>
      <c r="DJ193" s="484"/>
      <c r="DK193" s="1536"/>
      <c r="DM193" s="484"/>
      <c r="DN193" s="484"/>
      <c r="DO193" s="484"/>
      <c r="DP193" s="484"/>
      <c r="DQ193" s="1536"/>
      <c r="DS193" s="484"/>
      <c r="DT193" s="484"/>
      <c r="DU193" s="484"/>
      <c r="DV193" s="484"/>
      <c r="DW193" s="1536"/>
      <c r="EK193" s="656"/>
      <c r="EL193" s="656"/>
    </row>
    <row r="194" spans="1:142" s="475" customFormat="1">
      <c r="A194" s="1635" t="s">
        <v>1078</v>
      </c>
      <c r="G194" s="476"/>
      <c r="M194" s="476"/>
      <c r="P194" s="484"/>
      <c r="Q194" s="484"/>
      <c r="R194" s="484"/>
      <c r="S194" s="484"/>
      <c r="U194" s="484"/>
      <c r="V194" s="484"/>
      <c r="W194" s="484"/>
      <c r="X194" s="484"/>
      <c r="Y194" s="484"/>
      <c r="AA194" s="484"/>
      <c r="AB194" s="484"/>
      <c r="AC194" s="484"/>
      <c r="AD194" s="484"/>
      <c r="AE194" s="484"/>
      <c r="AG194" s="484"/>
      <c r="AH194" s="484"/>
      <c r="AI194" s="484"/>
      <c r="AJ194" s="484"/>
      <c r="AK194" s="484"/>
      <c r="AM194" s="484"/>
      <c r="AN194" s="484"/>
      <c r="AO194" s="484"/>
      <c r="AP194" s="484"/>
      <c r="AQ194" s="1536"/>
      <c r="AS194" s="484"/>
      <c r="AT194" s="484"/>
      <c r="AU194" s="484"/>
      <c r="AV194" s="484"/>
      <c r="AW194" s="1536"/>
      <c r="AY194" s="484"/>
      <c r="AZ194" s="484"/>
      <c r="BA194" s="484"/>
      <c r="BB194" s="484"/>
      <c r="BC194" s="1536"/>
      <c r="BE194" s="484"/>
      <c r="BF194" s="484"/>
      <c r="BG194" s="484"/>
      <c r="BH194" s="484"/>
      <c r="BI194" s="1536"/>
      <c r="BK194" s="484"/>
      <c r="BL194" s="484"/>
      <c r="BM194" s="484"/>
      <c r="BN194" s="484"/>
      <c r="BO194" s="1536"/>
      <c r="BQ194" s="484">
        <f>BQ183/BQ188</f>
        <v>1.4106549469396503</v>
      </c>
      <c r="BR194" s="484">
        <f>BR183/BR188</f>
        <v>1.3892462269306765</v>
      </c>
      <c r="BS194" s="484">
        <f>BS183/BS188</f>
        <v>1.4768594701332896</v>
      </c>
      <c r="BT194" s="484">
        <f>BT183/BT188</f>
        <v>1.2600417151850951</v>
      </c>
      <c r="BU194" s="1536"/>
      <c r="BW194" s="484">
        <f>BW183/BW188</f>
        <v>1.1954205857271951</v>
      </c>
      <c r="BX194" s="484">
        <f>BX183/BX188</f>
        <v>1.2325801843916375</v>
      </c>
      <c r="BY194" s="484">
        <f>BY183/BY188</f>
        <v>1.2553297469615461</v>
      </c>
      <c r="BZ194" s="484">
        <f>BZ183/BZ188</f>
        <v>1.2697043236202068</v>
      </c>
      <c r="CA194" s="1536"/>
      <c r="CC194" s="484">
        <f>CC183/CC188</f>
        <v>1.1198481866741636</v>
      </c>
      <c r="CD194" s="484">
        <f>CD183/CD188</f>
        <v>1.1288351091967053</v>
      </c>
      <c r="CE194" s="484">
        <f>CE183/CE188</f>
        <v>1.1535695002425119</v>
      </c>
      <c r="CF194" s="484">
        <f>CF183/CF188</f>
        <v>1.1173082061006523</v>
      </c>
      <c r="CG194" s="1536"/>
      <c r="CI194" s="484">
        <f>CI183/CI188</f>
        <v>1.1326228331253876</v>
      </c>
      <c r="CJ194" s="484">
        <f>CJ183/CJ188</f>
        <v>1.1981240266175848</v>
      </c>
      <c r="CK194" s="484">
        <f>CK183/CK188</f>
        <v>1.2634840050036942</v>
      </c>
      <c r="CL194" s="484">
        <f>CL183/CL188</f>
        <v>1.3844689058699231</v>
      </c>
      <c r="CM194" s="1536"/>
      <c r="CO194" s="484">
        <f>CO183/CO188</f>
        <v>1.35997725757754</v>
      </c>
      <c r="CP194" s="484">
        <f>CP183/CP188</f>
        <v>1.468774110140334</v>
      </c>
      <c r="CQ194" s="484">
        <f>CQ183/CQ188</f>
        <v>1.4049086380419449</v>
      </c>
      <c r="CR194" s="484">
        <f>CR183/CR188</f>
        <v>1.3645514707043691</v>
      </c>
      <c r="CS194" s="1536"/>
      <c r="CU194" s="484">
        <f>CU183/CU188</f>
        <v>1.3531027212960136</v>
      </c>
      <c r="CV194" s="484">
        <f>CV183/CV188</f>
        <v>1.3988596413483412</v>
      </c>
      <c r="CW194" s="484">
        <f>CW183/CW188</f>
        <v>1.416410965270289</v>
      </c>
      <c r="CX194" s="484">
        <f>CX183/CX188</f>
        <v>1.3683184916326163</v>
      </c>
      <c r="CY194" s="1536"/>
      <c r="DA194" s="484">
        <f>DA183/DA188</f>
        <v>1.3487961833411184</v>
      </c>
      <c r="DB194" s="484">
        <f>DB183/DB188</f>
        <v>1.3491740697135111</v>
      </c>
      <c r="DC194" s="484">
        <f>DC183/DC188</f>
        <v>1.2950111460688367</v>
      </c>
      <c r="DD194" s="484">
        <f>DD183/DD188</f>
        <v>1.1149368007257332</v>
      </c>
      <c r="DE194" s="1536"/>
      <c r="DG194" s="484"/>
      <c r="DH194" s="484"/>
      <c r="DI194" s="484"/>
      <c r="DJ194" s="484"/>
      <c r="DK194" s="1536"/>
      <c r="DM194" s="484"/>
      <c r="DN194" s="484"/>
      <c r="DO194" s="484"/>
      <c r="DP194" s="484"/>
      <c r="DQ194" s="1536"/>
      <c r="DS194" s="484"/>
      <c r="DT194" s="484"/>
      <c r="DU194" s="484"/>
      <c r="DV194" s="484"/>
      <c r="DW194" s="1536"/>
      <c r="EK194" s="656"/>
      <c r="EL194" s="656"/>
    </row>
    <row r="195" spans="1:142" s="475" customFormat="1">
      <c r="A195" s="500"/>
      <c r="G195" s="476"/>
      <c r="M195" s="476"/>
      <c r="P195" s="484"/>
      <c r="Q195" s="484"/>
      <c r="R195" s="484"/>
      <c r="S195" s="484"/>
      <c r="U195" s="484"/>
      <c r="V195" s="484"/>
      <c r="W195" s="484"/>
      <c r="X195" s="484"/>
      <c r="Y195" s="484"/>
      <c r="AA195" s="484"/>
      <c r="AB195" s="484"/>
      <c r="AC195" s="484"/>
      <c r="AD195" s="484"/>
      <c r="AE195" s="484"/>
      <c r="AG195" s="484"/>
      <c r="AH195" s="484"/>
      <c r="AI195" s="484"/>
      <c r="AJ195" s="484"/>
      <c r="AK195" s="484"/>
      <c r="AM195" s="484"/>
      <c r="AN195" s="484"/>
      <c r="AO195" s="484"/>
      <c r="AP195" s="484"/>
      <c r="AQ195" s="1536"/>
      <c r="AS195" s="484"/>
      <c r="AT195" s="484"/>
      <c r="AU195" s="484"/>
      <c r="AV195" s="484"/>
      <c r="AW195" s="1536"/>
      <c r="AY195" s="484"/>
      <c r="AZ195" s="484"/>
      <c r="BA195" s="484"/>
      <c r="BB195" s="484"/>
      <c r="BC195" s="1536"/>
      <c r="BE195" s="484"/>
      <c r="BF195" s="484"/>
      <c r="BG195" s="484"/>
      <c r="BH195" s="484"/>
      <c r="BI195" s="1536"/>
      <c r="BK195" s="484"/>
      <c r="BL195" s="484"/>
      <c r="BM195" s="484"/>
      <c r="BN195" s="484"/>
      <c r="BO195" s="1536"/>
      <c r="BQ195" s="484"/>
      <c r="BR195" s="484"/>
      <c r="BS195" s="484"/>
      <c r="BT195" s="484"/>
      <c r="BU195" s="1536"/>
      <c r="BW195" s="484"/>
      <c r="BX195" s="484"/>
      <c r="BY195" s="484"/>
      <c r="BZ195" s="484"/>
      <c r="CA195" s="1536"/>
      <c r="CC195" s="484"/>
      <c r="CD195" s="484"/>
      <c r="CE195" s="484"/>
      <c r="CF195" s="484"/>
      <c r="CG195" s="1536"/>
      <c r="CI195" s="484"/>
      <c r="CJ195" s="484"/>
      <c r="CK195" s="484"/>
      <c r="CL195" s="484"/>
      <c r="CM195" s="1536"/>
      <c r="CO195" s="484"/>
      <c r="CP195" s="484"/>
      <c r="CQ195" s="484"/>
      <c r="CR195" s="484"/>
      <c r="CS195" s="1536"/>
      <c r="CU195" s="484"/>
      <c r="CV195" s="484"/>
      <c r="CW195" s="484"/>
      <c r="CX195" s="484"/>
      <c r="CY195" s="1536"/>
      <c r="DA195" s="484"/>
      <c r="DB195" s="484"/>
      <c r="DC195" s="484"/>
      <c r="DD195" s="484"/>
      <c r="DE195" s="1536"/>
      <c r="DG195" s="484"/>
      <c r="DH195" s="484"/>
      <c r="DI195" s="484"/>
      <c r="DJ195" s="484"/>
      <c r="DK195" s="1536"/>
      <c r="DM195" s="484"/>
      <c r="DN195" s="484"/>
      <c r="DO195" s="484"/>
      <c r="DP195" s="484"/>
      <c r="DQ195" s="1536"/>
      <c r="DS195" s="484"/>
      <c r="DT195" s="484"/>
      <c r="DU195" s="484"/>
      <c r="DV195" s="484"/>
      <c r="DW195" s="1536"/>
      <c r="EK195" s="656"/>
      <c r="EL195" s="656"/>
    </row>
    <row r="196" spans="1:142" s="475" customFormat="1" ht="4.5" customHeight="1">
      <c r="G196" s="476"/>
      <c r="M196" s="476"/>
      <c r="S196" s="476"/>
      <c r="Y196" s="476"/>
      <c r="AE196" s="476"/>
      <c r="AK196" s="476"/>
      <c r="AQ196" s="481"/>
      <c r="AW196" s="481"/>
      <c r="BC196" s="481"/>
      <c r="BI196" s="481"/>
      <c r="BO196" s="481"/>
      <c r="BU196" s="481"/>
      <c r="CA196" s="481"/>
      <c r="CG196" s="481"/>
      <c r="CM196" s="481"/>
      <c r="CS196" s="481"/>
      <c r="CY196" s="481"/>
      <c r="DE196" s="481"/>
      <c r="DK196" s="481"/>
      <c r="DQ196" s="481"/>
      <c r="DW196" s="481"/>
      <c r="EK196" s="656"/>
      <c r="EL196" s="656"/>
    </row>
    <row r="197" spans="1:142" s="475" customFormat="1" ht="15">
      <c r="A197" s="425" t="s">
        <v>803</v>
      </c>
      <c r="B197" s="425"/>
      <c r="C197" s="425"/>
      <c r="D197" s="425"/>
      <c r="E197" s="425"/>
      <c r="F197" s="425"/>
      <c r="G197" s="425"/>
      <c r="H197" s="425"/>
      <c r="I197" s="426"/>
      <c r="J197" s="426"/>
      <c r="K197" s="426"/>
      <c r="L197" s="426"/>
      <c r="M197" s="425"/>
      <c r="N197" s="425"/>
      <c r="O197" s="426"/>
      <c r="P197" s="426"/>
      <c r="Q197" s="426"/>
      <c r="R197" s="426"/>
      <c r="S197" s="425"/>
      <c r="T197" s="426"/>
      <c r="U197" s="426"/>
      <c r="V197" s="426"/>
      <c r="W197" s="426"/>
      <c r="X197" s="426"/>
      <c r="Y197" s="425"/>
      <c r="Z197" s="426"/>
      <c r="AA197" s="426"/>
      <c r="AB197" s="426"/>
      <c r="AC197" s="426"/>
      <c r="AD197" s="426"/>
      <c r="AE197" s="425"/>
      <c r="AF197" s="426"/>
      <c r="AG197" s="426"/>
      <c r="AH197" s="426"/>
      <c r="AI197" s="426"/>
      <c r="AJ197" s="426"/>
      <c r="AK197" s="425"/>
      <c r="AL197" s="426"/>
      <c r="AM197" s="426"/>
      <c r="AN197" s="426"/>
      <c r="AO197" s="426"/>
      <c r="AP197" s="426"/>
      <c r="AQ197" s="427"/>
      <c r="AR197" s="426"/>
      <c r="AS197" s="426"/>
      <c r="AT197" s="426"/>
      <c r="AU197" s="426"/>
      <c r="AV197" s="426"/>
      <c r="AW197" s="427"/>
      <c r="AX197" s="426"/>
      <c r="AY197" s="426"/>
      <c r="AZ197" s="426"/>
      <c r="BA197" s="426"/>
      <c r="BB197" s="426"/>
      <c r="BC197" s="427"/>
      <c r="BD197" s="426"/>
      <c r="BE197" s="426"/>
      <c r="BF197" s="426"/>
      <c r="BG197" s="426"/>
      <c r="BH197" s="426"/>
      <c r="BI197" s="427"/>
      <c r="BJ197" s="426"/>
      <c r="BK197" s="426"/>
      <c r="BL197" s="426"/>
      <c r="BM197" s="426"/>
      <c r="BN197" s="426"/>
      <c r="BO197" s="428"/>
      <c r="BP197" s="426"/>
      <c r="BQ197" s="426"/>
      <c r="BR197" s="426"/>
      <c r="BS197" s="426"/>
      <c r="BT197" s="426"/>
      <c r="BU197" s="429"/>
      <c r="BV197" s="426"/>
      <c r="BW197" s="426"/>
      <c r="BX197" s="426"/>
      <c r="BY197" s="426"/>
      <c r="BZ197" s="426"/>
      <c r="CA197" s="429"/>
      <c r="CB197" s="426"/>
      <c r="CC197" s="426"/>
      <c r="CD197" s="426"/>
      <c r="CE197" s="426"/>
      <c r="CF197" s="426"/>
      <c r="CG197" s="429"/>
      <c r="CH197" s="426"/>
      <c r="CI197" s="426"/>
      <c r="CJ197" s="426"/>
      <c r="CK197" s="426"/>
      <c r="CL197" s="426"/>
      <c r="CM197" s="429"/>
      <c r="CN197" s="426"/>
      <c r="CO197" s="426"/>
      <c r="CP197" s="426"/>
      <c r="CQ197" s="426"/>
      <c r="CR197" s="426"/>
      <c r="CS197" s="429"/>
      <c r="CT197" s="426"/>
      <c r="CU197" s="426"/>
      <c r="CV197" s="426"/>
      <c r="CW197" s="426"/>
      <c r="CX197" s="426"/>
      <c r="CY197" s="429"/>
      <c r="CZ197" s="426"/>
      <c r="DA197" s="426"/>
      <c r="DB197" s="426"/>
      <c r="DC197" s="426"/>
      <c r="DD197" s="426"/>
      <c r="DE197" s="429"/>
      <c r="DF197" s="426"/>
      <c r="DG197" s="426"/>
      <c r="DH197" s="426"/>
      <c r="DI197" s="426"/>
      <c r="DJ197" s="426"/>
      <c r="DK197" s="429"/>
      <c r="DL197" s="426"/>
      <c r="DM197" s="426"/>
      <c r="DN197" s="426"/>
      <c r="DO197" s="426"/>
      <c r="DP197" s="426"/>
      <c r="DQ197" s="429"/>
      <c r="DR197" s="426"/>
      <c r="DS197" s="426"/>
      <c r="DT197" s="426"/>
      <c r="DU197" s="426"/>
      <c r="DV197" s="426"/>
      <c r="DW197" s="429"/>
      <c r="EK197" s="656"/>
      <c r="EL197" s="656"/>
    </row>
    <row r="198" spans="1:142" s="499" customFormat="1">
      <c r="A198" s="499" t="s">
        <v>234</v>
      </c>
      <c r="C198" s="1537">
        <f>53+(F198-53)/4</f>
        <v>83.75</v>
      </c>
      <c r="D198" s="1537">
        <f>C198+(F198-53)/4</f>
        <v>114.5</v>
      </c>
      <c r="E198" s="1537">
        <f>D198+(F198-53)/4</f>
        <v>145.25</v>
      </c>
      <c r="F198" s="1537">
        <v>176</v>
      </c>
      <c r="G198" s="1537"/>
      <c r="H198" s="1537"/>
      <c r="I198" s="1537">
        <f>F198+(L198-F198)/4</f>
        <v>171.75</v>
      </c>
      <c r="J198" s="1537">
        <f>I198+(L198-F198)/4</f>
        <v>167.5</v>
      </c>
      <c r="K198" s="1537">
        <f>J198+(L198-F198)/4</f>
        <v>163.25</v>
      </c>
      <c r="L198" s="1537">
        <v>159</v>
      </c>
      <c r="M198" s="1537"/>
      <c r="N198" s="1537"/>
      <c r="O198" s="1537">
        <v>209</v>
      </c>
      <c r="P198" s="1537">
        <v>255</v>
      </c>
      <c r="Q198" s="1537">
        <v>306</v>
      </c>
      <c r="R198" s="1537">
        <v>311</v>
      </c>
      <c r="S198" s="1537"/>
      <c r="T198" s="1537"/>
      <c r="U198" s="1537">
        <v>329</v>
      </c>
      <c r="V198" s="1537">
        <v>357</v>
      </c>
      <c r="W198" s="1537">
        <v>412</v>
      </c>
      <c r="X198" s="1537">
        <v>444</v>
      </c>
      <c r="Y198" s="1537"/>
      <c r="Z198" s="1537"/>
      <c r="AA198" s="1537">
        <v>518</v>
      </c>
      <c r="AB198" s="1537">
        <v>594</v>
      </c>
      <c r="AC198" s="1537">
        <v>679</v>
      </c>
      <c r="AD198" s="1537">
        <v>767</v>
      </c>
      <c r="AE198" s="1537"/>
      <c r="AF198" s="1537"/>
      <c r="AG198" s="1537">
        <v>877</v>
      </c>
      <c r="AH198" s="1537">
        <v>1059</v>
      </c>
      <c r="AI198" s="1537">
        <v>1116</v>
      </c>
      <c r="AJ198" s="1537">
        <v>1304</v>
      </c>
      <c r="AK198" s="1537"/>
      <c r="AL198" s="1537"/>
      <c r="AM198" s="1537">
        <v>1480</v>
      </c>
      <c r="AN198" s="1537">
        <v>1625</v>
      </c>
      <c r="AO198" s="1537">
        <v>1807</v>
      </c>
      <c r="AP198" s="1537">
        <v>2070</v>
      </c>
      <c r="AQ198" s="1538"/>
      <c r="AR198" s="1537"/>
      <c r="AS198" s="1537">
        <v>2243</v>
      </c>
      <c r="AT198" s="1537">
        <v>2302</v>
      </c>
      <c r="AU198" s="1537">
        <v>2461</v>
      </c>
      <c r="AV198" s="1537">
        <v>2606</v>
      </c>
      <c r="AW198" s="507"/>
      <c r="AX198" s="1537"/>
      <c r="AY198" s="1537">
        <v>2864</v>
      </c>
      <c r="AZ198" s="1537">
        <v>3046</v>
      </c>
      <c r="BA198" s="1537">
        <v>3318</v>
      </c>
      <c r="BB198" s="1537">
        <v>3566</v>
      </c>
      <c r="BC198" s="507"/>
      <c r="BD198" s="1537"/>
      <c r="BE198" s="1537">
        <v>3607</v>
      </c>
      <c r="BF198" s="1537">
        <v>3653</v>
      </c>
      <c r="BG198" s="1537">
        <v>3814</v>
      </c>
      <c r="BH198" s="1537">
        <v>3969</v>
      </c>
      <c r="BI198" s="507"/>
      <c r="BK198" s="1537">
        <v>4106</v>
      </c>
      <c r="BL198" s="1537">
        <v>4447</v>
      </c>
      <c r="BM198" s="1537">
        <v>4758</v>
      </c>
      <c r="BN198" s="1537">
        <v>5306</v>
      </c>
      <c r="BO198" s="507"/>
      <c r="BQ198" s="1537">
        <v>5513</v>
      </c>
      <c r="BR198" s="1537">
        <v>6352</v>
      </c>
      <c r="BS198" s="1537">
        <v>6953</v>
      </c>
      <c r="BT198" s="1537">
        <v>7785</v>
      </c>
      <c r="BU198" s="507"/>
      <c r="BW198" s="1537">
        <v>8335</v>
      </c>
      <c r="BX198" s="1537">
        <f>BW198+BX200</f>
        <v>8765</v>
      </c>
      <c r="BY198" s="1537">
        <f>BX198+BY200</f>
        <v>9319</v>
      </c>
      <c r="BZ198" s="1537">
        <v>9801</v>
      </c>
      <c r="CA198" s="507"/>
      <c r="CC198" s="1537">
        <v>10283</v>
      </c>
      <c r="CD198" s="1537">
        <v>12571</v>
      </c>
      <c r="CE198" s="1537">
        <v>12770</v>
      </c>
      <c r="CF198" s="1537">
        <v>13312</v>
      </c>
      <c r="CG198" s="507"/>
      <c r="CI198" s="1537">
        <v>14239</v>
      </c>
      <c r="CJ198" s="1537">
        <v>15145</v>
      </c>
      <c r="CK198" s="1537">
        <v>15458</v>
      </c>
      <c r="CL198" s="1537">
        <v>16227</v>
      </c>
      <c r="CM198" s="507"/>
      <c r="CO198" s="1537">
        <v>16852</v>
      </c>
      <c r="CP198" s="1537">
        <v>17622</v>
      </c>
      <c r="CQ198" s="1537">
        <v>18726</v>
      </c>
      <c r="CR198" s="1537">
        <v>19742</v>
      </c>
      <c r="CS198" s="507"/>
      <c r="CU198" s="1804">
        <v>21119</v>
      </c>
      <c r="CV198" s="1537">
        <v>23247</v>
      </c>
      <c r="CW198" s="1537">
        <v>23939</v>
      </c>
      <c r="CX198" s="1537">
        <v>25178</v>
      </c>
      <c r="CY198" s="507"/>
      <c r="DA198" s="1537">
        <v>26213</v>
      </c>
      <c r="DB198" s="1537">
        <v>27155</v>
      </c>
      <c r="DC198" s="1537">
        <v>28527</v>
      </c>
      <c r="DD198" s="1537">
        <v>29401</v>
      </c>
      <c r="DE198" s="507"/>
      <c r="DG198" s="1537">
        <f>DD198+DG200</f>
        <v>30101</v>
      </c>
      <c r="DH198" s="1537">
        <f>DG198+DH200</f>
        <v>30801</v>
      </c>
      <c r="DI198" s="1537">
        <f>DH198+DI200</f>
        <v>31501</v>
      </c>
      <c r="DJ198" s="1537">
        <f>DI198+DJ200</f>
        <v>32201</v>
      </c>
      <c r="DK198" s="507"/>
      <c r="DM198" s="1537">
        <f>DJ198+DM200</f>
        <v>32901</v>
      </c>
      <c r="DN198" s="1537">
        <f>DM198+DN200</f>
        <v>33601</v>
      </c>
      <c r="DO198" s="1537">
        <f>DN198+DO200</f>
        <v>34301</v>
      </c>
      <c r="DP198" s="1537">
        <f>DO198+DP200</f>
        <v>35001</v>
      </c>
      <c r="DQ198" s="507"/>
      <c r="DS198" s="1537">
        <f>DP198+DS200</f>
        <v>35701</v>
      </c>
      <c r="DT198" s="1537">
        <f>DS198+DT200</f>
        <v>36401</v>
      </c>
      <c r="DU198" s="1537">
        <f>DT198+DU200</f>
        <v>37101</v>
      </c>
      <c r="DV198" s="1537">
        <f>DU198+DV200</f>
        <v>37801</v>
      </c>
      <c r="DW198" s="507"/>
      <c r="EK198" s="656"/>
      <c r="EL198" s="656"/>
    </row>
    <row r="199" spans="1:142" s="475" customFormat="1">
      <c r="A199" s="475" t="s">
        <v>492</v>
      </c>
      <c r="C199" s="1539" t="s">
        <v>88</v>
      </c>
      <c r="D199" s="1539" t="s">
        <v>88</v>
      </c>
      <c r="E199" s="1539" t="s">
        <v>88</v>
      </c>
      <c r="F199" s="1540">
        <f>F198-53</f>
        <v>123</v>
      </c>
      <c r="G199" s="476"/>
      <c r="I199" s="1540">
        <f>I198-C198</f>
        <v>88</v>
      </c>
      <c r="J199" s="1540">
        <f>J198-D198</f>
        <v>53</v>
      </c>
      <c r="K199" s="1540">
        <f>K198-E198</f>
        <v>18</v>
      </c>
      <c r="L199" s="1540">
        <f>L198-F198</f>
        <v>-17</v>
      </c>
      <c r="M199" s="476"/>
      <c r="O199" s="1540">
        <f>O198-I198</f>
        <v>37.25</v>
      </c>
      <c r="P199" s="1540">
        <f>P198-J198</f>
        <v>87.5</v>
      </c>
      <c r="Q199" s="1540">
        <f>Q198-K198</f>
        <v>142.75</v>
      </c>
      <c r="R199" s="1540">
        <f>R198-L198</f>
        <v>152</v>
      </c>
      <c r="S199" s="476"/>
      <c r="U199" s="1540">
        <f>U198-O198</f>
        <v>120</v>
      </c>
      <c r="V199" s="1540">
        <f>V198-P198</f>
        <v>102</v>
      </c>
      <c r="W199" s="1540">
        <f>W198-Q198</f>
        <v>106</v>
      </c>
      <c r="X199" s="1540">
        <f>X198-R198</f>
        <v>133</v>
      </c>
      <c r="Y199" s="476"/>
      <c r="AA199" s="1540">
        <f>AA198-U198</f>
        <v>189</v>
      </c>
      <c r="AB199" s="1540">
        <f>AB198-V198</f>
        <v>237</v>
      </c>
      <c r="AC199" s="1540">
        <f>AC198-W198</f>
        <v>267</v>
      </c>
      <c r="AD199" s="1540">
        <f>AD198-X198</f>
        <v>323</v>
      </c>
      <c r="AE199" s="476"/>
      <c r="AG199" s="1540">
        <f>AG198-AA198</f>
        <v>359</v>
      </c>
      <c r="AH199" s="1540">
        <f>AH198-AB198</f>
        <v>465</v>
      </c>
      <c r="AI199" s="1540">
        <f>AI198-AC198</f>
        <v>437</v>
      </c>
      <c r="AJ199" s="1540">
        <f>AJ198-AD198</f>
        <v>537</v>
      </c>
      <c r="AK199" s="476"/>
      <c r="AM199" s="1540">
        <f>AM198-AG198</f>
        <v>603</v>
      </c>
      <c r="AN199" s="1540">
        <f>AN198-AH198</f>
        <v>566</v>
      </c>
      <c r="AO199" s="1540">
        <f>AO198-AI198</f>
        <v>691</v>
      </c>
      <c r="AP199" s="1540">
        <f>AP198-AJ198</f>
        <v>766</v>
      </c>
      <c r="AQ199" s="481"/>
      <c r="AS199" s="1540">
        <f>AS198-AM198</f>
        <v>763</v>
      </c>
      <c r="AT199" s="1540">
        <f>AT198-AN198</f>
        <v>677</v>
      </c>
      <c r="AU199" s="1540">
        <f>AU198-AO198</f>
        <v>654</v>
      </c>
      <c r="AV199" s="1540">
        <f>AV198-AP198</f>
        <v>536</v>
      </c>
      <c r="AW199" s="481"/>
      <c r="AY199" s="1540">
        <f>AY198-AT198</f>
        <v>562</v>
      </c>
      <c r="AZ199" s="1540">
        <f>AZ198-AU198</f>
        <v>585</v>
      </c>
      <c r="BA199" s="1540">
        <f>BA198-AV198</f>
        <v>712</v>
      </c>
      <c r="BB199" s="1540">
        <f>BB198-AY198</f>
        <v>702</v>
      </c>
      <c r="BC199" s="481"/>
      <c r="BE199" s="1540">
        <f>BE198-AZ198</f>
        <v>561</v>
      </c>
      <c r="BF199" s="1540">
        <f>BF198-BA198</f>
        <v>335</v>
      </c>
      <c r="BG199" s="1540">
        <f>BG198-BB198</f>
        <v>248</v>
      </c>
      <c r="BH199" s="1540">
        <f>BH198-BB198</f>
        <v>403</v>
      </c>
      <c r="BI199" s="481"/>
      <c r="BK199" s="1540">
        <f>BK198-BF198</f>
        <v>453</v>
      </c>
      <c r="BL199" s="1540">
        <f>BL198-BG198</f>
        <v>633</v>
      </c>
      <c r="BM199" s="1540">
        <f>BM198-BH198</f>
        <v>789</v>
      </c>
      <c r="BN199" s="1540">
        <f>BN198-BK198</f>
        <v>1200</v>
      </c>
      <c r="BO199" s="481"/>
      <c r="BQ199" s="1540">
        <f>BQ198-BK198</f>
        <v>1407</v>
      </c>
      <c r="BR199" s="1540">
        <f>BR198-BL198</f>
        <v>1905</v>
      </c>
      <c r="BS199" s="1540">
        <f>BS198-BM198</f>
        <v>2195</v>
      </c>
      <c r="BT199" s="1540">
        <f>BT198-BN198</f>
        <v>2479</v>
      </c>
      <c r="BU199" s="481"/>
      <c r="BW199" s="1540">
        <f>BW198-BQ198</f>
        <v>2822</v>
      </c>
      <c r="BX199" s="1540">
        <f>BX198-BR198</f>
        <v>2413</v>
      </c>
      <c r="BY199" s="1540">
        <f>BY198-BS198</f>
        <v>2366</v>
      </c>
      <c r="BZ199" s="1540">
        <f>BZ198-BT198</f>
        <v>2016</v>
      </c>
      <c r="CA199" s="481"/>
      <c r="CC199" s="1540">
        <f>CC198-BW198</f>
        <v>1948</v>
      </c>
      <c r="CD199" s="1540">
        <f>CD198-BX198</f>
        <v>3806</v>
      </c>
      <c r="CE199" s="1540">
        <f>CE198-BY198</f>
        <v>3451</v>
      </c>
      <c r="CF199" s="1540">
        <f>CF198-BZ198</f>
        <v>3511</v>
      </c>
      <c r="CG199" s="481"/>
      <c r="CI199" s="1540">
        <f>CI198-CC198</f>
        <v>3956</v>
      </c>
      <c r="CJ199" s="1540">
        <f>CJ198-CD198</f>
        <v>2574</v>
      </c>
      <c r="CK199" s="1540">
        <f>CK198-CE198</f>
        <v>2688</v>
      </c>
      <c r="CL199" s="1540">
        <f>CL198-CF198</f>
        <v>2915</v>
      </c>
      <c r="CM199" s="481"/>
      <c r="CO199" s="1540">
        <f>CO198-CI198</f>
        <v>2613</v>
      </c>
      <c r="CP199" s="1540">
        <f>CP198-CJ198</f>
        <v>2477</v>
      </c>
      <c r="CQ199" s="1540">
        <f>CQ198-CK198</f>
        <v>3268</v>
      </c>
      <c r="CR199" s="1540">
        <f>CR198-CL198</f>
        <v>3515</v>
      </c>
      <c r="CS199" s="481"/>
      <c r="CU199" s="1540">
        <f>CU198-CO198</f>
        <v>4267</v>
      </c>
      <c r="CV199" s="1540">
        <f>CV198-CP198</f>
        <v>5625</v>
      </c>
      <c r="CW199" s="1540">
        <f>CW198-CQ198</f>
        <v>5213</v>
      </c>
      <c r="CX199" s="1540">
        <f>CX198-CR198</f>
        <v>5436</v>
      </c>
      <c r="CY199" s="481"/>
      <c r="DA199" s="1540">
        <f>DA198-CU198</f>
        <v>5094</v>
      </c>
      <c r="DB199" s="1540">
        <f>DB198-CV198</f>
        <v>3908</v>
      </c>
      <c r="DC199" s="1540">
        <f>DC198-CW198</f>
        <v>4588</v>
      </c>
      <c r="DD199" s="1540">
        <f>DD198-CX198</f>
        <v>4223</v>
      </c>
      <c r="DE199" s="481"/>
      <c r="DG199" s="1540">
        <f>DG198-DA198</f>
        <v>3888</v>
      </c>
      <c r="DH199" s="1540">
        <f>DH198-DB198</f>
        <v>3646</v>
      </c>
      <c r="DI199" s="1540">
        <f>DI198-DC198</f>
        <v>2974</v>
      </c>
      <c r="DJ199" s="1540">
        <f>DJ198-DD198</f>
        <v>2800</v>
      </c>
      <c r="DK199" s="481"/>
      <c r="DM199" s="1540">
        <f>DM198-DG198</f>
        <v>2800</v>
      </c>
      <c r="DN199" s="1540">
        <f>DN198-DH198</f>
        <v>2800</v>
      </c>
      <c r="DO199" s="1540">
        <f>DO198-DI198</f>
        <v>2800</v>
      </c>
      <c r="DP199" s="1540">
        <f>DP198-DJ198</f>
        <v>2800</v>
      </c>
      <c r="DQ199" s="481"/>
      <c r="DS199" s="1540">
        <f>DS198-DM198</f>
        <v>2800</v>
      </c>
      <c r="DT199" s="1540">
        <f>DT198-DN198</f>
        <v>2800</v>
      </c>
      <c r="DU199" s="1540">
        <f>DU198-DO198</f>
        <v>2800</v>
      </c>
      <c r="DV199" s="1540">
        <f>DV198-DP198</f>
        <v>2800</v>
      </c>
      <c r="DW199" s="481"/>
      <c r="EK199" s="656"/>
      <c r="EL199" s="656"/>
    </row>
    <row r="200" spans="1:142" s="475" customFormat="1">
      <c r="A200" s="475" t="s">
        <v>491</v>
      </c>
      <c r="C200" s="1539" t="s">
        <v>88</v>
      </c>
      <c r="D200" s="1540">
        <f>D198-C198</f>
        <v>30.75</v>
      </c>
      <c r="E200" s="1540">
        <f>E198-D198</f>
        <v>30.75</v>
      </c>
      <c r="F200" s="1540">
        <f>F198-E198</f>
        <v>30.75</v>
      </c>
      <c r="G200" s="476"/>
      <c r="I200" s="1540">
        <f>I198-F198</f>
        <v>-4.25</v>
      </c>
      <c r="J200" s="1540">
        <f>J198-I198</f>
        <v>-4.25</v>
      </c>
      <c r="K200" s="1540">
        <f>K198-J198</f>
        <v>-4.25</v>
      </c>
      <c r="L200" s="1540">
        <f>L198-K198</f>
        <v>-4.25</v>
      </c>
      <c r="M200" s="476"/>
      <c r="O200" s="1540">
        <f>O198-L198</f>
        <v>50</v>
      </c>
      <c r="P200" s="1540">
        <f>P198-O198</f>
        <v>46</v>
      </c>
      <c r="Q200" s="1540">
        <f>Q198-P198</f>
        <v>51</v>
      </c>
      <c r="R200" s="1540">
        <f>R198-Q198</f>
        <v>5</v>
      </c>
      <c r="S200" s="476"/>
      <c r="U200" s="1540">
        <f>U198-R198</f>
        <v>18</v>
      </c>
      <c r="V200" s="1540">
        <f>V198-U198</f>
        <v>28</v>
      </c>
      <c r="W200" s="1540">
        <f>W198-V198</f>
        <v>55</v>
      </c>
      <c r="X200" s="1540">
        <f>X198-W198</f>
        <v>32</v>
      </c>
      <c r="Y200" s="476"/>
      <c r="AA200" s="1540">
        <f>AA198-X198</f>
        <v>74</v>
      </c>
      <c r="AB200" s="1540">
        <f>AB198-AA198</f>
        <v>76</v>
      </c>
      <c r="AC200" s="1540">
        <f>AC198-AB198</f>
        <v>85</v>
      </c>
      <c r="AD200" s="1540">
        <f>AD198-AC198</f>
        <v>88</v>
      </c>
      <c r="AE200" s="476"/>
      <c r="AG200" s="1540">
        <f>AG198-AD198</f>
        <v>110</v>
      </c>
      <c r="AH200" s="1540">
        <f>AH198-AG198</f>
        <v>182</v>
      </c>
      <c r="AI200" s="1540">
        <f>AI198-AH198</f>
        <v>57</v>
      </c>
      <c r="AJ200" s="1540">
        <f>AJ198-AI198</f>
        <v>188</v>
      </c>
      <c r="AK200" s="476"/>
      <c r="AM200" s="1540">
        <f>AM198-AJ198</f>
        <v>176</v>
      </c>
      <c r="AN200" s="1540">
        <f>AN198-AM198</f>
        <v>145</v>
      </c>
      <c r="AO200" s="1540">
        <f>AO198-AN198</f>
        <v>182</v>
      </c>
      <c r="AP200" s="1540">
        <f>AP198-AO198</f>
        <v>263</v>
      </c>
      <c r="AQ200" s="481"/>
      <c r="AS200" s="1540">
        <f>AS198-AP198</f>
        <v>173</v>
      </c>
      <c r="AT200" s="1540">
        <f>AT198-AS198</f>
        <v>59</v>
      </c>
      <c r="AU200" s="1540">
        <f>AU198-AT198</f>
        <v>159</v>
      </c>
      <c r="AV200" s="1540">
        <f>AV198-AU198</f>
        <v>145</v>
      </c>
      <c r="AW200" s="481"/>
      <c r="AY200" s="1540">
        <f>AY198-AV198</f>
        <v>258</v>
      </c>
      <c r="AZ200" s="1540">
        <f>AZ198-AY198</f>
        <v>182</v>
      </c>
      <c r="BA200" s="1540">
        <f>BA198-AZ198</f>
        <v>272</v>
      </c>
      <c r="BB200" s="1540">
        <f>BB198-BA198</f>
        <v>248</v>
      </c>
      <c r="BC200" s="481"/>
      <c r="BE200" s="1540">
        <f>BE198-BB198</f>
        <v>41</v>
      </c>
      <c r="BF200" s="1540">
        <f>BF198-BE198</f>
        <v>46</v>
      </c>
      <c r="BG200" s="1540">
        <f>BG198-BF198</f>
        <v>161</v>
      </c>
      <c r="BH200" s="1540">
        <f>BH198-BG198</f>
        <v>155</v>
      </c>
      <c r="BI200" s="481"/>
      <c r="BK200" s="1540">
        <f>BK198-BH198</f>
        <v>137</v>
      </c>
      <c r="BL200" s="1540">
        <f>BL198-BK198</f>
        <v>341</v>
      </c>
      <c r="BM200" s="1540">
        <f>BM198-BL198</f>
        <v>311</v>
      </c>
      <c r="BN200" s="1540">
        <f>BN198-BM198</f>
        <v>548</v>
      </c>
      <c r="BO200" s="481"/>
      <c r="BQ200" s="1540">
        <f>BQ198-BN198</f>
        <v>207</v>
      </c>
      <c r="BR200" s="1540">
        <f>BR198-BQ198</f>
        <v>839</v>
      </c>
      <c r="BS200" s="1540">
        <f>BS198-BR198</f>
        <v>601</v>
      </c>
      <c r="BT200" s="1540">
        <f>BT198-BS198</f>
        <v>832</v>
      </c>
      <c r="BU200" s="481"/>
      <c r="BW200" s="1540">
        <f>BW198-BT198</f>
        <v>550</v>
      </c>
      <c r="BX200" s="1540">
        <v>430</v>
      </c>
      <c r="BY200" s="1540">
        <f>9319-8765</f>
        <v>554</v>
      </c>
      <c r="BZ200" s="1540">
        <f>BZ198-BY198</f>
        <v>482</v>
      </c>
      <c r="CA200" s="481"/>
      <c r="CC200" s="1540">
        <f>CC198-BZ198</f>
        <v>482</v>
      </c>
      <c r="CD200" s="1540">
        <f>CD198-CC198</f>
        <v>2288</v>
      </c>
      <c r="CE200" s="1540">
        <f>CE198-CD198</f>
        <v>199</v>
      </c>
      <c r="CF200" s="1540">
        <f>CF198-CE198</f>
        <v>542</v>
      </c>
      <c r="CG200" s="481"/>
      <c r="CI200" s="1540">
        <f>CI198-CF198</f>
        <v>927</v>
      </c>
      <c r="CJ200" s="1540">
        <f>CJ198-CI198</f>
        <v>906</v>
      </c>
      <c r="CK200" s="1540">
        <f>CK198-CJ198</f>
        <v>313</v>
      </c>
      <c r="CL200" s="1540">
        <f>CL198-CK198</f>
        <v>769</v>
      </c>
      <c r="CM200" s="481"/>
      <c r="CO200" s="1540">
        <f>CO198-CL198</f>
        <v>625</v>
      </c>
      <c r="CP200" s="1540">
        <f>CP198-CO198</f>
        <v>770</v>
      </c>
      <c r="CQ200" s="1540">
        <f>CQ198-CP198</f>
        <v>1104</v>
      </c>
      <c r="CR200" s="1540">
        <f>CR198-CQ198</f>
        <v>1016</v>
      </c>
      <c r="CS200" s="481"/>
      <c r="CU200" s="1540">
        <f>CU198-CR198</f>
        <v>1377</v>
      </c>
      <c r="CV200" s="1540">
        <f>CV198-CU198</f>
        <v>2128</v>
      </c>
      <c r="CW200" s="1540">
        <f>CW198-CV198</f>
        <v>692</v>
      </c>
      <c r="CX200" s="1540">
        <f>CX198-CW198</f>
        <v>1239</v>
      </c>
      <c r="CY200" s="481"/>
      <c r="DA200" s="1540">
        <f>DA198-CX198</f>
        <v>1035</v>
      </c>
      <c r="DB200" s="1540">
        <f>DB198-DA198</f>
        <v>942</v>
      </c>
      <c r="DC200" s="1540">
        <f>DC198-DB198</f>
        <v>1372</v>
      </c>
      <c r="DD200" s="1540">
        <f>DD198-DC198</f>
        <v>874</v>
      </c>
      <c r="DE200" s="481"/>
      <c r="DG200" s="1541">
        <v>700</v>
      </c>
      <c r="DH200" s="1541">
        <v>700</v>
      </c>
      <c r="DI200" s="1541">
        <v>700</v>
      </c>
      <c r="DJ200" s="1541">
        <v>700</v>
      </c>
      <c r="DK200" s="481"/>
      <c r="DM200" s="1541">
        <v>700</v>
      </c>
      <c r="DN200" s="1541">
        <v>700</v>
      </c>
      <c r="DO200" s="1541">
        <v>700</v>
      </c>
      <c r="DP200" s="1541">
        <v>700</v>
      </c>
      <c r="DQ200" s="481"/>
      <c r="DS200" s="1541">
        <v>700</v>
      </c>
      <c r="DT200" s="1541">
        <v>700</v>
      </c>
      <c r="DU200" s="1541">
        <v>700</v>
      </c>
      <c r="DV200" s="1541">
        <v>700</v>
      </c>
      <c r="DW200" s="481"/>
      <c r="EK200" s="656"/>
      <c r="EL200" s="656"/>
    </row>
    <row r="201" spans="1:142" s="1408" customFormat="1">
      <c r="A201" s="1356" t="s">
        <v>795</v>
      </c>
      <c r="B201" s="1356"/>
      <c r="C201" s="1404" t="s">
        <v>88</v>
      </c>
      <c r="D201" s="1404" t="s">
        <v>88</v>
      </c>
      <c r="E201" s="1404" t="s">
        <v>88</v>
      </c>
      <c r="F201" s="1504">
        <f>F198/53-1</f>
        <v>2.3207547169811322</v>
      </c>
      <c r="H201" s="1356"/>
      <c r="I201" s="1504">
        <f>I198/C198-1</f>
        <v>1.0507462686567166</v>
      </c>
      <c r="J201" s="1504">
        <f>J198/D198-1</f>
        <v>0.46288209606986896</v>
      </c>
      <c r="K201" s="1504">
        <f>K198/E198-1</f>
        <v>0.12392426850258165</v>
      </c>
      <c r="L201" s="1504">
        <f>L198/F198-1</f>
        <v>-9.6590909090909061E-2</v>
      </c>
      <c r="N201" s="1356"/>
      <c r="O201" s="1504">
        <f>O198/I198-1</f>
        <v>0.2168850072780204</v>
      </c>
      <c r="P201" s="1504">
        <f>P198/J198-1</f>
        <v>0.52238805970149249</v>
      </c>
      <c r="Q201" s="1504">
        <f>Q198/K198-1</f>
        <v>0.87442572741194491</v>
      </c>
      <c r="R201" s="1504">
        <f>R198/L198-1</f>
        <v>0.95597484276729561</v>
      </c>
      <c r="T201" s="1356"/>
      <c r="U201" s="1504">
        <f>U198/O198-1</f>
        <v>0.57416267942583743</v>
      </c>
      <c r="V201" s="1504">
        <f>V198/P198-1</f>
        <v>0.39999999999999991</v>
      </c>
      <c r="W201" s="1504">
        <f>W198/Q198-1</f>
        <v>0.34640522875817004</v>
      </c>
      <c r="X201" s="1504">
        <f>X198/R198-1</f>
        <v>0.42765273311897101</v>
      </c>
      <c r="Z201" s="1356"/>
      <c r="AA201" s="1504">
        <f>AA198/U198-1</f>
        <v>0.57446808510638303</v>
      </c>
      <c r="AB201" s="1504">
        <f>AB198/V198-1</f>
        <v>0.66386554621848748</v>
      </c>
      <c r="AC201" s="1504">
        <f>AC198/W198-1</f>
        <v>0.64805825242718451</v>
      </c>
      <c r="AD201" s="1504">
        <f>AD198/X198-1</f>
        <v>0.72747747747747749</v>
      </c>
      <c r="AF201" s="1356"/>
      <c r="AG201" s="1504">
        <f>AG198/AA198-1</f>
        <v>0.69305019305019311</v>
      </c>
      <c r="AH201" s="1504">
        <f>AH198/AB198-1</f>
        <v>0.78282828282828287</v>
      </c>
      <c r="AI201" s="1504">
        <f>AI198/AC198-1</f>
        <v>0.64359351988217961</v>
      </c>
      <c r="AJ201" s="1504">
        <f>AJ198/AD198-1</f>
        <v>0.70013037809647982</v>
      </c>
      <c r="AL201" s="1356"/>
      <c r="AM201" s="1504">
        <f>AM198/AG198-1</f>
        <v>0.68757126567844917</v>
      </c>
      <c r="AN201" s="1504">
        <f>AN198/AH198-1</f>
        <v>0.53446647780925405</v>
      </c>
      <c r="AO201" s="1504">
        <f>AO198/AI198-1</f>
        <v>0.61917562724014341</v>
      </c>
      <c r="AP201" s="1504">
        <f>AP198/AJ198-1</f>
        <v>0.58742331288343563</v>
      </c>
      <c r="AQ201" s="1502"/>
      <c r="AR201" s="1356"/>
      <c r="AS201" s="1504">
        <f>AS198/AM198-1</f>
        <v>0.51554054054054044</v>
      </c>
      <c r="AT201" s="1504">
        <f>AT198/AN198-1</f>
        <v>0.41661538461538461</v>
      </c>
      <c r="AU201" s="1504">
        <f>AU198/AO198-1</f>
        <v>0.36192584394023242</v>
      </c>
      <c r="AV201" s="1504">
        <f>AV198/AP198-1</f>
        <v>0.25893719806763293</v>
      </c>
      <c r="AW201" s="1502"/>
      <c r="AX201" s="1356"/>
      <c r="AY201" s="1504">
        <f>AY198/AS198-1</f>
        <v>0.27686134641105653</v>
      </c>
      <c r="AZ201" s="1504">
        <f>AZ198/AT198-1</f>
        <v>0.32319721980886196</v>
      </c>
      <c r="BA201" s="1504">
        <f>BA198/AU198-1</f>
        <v>0.34823242584315328</v>
      </c>
      <c r="BB201" s="1504">
        <f>BB198/AV198-1</f>
        <v>0.36838066001534919</v>
      </c>
      <c r="BC201" s="1502"/>
      <c r="BD201" s="1356"/>
      <c r="BE201" s="1504">
        <f>BE198/AY198-1</f>
        <v>0.25942737430167595</v>
      </c>
      <c r="BF201" s="1504">
        <f>BF198/AZ198-1</f>
        <v>0.1992777413000657</v>
      </c>
      <c r="BG201" s="1504">
        <f>BG198/BA198-1</f>
        <v>0.14948764315852925</v>
      </c>
      <c r="BH201" s="1504">
        <f>BH198/BB198-1</f>
        <v>0.11301177790241157</v>
      </c>
      <c r="BI201" s="1502"/>
      <c r="BJ201" s="1356"/>
      <c r="BK201" s="1504">
        <f>BK198/BE198-1</f>
        <v>0.13834211255891327</v>
      </c>
      <c r="BL201" s="1504">
        <f>BL198/BF198-1</f>
        <v>0.21735559813851624</v>
      </c>
      <c r="BM201" s="1504">
        <f>BM198/BG198-1</f>
        <v>0.24750917671735717</v>
      </c>
      <c r="BN201" s="1504">
        <f>BN198/BH198-1</f>
        <v>0.33686067019400356</v>
      </c>
      <c r="BO201" s="1502"/>
      <c r="BP201" s="1356"/>
      <c r="BQ201" s="1504">
        <f>BQ198/BK198-1</f>
        <v>0.34266926449098878</v>
      </c>
      <c r="BR201" s="1504">
        <f>BR198/BL198-1</f>
        <v>0.42837868225770181</v>
      </c>
      <c r="BS201" s="1504">
        <f>BS198/BM198-1</f>
        <v>0.46132828919714175</v>
      </c>
      <c r="BT201" s="1504">
        <f>BT198/BN198-1</f>
        <v>0.46720693554466641</v>
      </c>
      <c r="BU201" s="1502"/>
      <c r="BV201" s="1356"/>
      <c r="BW201" s="1504">
        <f>BW198/BQ198-1</f>
        <v>0.51188100852530383</v>
      </c>
      <c r="BX201" s="1504">
        <f>BX198/BR198-1</f>
        <v>0.37988035264483622</v>
      </c>
      <c r="BY201" s="1504">
        <f>BY198/BS198-1</f>
        <v>0.34028476916438954</v>
      </c>
      <c r="BZ201" s="1504">
        <f>BZ198/BT198-1</f>
        <v>0.25895953757225443</v>
      </c>
      <c r="CA201" s="1502"/>
      <c r="CB201" s="1356"/>
      <c r="CC201" s="1504">
        <f>CC198/BW198-1</f>
        <v>0.23371325734853032</v>
      </c>
      <c r="CD201" s="1504">
        <f>CD198/BX198-1</f>
        <v>0.43422703936109519</v>
      </c>
      <c r="CE201" s="1504">
        <f>CE198/BY198-1</f>
        <v>0.37031870372357556</v>
      </c>
      <c r="CF201" s="1504">
        <f>CF198/BZ198-1</f>
        <v>0.3582287521681462</v>
      </c>
      <c r="CG201" s="1502"/>
      <c r="CH201" s="1356"/>
      <c r="CI201" s="1504">
        <f>CI198/CC198-1</f>
        <v>0.38471263250024301</v>
      </c>
      <c r="CJ201" s="1504">
        <f>CJ198/CD198-1</f>
        <v>0.20475698035160295</v>
      </c>
      <c r="CK201" s="1504">
        <f>CK198/CE198-1</f>
        <v>0.21049334377447138</v>
      </c>
      <c r="CL201" s="1504">
        <f>CL198/CF198-1</f>
        <v>0.21897536057692313</v>
      </c>
      <c r="CM201" s="1502"/>
      <c r="CN201" s="1356"/>
      <c r="CO201" s="1504">
        <f>CO198/CI198-1</f>
        <v>0.18351007795491259</v>
      </c>
      <c r="CP201" s="1504">
        <f>CP198/CJ198-1</f>
        <v>0.16355232750082527</v>
      </c>
      <c r="CQ201" s="1504">
        <f>CQ198/CK198-1</f>
        <v>0.21141156682623885</v>
      </c>
      <c r="CR201" s="1504">
        <f>CR198/CL198-1</f>
        <v>0.21661428483391876</v>
      </c>
      <c r="CS201" s="1502"/>
      <c r="CT201" s="1356"/>
      <c r="CU201" s="1504">
        <f>CU198/CO198-1</f>
        <v>0.25320436743413244</v>
      </c>
      <c r="CV201" s="1504">
        <f>CV198/CP198-1</f>
        <v>0.31920326864147097</v>
      </c>
      <c r="CW201" s="1504">
        <f>CW198/CQ198-1</f>
        <v>0.27838299690270207</v>
      </c>
      <c r="CX201" s="1504">
        <f>CX198/CR198-1</f>
        <v>0.27535204133319824</v>
      </c>
      <c r="CY201" s="1502"/>
      <c r="CZ201" s="1356"/>
      <c r="DA201" s="1504">
        <f>DA198/CU198-1</f>
        <v>0.24120460249064823</v>
      </c>
      <c r="DB201" s="1504">
        <f>DB198/CV198-1</f>
        <v>0.16810771282316006</v>
      </c>
      <c r="DC201" s="1504">
        <f>DC198/CW198-1</f>
        <v>0.19165378670788247</v>
      </c>
      <c r="DD201" s="1504">
        <f>DD198/CX198-1</f>
        <v>0.16772579235840812</v>
      </c>
      <c r="DE201" s="1502"/>
      <c r="DF201" s="1356"/>
      <c r="DG201" s="1504">
        <f>DG198/DA198-1</f>
        <v>0.14832335100904137</v>
      </c>
      <c r="DH201" s="1504">
        <f>DH198/DB198-1</f>
        <v>0.13426624930951947</v>
      </c>
      <c r="DI201" s="1504">
        <f>DI198/DC198-1</f>
        <v>0.10425211203421325</v>
      </c>
      <c r="DJ201" s="1504">
        <f>DJ198/DD198-1</f>
        <v>9.5234855957280429E-2</v>
      </c>
      <c r="DK201" s="1502"/>
      <c r="DL201" s="1356"/>
      <c r="DM201" s="1504">
        <f>DM198/DG198-1</f>
        <v>9.3020165443008507E-2</v>
      </c>
      <c r="DN201" s="1504">
        <f>DN198/DH198-1</f>
        <v>9.0906139411058184E-2</v>
      </c>
      <c r="DO201" s="1504">
        <f>DO198/DI198-1</f>
        <v>8.8886067108980615E-2</v>
      </c>
      <c r="DP201" s="1504">
        <f>DP198/DJ198-1</f>
        <v>8.6953821309897261E-2</v>
      </c>
      <c r="DQ201" s="1502"/>
      <c r="DR201" s="1356"/>
      <c r="DS201" s="1504">
        <f>DS198/DM198-1</f>
        <v>8.5103796237196327E-2</v>
      </c>
      <c r="DT201" s="1504">
        <f>DT198/DN198-1</f>
        <v>8.333085324841516E-2</v>
      </c>
      <c r="DU201" s="1504">
        <f>DU198/DO198-1</f>
        <v>8.1630273169878365E-2</v>
      </c>
      <c r="DV201" s="1504">
        <f>DV198/DP198-1</f>
        <v>7.9997714351018434E-2</v>
      </c>
      <c r="DW201" s="1502"/>
      <c r="EJ201" s="656"/>
      <c r="EK201" s="656"/>
      <c r="EL201" s="656"/>
    </row>
    <row r="202" spans="1:142" s="1408" customFormat="1">
      <c r="A202" s="1356" t="s">
        <v>190</v>
      </c>
      <c r="B202" s="1356"/>
      <c r="C202" s="1404" t="s">
        <v>88</v>
      </c>
      <c r="D202" s="1504">
        <f>D198/C198-1</f>
        <v>0.36716417910447752</v>
      </c>
      <c r="E202" s="1504">
        <f>E198/D198-1</f>
        <v>0.26855895196506552</v>
      </c>
      <c r="F202" s="1504">
        <f>F198/E198-1</f>
        <v>0.2117039586919105</v>
      </c>
      <c r="H202" s="1356"/>
      <c r="I202" s="1504">
        <f>I198/F198-1</f>
        <v>-2.4147727272727293E-2</v>
      </c>
      <c r="J202" s="1504">
        <f>J198/I198-1</f>
        <v>-2.4745269286754024E-2</v>
      </c>
      <c r="K202" s="1504">
        <f>K198/J198-1</f>
        <v>-2.5373134328358193E-2</v>
      </c>
      <c r="L202" s="1504">
        <f>L198/K198-1</f>
        <v>-2.6033690658499253E-2</v>
      </c>
      <c r="N202" s="1356"/>
      <c r="O202" s="1504">
        <f>O198/L198-1</f>
        <v>0.31446540880503138</v>
      </c>
      <c r="P202" s="1504">
        <f>P198/O198-1</f>
        <v>0.22009569377990434</v>
      </c>
      <c r="Q202" s="1504">
        <f>Q198/P198-1</f>
        <v>0.19999999999999996</v>
      </c>
      <c r="R202" s="1504">
        <f>R198/Q198-1</f>
        <v>1.6339869281045694E-2</v>
      </c>
      <c r="T202" s="1356"/>
      <c r="U202" s="1504">
        <f>U198/R198-1</f>
        <v>5.7877813504823239E-2</v>
      </c>
      <c r="V202" s="1504">
        <f>V198/U198-1</f>
        <v>8.5106382978723305E-2</v>
      </c>
      <c r="W202" s="1504">
        <f>W198/V198-1</f>
        <v>0.15406162464985984</v>
      </c>
      <c r="X202" s="1504">
        <f>X198/W198-1</f>
        <v>7.7669902912621325E-2</v>
      </c>
      <c r="Z202" s="1356"/>
      <c r="AA202" s="1504">
        <f>AA198/X198-1</f>
        <v>0.16666666666666674</v>
      </c>
      <c r="AB202" s="1504">
        <f>AB198/AA198-1</f>
        <v>0.14671814671814665</v>
      </c>
      <c r="AC202" s="1504">
        <f>AC198/AB198-1</f>
        <v>0.14309764309764317</v>
      </c>
      <c r="AD202" s="1504">
        <f>AD198/AC198-1</f>
        <v>0.1296023564064801</v>
      </c>
      <c r="AF202" s="1356"/>
      <c r="AG202" s="1504">
        <f>AG198/AD198-1</f>
        <v>0.14341590612777044</v>
      </c>
      <c r="AH202" s="1504">
        <f>AH198/AG198-1</f>
        <v>0.20752565564424175</v>
      </c>
      <c r="AI202" s="1504">
        <f>AI198/AH198-1</f>
        <v>5.3824362606232246E-2</v>
      </c>
      <c r="AJ202" s="1504">
        <f>AJ198/AI198-1</f>
        <v>0.16845878136200709</v>
      </c>
      <c r="AL202" s="1356"/>
      <c r="AM202" s="1504">
        <f>AM198/AJ198-1</f>
        <v>0.13496932515337434</v>
      </c>
      <c r="AN202" s="1504">
        <f>AN198/AM198-1</f>
        <v>9.7972972972973027E-2</v>
      </c>
      <c r="AO202" s="1504">
        <f>AO198/AN198-1</f>
        <v>0.1120000000000001</v>
      </c>
      <c r="AP202" s="1504">
        <f>AP198/AO198-1</f>
        <v>0.14554510237963481</v>
      </c>
      <c r="AQ202" s="1502"/>
      <c r="AR202" s="1356"/>
      <c r="AS202" s="1504">
        <f>AS198/AP198-1</f>
        <v>8.35748792270532E-2</v>
      </c>
      <c r="AT202" s="1504">
        <f>AT198/AS198-1</f>
        <v>2.6304057066428799E-2</v>
      </c>
      <c r="AU202" s="1504">
        <f>AU198/AT198-1</f>
        <v>6.9070373588184131E-2</v>
      </c>
      <c r="AV202" s="1504">
        <f>AV198/AU198-1</f>
        <v>5.8919138561560391E-2</v>
      </c>
      <c r="AW202" s="1502"/>
      <c r="AX202" s="1356"/>
      <c r="AY202" s="1504">
        <f>AY198/AV198-1</f>
        <v>9.9002302379125107E-2</v>
      </c>
      <c r="AZ202" s="1504">
        <f>AZ198/AY198-1</f>
        <v>6.3547486033519451E-2</v>
      </c>
      <c r="BA202" s="1504">
        <f>BA198/AZ198-1</f>
        <v>8.9297439264609313E-2</v>
      </c>
      <c r="BB202" s="1504">
        <f>BB198/BA198-1</f>
        <v>7.4743821579264624E-2</v>
      </c>
      <c r="BC202" s="1502"/>
      <c r="BD202" s="1356"/>
      <c r="BE202" s="1504">
        <f>BE198/BB198-1</f>
        <v>1.1497476163768949E-2</v>
      </c>
      <c r="BF202" s="1504">
        <f>BF198/BE198-1</f>
        <v>1.2752980316052209E-2</v>
      </c>
      <c r="BG202" s="1504">
        <f>BG198/BF198-1</f>
        <v>4.4073364358061973E-2</v>
      </c>
      <c r="BH202" s="1504">
        <f>BH198/BG198-1</f>
        <v>4.0639748295752565E-2</v>
      </c>
      <c r="BI202" s="1502"/>
      <c r="BJ202" s="1356"/>
      <c r="BK202" s="1504">
        <f>BK198/BH198-1</f>
        <v>3.451751070798692E-2</v>
      </c>
      <c r="BL202" s="1504">
        <f>BL198/BK198-1</f>
        <v>8.304919629810037E-2</v>
      </c>
      <c r="BM202" s="1504">
        <f>BM198/BL198-1</f>
        <v>6.9934787497189177E-2</v>
      </c>
      <c r="BN202" s="1504">
        <f>BN198/BM198-1</f>
        <v>0.11517444304329549</v>
      </c>
      <c r="BO202" s="1502"/>
      <c r="BP202" s="1356"/>
      <c r="BQ202" s="1504">
        <f>BQ198/BN198-1</f>
        <v>3.9012438748586398E-2</v>
      </c>
      <c r="BR202" s="1504">
        <f>BR198/BQ198-1</f>
        <v>0.15218574278976971</v>
      </c>
      <c r="BS202" s="1504">
        <f>BS198/BR198-1</f>
        <v>9.4615869017632193E-2</v>
      </c>
      <c r="BT202" s="1504">
        <f>BT198/BS198-1</f>
        <v>0.11966057816769737</v>
      </c>
      <c r="BU202" s="1502"/>
      <c r="BV202" s="1356"/>
      <c r="BW202" s="1504">
        <f>BW198/BT198-1</f>
        <v>7.0648683365446274E-2</v>
      </c>
      <c r="BX202" s="1504">
        <f>BX198/BW198-1</f>
        <v>5.1589682063587272E-2</v>
      </c>
      <c r="BY202" s="1504">
        <f>BY198/BX198-1</f>
        <v>6.3205932686822619E-2</v>
      </c>
      <c r="BZ202" s="1504">
        <f>BZ198/BY198-1</f>
        <v>5.1722287799120137E-2</v>
      </c>
      <c r="CA202" s="1502"/>
      <c r="CB202" s="1356"/>
      <c r="CC202" s="1504">
        <f>CC198/BZ198-1</f>
        <v>4.9178655239261237E-2</v>
      </c>
      <c r="CD202" s="1504">
        <f>CD198/CC198-1</f>
        <v>0.22250316055625796</v>
      </c>
      <c r="CE202" s="1504">
        <f>CE198/CD198-1</f>
        <v>1.5830085116538051E-2</v>
      </c>
      <c r="CF202" s="1504">
        <f>CF198/CE198-1</f>
        <v>4.2443226311668081E-2</v>
      </c>
      <c r="CG202" s="1502"/>
      <c r="CH202" s="1356"/>
      <c r="CI202" s="1504">
        <f>CI198/CF198-1</f>
        <v>6.9636418269230838E-2</v>
      </c>
      <c r="CJ202" s="1504">
        <f>CJ198/CI198-1</f>
        <v>6.3628063768523146E-2</v>
      </c>
      <c r="CK202" s="1504">
        <f>CK198/CJ198-1</f>
        <v>2.0666886761307346E-2</v>
      </c>
      <c r="CL202" s="1504">
        <f>CL198/CK198-1</f>
        <v>4.9747703454521952E-2</v>
      </c>
      <c r="CM202" s="1502"/>
      <c r="CN202" s="1356"/>
      <c r="CO202" s="1504">
        <f>CO198/CL198-1</f>
        <v>3.8516053491095104E-2</v>
      </c>
      <c r="CP202" s="1504">
        <f>CP198/CO198-1</f>
        <v>4.5691906005221883E-2</v>
      </c>
      <c r="CQ202" s="1504">
        <f>CQ198/CP198-1</f>
        <v>6.2648961525366031E-2</v>
      </c>
      <c r="CR202" s="1504">
        <f>CR198/CQ198-1</f>
        <v>5.4256114493217877E-2</v>
      </c>
      <c r="CS202" s="1502"/>
      <c r="CT202" s="1356"/>
      <c r="CU202" s="1504">
        <f>CU198/CR198-1</f>
        <v>6.9749772059568338E-2</v>
      </c>
      <c r="CV202" s="1504">
        <f>CV198/CU198-1</f>
        <v>0.10076234670202178</v>
      </c>
      <c r="CW202" s="1504">
        <f>CW198/CV198-1</f>
        <v>2.9767281799802037E-2</v>
      </c>
      <c r="CX202" s="1504">
        <f>CX198/CW198-1</f>
        <v>5.1756547892560345E-2</v>
      </c>
      <c r="CY202" s="1502"/>
      <c r="CZ202" s="1356"/>
      <c r="DA202" s="1504">
        <f>DA198/CX198-1</f>
        <v>4.1107315910715814E-2</v>
      </c>
      <c r="DB202" s="1504">
        <f>DB198/DA198-1</f>
        <v>3.5936367451264717E-2</v>
      </c>
      <c r="DC202" s="1504">
        <f>DC198/DB198-1</f>
        <v>5.0524765236604763E-2</v>
      </c>
      <c r="DD202" s="1504">
        <f>DD198/DC198-1</f>
        <v>3.0637641532583082E-2</v>
      </c>
      <c r="DE202" s="1502"/>
      <c r="DF202" s="1356"/>
      <c r="DG202" s="1504">
        <f>DG198/DD198-1</f>
        <v>2.3808713989320163E-2</v>
      </c>
      <c r="DH202" s="1504">
        <f>DH198/DG198-1</f>
        <v>2.3255041360752182E-2</v>
      </c>
      <c r="DI202" s="1504">
        <f>DI198/DH198-1</f>
        <v>2.2726534852764546E-2</v>
      </c>
      <c r="DJ202" s="1504">
        <f>DJ198/DI198-1</f>
        <v>2.2221516777245265E-2</v>
      </c>
      <c r="DK202" s="1502"/>
      <c r="DL202" s="1356"/>
      <c r="DM202" s="1504">
        <f>DM198/DJ198-1</f>
        <v>2.1738455327474204E-2</v>
      </c>
      <c r="DN202" s="1504">
        <f>DN198/DM198-1</f>
        <v>2.1275949059299082E-2</v>
      </c>
      <c r="DO202" s="1504">
        <f>DO198/DN198-1</f>
        <v>2.083271331210379E-2</v>
      </c>
      <c r="DP202" s="1504">
        <f>DP198/DO198-1</f>
        <v>2.0407568292469591E-2</v>
      </c>
      <c r="DQ202" s="1502"/>
      <c r="DR202" s="1356"/>
      <c r="DS202" s="1504">
        <f>DS198/DP198-1</f>
        <v>1.999942858775472E-2</v>
      </c>
      <c r="DT202" s="1504">
        <f>DT198/DS198-1</f>
        <v>1.9607293913335822E-2</v>
      </c>
      <c r="DU202" s="1504">
        <f>DU198/DT198-1</f>
        <v>1.9230240927446962E-2</v>
      </c>
      <c r="DV202" s="1504">
        <f>DV198/DU198-1</f>
        <v>1.8867415972615209E-2</v>
      </c>
      <c r="DW202" s="1502"/>
      <c r="EJ202" s="656"/>
      <c r="EK202" s="656"/>
      <c r="EL202" s="656"/>
    </row>
    <row r="203" spans="1:142" ht="3" customHeight="1">
      <c r="A203" s="1340"/>
      <c r="B203" s="1340"/>
      <c r="C203" s="1340"/>
      <c r="D203" s="1340"/>
      <c r="E203" s="1340"/>
      <c r="F203" s="1340"/>
      <c r="G203" s="853"/>
      <c r="H203" s="1340"/>
      <c r="I203" s="1340"/>
      <c r="J203" s="1340"/>
      <c r="K203" s="1340"/>
      <c r="L203" s="500"/>
      <c r="M203" s="853"/>
      <c r="N203" s="1340"/>
      <c r="O203" s="1340"/>
      <c r="P203" s="1340"/>
      <c r="Q203" s="1340"/>
      <c r="R203" s="1340"/>
      <c r="S203" s="853"/>
      <c r="T203" s="1340"/>
      <c r="U203" s="1340"/>
      <c r="V203" s="1340"/>
      <c r="W203" s="1340"/>
      <c r="X203" s="1340"/>
      <c r="Y203" s="853"/>
      <c r="Z203" s="1340"/>
      <c r="AA203" s="1340"/>
      <c r="AB203" s="1340"/>
      <c r="AC203" s="1340"/>
      <c r="AD203" s="1340"/>
      <c r="AE203" s="853"/>
      <c r="AF203" s="1340"/>
      <c r="AG203" s="1340"/>
      <c r="AH203" s="1340"/>
      <c r="AI203" s="1340"/>
      <c r="AJ203" s="1340"/>
      <c r="AK203" s="853"/>
      <c r="AL203" s="1340"/>
      <c r="AM203" s="1340"/>
      <c r="AN203" s="1340"/>
      <c r="AO203" s="1340"/>
      <c r="AP203" s="1340"/>
      <c r="AQ203" s="1341"/>
      <c r="AR203" s="1340"/>
      <c r="AS203" s="1340"/>
      <c r="AT203" s="1340"/>
      <c r="AU203" s="1340"/>
      <c r="AV203" s="1340"/>
      <c r="AW203" s="1341"/>
      <c r="AX203" s="1340"/>
      <c r="AY203" s="1340"/>
      <c r="AZ203" s="1340"/>
      <c r="BA203" s="1340"/>
      <c r="BB203" s="1340"/>
      <c r="BC203" s="1341"/>
      <c r="BD203" s="1340"/>
      <c r="BE203" s="1340"/>
      <c r="BF203" s="1340"/>
      <c r="BG203" s="1340"/>
      <c r="BH203" s="1340"/>
      <c r="BI203" s="1341"/>
      <c r="BJ203" s="1340"/>
      <c r="BK203" s="1340"/>
      <c r="BL203" s="1340"/>
      <c r="BM203" s="1340"/>
      <c r="BN203" s="1340"/>
      <c r="BO203" s="1341"/>
      <c r="BP203" s="1340"/>
      <c r="BQ203" s="1340"/>
      <c r="BR203" s="1340"/>
      <c r="BS203" s="1340"/>
      <c r="BT203" s="1340"/>
      <c r="BU203" s="1341"/>
      <c r="BV203" s="1340"/>
      <c r="BW203" s="1340"/>
      <c r="BX203" s="1340"/>
      <c r="BY203" s="1340"/>
      <c r="BZ203" s="1340"/>
      <c r="CA203" s="1341"/>
      <c r="CB203" s="1340"/>
      <c r="CC203" s="1340"/>
      <c r="CD203" s="1340"/>
      <c r="CE203" s="1340"/>
      <c r="CF203" s="1340"/>
      <c r="CG203" s="1341"/>
      <c r="CH203" s="1340"/>
      <c r="CI203" s="1340"/>
      <c r="CJ203" s="1340"/>
      <c r="CK203" s="1340"/>
      <c r="CL203" s="1340"/>
      <c r="CM203" s="1341"/>
      <c r="CN203" s="1340"/>
      <c r="CO203" s="1340"/>
      <c r="CP203" s="1340"/>
      <c r="CQ203" s="1340"/>
      <c r="CR203" s="1340"/>
      <c r="CS203" s="1341"/>
      <c r="CT203" s="1340"/>
      <c r="CU203" s="1340"/>
      <c r="CV203" s="1340"/>
      <c r="CW203" s="1340"/>
      <c r="CX203" s="1340"/>
      <c r="CY203" s="1341"/>
      <c r="CZ203" s="1340"/>
      <c r="DA203" s="1340"/>
      <c r="DB203" s="1340"/>
      <c r="DC203" s="1340"/>
      <c r="DD203" s="1340"/>
      <c r="DE203" s="1341"/>
      <c r="DF203" s="1340"/>
      <c r="DG203" s="1340"/>
      <c r="DH203" s="1340"/>
      <c r="DI203" s="1340"/>
      <c r="DJ203" s="1340"/>
      <c r="DK203" s="1341"/>
      <c r="DL203" s="1340"/>
      <c r="DM203" s="1340"/>
      <c r="DN203" s="1340"/>
      <c r="DO203" s="1340"/>
      <c r="DP203" s="1340"/>
      <c r="DQ203" s="1341"/>
      <c r="DR203" s="1340"/>
      <c r="DS203" s="1340"/>
      <c r="DT203" s="1340"/>
      <c r="DU203" s="1340"/>
      <c r="DV203" s="1340"/>
      <c r="DW203" s="1341"/>
      <c r="DX203" s="500"/>
      <c r="DY203" s="500"/>
      <c r="DZ203" s="500"/>
      <c r="EA203" s="500"/>
      <c r="EB203" s="500"/>
      <c r="EC203" s="500"/>
      <c r="ED203" s="500"/>
      <c r="EE203" s="500"/>
      <c r="EF203" s="500"/>
      <c r="EG203" s="500"/>
      <c r="EH203" s="500"/>
      <c r="EI203" s="500"/>
    </row>
    <row r="204" spans="1:142" ht="12.75" hidden="1" customHeight="1" outlineLevel="1">
      <c r="A204" s="1340" t="s">
        <v>715</v>
      </c>
      <c r="B204" s="1340"/>
      <c r="C204" s="1340"/>
      <c r="D204" s="1340"/>
      <c r="E204" s="1340"/>
      <c r="F204" s="1340"/>
      <c r="G204" s="853"/>
      <c r="H204" s="1340"/>
      <c r="I204" s="1340"/>
      <c r="J204" s="1340"/>
      <c r="K204" s="1340"/>
      <c r="L204" s="500"/>
      <c r="M204" s="853"/>
      <c r="N204" s="1340"/>
      <c r="O204" s="1340"/>
      <c r="P204" s="1340"/>
      <c r="Q204" s="1340"/>
      <c r="R204" s="1340"/>
      <c r="S204" s="853"/>
      <c r="T204" s="1340"/>
      <c r="U204" s="1340"/>
      <c r="V204" s="1340"/>
      <c r="W204" s="1340"/>
      <c r="X204" s="1340"/>
      <c r="Y204" s="853"/>
      <c r="Z204" s="1340"/>
      <c r="AA204" s="1340"/>
      <c r="AB204" s="1340"/>
      <c r="AC204" s="1340"/>
      <c r="AD204" s="1340"/>
      <c r="AE204" s="853"/>
      <c r="AF204" s="1340"/>
      <c r="AG204" s="1340"/>
      <c r="AH204" s="1340"/>
      <c r="AI204" s="1340"/>
      <c r="AJ204" s="1340"/>
      <c r="AK204" s="853"/>
      <c r="AL204" s="1340"/>
      <c r="AM204" s="1340"/>
      <c r="AN204" s="1340"/>
      <c r="AO204" s="1340"/>
      <c r="AP204" s="1340"/>
      <c r="AQ204" s="1341"/>
      <c r="AR204" s="1340"/>
      <c r="AS204" s="1340"/>
      <c r="AT204" s="1340"/>
      <c r="AU204" s="1340"/>
      <c r="AV204" s="1340"/>
      <c r="AW204" s="1341"/>
      <c r="AX204" s="1340"/>
      <c r="AY204" s="1340"/>
      <c r="AZ204" s="1340"/>
      <c r="BA204" s="1340"/>
      <c r="BB204" s="1340"/>
      <c r="BC204" s="1341"/>
      <c r="BD204" s="1340"/>
      <c r="BE204" s="1340"/>
      <c r="BF204" s="1340"/>
      <c r="BG204" s="1340"/>
      <c r="BH204" s="1340"/>
      <c r="BI204" s="1341"/>
      <c r="BJ204" s="1340"/>
      <c r="BK204" s="1340"/>
      <c r="BL204" s="1340"/>
      <c r="BM204" s="1340"/>
      <c r="BN204" s="1340"/>
      <c r="BO204" s="1341"/>
      <c r="BP204" s="1340"/>
      <c r="BQ204" s="1340"/>
      <c r="BR204" s="1340"/>
      <c r="BS204" s="1340">
        <f>(BS198-415)/BM198-1</f>
        <v>0.37410676754939054</v>
      </c>
      <c r="BT204" s="1340"/>
      <c r="BU204" s="1341"/>
      <c r="BV204" s="1340"/>
      <c r="BW204" s="1340"/>
      <c r="BX204" s="1340"/>
      <c r="BY204" s="1340"/>
      <c r="BZ204" s="1340"/>
      <c r="CA204" s="1341"/>
      <c r="CB204" s="1340"/>
      <c r="CC204" s="1340"/>
      <c r="CD204" s="1340"/>
      <c r="CE204" s="1340"/>
      <c r="CF204" s="1340"/>
      <c r="CG204" s="1341"/>
      <c r="CH204" s="1340"/>
      <c r="CI204" s="1340"/>
      <c r="CJ204" s="1340"/>
      <c r="CK204" s="1340"/>
      <c r="CL204" s="1340"/>
      <c r="CM204" s="1341"/>
      <c r="CN204" s="1340"/>
      <c r="CO204" s="1340"/>
      <c r="CP204" s="1340"/>
      <c r="CQ204" s="1340"/>
      <c r="CR204" s="1340"/>
      <c r="CS204" s="1341"/>
      <c r="CT204" s="1340"/>
      <c r="CU204" s="1340"/>
      <c r="CV204" s="1340"/>
      <c r="CW204" s="1340"/>
      <c r="CX204" s="1340"/>
      <c r="CY204" s="1341"/>
      <c r="CZ204" s="1340"/>
      <c r="DA204" s="1340"/>
      <c r="DB204" s="1340"/>
      <c r="DC204" s="1340"/>
      <c r="DD204" s="1340"/>
      <c r="DE204" s="1341"/>
      <c r="DF204" s="1340"/>
      <c r="DG204" s="1340"/>
      <c r="DH204" s="1340"/>
      <c r="DI204" s="1340"/>
      <c r="DJ204" s="1340"/>
      <c r="DK204" s="1341"/>
      <c r="DL204" s="1340"/>
      <c r="DM204" s="1340"/>
      <c r="DN204" s="1340"/>
      <c r="DO204" s="1340"/>
      <c r="DP204" s="1340"/>
      <c r="DQ204" s="1341"/>
      <c r="DR204" s="1340"/>
      <c r="DS204" s="1340"/>
      <c r="DT204" s="1340"/>
      <c r="DU204" s="1340"/>
      <c r="DV204" s="1340"/>
      <c r="DW204" s="1341"/>
      <c r="DX204" s="500"/>
      <c r="DY204" s="500"/>
      <c r="DZ204" s="500"/>
      <c r="EA204" s="500"/>
      <c r="EB204" s="500"/>
      <c r="EC204" s="500"/>
      <c r="ED204" s="500"/>
      <c r="EE204" s="500"/>
      <c r="EF204" s="500"/>
      <c r="EG204" s="500"/>
      <c r="EH204" s="500"/>
      <c r="EI204" s="500"/>
    </row>
    <row r="205" spans="1:142" ht="12.75" hidden="1" customHeight="1" outlineLevel="1">
      <c r="A205" s="1340" t="s">
        <v>920</v>
      </c>
      <c r="B205" s="1340"/>
      <c r="C205" s="1340"/>
      <c r="D205" s="1340"/>
      <c r="E205" s="1340"/>
      <c r="F205" s="1340"/>
      <c r="G205" s="853"/>
      <c r="H205" s="1340"/>
      <c r="I205" s="1340"/>
      <c r="J205" s="1340"/>
      <c r="K205" s="1340"/>
      <c r="L205" s="500"/>
      <c r="M205" s="853"/>
      <c r="N205" s="1340"/>
      <c r="O205" s="1340"/>
      <c r="P205" s="1340"/>
      <c r="Q205" s="1340"/>
      <c r="R205" s="1340"/>
      <c r="S205" s="853"/>
      <c r="T205" s="1340"/>
      <c r="U205" s="1340"/>
      <c r="V205" s="1340"/>
      <c r="W205" s="1340"/>
      <c r="X205" s="1340"/>
      <c r="Y205" s="853"/>
      <c r="Z205" s="1340"/>
      <c r="AA205" s="1340"/>
      <c r="AB205" s="1340"/>
      <c r="AC205" s="1340"/>
      <c r="AD205" s="1340"/>
      <c r="AE205" s="853"/>
      <c r="AF205" s="1340"/>
      <c r="AG205" s="545"/>
      <c r="AH205" s="545"/>
      <c r="AI205" s="545"/>
      <c r="AJ205" s="545">
        <v>0.6</v>
      </c>
      <c r="AK205" s="853"/>
      <c r="AL205" s="1340"/>
      <c r="AM205" s="545">
        <v>0.57999999999999996</v>
      </c>
      <c r="AN205" s="545">
        <v>0.31</v>
      </c>
      <c r="AO205" s="545">
        <v>0.5</v>
      </c>
      <c r="AP205" s="545">
        <v>0.59</v>
      </c>
      <c r="AQ205" s="1341"/>
      <c r="AR205" s="257"/>
      <c r="AS205" s="545">
        <v>0.35</v>
      </c>
      <c r="AT205" s="545">
        <v>0.41</v>
      </c>
      <c r="AU205" s="545"/>
      <c r="AV205" s="545"/>
      <c r="AW205" s="1341"/>
      <c r="AX205" s="1340"/>
      <c r="AY205" s="545">
        <v>0</v>
      </c>
      <c r="AZ205" s="545">
        <v>0</v>
      </c>
      <c r="BA205" s="545">
        <v>0</v>
      </c>
      <c r="BB205" s="545">
        <v>0</v>
      </c>
      <c r="BC205" s="1341"/>
      <c r="BD205" s="1340"/>
      <c r="BE205" s="1340"/>
      <c r="BF205" s="1340"/>
      <c r="BG205" s="1340"/>
      <c r="BH205" s="1340"/>
      <c r="BI205" s="1341"/>
      <c r="BJ205" s="1340"/>
      <c r="BK205" s="1340"/>
      <c r="BL205" s="257"/>
      <c r="BM205" s="1340"/>
      <c r="BN205" s="1340"/>
      <c r="BO205" s="1341"/>
      <c r="BP205" s="1340"/>
      <c r="BQ205" s="1340"/>
      <c r="BR205" s="1340"/>
      <c r="BS205" s="257"/>
      <c r="BT205" s="1340"/>
      <c r="BU205" s="1341"/>
      <c r="BV205" s="1340"/>
      <c r="BW205" s="1340"/>
      <c r="BX205" s="1340"/>
      <c r="BY205" s="1340"/>
      <c r="BZ205" s="1340"/>
      <c r="CA205" s="1341"/>
      <c r="CB205" s="1340"/>
      <c r="CC205" s="1340"/>
      <c r="CD205" s="1340"/>
      <c r="CE205" s="1340"/>
      <c r="CF205" s="1340"/>
      <c r="CG205" s="1341"/>
      <c r="CH205" s="1340"/>
      <c r="CI205" s="1340"/>
      <c r="CJ205" s="1340"/>
      <c r="CK205" s="1340"/>
      <c r="CL205" s="1340"/>
      <c r="CM205" s="1341"/>
      <c r="CN205" s="1340"/>
      <c r="CO205" s="1340"/>
      <c r="CP205" s="1340"/>
      <c r="CQ205" s="1340"/>
      <c r="CR205" s="1340"/>
      <c r="CS205" s="1341"/>
      <c r="CT205" s="1340"/>
      <c r="CU205" s="1340"/>
      <c r="CV205" s="1340"/>
      <c r="CW205" s="1340"/>
      <c r="CX205" s="1340"/>
      <c r="CY205" s="1341"/>
      <c r="CZ205" s="1340"/>
      <c r="DA205" s="1340"/>
      <c r="DB205" s="1340"/>
      <c r="DC205" s="1340"/>
      <c r="DD205" s="1340"/>
      <c r="DE205" s="1341"/>
      <c r="DF205" s="1340"/>
      <c r="DG205" s="1340"/>
      <c r="DH205" s="1340"/>
      <c r="DI205" s="1340"/>
      <c r="DJ205" s="1340"/>
      <c r="DK205" s="1341"/>
      <c r="DL205" s="1340"/>
      <c r="DM205" s="1340"/>
      <c r="DN205" s="1340"/>
      <c r="DO205" s="1340"/>
      <c r="DP205" s="1340"/>
      <c r="DQ205" s="1341"/>
      <c r="DR205" s="1340"/>
      <c r="DS205" s="1340"/>
      <c r="DT205" s="1340"/>
      <c r="DU205" s="1340"/>
      <c r="DV205" s="1340"/>
      <c r="DW205" s="1341"/>
      <c r="DX205" s="500"/>
      <c r="DY205" s="500"/>
      <c r="DZ205" s="500"/>
      <c r="EA205" s="500"/>
      <c r="EB205" s="500"/>
      <c r="EC205" s="500"/>
      <c r="ED205" s="500"/>
      <c r="EE205" s="500"/>
      <c r="EF205" s="500"/>
      <c r="EG205" s="500"/>
      <c r="EH205" s="500"/>
      <c r="EI205" s="500"/>
    </row>
    <row r="206" spans="1:142" ht="12.75" hidden="1" customHeight="1" outlineLevel="1">
      <c r="A206" s="1340" t="s">
        <v>921</v>
      </c>
      <c r="B206" s="1340"/>
      <c r="C206" s="1340"/>
      <c r="D206" s="1340"/>
      <c r="E206" s="1340"/>
      <c r="F206" s="1340"/>
      <c r="G206" s="853"/>
      <c r="H206" s="1340"/>
      <c r="I206" s="1340"/>
      <c r="J206" s="1340"/>
      <c r="K206" s="1340"/>
      <c r="L206" s="500"/>
      <c r="M206" s="853"/>
      <c r="N206" s="1340"/>
      <c r="O206" s="1340"/>
      <c r="P206" s="1340"/>
      <c r="Q206" s="1340"/>
      <c r="R206" s="1340"/>
      <c r="S206" s="853"/>
      <c r="T206" s="1340"/>
      <c r="U206" s="1340"/>
      <c r="V206" s="1340"/>
      <c r="W206" s="1340"/>
      <c r="X206" s="1340"/>
      <c r="Y206" s="853"/>
      <c r="Z206" s="1340"/>
      <c r="AA206" s="1340"/>
      <c r="AB206" s="1340"/>
      <c r="AC206" s="1340"/>
      <c r="AD206" s="1340"/>
      <c r="AE206" s="853"/>
      <c r="AF206" s="1340"/>
      <c r="AG206" s="545"/>
      <c r="AH206" s="545"/>
      <c r="AI206" s="545"/>
      <c r="AJ206" s="545"/>
      <c r="AK206" s="853"/>
      <c r="AL206" s="1340"/>
      <c r="AM206" s="545"/>
      <c r="AN206" s="545"/>
      <c r="AO206" s="545"/>
      <c r="AP206" s="545"/>
      <c r="AQ206" s="1341"/>
      <c r="AR206" s="257"/>
      <c r="AS206" s="545"/>
      <c r="AT206" s="545"/>
      <c r="AU206" s="545"/>
      <c r="AV206" s="545"/>
      <c r="AW206" s="1341"/>
      <c r="AX206" s="1340"/>
      <c r="AY206" s="545">
        <v>0.39</v>
      </c>
      <c r="AZ206" s="545">
        <v>0.4</v>
      </c>
      <c r="BA206" s="545">
        <v>0.4</v>
      </c>
      <c r="BB206" s="545"/>
      <c r="BC206" s="1341"/>
      <c r="BD206" s="1340"/>
      <c r="BE206" s="1340"/>
      <c r="BF206" s="1340"/>
      <c r="BG206" s="1340"/>
      <c r="BH206" s="1340"/>
      <c r="BI206" s="1341"/>
      <c r="BJ206" s="1340"/>
      <c r="BK206" s="1340"/>
      <c r="BL206" s="1340"/>
      <c r="BM206" s="1340"/>
      <c r="BN206" s="1340"/>
      <c r="BO206" s="1341"/>
      <c r="BP206" s="1340"/>
      <c r="BQ206" s="1340"/>
      <c r="BR206" s="1340"/>
      <c r="BS206" s="1340"/>
      <c r="BT206" s="1340"/>
      <c r="BU206" s="1341"/>
      <c r="BV206" s="1340"/>
      <c r="BW206" s="1340"/>
      <c r="BX206" s="1340"/>
      <c r="BY206" s="1340"/>
      <c r="BZ206" s="1340"/>
      <c r="CA206" s="1341"/>
      <c r="CB206" s="1340"/>
      <c r="CC206" s="1340"/>
      <c r="CD206" s="1340"/>
      <c r="CE206" s="1340"/>
      <c r="CF206" s="1340"/>
      <c r="CG206" s="1341"/>
      <c r="CH206" s="1340"/>
      <c r="CI206" s="1340"/>
      <c r="CJ206" s="1340"/>
      <c r="CK206" s="1340"/>
      <c r="CL206" s="1340"/>
      <c r="CM206" s="1341"/>
      <c r="CN206" s="1340"/>
      <c r="CO206" s="1340"/>
      <c r="CP206" s="1340"/>
      <c r="CQ206" s="1340"/>
      <c r="CR206" s="1340"/>
      <c r="CS206" s="1341"/>
      <c r="CT206" s="1340"/>
      <c r="CU206" s="1340"/>
      <c r="CV206" s="1340"/>
      <c r="CW206" s="1340"/>
      <c r="CX206" s="1340"/>
      <c r="CY206" s="1341"/>
      <c r="CZ206" s="1340"/>
      <c r="DA206" s="1340"/>
      <c r="DB206" s="1340"/>
      <c r="DC206" s="1340"/>
      <c r="DD206" s="1340"/>
      <c r="DE206" s="1341"/>
      <c r="DF206" s="1340"/>
      <c r="DG206" s="1340"/>
      <c r="DH206" s="1340"/>
      <c r="DI206" s="1340"/>
      <c r="DJ206" s="1340"/>
      <c r="DK206" s="1341"/>
      <c r="DL206" s="1340"/>
      <c r="DM206" s="1340"/>
      <c r="DN206" s="1340"/>
      <c r="DO206" s="1340"/>
      <c r="DP206" s="1340"/>
      <c r="DQ206" s="1341"/>
      <c r="DR206" s="1340"/>
      <c r="DS206" s="1340"/>
      <c r="DT206" s="1340"/>
      <c r="DU206" s="1340"/>
      <c r="DV206" s="1340"/>
      <c r="DW206" s="1341"/>
      <c r="DX206" s="500"/>
      <c r="DY206" s="500"/>
      <c r="DZ206" s="500"/>
      <c r="EA206" s="500"/>
      <c r="EB206" s="500"/>
      <c r="EC206" s="500"/>
      <c r="ED206" s="500"/>
      <c r="EE206" s="500"/>
      <c r="EF206" s="500"/>
      <c r="EG206" s="500"/>
      <c r="EH206" s="500"/>
      <c r="EI206" s="500"/>
    </row>
    <row r="207" spans="1:142" ht="12.75" hidden="1" customHeight="1" outlineLevel="1">
      <c r="A207" s="1340" t="s">
        <v>92</v>
      </c>
      <c r="B207" s="1340"/>
      <c r="C207" s="1340"/>
      <c r="D207" s="1340"/>
      <c r="E207" s="1340"/>
      <c r="F207" s="1340"/>
      <c r="G207" s="853"/>
      <c r="H207" s="1340"/>
      <c r="I207" s="1340"/>
      <c r="J207" s="1340"/>
      <c r="K207" s="1340"/>
      <c r="L207" s="500"/>
      <c r="M207" s="853"/>
      <c r="N207" s="1340"/>
      <c r="O207" s="1340"/>
      <c r="P207" s="1340"/>
      <c r="Q207" s="1340"/>
      <c r="R207" s="1340"/>
      <c r="S207" s="853"/>
      <c r="T207" s="1340"/>
      <c r="U207" s="1340"/>
      <c r="V207" s="1340"/>
      <c r="W207" s="1340"/>
      <c r="X207" s="1340"/>
      <c r="Y207" s="853"/>
      <c r="Z207" s="1340"/>
      <c r="AA207" s="1340"/>
      <c r="AB207" s="1340"/>
      <c r="AC207" s="1340"/>
      <c r="AD207" s="1340"/>
      <c r="AE207" s="853"/>
      <c r="AF207" s="1340"/>
      <c r="AG207" s="545"/>
      <c r="AH207" s="545"/>
      <c r="AI207" s="545"/>
      <c r="AJ207" s="545">
        <v>0.72</v>
      </c>
      <c r="AK207" s="853"/>
      <c r="AL207" s="1340"/>
      <c r="AM207" s="545">
        <v>0.68</v>
      </c>
      <c r="AN207" s="545">
        <v>0.54</v>
      </c>
      <c r="AO207" s="545">
        <v>0.62</v>
      </c>
      <c r="AP207" s="545">
        <v>0.55000000000000004</v>
      </c>
      <c r="AQ207" s="1341"/>
      <c r="AR207" s="257"/>
      <c r="AS207" s="545">
        <v>0.34</v>
      </c>
      <c r="AT207" s="545">
        <v>0.42</v>
      </c>
      <c r="AU207" s="545">
        <v>0.39</v>
      </c>
      <c r="AV207" s="545">
        <v>0.27</v>
      </c>
      <c r="AW207" s="1341"/>
      <c r="AX207" s="1340"/>
      <c r="AY207" s="545">
        <v>0.3</v>
      </c>
      <c r="AZ207" s="545">
        <v>0.35</v>
      </c>
      <c r="BA207" s="545">
        <v>0.37</v>
      </c>
      <c r="BB207" s="545">
        <v>0.4</v>
      </c>
      <c r="BC207" s="1341"/>
      <c r="BD207" s="1340"/>
      <c r="BE207" s="1340"/>
      <c r="BF207" s="1340"/>
      <c r="BG207" s="1340"/>
      <c r="BH207" s="1340"/>
      <c r="BI207" s="1341"/>
      <c r="BJ207" s="1340"/>
      <c r="BK207" s="1340"/>
      <c r="BL207" s="1340"/>
      <c r="BM207" s="1340"/>
      <c r="BN207" s="1340"/>
      <c r="BO207" s="1341"/>
      <c r="BP207" s="1340"/>
      <c r="BQ207" s="1340"/>
      <c r="BR207" s="1340"/>
      <c r="BS207" s="1340"/>
      <c r="BT207" s="1340"/>
      <c r="BU207" s="1341"/>
      <c r="BV207" s="1340"/>
      <c r="BW207" s="1340"/>
      <c r="BX207" s="1340"/>
      <c r="BY207" s="1340"/>
      <c r="BZ207" s="1340"/>
      <c r="CA207" s="1341"/>
      <c r="CB207" s="1340"/>
      <c r="CC207" s="1340"/>
      <c r="CD207" s="1340"/>
      <c r="CE207" s="1340"/>
      <c r="CF207" s="1340"/>
      <c r="CG207" s="1341"/>
      <c r="CH207" s="1340"/>
      <c r="CI207" s="1340"/>
      <c r="CJ207" s="1340"/>
      <c r="CK207" s="1340"/>
      <c r="CL207" s="1340"/>
      <c r="CM207" s="1341"/>
      <c r="CN207" s="1340"/>
      <c r="CO207" s="1340"/>
      <c r="CP207" s="1340"/>
      <c r="CQ207" s="1340"/>
      <c r="CR207" s="1340"/>
      <c r="CS207" s="1341"/>
      <c r="CT207" s="1340"/>
      <c r="CU207" s="1340"/>
      <c r="CV207" s="1340"/>
      <c r="CW207" s="1340"/>
      <c r="CX207" s="1340"/>
      <c r="CY207" s="1341"/>
      <c r="CZ207" s="1340"/>
      <c r="DA207" s="1340"/>
      <c r="DB207" s="1340"/>
      <c r="DC207" s="1340"/>
      <c r="DD207" s="1340"/>
      <c r="DE207" s="1341"/>
      <c r="DF207" s="1340"/>
      <c r="DG207" s="1340"/>
      <c r="DH207" s="1340"/>
      <c r="DI207" s="1340"/>
      <c r="DJ207" s="1340"/>
      <c r="DK207" s="1341"/>
      <c r="DL207" s="1340"/>
      <c r="DM207" s="1340"/>
      <c r="DN207" s="1340"/>
      <c r="DO207" s="1340"/>
      <c r="DP207" s="1340"/>
      <c r="DQ207" s="1341"/>
      <c r="DR207" s="1340"/>
      <c r="DS207" s="1340"/>
      <c r="DT207" s="1340"/>
      <c r="DU207" s="1340"/>
      <c r="DV207" s="1340"/>
      <c r="DW207" s="1341"/>
      <c r="DX207" s="500"/>
      <c r="DY207" s="500"/>
      <c r="DZ207" s="500"/>
      <c r="EA207" s="500"/>
      <c r="EB207" s="500"/>
      <c r="EC207" s="500"/>
      <c r="ED207" s="500"/>
      <c r="EE207" s="500"/>
      <c r="EF207" s="500"/>
      <c r="EG207" s="500"/>
      <c r="EH207" s="500"/>
      <c r="EI207" s="500"/>
    </row>
    <row r="208" spans="1:142" ht="12.75" hidden="1" customHeight="1" outlineLevel="1">
      <c r="A208" s="1340" t="s">
        <v>93</v>
      </c>
      <c r="B208" s="1340"/>
      <c r="C208" s="1340"/>
      <c r="D208" s="1340"/>
      <c r="E208" s="1340"/>
      <c r="F208" s="1340"/>
      <c r="G208" s="853"/>
      <c r="H208" s="1340"/>
      <c r="I208" s="1340"/>
      <c r="J208" s="1340"/>
      <c r="K208" s="1340"/>
      <c r="L208" s="500"/>
      <c r="M208" s="853"/>
      <c r="N208" s="1340"/>
      <c r="O208" s="1340"/>
      <c r="P208" s="1340"/>
      <c r="Q208" s="1340"/>
      <c r="R208" s="1340"/>
      <c r="S208" s="853"/>
      <c r="T208" s="1340"/>
      <c r="U208" s="1340"/>
      <c r="V208" s="1340"/>
      <c r="W208" s="1340"/>
      <c r="X208" s="1340"/>
      <c r="Y208" s="853"/>
      <c r="Z208" s="1340"/>
      <c r="AA208" s="1340"/>
      <c r="AB208" s="1340"/>
      <c r="AC208" s="1340"/>
      <c r="AD208" s="1340"/>
      <c r="AE208" s="853"/>
      <c r="AF208" s="1340"/>
      <c r="AG208" s="545"/>
      <c r="AH208" s="545"/>
      <c r="AI208" s="545"/>
      <c r="AJ208" s="545">
        <v>0.77</v>
      </c>
      <c r="AK208" s="853"/>
      <c r="AL208" s="1340"/>
      <c r="AM208" s="545">
        <v>0.86</v>
      </c>
      <c r="AN208" s="545">
        <v>0.89</v>
      </c>
      <c r="AO208" s="545">
        <v>0.86</v>
      </c>
      <c r="AP208" s="545">
        <v>0.84</v>
      </c>
      <c r="AQ208" s="1341"/>
      <c r="AR208" s="257"/>
      <c r="AS208" s="545">
        <v>0.35</v>
      </c>
      <c r="AT208" s="545">
        <v>0.38</v>
      </c>
      <c r="AU208" s="545">
        <v>0.35</v>
      </c>
      <c r="AV208" s="545">
        <v>0.32</v>
      </c>
      <c r="AW208" s="1341"/>
      <c r="AX208" s="1340"/>
      <c r="AY208" s="545">
        <v>0.28000000000000003</v>
      </c>
      <c r="AZ208" s="545">
        <v>0.38</v>
      </c>
      <c r="BA208" s="545">
        <v>0.52</v>
      </c>
      <c r="BB208" s="545">
        <v>0.61</v>
      </c>
      <c r="BC208" s="1341"/>
      <c r="BD208" s="1340"/>
      <c r="BE208" s="1340"/>
      <c r="BF208" s="1340"/>
      <c r="BG208" s="1340"/>
      <c r="BH208" s="1340"/>
      <c r="BI208" s="1341"/>
      <c r="BJ208" s="1340"/>
      <c r="BK208" s="1340"/>
      <c r="BL208" s="1340"/>
      <c r="BM208" s="1340"/>
      <c r="BN208" s="1340"/>
      <c r="BO208" s="1341"/>
      <c r="BP208" s="1340"/>
      <c r="BQ208" s="1340"/>
      <c r="BR208" s="1340"/>
      <c r="BS208" s="1340"/>
      <c r="BT208" s="1340"/>
      <c r="BU208" s="1341"/>
      <c r="BV208" s="1340"/>
      <c r="BW208" s="1340"/>
      <c r="BX208" s="1340"/>
      <c r="BY208" s="1340"/>
      <c r="BZ208" s="1340"/>
      <c r="CA208" s="1341"/>
      <c r="CB208" s="1340"/>
      <c r="CC208" s="1340"/>
      <c r="CD208" s="1340"/>
      <c r="CE208" s="1340"/>
      <c r="CF208" s="1340"/>
      <c r="CG208" s="1341"/>
      <c r="CH208" s="1340"/>
      <c r="CI208" s="1340"/>
      <c r="CJ208" s="1340"/>
      <c r="CK208" s="1340"/>
      <c r="CL208" s="1340"/>
      <c r="CM208" s="1341"/>
      <c r="CN208" s="1340"/>
      <c r="CO208" s="1340"/>
      <c r="CP208" s="1340"/>
      <c r="CQ208" s="1340"/>
      <c r="CR208" s="1340"/>
      <c r="CS208" s="1341"/>
      <c r="CT208" s="1340"/>
      <c r="CU208" s="1340"/>
      <c r="CV208" s="1340"/>
      <c r="CW208" s="1340"/>
      <c r="CX208" s="1340"/>
      <c r="CY208" s="1341"/>
      <c r="CZ208" s="1340"/>
      <c r="DA208" s="1340"/>
      <c r="DB208" s="1340"/>
      <c r="DC208" s="1340"/>
      <c r="DD208" s="1340"/>
      <c r="DE208" s="1341"/>
      <c r="DF208" s="1340"/>
      <c r="DG208" s="1340"/>
      <c r="DH208" s="1340"/>
      <c r="DI208" s="1340"/>
      <c r="DJ208" s="1340"/>
      <c r="DK208" s="1341"/>
      <c r="DL208" s="1340"/>
      <c r="DM208" s="1340"/>
      <c r="DN208" s="1340"/>
      <c r="DO208" s="1340"/>
      <c r="DP208" s="1340"/>
      <c r="DQ208" s="1341"/>
      <c r="DR208" s="1340"/>
      <c r="DS208" s="1340"/>
      <c r="DT208" s="1340"/>
      <c r="DU208" s="1340"/>
      <c r="DV208" s="1340"/>
      <c r="DW208" s="1341"/>
      <c r="DX208" s="500"/>
      <c r="DY208" s="500"/>
      <c r="DZ208" s="500"/>
      <c r="EA208" s="500"/>
      <c r="EB208" s="500"/>
      <c r="EC208" s="500"/>
      <c r="ED208" s="500"/>
      <c r="EE208" s="500"/>
      <c r="EF208" s="500"/>
      <c r="EG208" s="500"/>
      <c r="EH208" s="500"/>
      <c r="EI208" s="500"/>
    </row>
    <row r="209" spans="1:142" ht="12.75" hidden="1" customHeight="1" outlineLevel="1">
      <c r="A209" s="500" t="s">
        <v>94</v>
      </c>
      <c r="B209" s="1340"/>
      <c r="C209" s="1340"/>
      <c r="D209" s="1340"/>
      <c r="E209" s="1340"/>
      <c r="F209" s="1340"/>
      <c r="G209" s="853"/>
      <c r="H209" s="1340"/>
      <c r="I209" s="1340"/>
      <c r="J209" s="1340"/>
      <c r="K209" s="1340"/>
      <c r="L209" s="500"/>
      <c r="M209" s="853"/>
      <c r="N209" s="1340"/>
      <c r="O209" s="1340"/>
      <c r="P209" s="1340"/>
      <c r="Q209" s="1340"/>
      <c r="R209" s="1340"/>
      <c r="S209" s="853"/>
      <c r="T209" s="1340"/>
      <c r="U209" s="1340"/>
      <c r="V209" s="1340"/>
      <c r="W209" s="1340"/>
      <c r="X209" s="1340"/>
      <c r="Y209" s="853"/>
      <c r="Z209" s="1340"/>
      <c r="AA209" s="1340"/>
      <c r="AB209" s="1340"/>
      <c r="AC209" s="1340"/>
      <c r="AD209" s="1340"/>
      <c r="AE209" s="853"/>
      <c r="AF209" s="1340"/>
      <c r="AG209" s="545"/>
      <c r="AH209" s="545"/>
      <c r="AI209" s="545"/>
      <c r="AJ209" s="545">
        <v>0.69</v>
      </c>
      <c r="AK209" s="853"/>
      <c r="AL209" s="1340"/>
      <c r="AM209" s="545">
        <v>0.74</v>
      </c>
      <c r="AN209" s="545">
        <v>0.54</v>
      </c>
      <c r="AO209" s="545">
        <v>0.62</v>
      </c>
      <c r="AP209" s="545">
        <v>0.62</v>
      </c>
      <c r="AQ209" s="1341"/>
      <c r="AR209" s="257"/>
      <c r="AS209" s="545">
        <v>0.34</v>
      </c>
      <c r="AT209" s="545">
        <v>0.44</v>
      </c>
      <c r="AU209" s="545">
        <v>0.39</v>
      </c>
      <c r="AV209" s="545">
        <v>0.33</v>
      </c>
      <c r="AW209" s="1341"/>
      <c r="AX209" s="1340"/>
      <c r="AY209" s="545">
        <v>0.38</v>
      </c>
      <c r="AZ209" s="545">
        <v>0.38</v>
      </c>
      <c r="BA209" s="545">
        <v>0.35</v>
      </c>
      <c r="BB209" s="545">
        <v>0.3</v>
      </c>
      <c r="BC209" s="1341"/>
      <c r="BD209" s="1340"/>
      <c r="BE209" s="1340"/>
      <c r="BF209" s="1340"/>
      <c r="BG209" s="1340"/>
      <c r="BH209" s="1340"/>
      <c r="BI209" s="1341"/>
      <c r="BJ209" s="1340"/>
      <c r="BK209" s="1340"/>
      <c r="BL209" s="1340"/>
      <c r="BM209" s="1340"/>
      <c r="BN209" s="1340"/>
      <c r="BO209" s="1341"/>
      <c r="BP209" s="1340"/>
      <c r="BQ209" s="1340"/>
      <c r="BR209" s="1340"/>
      <c r="BS209" s="1340"/>
      <c r="BT209" s="1340"/>
      <c r="BU209" s="1341"/>
      <c r="BV209" s="1340"/>
      <c r="BW209" s="1340"/>
      <c r="BX209" s="1340"/>
      <c r="BY209" s="1340"/>
      <c r="BZ209" s="1340"/>
      <c r="CA209" s="1341"/>
      <c r="CB209" s="1340"/>
      <c r="CC209" s="1340"/>
      <c r="CD209" s="1340"/>
      <c r="CE209" s="1340"/>
      <c r="CF209" s="1340"/>
      <c r="CG209" s="1341"/>
      <c r="CH209" s="1340"/>
      <c r="CI209" s="1340"/>
      <c r="CJ209" s="1340"/>
      <c r="CK209" s="1340"/>
      <c r="CL209" s="1340"/>
      <c r="CM209" s="1341"/>
      <c r="CN209" s="1340"/>
      <c r="CO209" s="1340"/>
      <c r="CP209" s="1340"/>
      <c r="CQ209" s="1340"/>
      <c r="CR209" s="1340"/>
      <c r="CS209" s="1341"/>
      <c r="CT209" s="1340"/>
      <c r="CU209" s="1340"/>
      <c r="CV209" s="1340"/>
      <c r="CW209" s="1340"/>
      <c r="CX209" s="1340"/>
      <c r="CY209" s="1341"/>
      <c r="CZ209" s="1340"/>
      <c r="DA209" s="1340"/>
      <c r="DB209" s="1340"/>
      <c r="DC209" s="1340"/>
      <c r="DD209" s="1340"/>
      <c r="DE209" s="1341"/>
      <c r="DF209" s="1340"/>
      <c r="DG209" s="1340"/>
      <c r="DH209" s="1340"/>
      <c r="DI209" s="1340"/>
      <c r="DJ209" s="1340"/>
      <c r="DK209" s="1341"/>
      <c r="DL209" s="1340"/>
      <c r="DM209" s="1340"/>
      <c r="DN209" s="1340"/>
      <c r="DO209" s="1340"/>
      <c r="DP209" s="1340"/>
      <c r="DQ209" s="1341"/>
      <c r="DR209" s="1340"/>
      <c r="DS209" s="1340"/>
      <c r="DT209" s="1340"/>
      <c r="DU209" s="1340"/>
      <c r="DV209" s="1340"/>
      <c r="DW209" s="1341"/>
      <c r="DX209" s="500"/>
      <c r="DY209" s="500"/>
      <c r="DZ209" s="500"/>
      <c r="EA209" s="500"/>
      <c r="EB209" s="500"/>
      <c r="EC209" s="500"/>
      <c r="ED209" s="500"/>
      <c r="EE209" s="500"/>
      <c r="EF209" s="500"/>
      <c r="EG209" s="500"/>
      <c r="EH209" s="500"/>
      <c r="EI209" s="500"/>
    </row>
    <row r="210" spans="1:142" ht="5.25" customHeight="1" collapsed="1">
      <c r="A210" s="1340"/>
      <c r="B210" s="1340"/>
      <c r="C210" s="1340"/>
      <c r="D210" s="1340"/>
      <c r="E210" s="1340"/>
      <c r="F210" s="1340"/>
      <c r="G210" s="853"/>
      <c r="H210" s="1340"/>
      <c r="I210" s="1340"/>
      <c r="J210" s="1340"/>
      <c r="K210" s="1340"/>
      <c r="L210" s="500"/>
      <c r="M210" s="853"/>
      <c r="N210" s="1340"/>
      <c r="O210" s="1340"/>
      <c r="P210" s="1340"/>
      <c r="Q210" s="1340"/>
      <c r="R210" s="1340"/>
      <c r="S210" s="853"/>
      <c r="T210" s="1340"/>
      <c r="U210" s="1340"/>
      <c r="V210" s="1340"/>
      <c r="W210" s="1340"/>
      <c r="X210" s="1340"/>
      <c r="Y210" s="853"/>
      <c r="Z210" s="1340"/>
      <c r="AA210" s="1340"/>
      <c r="AB210" s="1340"/>
      <c r="AC210" s="1340"/>
      <c r="AD210" s="1340"/>
      <c r="AE210" s="853"/>
      <c r="AF210" s="1340"/>
      <c r="AG210" s="1340"/>
      <c r="AH210" s="1340"/>
      <c r="AI210" s="1340"/>
      <c r="AJ210" s="1340"/>
      <c r="AK210" s="853"/>
      <c r="AL210" s="1340"/>
      <c r="AM210" s="1340"/>
      <c r="AN210" s="1340"/>
      <c r="AO210" s="1340"/>
      <c r="AP210" s="1340"/>
      <c r="AQ210" s="1341"/>
      <c r="AR210" s="1340"/>
      <c r="AS210" s="1340"/>
      <c r="AT210" s="1340"/>
      <c r="AU210" s="1340"/>
      <c r="AV210" s="1340"/>
      <c r="AW210" s="1341"/>
      <c r="AX210" s="1340"/>
      <c r="AY210" s="1340"/>
      <c r="AZ210" s="1340"/>
      <c r="BA210" s="1340"/>
      <c r="BB210" s="1340"/>
      <c r="BC210" s="1341"/>
      <c r="BD210" s="1340"/>
      <c r="BE210" s="1340"/>
      <c r="BF210" s="1340"/>
      <c r="BG210" s="1340"/>
      <c r="BH210" s="1340"/>
      <c r="BI210" s="1341"/>
      <c r="BJ210" s="1340"/>
      <c r="BK210" s="1340"/>
      <c r="BL210" s="1340"/>
      <c r="BM210" s="1340"/>
      <c r="BN210" s="1340"/>
      <c r="BO210" s="1341"/>
      <c r="BP210" s="1340"/>
      <c r="BQ210" s="1340"/>
      <c r="BR210" s="1340"/>
      <c r="BS210" s="1340"/>
      <c r="BT210" s="1340"/>
      <c r="BU210" s="1341"/>
      <c r="BV210" s="1340"/>
      <c r="BW210" s="1340"/>
      <c r="BX210" s="1340"/>
      <c r="BY210" s="1340"/>
      <c r="BZ210" s="1340"/>
      <c r="CA210" s="1341"/>
      <c r="CB210" s="1340"/>
      <c r="CC210" s="1340"/>
      <c r="CD210" s="1340"/>
      <c r="CE210" s="1340"/>
      <c r="CF210" s="1340"/>
      <c r="CG210" s="1341"/>
      <c r="CH210" s="1340"/>
      <c r="CI210" s="1340"/>
      <c r="CJ210" s="1340"/>
      <c r="CK210" s="1340"/>
      <c r="CL210" s="1340"/>
      <c r="CM210" s="1341"/>
      <c r="CN210" s="1340"/>
      <c r="CO210" s="1340"/>
      <c r="CP210" s="1340"/>
      <c r="CQ210" s="1340"/>
      <c r="CR210" s="1340"/>
      <c r="CS210" s="1341"/>
      <c r="CT210" s="1340"/>
      <c r="CU210" s="1340"/>
      <c r="CV210" s="1340"/>
      <c r="CW210" s="1340"/>
      <c r="CX210" s="1340"/>
      <c r="CY210" s="1341"/>
      <c r="CZ210" s="1340"/>
      <c r="DA210" s="1340"/>
      <c r="DB210" s="1340"/>
      <c r="DC210" s="1340"/>
      <c r="DD210" s="1340"/>
      <c r="DE210" s="1341"/>
      <c r="DF210" s="1340"/>
      <c r="DG210" s="1340"/>
      <c r="DH210" s="1340"/>
      <c r="DI210" s="1340"/>
      <c r="DJ210" s="1340"/>
      <c r="DK210" s="1341"/>
      <c r="DL210" s="1340"/>
      <c r="DM210" s="1340"/>
      <c r="DN210" s="1340"/>
      <c r="DO210" s="1340"/>
      <c r="DP210" s="1340"/>
      <c r="DQ210" s="1341"/>
      <c r="DR210" s="1340"/>
      <c r="DS210" s="1340"/>
      <c r="DT210" s="1340"/>
      <c r="DU210" s="1340"/>
      <c r="DV210" s="1340"/>
      <c r="DW210" s="1341"/>
      <c r="DX210" s="500"/>
      <c r="DY210" s="500"/>
      <c r="DZ210" s="500"/>
      <c r="EA210" s="500"/>
      <c r="EB210" s="500"/>
      <c r="EC210" s="500"/>
      <c r="ED210" s="500"/>
      <c r="EE210" s="500"/>
      <c r="EF210" s="500"/>
      <c r="EG210" s="500"/>
      <c r="EH210" s="500"/>
      <c r="EI210" s="500"/>
    </row>
    <row r="211" spans="1:142" ht="12.75" customHeight="1">
      <c r="A211" s="1340" t="s">
        <v>922</v>
      </c>
      <c r="B211" s="1340"/>
      <c r="C211" s="1340"/>
      <c r="D211" s="1340"/>
      <c r="E211" s="1340"/>
      <c r="F211" s="1340"/>
      <c r="G211" s="853"/>
      <c r="H211" s="1340"/>
      <c r="I211" s="1340"/>
      <c r="J211" s="1340"/>
      <c r="K211" s="1340"/>
      <c r="L211" s="500"/>
      <c r="M211" s="853"/>
      <c r="N211" s="1340"/>
      <c r="O211" s="1340"/>
      <c r="P211" s="1340"/>
      <c r="Q211" s="1340"/>
      <c r="R211" s="1340"/>
      <c r="S211" s="853"/>
      <c r="T211" s="1340"/>
      <c r="U211" s="1542">
        <f>(Model!M26+Model!M58)/'MS Revenue Analysis'!U198*1000000</f>
        <v>57434.650455927054</v>
      </c>
      <c r="V211" s="1542">
        <f>(Model!N26+Model!N58)/'MS Revenue Analysis'!V198*1000000</f>
        <v>60193.277310924372</v>
      </c>
      <c r="W211" s="1542">
        <f>(Model!O26+Model!O58)/'MS Revenue Analysis'!W198*1000000</f>
        <v>61808.25242718446</v>
      </c>
      <c r="X211" s="1542">
        <f>(Model!P26+Model!P58)/'MS Revenue Analysis'!X198*1000000</f>
        <v>67342.342342342352</v>
      </c>
      <c r="Y211" s="1542">
        <f>SUM(U211:X211)</f>
        <v>246778.52253637824</v>
      </c>
      <c r="Z211" s="1340"/>
      <c r="AA211" s="1542">
        <f>(Model!S26+Model!S58)/'MS Revenue Analysis'!AA198*1000000</f>
        <v>66559.845559845562</v>
      </c>
      <c r="AB211" s="1542">
        <f>(Model!T26+Model!T58)/'MS Revenue Analysis'!AB198*1000000</f>
        <v>66356.902356902356</v>
      </c>
      <c r="AC211" s="1542">
        <f>(Model!U26+Model!U58)/'MS Revenue Analysis'!AC198*1000000</f>
        <v>65667.157584683358</v>
      </c>
      <c r="AD211" s="1542">
        <f>(Model!V26+Model!V58)/'MS Revenue Analysis'!AD198*1000000</f>
        <v>66979.139504563253</v>
      </c>
      <c r="AE211" s="1542">
        <f>SUM(AA211:AD211)</f>
        <v>265563.04500599456</v>
      </c>
      <c r="AF211" s="1340"/>
      <c r="AG211" s="1542">
        <f>(Model!Y26+Model!Y58)/'MS Revenue Analysis'!AG198*1000000</f>
        <v>68633.979475484623</v>
      </c>
      <c r="AH211" s="1542">
        <f>(Model!Z26+Model!Z58)/'MS Revenue Analysis'!AH198*1000000</f>
        <v>63975.448536355048</v>
      </c>
      <c r="AI211" s="1542">
        <f>(Model!AA26+Model!AA58)/'MS Revenue Analysis'!AI198*1000000</f>
        <v>68356.630824372769</v>
      </c>
      <c r="AJ211" s="1542">
        <f>(Model!AB26+Model!AB58)/'MS Revenue Analysis'!AJ198*1000000</f>
        <v>65806.74846625769</v>
      </c>
      <c r="AK211" s="1542">
        <f>SUM(AG211:AJ211)</f>
        <v>266772.80730247014</v>
      </c>
      <c r="AL211" s="1340"/>
      <c r="AM211" s="1542">
        <f>(Model!AE26+Model!AE58)/'MS Revenue Analysis'!AM198*1000000</f>
        <v>65615.540540540533</v>
      </c>
      <c r="AN211" s="1542">
        <f>(Model!AF26+Model!AF58)/'MS Revenue Analysis'!AN198*1000000</f>
        <v>66881.23076923078</v>
      </c>
      <c r="AO211" s="1542">
        <f>(Model!AG26+Model!AG58)/'MS Revenue Analysis'!AO198*1000000</f>
        <v>66372.993912562248</v>
      </c>
      <c r="AP211" s="1542">
        <f>(Model!AH26+Model!AH58)/'MS Revenue Analysis'!AP198*1000000</f>
        <v>65277.294685990331</v>
      </c>
      <c r="AQ211" s="1543">
        <f>SUM(AM211:AP211)</f>
        <v>264147.05990832386</v>
      </c>
      <c r="AR211" s="1340"/>
      <c r="AS211" s="1542">
        <f>(Model!AK26+Model!AK58)/'MS Revenue Analysis'!AS198*1000000</f>
        <v>66779.313419527418</v>
      </c>
      <c r="AT211" s="1542">
        <f>(Model!AL26+Model!AL58)/'MS Revenue Analysis'!AT198*1000000</f>
        <v>68766.724587315373</v>
      </c>
      <c r="AU211" s="1542">
        <f>(Model!AM26+Model!AM58)/'MS Revenue Analysis'!AU198*1000000</f>
        <v>69486.793986184479</v>
      </c>
      <c r="AV211" s="1542">
        <f>(Model!AN26+Model!AN58)/'MS Revenue Analysis'!AV198*1000000</f>
        <v>72636.224098234845</v>
      </c>
      <c r="AW211" s="1543">
        <f>SUM(AS211:AV211)</f>
        <v>277669.05609126209</v>
      </c>
      <c r="AX211" s="1340"/>
      <c r="AY211" s="1542">
        <f>(Model!AQ26+Model!AQ58)/'MS Revenue Analysis'!AY198*1000000</f>
        <v>74314.245810055872</v>
      </c>
      <c r="AZ211" s="1542">
        <f>(Model!AR26+Model!AR58)/'MS Revenue Analysis'!AZ198*1000000</f>
        <v>74456.66447800395</v>
      </c>
      <c r="BA211" s="1542">
        <f>(Model!AS26+Model!AS58)/'MS Revenue Analysis'!BA198*1000000</f>
        <v>71904.159132007233</v>
      </c>
      <c r="BB211" s="1542">
        <f>(Model!AT26+Model!AT58)/'MS Revenue Analysis'!BB198*1000000</f>
        <v>69952.888390353342</v>
      </c>
      <c r="BC211" s="1543">
        <f>SUM(AY211:BB211)</f>
        <v>290627.95781042043</v>
      </c>
      <c r="BD211" s="1340"/>
      <c r="BE211" s="1542">
        <f>(Model!AW26+Model!AW58)/'MS Revenue Analysis'!BE198*1000000</f>
        <v>69957.859717216517</v>
      </c>
      <c r="BF211" s="1542">
        <f>(Model!AX26+Model!AX58)/'MS Revenue Analysis'!BF198*1000000</f>
        <v>72131.125102655336</v>
      </c>
      <c r="BG211" s="1542">
        <f>(Model!AY26+Model!AY58)/'MS Revenue Analysis'!BG198*1000000</f>
        <v>72837.178814892497</v>
      </c>
      <c r="BH211" s="1542">
        <f>(Model!AZ26+Model!AZ58)/'MS Revenue Analysis'!BH198*1000000</f>
        <v>75504.409171075837</v>
      </c>
      <c r="BI211" s="1543">
        <f>SUM(BE211:BH211)</f>
        <v>290430.57280584017</v>
      </c>
      <c r="BJ211" s="1340"/>
      <c r="BK211" s="1542">
        <f>(Model!BC26+Model!BC58)/'MS Revenue Analysis'!BK198*1000000</f>
        <v>76666.098392596177</v>
      </c>
      <c r="BL211" s="1542">
        <f>(Model!BD26+Model!BD58)/'MS Revenue Analysis'!BL198*1000000</f>
        <v>74872.723184169081</v>
      </c>
      <c r="BM211" s="1542">
        <f>(Model!BE26+Model!BE58)/'MS Revenue Analysis'!BM198*1000000</f>
        <v>76317.360235393018</v>
      </c>
      <c r="BN211" s="1542">
        <f>(Model!BF26+Model!BF58)/'MS Revenue Analysis'!BN198*1000000</f>
        <v>77021.673577082547</v>
      </c>
      <c r="BO211" s="1543">
        <f>SUM(BK211:BN211)</f>
        <v>304877.85538924084</v>
      </c>
      <c r="BP211" s="1340"/>
      <c r="BQ211" s="1542">
        <f>(Model!BI26+Model!BI58)/'MS Revenue Analysis'!BQ198*1000000</f>
        <v>81493.560674768712</v>
      </c>
      <c r="BR211" s="1542">
        <f>(Model!BJ26+Model!BJ58)/'MS Revenue Analysis'!BR198*1000000</f>
        <v>76901.290931989934</v>
      </c>
      <c r="BS211" s="1542">
        <f>(Model!BK26+Model!BK58)/'MS Revenue Analysis'!BS198*1000000</f>
        <v>74642.456493599893</v>
      </c>
      <c r="BT211" s="1542">
        <f>(Model!BL26+Model!BL58)/'MS Revenue Analysis'!BT198*1000000</f>
        <v>70431.213872832363</v>
      </c>
      <c r="BU211" s="1543">
        <f>SUM(BQ211:BT211)</f>
        <v>303468.52197319095</v>
      </c>
      <c r="BV211" s="1340"/>
      <c r="BW211" s="1542">
        <f>(Model!BO26+Model!BO58)/'MS Revenue Analysis'!BW198*1000000</f>
        <v>73854.229154169152</v>
      </c>
      <c r="BX211" s="1542">
        <f>(Model!BP26+Model!BP58)/'MS Revenue Analysis'!BX198*1000000</f>
        <v>72974.671990872797</v>
      </c>
      <c r="BY211" s="1542">
        <f>(Model!BQ26+Model!BQ58)/'MS Revenue Analysis'!BY198*1000000</f>
        <v>76320.635261294126</v>
      </c>
      <c r="BZ211" s="1542">
        <f>(Model!BR26+Model!BR58)/'MS Revenue Analysis'!BZ198*1000000</f>
        <v>74171.411080501988</v>
      </c>
      <c r="CA211" s="1543">
        <f>SUM(BW211:BZ211)</f>
        <v>297320.94748683803</v>
      </c>
      <c r="CB211" s="1340"/>
      <c r="CC211" s="1542">
        <f>(Model!BU26+Model!BU58)/'MS Revenue Analysis'!CC198*1000000</f>
        <v>77669.843430905385</v>
      </c>
      <c r="CD211" s="1542">
        <f>(Model!BV26+Model!BV58)/'MS Revenue Analysis'!CD198*1000000</f>
        <v>68367.592077002613</v>
      </c>
      <c r="CE211" s="1542">
        <f>(Model!BW26+Model!BW58)/'MS Revenue Analysis'!CE198*1000000</f>
        <v>77006.577916992959</v>
      </c>
      <c r="CF211" s="1542">
        <f>(Model!BX26+Model!BX58)/'MS Revenue Analysis'!CF198*1000000</f>
        <v>80060.096153846156</v>
      </c>
      <c r="CG211" s="1543">
        <f>SUM(CC211:CF211)</f>
        <v>303104.10957874707</v>
      </c>
      <c r="CH211" s="1340"/>
      <c r="CI211" s="1542">
        <f>(Model!CA26+Model!CA58)/'MS Revenue Analysis'!CI198*1000000</f>
        <v>77771.191797176769</v>
      </c>
      <c r="CJ211" s="1542">
        <f>(Model!CB26+Model!CB58)/'MS Revenue Analysis'!CJ198*1000000</f>
        <v>77494.552657642766</v>
      </c>
      <c r="CK211" s="1542">
        <f>(Model!CC26+Model!CC58)/'MS Revenue Analysis'!CK198*1000000</f>
        <v>79621.619873204807</v>
      </c>
      <c r="CL211" s="1542">
        <f>(Model!CD26+Model!CD58)/'MS Revenue Analysis'!CL198*1000000</f>
        <v>79352.375670179332</v>
      </c>
      <c r="CM211" s="1543">
        <f>SUM(CI211:CL211)</f>
        <v>314239.73999820364</v>
      </c>
      <c r="CN211" s="1340"/>
      <c r="CO211" s="1542">
        <f>(Model!CG26+Model!CG58)/'MS Revenue Analysis'!CO198*1000000</f>
        <v>79183.598385948251</v>
      </c>
      <c r="CP211" s="1542">
        <f>(Model!CH26+Model!CH58)/'MS Revenue Analysis'!CP198*1000000</f>
        <v>80991.9418908183</v>
      </c>
      <c r="CQ211" s="1542">
        <f>(Model!CI26+Model!CI58)/'MS Revenue Analysis'!CQ198*1000000</f>
        <v>79299.049449962637</v>
      </c>
      <c r="CR211" s="1542">
        <f>(Model!CJ26+Model!CJ58)/'MS Revenue Analysis'!CR198*1000000</f>
        <v>80570.154999493461</v>
      </c>
      <c r="CS211" s="1543">
        <f>SUM(CO211:CR211)</f>
        <v>320044.74472622265</v>
      </c>
      <c r="CT211" s="1340"/>
      <c r="CU211" s="1542">
        <f>(Model!CM26+Model!CM58)/'MS Revenue Analysis'!CU198*1000000</f>
        <v>77565.083574032877</v>
      </c>
      <c r="CV211" s="1542">
        <f>(Model!CN26+Model!CN58)/'MS Revenue Analysis'!CV198*1000000</f>
        <v>76270.572546995318</v>
      </c>
      <c r="CW211" s="1542">
        <f>(Model!CO26+Model!CO58)/'MS Revenue Analysis'!CW198*1000000</f>
        <v>78207.986966874145</v>
      </c>
      <c r="CX211" s="1542">
        <f>(Model!CP26+Model!CP58)/'MS Revenue Analysis'!CX198*1000000</f>
        <v>79384.065453967749</v>
      </c>
      <c r="CY211" s="1543">
        <f>SUM(CU211:CX211)</f>
        <v>311427.70854187012</v>
      </c>
      <c r="CZ211" s="1340"/>
      <c r="DA211" s="1542">
        <f>(Model!CS26+Model!CS58)/'MS Revenue Analysis'!DA198*1000000</f>
        <v>78993.70541334452</v>
      </c>
      <c r="DB211" s="1542">
        <f>(Model!CT26+Model!CT58)/'MS Revenue Analysis'!DB198*1000000</f>
        <v>80289.633584975134</v>
      </c>
      <c r="DC211" s="1542">
        <f>(Model!CU26+Model!CU58)/'MS Revenue Analysis'!DC198*1000000</f>
        <v>78623.724892207378</v>
      </c>
      <c r="DD211" s="1542">
        <f>(Model!CV26+Model!CV58)/'MS Revenue Analysis'!DD198*1000000</f>
        <v>83892.384612768263</v>
      </c>
      <c r="DE211" s="1543">
        <f>SUM(DA211:DD211)</f>
        <v>321799.44850329525</v>
      </c>
      <c r="DF211" s="1340"/>
      <c r="DG211" s="1542">
        <f>(Model!CY26+Model!CY58)/'MS Revenue Analysis'!DG198*1000000</f>
        <v>82443.730559930613</v>
      </c>
      <c r="DH211" s="1542">
        <f>(Model!CZ26+Model!CZ58)/'MS Revenue Analysis'!DH198*1000000</f>
        <v>82848.960480071284</v>
      </c>
      <c r="DI211" s="1542">
        <f>(Model!DA26+Model!DA58)/'MS Revenue Analysis'!DI198*1000000</f>
        <v>82760.024890116722</v>
      </c>
      <c r="DJ211" s="1542">
        <f>(Model!DB26+Model!DB58)/'MS Revenue Analysis'!DJ198*1000000</f>
        <v>87999.706843823631</v>
      </c>
      <c r="DK211" s="1543">
        <f>SUM(DG211:DJ211)</f>
        <v>336052.42277394223</v>
      </c>
      <c r="DL211" s="1340"/>
      <c r="DM211" s="1542">
        <f>(Model!DE26+Model!DE58)/'MS Revenue Analysis'!DM198*1000000</f>
        <v>88319.196126433031</v>
      </c>
      <c r="DN211" s="1542">
        <f>(Model!DF26+Model!DF58)/'MS Revenue Analysis'!DN198*1000000</f>
        <v>88691.951804242097</v>
      </c>
      <c r="DO211" s="1542">
        <f>(Model!DG26+Model!DG58)/'MS Revenue Analysis'!DO198*1000000</f>
        <v>89017.648099403697</v>
      </c>
      <c r="DP211" s="1542">
        <f>(Model!DH26+Model!DH58)/'MS Revenue Analysis'!DP198*1000000</f>
        <v>93019.118535859772</v>
      </c>
      <c r="DQ211" s="1543">
        <f>SUM(DM211:DP211)</f>
        <v>359047.91456593864</v>
      </c>
      <c r="DR211" s="1340"/>
      <c r="DS211" s="1542">
        <f>(Model!DK26+Model!DK58)/'MS Revenue Analysis'!DS198*1000000</f>
        <v>94539.900284371601</v>
      </c>
      <c r="DT211" s="1542">
        <f>(Model!DL26+Model!DL58)/'MS Revenue Analysis'!DT198*1000000</f>
        <v>94818.614192025096</v>
      </c>
      <c r="DU211" s="1542">
        <f>(Model!DM26+Model!DM58)/'MS Revenue Analysis'!DU198*1000000</f>
        <v>95341.3241059555</v>
      </c>
      <c r="DV211" s="1542">
        <f>(Model!DN26+Model!DN58)/'MS Revenue Analysis'!DV198*1000000</f>
        <v>99141.734920236529</v>
      </c>
      <c r="DW211" s="1543">
        <f>SUM(DS211:DV211)</f>
        <v>383841.57350258873</v>
      </c>
      <c r="DX211" s="500"/>
      <c r="DY211" s="500"/>
      <c r="DZ211" s="500"/>
      <c r="EA211" s="500"/>
      <c r="EB211" s="500"/>
      <c r="EC211" s="500"/>
      <c r="ED211" s="500"/>
      <c r="EE211" s="500"/>
      <c r="EF211" s="500"/>
      <c r="EG211" s="500"/>
      <c r="EH211" s="500"/>
      <c r="EI211" s="500"/>
    </row>
    <row r="212" spans="1:142" ht="12.75" customHeight="1">
      <c r="A212" s="1340"/>
      <c r="B212" s="1340"/>
      <c r="C212" s="1340"/>
      <c r="D212" s="1340"/>
      <c r="E212" s="1340"/>
      <c r="F212" s="1340"/>
      <c r="G212" s="853"/>
      <c r="H212" s="1340"/>
      <c r="I212" s="1340"/>
      <c r="J212" s="1340"/>
      <c r="K212" s="1340"/>
      <c r="L212" s="500"/>
      <c r="M212" s="853"/>
      <c r="N212" s="1340"/>
      <c r="O212" s="1340"/>
      <c r="P212" s="1340"/>
      <c r="Q212" s="1340"/>
      <c r="R212" s="1340"/>
      <c r="S212" s="853"/>
      <c r="T212" s="1340"/>
      <c r="U212" s="1340"/>
      <c r="V212" s="1340"/>
      <c r="W212" s="1340"/>
      <c r="X212" s="1340"/>
      <c r="Y212" s="853"/>
      <c r="Z212" s="1340"/>
      <c r="AA212" s="545">
        <f>AA211/U211-1</f>
        <v>0.15887961416115526</v>
      </c>
      <c r="AB212" s="545">
        <f>AB211/V211-1</f>
        <v>0.10239723306873927</v>
      </c>
      <c r="AC212" s="545">
        <f>AC211/W211-1</f>
        <v>6.2433494007050783E-2</v>
      </c>
      <c r="AD212" s="545">
        <f>AD211/X211-1</f>
        <v>-5.393379932238096E-3</v>
      </c>
      <c r="AE212" s="545">
        <f>AE211/Y211-1</f>
        <v>7.611895182996431E-2</v>
      </c>
      <c r="AF212" s="1340"/>
      <c r="AG212" s="545">
        <f>AG211/AA211-1</f>
        <v>3.116194002845396E-2</v>
      </c>
      <c r="AH212" s="545">
        <f>AH211/AB211-1</f>
        <v>-3.5888562243888256E-2</v>
      </c>
      <c r="AI212" s="545">
        <f>AI211/AC211-1</f>
        <v>4.0956139090093879E-2</v>
      </c>
      <c r="AJ212" s="545">
        <f>AJ211/AD211-1</f>
        <v>-1.7503823533380647E-2</v>
      </c>
      <c r="AK212" s="545">
        <f>AK211/AE211-1</f>
        <v>4.555461760307411E-3</v>
      </c>
      <c r="AL212" s="1340"/>
      <c r="AM212" s="545">
        <f>AM211/AG211-1</f>
        <v>-4.3978783658060294E-2</v>
      </c>
      <c r="AN212" s="545">
        <f>AN211/AH211-1</f>
        <v>4.5420271359636999E-2</v>
      </c>
      <c r="AO212" s="545">
        <f>AO211/AI211-1</f>
        <v>-2.9018939170759261E-2</v>
      </c>
      <c r="AP212" s="545">
        <f>AP211/AJ211-1</f>
        <v>-8.0455848770408789E-3</v>
      </c>
      <c r="AQ212" s="727">
        <f>AQ211/AK211-1</f>
        <v>-9.8426350897494741E-3</v>
      </c>
      <c r="AR212" s="1340"/>
      <c r="AS212" s="545">
        <f>AS211/AM211-1</f>
        <v>1.7736238540439153E-2</v>
      </c>
      <c r="AT212" s="545">
        <f>AT211/AN211-1</f>
        <v>2.8191673454550648E-2</v>
      </c>
      <c r="AU212" s="545">
        <f>AU211/AO211-1</f>
        <v>4.6913660060660556E-2</v>
      </c>
      <c r="AV212" s="545">
        <f>AV211/AP211-1</f>
        <v>0.11273336996644678</v>
      </c>
      <c r="AW212" s="727">
        <f>AW211/AQ211-1</f>
        <v>5.1191166722170722E-2</v>
      </c>
      <c r="AX212" s="1340"/>
      <c r="AY212" s="545">
        <f>AY211/AS211-1</f>
        <v>0.11283333123226025</v>
      </c>
      <c r="AZ212" s="545">
        <f>AZ211/AT211-1</f>
        <v>8.274263351693989E-2</v>
      </c>
      <c r="BA212" s="545">
        <f>BA211/AU211-1</f>
        <v>3.4788842701584111E-2</v>
      </c>
      <c r="BB212" s="545">
        <f>BB211/AV211-1</f>
        <v>-3.6942114505463586E-2</v>
      </c>
      <c r="BC212" s="727">
        <f>BC211/AW211-1</f>
        <v>4.6670312859417473E-2</v>
      </c>
      <c r="BD212" s="1340"/>
      <c r="BE212" s="545">
        <f>BE211/AY211-1</f>
        <v>-5.8621143837940481E-2</v>
      </c>
      <c r="BF212" s="545">
        <f>BF211/AZ211-1</f>
        <v>-3.1233461660582829E-2</v>
      </c>
      <c r="BG212" s="545">
        <f>BG211/BA211-1</f>
        <v>1.2975879200149754E-2</v>
      </c>
      <c r="BH212" s="545">
        <f>BH211/BB211-1</f>
        <v>7.9360851402499932E-2</v>
      </c>
      <c r="BI212" s="727">
        <f>BI211/BC211-1</f>
        <v>-6.7916729714290192E-4</v>
      </c>
      <c r="BJ212" s="1340"/>
      <c r="BK212" s="545">
        <f>BK211/BE211-1</f>
        <v>9.5889707067879026E-2</v>
      </c>
      <c r="BL212" s="545">
        <f>BL211/BF211-1</f>
        <v>3.8008530680922581E-2</v>
      </c>
      <c r="BM212" s="545">
        <f>BM211/BG211-1</f>
        <v>4.7780288543918026E-2</v>
      </c>
      <c r="BN212" s="545">
        <f>BN211/BH211-1</f>
        <v>2.0095043755245179E-2</v>
      </c>
      <c r="BO212" s="727">
        <f>BO211/BI211-1</f>
        <v>4.9744358673489364E-2</v>
      </c>
      <c r="BP212" s="1340"/>
      <c r="BQ212" s="545">
        <f>BQ211/BK211-1</f>
        <v>6.2967366063834129E-2</v>
      </c>
      <c r="BR212" s="545">
        <f>BR211/BL211-1</f>
        <v>2.7093548378507082E-2</v>
      </c>
      <c r="BS212" s="545">
        <f>BS211/BM211-1</f>
        <v>-2.1946562834813221E-2</v>
      </c>
      <c r="BT212" s="545">
        <f>BT211/BN211-1</f>
        <v>-8.5566300992596767E-2</v>
      </c>
      <c r="BU212" s="727">
        <f>BU211/BO211-1</f>
        <v>-4.6226165368770111E-3</v>
      </c>
      <c r="BV212" s="1340"/>
      <c r="BW212" s="545">
        <f>BW211/BQ211-1</f>
        <v>-9.374153561760834E-2</v>
      </c>
      <c r="BX212" s="545">
        <f>BX211/BR211-1</f>
        <v>-5.1060507483414841E-2</v>
      </c>
      <c r="BY212" s="545">
        <f>BY211/BS211-1</f>
        <v>2.2482898427091946E-2</v>
      </c>
      <c r="BZ212" s="545">
        <f>BZ211/BT211-1</f>
        <v>5.3104255940026324E-2</v>
      </c>
      <c r="CA212" s="727">
        <f>CA211/BU211-1</f>
        <v>-2.025770068796795E-2</v>
      </c>
      <c r="CB212" s="1340"/>
      <c r="CC212" s="545">
        <f>CC211/BW211-1</f>
        <v>5.1664127030169427E-2</v>
      </c>
      <c r="CD212" s="545">
        <f>CD211/BX211-1</f>
        <v>-6.3132588173146043E-2</v>
      </c>
      <c r="CE212" s="545">
        <f>CE211/BY211-1</f>
        <v>8.987643425010905E-3</v>
      </c>
      <c r="CF212" s="545">
        <f>CF211/BZ211-1</f>
        <v>7.9392922253466169E-2</v>
      </c>
      <c r="CG212" s="727">
        <f>CG211/CA211-1</f>
        <v>1.9450906977097615E-2</v>
      </c>
      <c r="CH212" s="1340"/>
      <c r="CI212" s="545">
        <f>CI211/CC211-1</f>
        <v>1.3048612150421413E-3</v>
      </c>
      <c r="CJ212" s="545">
        <f>CJ211/CD211-1</f>
        <v>0.1334983477311944</v>
      </c>
      <c r="CK212" s="545">
        <f>CK211/CE211-1</f>
        <v>3.3958682841752186E-2</v>
      </c>
      <c r="CL212" s="545">
        <f>CL211/CF211-1</f>
        <v>-8.8398655218555611E-3</v>
      </c>
      <c r="CM212" s="727">
        <f>CM211/CG211-1</f>
        <v>3.6738632263788373E-2</v>
      </c>
      <c r="CN212" s="1340"/>
      <c r="CO212" s="545">
        <f>CO211/CI211-1</f>
        <v>1.8161051105594073E-2</v>
      </c>
      <c r="CP212" s="545">
        <f>CP211/CJ211-1</f>
        <v>4.5130775173661375E-2</v>
      </c>
      <c r="CQ212" s="545">
        <f>CQ211/CK211-1</f>
        <v>-4.0512918947875898E-3</v>
      </c>
      <c r="CR212" s="545">
        <f>CR211/CL211-1</f>
        <v>1.5346476006915299E-2</v>
      </c>
      <c r="CS212" s="727">
        <f>CS211/CM211-1</f>
        <v>1.8473171878427008E-2</v>
      </c>
      <c r="CT212" s="1340"/>
      <c r="CU212" s="545">
        <f>CU211/CO211-1</f>
        <v>-2.0440026026937841E-2</v>
      </c>
      <c r="CV212" s="545">
        <f>CV211/CP211-1</f>
        <v>-5.829430970043481E-2</v>
      </c>
      <c r="CW212" s="545">
        <f>CW211/CQ211-1</f>
        <v>-1.3758834319659075E-2</v>
      </c>
      <c r="CX212" s="545">
        <f>CX211/CR211-1</f>
        <v>-1.4721202230939867E-2</v>
      </c>
      <c r="CY212" s="727">
        <f>CY211/CS211-1</f>
        <v>-2.6924473300518836E-2</v>
      </c>
      <c r="CZ212" s="1340"/>
      <c r="DA212" s="545">
        <f>DA211/CU211-1</f>
        <v>1.8418362663763288E-2</v>
      </c>
      <c r="DB212" s="545">
        <f>DB211/CV211-1</f>
        <v>5.2694779962526361E-2</v>
      </c>
      <c r="DC212" s="545">
        <f>DC211/CW211-1</f>
        <v>5.3157988263949907E-3</v>
      </c>
      <c r="DD212" s="545">
        <f>DD211/CX211-1</f>
        <v>5.6791235533467876E-2</v>
      </c>
      <c r="DE212" s="727">
        <f>DE211/CY211-1</f>
        <v>3.3303844445911501E-2</v>
      </c>
      <c r="DF212" s="1340"/>
      <c r="DG212" s="545">
        <f>DG211/DA211-1</f>
        <v>4.3674684312293044E-2</v>
      </c>
      <c r="DH212" s="545">
        <f>DH211/DB211-1</f>
        <v>3.187618103135903E-2</v>
      </c>
      <c r="DI212" s="545">
        <f>DI211/DC211-1</f>
        <v>5.2608802286843837E-2</v>
      </c>
      <c r="DJ212" s="545">
        <f>DJ211/DD211-1</f>
        <v>4.8959416876919182E-2</v>
      </c>
      <c r="DK212" s="727">
        <f>DK211/DE211-1</f>
        <v>4.4291481346342421E-2</v>
      </c>
      <c r="DL212" s="1340"/>
      <c r="DM212" s="545">
        <f>DM211/DG211-1</f>
        <v>7.1266371943605522E-2</v>
      </c>
      <c r="DN212" s="545">
        <f>DN211/DH211-1</f>
        <v>7.0525825433576772E-2</v>
      </c>
      <c r="DO212" s="545">
        <f>DO211/DI211-1</f>
        <v>7.5611664177184901E-2</v>
      </c>
      <c r="DP212" s="545">
        <f>DP211/DJ211-1</f>
        <v>5.7038959242719844E-2</v>
      </c>
      <c r="DQ212" s="727">
        <f>DQ211/DK211-1</f>
        <v>6.8428287474258553E-2</v>
      </c>
      <c r="DR212" s="1340"/>
      <c r="DS212" s="545">
        <f>DS211/DM211-1</f>
        <v>7.043433852175629E-2</v>
      </c>
      <c r="DT212" s="545">
        <f>DT211/DN211-1</f>
        <v>6.9077997080339015E-2</v>
      </c>
      <c r="DU212" s="545">
        <f>DU211/DO211-1</f>
        <v>7.1038452953624542E-2</v>
      </c>
      <c r="DV212" s="545">
        <f>DV211/DP211-1</f>
        <v>6.5821053572082899E-2</v>
      </c>
      <c r="DW212" s="727">
        <f>DW211/DQ211-1</f>
        <v>6.9053900415000813E-2</v>
      </c>
      <c r="DX212" s="500"/>
      <c r="DY212" s="500"/>
      <c r="DZ212" s="500"/>
      <c r="EA212" s="500"/>
      <c r="EB212" s="500"/>
      <c r="EC212" s="500"/>
      <c r="ED212" s="500"/>
      <c r="EE212" s="500"/>
      <c r="EF212" s="500"/>
      <c r="EG212" s="500"/>
      <c r="EH212" s="500"/>
      <c r="EI212" s="500"/>
    </row>
    <row r="213" spans="1:142" ht="5.25" customHeight="1">
      <c r="A213" s="1340"/>
      <c r="B213" s="1340"/>
      <c r="C213" s="1340"/>
      <c r="D213" s="1340"/>
      <c r="E213" s="1340"/>
      <c r="F213" s="1340"/>
      <c r="G213" s="853"/>
      <c r="H213" s="1340"/>
      <c r="I213" s="1340"/>
      <c r="J213" s="1340"/>
      <c r="K213" s="1340"/>
      <c r="L213" s="500"/>
      <c r="M213" s="853"/>
      <c r="N213" s="1340"/>
      <c r="O213" s="1340"/>
      <c r="P213" s="1340"/>
      <c r="Q213" s="1340"/>
      <c r="R213" s="1340"/>
      <c r="S213" s="853"/>
      <c r="T213" s="1340"/>
      <c r="U213" s="1340"/>
      <c r="V213" s="1340"/>
      <c r="W213" s="1340"/>
      <c r="X213" s="1340"/>
      <c r="Y213" s="853"/>
      <c r="Z213" s="1340"/>
      <c r="AA213" s="1340"/>
      <c r="AB213" s="1340"/>
      <c r="AC213" s="1340"/>
      <c r="AD213" s="1340"/>
      <c r="AE213" s="853"/>
      <c r="AF213" s="1340"/>
      <c r="AG213" s="1340"/>
      <c r="AH213" s="1340"/>
      <c r="AI213" s="1340"/>
      <c r="AJ213" s="1340"/>
      <c r="AK213" s="853"/>
      <c r="AL213" s="1340"/>
      <c r="AM213" s="1340"/>
      <c r="AN213" s="1340"/>
      <c r="AO213" s="1340"/>
      <c r="AP213" s="1340"/>
      <c r="AQ213" s="1341"/>
      <c r="AR213" s="1340"/>
      <c r="AS213" s="1340"/>
      <c r="AT213" s="1340"/>
      <c r="AU213" s="1340"/>
      <c r="AV213" s="1340"/>
      <c r="AW213" s="1341"/>
      <c r="AX213" s="1340"/>
      <c r="AY213" s="1340"/>
      <c r="AZ213" s="1340"/>
      <c r="BA213" s="1340"/>
      <c r="BB213" s="1340"/>
      <c r="BC213" s="1341"/>
      <c r="BD213" s="1340"/>
      <c r="BE213" s="1340"/>
      <c r="BF213" s="1340"/>
      <c r="BG213" s="1340"/>
      <c r="BH213" s="1340"/>
      <c r="BI213" s="1341"/>
      <c r="BJ213" s="1340"/>
      <c r="BK213" s="1340"/>
      <c r="BL213" s="1340"/>
      <c r="BM213" s="1340"/>
      <c r="BN213" s="1340"/>
      <c r="BO213" s="1341"/>
      <c r="BP213" s="1340"/>
      <c r="BQ213" s="1340"/>
      <c r="BR213" s="1340"/>
      <c r="BS213" s="1340"/>
      <c r="BT213" s="1340"/>
      <c r="BU213" s="1341"/>
      <c r="BV213" s="1340"/>
      <c r="BW213" s="1340"/>
      <c r="BX213" s="1340"/>
      <c r="BY213" s="1340"/>
      <c r="BZ213" s="1340"/>
      <c r="CA213" s="1341"/>
      <c r="CB213" s="1340"/>
      <c r="CC213" s="1340"/>
      <c r="CD213" s="1340"/>
      <c r="CE213" s="1340"/>
      <c r="CF213" s="1340"/>
      <c r="CG213" s="1341"/>
      <c r="CH213" s="1340"/>
      <c r="CI213" s="1340"/>
      <c r="CJ213" s="1340"/>
      <c r="CK213" s="1340"/>
      <c r="CL213" s="1340"/>
      <c r="CM213" s="1341"/>
      <c r="CN213" s="1340"/>
      <c r="CO213" s="1340"/>
      <c r="CP213" s="1340"/>
      <c r="CQ213" s="1340"/>
      <c r="CR213" s="1340"/>
      <c r="CS213" s="1341"/>
      <c r="CT213" s="1340"/>
      <c r="CU213" s="1340"/>
      <c r="CV213" s="1340"/>
      <c r="CW213" s="1340"/>
      <c r="CX213" s="1340"/>
      <c r="CY213" s="1341"/>
      <c r="CZ213" s="1340"/>
      <c r="DA213" s="1340"/>
      <c r="DB213" s="1340"/>
      <c r="DC213" s="1340"/>
      <c r="DD213" s="1340"/>
      <c r="DE213" s="1341"/>
      <c r="DF213" s="1340"/>
      <c r="DG213" s="1340"/>
      <c r="DH213" s="1340"/>
      <c r="DI213" s="1340"/>
      <c r="DJ213" s="1340"/>
      <c r="DK213" s="1341"/>
      <c r="DL213" s="1340"/>
      <c r="DM213" s="1340"/>
      <c r="DN213" s="1340"/>
      <c r="DO213" s="1340"/>
      <c r="DP213" s="1340"/>
      <c r="DQ213" s="1341"/>
      <c r="DR213" s="1340"/>
      <c r="DS213" s="1340"/>
      <c r="DT213" s="1340"/>
      <c r="DU213" s="1340"/>
      <c r="DV213" s="1340"/>
      <c r="DW213" s="1341"/>
      <c r="DX213" s="500"/>
      <c r="DY213" s="500"/>
      <c r="DZ213" s="500"/>
      <c r="EA213" s="500"/>
      <c r="EB213" s="500"/>
      <c r="EC213" s="500"/>
      <c r="ED213" s="500"/>
      <c r="EE213" s="500"/>
      <c r="EF213" s="500"/>
      <c r="EG213" s="500"/>
      <c r="EH213" s="500"/>
      <c r="EI213" s="500"/>
    </row>
    <row r="214" spans="1:142">
      <c r="A214" s="1340" t="s">
        <v>793</v>
      </c>
      <c r="B214" s="1340"/>
      <c r="C214" s="1340"/>
      <c r="D214" s="1340"/>
      <c r="E214" s="1340"/>
      <c r="F214" s="1340"/>
      <c r="G214" s="853"/>
      <c r="H214" s="1340"/>
      <c r="I214" s="1340"/>
      <c r="J214" s="1340"/>
      <c r="K214" s="1340"/>
      <c r="L214" s="500"/>
      <c r="M214" s="853"/>
      <c r="N214" s="1340"/>
      <c r="O214" s="1544">
        <f>(Model!G58+Model!G26)/'MS Revenue Analysis'!O54/3*1000000</f>
        <v>64.0524781341108</v>
      </c>
      <c r="P214" s="1544">
        <f>(Model!H58+Model!H26)/'MS Revenue Analysis'!P54/3*1000000</f>
        <v>70.3925729442971</v>
      </c>
      <c r="Q214" s="1544">
        <f>(Model!I58+Model!I26)/'MS Revenue Analysis'!Q54/3*1000000</f>
        <v>95.32</v>
      </c>
      <c r="R214" s="1544">
        <f>(Model!J58+Model!J26)/'MS Revenue Analysis'!R54/3*1000000</f>
        <v>83.554022988505764</v>
      </c>
      <c r="S214" s="853"/>
      <c r="T214" s="1340"/>
      <c r="U214" s="1544">
        <f>(Model!M58+Model!M26)/'MS Revenue Analysis'!U54/3*1000000</f>
        <v>77.92164948453609</v>
      </c>
      <c r="V214" s="1544">
        <f>(Model!N58+Model!N26)/'MS Revenue Analysis'!V54/3*1000000</f>
        <v>79.441774491682068</v>
      </c>
      <c r="W214" s="1544">
        <f>(Model!O58+Model!O26)/'MS Revenue Analysis'!W54/3*1000000</f>
        <v>84.181818181818187</v>
      </c>
      <c r="X214" s="1544">
        <f>(Model!P58+Model!P26)/'MS Revenue Analysis'!X54/3*1000000</f>
        <v>85.185185185185205</v>
      </c>
      <c r="Y214" s="853"/>
      <c r="Z214" s="1340"/>
      <c r="AA214" s="1544">
        <f>(Model!S58+Model!S26)/'MS Revenue Analysis'!AA54/3*1000000</f>
        <v>83.888077858880791</v>
      </c>
      <c r="AB214" s="1544">
        <f>(Model!T58+Model!T26)/'MS Revenue Analysis'!AB54/3*1000000</f>
        <v>83.420105820105817</v>
      </c>
      <c r="AC214" s="1544">
        <f>(Model!U58+Model!U26)/'MS Revenue Analysis'!AC54/3*1000000</f>
        <v>82.038638454461832</v>
      </c>
      <c r="AD214" s="1544">
        <f>(Model!V58+Model!V26)/'MS Revenue Analysis'!AD54/3*1000000</f>
        <v>81.739061256961023</v>
      </c>
      <c r="AE214" s="853"/>
      <c r="AF214" s="1340"/>
      <c r="AG214" s="1544">
        <f>(Model!Y58+Model!Y26)/'MS Revenue Analysis'!AG54/3*1000000</f>
        <v>81.230769230769241</v>
      </c>
      <c r="AH214" s="1544">
        <f>(Model!Z58+Model!Z26)/'MS Revenue Analysis'!AH54/3*1000000</f>
        <v>78.687572590011612</v>
      </c>
      <c r="AI214" s="1544">
        <f>(Model!AA58+Model!AA26)/'MS Revenue Analysis'!AI54/3*1000000</f>
        <v>77.644783715012721</v>
      </c>
      <c r="AJ214" s="1544">
        <f>(Model!AB58+Model!AB26)/'MS Revenue Analysis'!AJ54/3*1000000</f>
        <v>77.203778677462893</v>
      </c>
      <c r="AK214" s="853"/>
      <c r="AL214" s="1340"/>
      <c r="AM214" s="1544">
        <f>(Model!AE58+Model!AE26)/'MS Revenue Analysis'!AM54/3*1000000</f>
        <v>77.906939430405131</v>
      </c>
      <c r="AN214" s="1544">
        <f>(Model!AF58+Model!AF26)/'MS Revenue Analysis'!AN54/3*1000000</f>
        <v>77.657734905323323</v>
      </c>
      <c r="AO214" s="1544">
        <f>(Model!AG58+Model!AG26)/'MS Revenue Analysis'!AO54/3*1000000</f>
        <v>76.077386615921341</v>
      </c>
      <c r="AP214" s="1544">
        <f>(Model!AH58+Model!AH26)/'MS Revenue Analysis'!AP54/3*1000000</f>
        <v>77.657471264367814</v>
      </c>
      <c r="AQ214" s="1341"/>
      <c r="AR214" s="1340"/>
      <c r="AS214" s="1544">
        <f>(Model!AK58+Model!AK26)/'MS Revenue Analysis'!AS54/3*1000000</f>
        <v>77.709987029831382</v>
      </c>
      <c r="AT214" s="1544">
        <f>(Model!AL58+Model!AL26)/'MS Revenue Analysis'!AT54/3*1000000</f>
        <v>72.333104866346801</v>
      </c>
      <c r="AU214" s="1544">
        <f>(Model!AM58+Model!AM26)/'MS Revenue Analysis'!AU54/3*1000000</f>
        <v>67.219732704402503</v>
      </c>
      <c r="AV214" s="1544">
        <f>(Model!AN58+Model!AN26)/'MS Revenue Analysis'!AV54/3*1000000</f>
        <v>63.863022941970328</v>
      </c>
      <c r="AW214" s="1341"/>
      <c r="AX214" s="1340"/>
      <c r="AY214" s="1544">
        <f>(Model!AQ58+Model!AQ26)/'MS Revenue Analysis'!AY54/3*1000000</f>
        <v>63.742437855645406</v>
      </c>
      <c r="AZ214" s="1544">
        <f>(Model!AR58+Model!AR26)/'MS Revenue Analysis'!AZ54/3*1000000</f>
        <v>61.940461559470172</v>
      </c>
      <c r="BA214" s="1544">
        <f>(Model!AS58+Model!AS26)/'MS Revenue Analysis'!BA54/3*1000000</f>
        <v>59.586920858565954</v>
      </c>
      <c r="BB214" s="1544">
        <f>(Model!AT58+Model!AT26)/'MS Revenue Analysis'!BB54/3*1000000</f>
        <v>57.419666018037361</v>
      </c>
      <c r="BC214" s="1341"/>
      <c r="BD214" s="1340"/>
      <c r="BE214" s="1544">
        <f>(Model!AW58+Model!AW26)/'MS Revenue Analysis'!BE54/3*1000000</f>
        <v>53.551423162968206</v>
      </c>
      <c r="BF214" s="1544">
        <f>(Model!AX58+Model!AX26)/'MS Revenue Analysis'!BF54/3*1000000</f>
        <v>51.993246629638897</v>
      </c>
      <c r="BG214" s="1544">
        <f>(Model!AY58+Model!AY26)/'MS Revenue Analysis'!BG54/3*1000000</f>
        <v>50.59449556464422</v>
      </c>
      <c r="BH214" s="1544">
        <f>(Model!AZ58+Model!AZ26)/'MS Revenue Analysis'!BH54/3*1000000</f>
        <v>49.184829653661062</v>
      </c>
      <c r="BI214" s="1341"/>
      <c r="BJ214" s="1340"/>
      <c r="BK214" s="1544">
        <f>(Model!BC58+Model!BC26)/'MS Revenue Analysis'!BK54/3*1000000</f>
        <v>46.89927645412962</v>
      </c>
      <c r="BL214" s="1544">
        <f>(Model!BD58+Model!BD26)/'MS Revenue Analysis'!BL54/3*1000000</f>
        <v>45.418218469255585</v>
      </c>
      <c r="BM214" s="1544">
        <f>(Model!BE58+Model!BE26)/'MS Revenue Analysis'!BM54/3*1000000</f>
        <v>45.527447970257768</v>
      </c>
      <c r="BN214" s="1544">
        <f>(Model!BF58+Model!BF26)/'MS Revenue Analysis'!BN54/3*1000000</f>
        <v>47.255741055148732</v>
      </c>
      <c r="BO214" s="1341"/>
      <c r="BP214" s="1340"/>
      <c r="BQ214" s="1544">
        <f>(Model!BI58+Model!BI26)/'MS Revenue Analysis'!BQ54/3*1000000</f>
        <v>48.015126572249763</v>
      </c>
      <c r="BR214" s="1544">
        <f>(Model!BJ58+Model!BJ26)/'MS Revenue Analysis'!BR54/3*1000000</f>
        <v>48.211023160823501</v>
      </c>
      <c r="BS214" s="1544">
        <f>(Model!BK58+Model!BK26)/'MS Revenue Analysis'!BS54/3*1000000</f>
        <v>47.22183025571973</v>
      </c>
      <c r="BT214" s="1544">
        <f>(Model!BL58+Model!BL26)/'MS Revenue Analysis'!BT54/3*1000000</f>
        <v>46.095990300213479</v>
      </c>
      <c r="BU214" s="1341"/>
      <c r="BV214" s="1340"/>
      <c r="BW214" s="1544">
        <f>(Model!BO58+Model!BO26)/'MS Revenue Analysis'!BW54/3*1000000</f>
        <v>48.422370465517972</v>
      </c>
      <c r="BX214" s="1544">
        <f>(Model!BP58+Model!BP26)/'MS Revenue Analysis'!BX54/3*1000000</f>
        <v>47.513966185896678</v>
      </c>
      <c r="BY214" s="1544">
        <f>(Model!BQ58+Model!BQ26)/'MS Revenue Analysis'!BY54/3*1000000</f>
        <v>49.844936919046312</v>
      </c>
      <c r="BZ214" s="1544">
        <f>(Model!BR58+Model!BR26)/'MS Revenue Analysis'!BZ54/3*1000000</f>
        <v>47.921997439253815</v>
      </c>
      <c r="CA214" s="1341"/>
      <c r="CB214" s="1340"/>
      <c r="CC214" s="1544">
        <f>(Model!BU58+Model!BU26)/'MS Revenue Analysis'!CC54/3*1000000</f>
        <v>49.802870498788828</v>
      </c>
      <c r="CD214" s="1544">
        <f>(Model!BV58+Model!BV26)/'MS Revenue Analysis'!CD54/3*1000000</f>
        <v>49.862208614521343</v>
      </c>
      <c r="CE214" s="1544">
        <f>(Model!BW58+Model!BW26)/'MS Revenue Analysis'!CE54/3*1000000</f>
        <v>53.141258566376365</v>
      </c>
      <c r="CF214" s="1544">
        <f>(Model!BX58+Model!BX26)/'MS Revenue Analysis'!CF54/3*1000000</f>
        <v>54.574652531326606</v>
      </c>
      <c r="CG214" s="1341"/>
      <c r="CH214" s="1340"/>
      <c r="CI214" s="1544">
        <f>(Model!CA58+Model!CA26)/'MS Revenue Analysis'!CI54/3*1000000</f>
        <v>53.810877371250392</v>
      </c>
      <c r="CJ214" s="1544">
        <f>(Model!CB58+Model!CB26)/'MS Revenue Analysis'!CJ54/3*1000000</f>
        <v>54.174331428115565</v>
      </c>
      <c r="CK214" s="1544">
        <f>(Model!CC58+Model!CC26)/'MS Revenue Analysis'!CK54/3*1000000</f>
        <v>54.138487722736166</v>
      </c>
      <c r="CL214" s="1544">
        <f>(Model!CD58+Model!CD26)/'MS Revenue Analysis'!CL54/3*1000000</f>
        <v>53.823391302398804</v>
      </c>
      <c r="CM214" s="1341"/>
      <c r="CN214" s="1340"/>
      <c r="CO214" s="1544">
        <f>(Model!CG58+Model!CG26)/'MS Revenue Analysis'!CO54/3*1000000</f>
        <v>53.069955616495257</v>
      </c>
      <c r="CP214" s="1544">
        <f>(Model!CH58+Model!CH26)/'MS Revenue Analysis'!CP54/3*1000000</f>
        <v>54.402963367940998</v>
      </c>
      <c r="CQ214" s="1544">
        <f>(Model!CI58+Model!CI26)/'MS Revenue Analysis'!CQ54/3*1000000</f>
        <v>54.255783084877699</v>
      </c>
      <c r="CR214" s="1544">
        <f>(Model!CJ58+Model!CJ26)/'MS Revenue Analysis'!CR54/3*1000000</f>
        <v>55.622825323523386</v>
      </c>
      <c r="CS214" s="1341"/>
      <c r="CT214" s="1340"/>
      <c r="CU214" s="1544">
        <f>(Model!CM58+Model!CM26)/'MS Revenue Analysis'!CU54/3*1000000</f>
        <v>54.935622297277284</v>
      </c>
      <c r="CV214" s="1544">
        <f>(Model!CN58+Model!CN26)/'MS Revenue Analysis'!CV54/3*1000000</f>
        <v>57.178928021590437</v>
      </c>
      <c r="CW214" s="1544">
        <f>(Model!CO58+Model!CO26)/'MS Revenue Analysis'!CW54/3*1000000</f>
        <v>58.152403339397807</v>
      </c>
      <c r="CX214" s="1544">
        <f>(Model!CP58+Model!CP26)/'MS Revenue Analysis'!CX54/3*1000000</f>
        <v>59.565403513443115</v>
      </c>
      <c r="CY214" s="1341"/>
      <c r="CZ214" s="1340"/>
      <c r="DA214" s="1544">
        <f>(Model!CS58+Model!CS26)/'MS Revenue Analysis'!DA54/3*1000000</f>
        <v>59.499207658365627</v>
      </c>
      <c r="DB214" s="1544">
        <f>(Model!CT58+Model!CT26)/'MS Revenue Analysis'!DB54/3*1000000</f>
        <v>60.662023366479993</v>
      </c>
      <c r="DC214" s="1544">
        <f>(Model!CU58+Model!CU26)/'MS Revenue Analysis'!DC54/3*1000000</f>
        <v>60.295270908918475</v>
      </c>
      <c r="DD214" s="1544">
        <f>(Model!CV58+Model!CV26)/'MS Revenue Analysis'!DD54/3*1000000</f>
        <v>63.884099189099274</v>
      </c>
      <c r="DE214" s="1341"/>
      <c r="DF214" s="1340"/>
      <c r="DG214" s="1544">
        <f>(Model!CY58+Model!CY26)/'MS Revenue Analysis'!DG54/3*1000000</f>
        <v>62.123252742373161</v>
      </c>
      <c r="DH214" s="1544">
        <f>(Model!CZ58+Model!CZ26)/'MS Revenue Analysis'!DH54/3*1000000</f>
        <v>61.863115070865611</v>
      </c>
      <c r="DI214" s="1544">
        <f>(Model!DA58+Model!DA26)/'MS Revenue Analysis'!DI54/3*1000000</f>
        <v>61.058866541547069</v>
      </c>
      <c r="DJ214" s="1544">
        <f>(Model!DB58+Model!DB26)/'MS Revenue Analysis'!DJ54/3*1000000</f>
        <v>63.956003481536982</v>
      </c>
      <c r="DK214" s="1341"/>
      <c r="DL214" s="1340"/>
      <c r="DM214" s="1544">
        <f>(Model!DE58+Model!DE26)/'MS Revenue Analysis'!DM54/3*1000000</f>
        <v>63.369997657946094</v>
      </c>
      <c r="DN214" s="1544">
        <f>(Model!DF58+Model!DF26)/'MS Revenue Analysis'!DN54/3*1000000</f>
        <v>62.851625403057071</v>
      </c>
      <c r="DO214" s="1544">
        <f>(Model!DG58+Model!DG26)/'MS Revenue Analysis'!DO54/3*1000000</f>
        <v>62.153019531950449</v>
      </c>
      <c r="DP214" s="1544">
        <f>(Model!DH58+Model!DH26)/'MS Revenue Analysis'!DP54/3*1000000</f>
        <v>63.930492564012532</v>
      </c>
      <c r="DQ214" s="1341"/>
      <c r="DR214" s="1340"/>
      <c r="DS214" s="1544">
        <f>(Model!DK58+Model!DK26)/'MS Revenue Analysis'!DS54/3*1000000</f>
        <v>64.101577420137886</v>
      </c>
      <c r="DT214" s="1544">
        <f>(Model!DL58+Model!DL26)/'MS Revenue Analysis'!DT54/3*1000000</f>
        <v>63.362911620049893</v>
      </c>
      <c r="DU214" s="1544">
        <f>(Model!DM58+Model!DM26)/'MS Revenue Analysis'!DU54/3*1000000</f>
        <v>62.629326830044661</v>
      </c>
      <c r="DV214" s="1544">
        <f>(Model!DN58+Model!DN26)/'MS Revenue Analysis'!DV54/3*1000000</f>
        <v>63.989264986205654</v>
      </c>
      <c r="DW214" s="1341"/>
      <c r="DX214" s="500"/>
      <c r="DY214" s="500"/>
      <c r="DZ214" s="500"/>
      <c r="EA214" s="500"/>
      <c r="EB214" s="500"/>
      <c r="EC214" s="500"/>
      <c r="ED214" s="500"/>
      <c r="EE214" s="500"/>
      <c r="EF214" s="500"/>
      <c r="EG214" s="500"/>
      <c r="EH214" s="500"/>
      <c r="EI214" s="500"/>
    </row>
    <row r="215" spans="1:142" s="1408" customFormat="1">
      <c r="A215" s="1350" t="s">
        <v>877</v>
      </c>
      <c r="B215" s="1403"/>
      <c r="C215" s="1404" t="s">
        <v>88</v>
      </c>
      <c r="D215" s="1404" t="s">
        <v>88</v>
      </c>
      <c r="E215" s="1404" t="s">
        <v>88</v>
      </c>
      <c r="F215" s="1404" t="s">
        <v>88</v>
      </c>
      <c r="G215" s="1405"/>
      <c r="H215" s="1350"/>
      <c r="I215" s="1404" t="s">
        <v>88</v>
      </c>
      <c r="J215" s="1404" t="s">
        <v>88</v>
      </c>
      <c r="K215" s="1404" t="s">
        <v>88</v>
      </c>
      <c r="L215" s="1404" t="s">
        <v>88</v>
      </c>
      <c r="M215" s="1352"/>
      <c r="N215" s="1350"/>
      <c r="O215" s="1404" t="s">
        <v>88</v>
      </c>
      <c r="P215" s="1404" t="s">
        <v>88</v>
      </c>
      <c r="Q215" s="1404" t="s">
        <v>88</v>
      </c>
      <c r="R215" s="1404" t="s">
        <v>88</v>
      </c>
      <c r="S215" s="1352"/>
      <c r="T215" s="1350"/>
      <c r="U215" s="1351">
        <f>U214/O214-1</f>
        <v>0.21652825549366739</v>
      </c>
      <c r="V215" s="1351">
        <f>V214/P214-1</f>
        <v>0.12855335682282498</v>
      </c>
      <c r="W215" s="1351">
        <f>W214/Q214-1</f>
        <v>-0.11685041773165972</v>
      </c>
      <c r="X215" s="1351">
        <f>X214/R214-1</f>
        <v>1.9522246067120275E-2</v>
      </c>
      <c r="Y215" s="1352"/>
      <c r="Z215" s="1350"/>
      <c r="AA215" s="1351">
        <f>AA214/U214-1</f>
        <v>7.6569585138579033E-2</v>
      </c>
      <c r="AB215" s="1351">
        <f>AB214/V214-1</f>
        <v>5.0078580871079303E-2</v>
      </c>
      <c r="AC215" s="1351">
        <f>AC214/W214-1</f>
        <v>-2.5458938445917845E-2</v>
      </c>
      <c r="AD215" s="1351">
        <f>AD214/X214-1</f>
        <v>-4.0454498287849083E-2</v>
      </c>
      <c r="AE215" s="1352"/>
      <c r="AF215" s="1350"/>
      <c r="AG215" s="1351">
        <f>AG214/AA214-1</f>
        <v>-3.167683294140744E-2</v>
      </c>
      <c r="AH215" s="1351">
        <f>AH214/AB214-1</f>
        <v>-5.6731326142163363E-2</v>
      </c>
      <c r="AI215" s="1351">
        <f>AI214/AC214-1</f>
        <v>-5.3558357649829413E-2</v>
      </c>
      <c r="AJ215" s="1351">
        <f>AJ214/AD214-1</f>
        <v>-5.548488702654264E-2</v>
      </c>
      <c r="AK215" s="1352"/>
      <c r="AL215" s="1350"/>
      <c r="AM215" s="1351">
        <f>AM214/AG214-1</f>
        <v>-4.0918359284785377E-2</v>
      </c>
      <c r="AN215" s="1351">
        <f>AN214/AH214-1</f>
        <v>-1.3087678915374434E-2</v>
      </c>
      <c r="AO215" s="1351">
        <f>AO214/AI214-1</f>
        <v>-2.0186766246195642E-2</v>
      </c>
      <c r="AP215" s="1351">
        <f>AP214/AJ214-1</f>
        <v>5.8765593430385454E-3</v>
      </c>
      <c r="AQ215" s="1354"/>
      <c r="AR215" s="1350"/>
      <c r="AS215" s="1351">
        <f>AS214/AM214-1</f>
        <v>-2.5280469495235769E-3</v>
      </c>
      <c r="AT215" s="1351">
        <f>AT214/AN214-1</f>
        <v>-6.8565353412226915E-2</v>
      </c>
      <c r="AU215" s="1351">
        <f>AU214/AO214-1</f>
        <v>-0.11642952400871676</v>
      </c>
      <c r="AV215" s="1351">
        <f>AV214/AP214-1</f>
        <v>-0.1776319534721561</v>
      </c>
      <c r="AW215" s="1354"/>
      <c r="AX215" s="1350"/>
      <c r="AY215" s="1351">
        <f>AY214/AS214-1</f>
        <v>-0.17973943514910251</v>
      </c>
      <c r="AZ215" s="1351">
        <f>AZ214/AT214-1</f>
        <v>-0.14367755021825201</v>
      </c>
      <c r="BA215" s="1351">
        <f>BA214/AU214-1</f>
        <v>-0.11355016657685468</v>
      </c>
      <c r="BB215" s="1351">
        <f>BB214/AV214-1</f>
        <v>-0.10089339068380432</v>
      </c>
      <c r="BC215" s="1354"/>
      <c r="BD215" s="1350"/>
      <c r="BE215" s="1351">
        <f>BE214/AY214-1</f>
        <v>-0.15987801903272547</v>
      </c>
      <c r="BF215" s="1351">
        <f>BF214/AZ214-1</f>
        <v>-0.16059316768701781</v>
      </c>
      <c r="BG215" s="1351">
        <f>BG214/BA214-1</f>
        <v>-0.15091273662664884</v>
      </c>
      <c r="BH215" s="1351">
        <f>BH214/BB214-1</f>
        <v>-0.14341491226698311</v>
      </c>
      <c r="BI215" s="1354"/>
      <c r="BJ215" s="1407"/>
      <c r="BK215" s="1351">
        <f>BK214/BE214-1</f>
        <v>-0.12421979316207354</v>
      </c>
      <c r="BL215" s="1351">
        <f>BL214/BF214-1</f>
        <v>-0.12645927282092817</v>
      </c>
      <c r="BM215" s="1351">
        <f>BM214/BG214-1</f>
        <v>-0.10015017518876779</v>
      </c>
      <c r="BN215" s="1351">
        <f>BN214/BH214-1</f>
        <v>-3.9221211338865247E-2</v>
      </c>
      <c r="BO215" s="1354"/>
      <c r="BP215" s="1407"/>
      <c r="BQ215" s="1351">
        <f>BQ214/BK214-1</f>
        <v>2.3792480449277509E-2</v>
      </c>
      <c r="BR215" s="1351">
        <f>BR214/BL214-1</f>
        <v>6.1490846310020109E-2</v>
      </c>
      <c r="BS215" s="1351">
        <f>BS214/BM214-1</f>
        <v>3.7216720044771057E-2</v>
      </c>
      <c r="BT215" s="1351">
        <f>BT214/BN214-1</f>
        <v>-2.4542007574948288E-2</v>
      </c>
      <c r="BU215" s="1354"/>
      <c r="BV215" s="1407"/>
      <c r="BW215" s="1351">
        <f>BW214/BQ214-1</f>
        <v>8.4815749190083611E-3</v>
      </c>
      <c r="BX215" s="1351">
        <f>BX214/BR214-1</f>
        <v>-1.4458456370062156E-2</v>
      </c>
      <c r="BY215" s="1351">
        <f>BY214/BS214-1</f>
        <v>5.5548602185084839E-2</v>
      </c>
      <c r="BZ215" s="1351">
        <f>BZ214/BT214-1</f>
        <v>3.9613144812551626E-2</v>
      </c>
      <c r="CA215" s="1354"/>
      <c r="CB215" s="1407"/>
      <c r="CC215" s="1351">
        <f>CC214/BW214-1</f>
        <v>2.8509550854267207E-2</v>
      </c>
      <c r="CD215" s="1351">
        <f>CD214/BX214-1</f>
        <v>4.9422151361501854E-2</v>
      </c>
      <c r="CE215" s="1351">
        <f>CE214/BY214-1</f>
        <v>6.6131524104116046E-2</v>
      </c>
      <c r="CF215" s="1351">
        <f>CF214/BZ214-1</f>
        <v>0.13882257517553875</v>
      </c>
      <c r="CG215" s="1354"/>
      <c r="CH215" s="1407"/>
      <c r="CI215" s="1351">
        <f>CI214/CC214-1</f>
        <v>8.0477426949899122E-2</v>
      </c>
      <c r="CJ215" s="1351">
        <f>CJ214/CD214-1</f>
        <v>8.6480782408391077E-2</v>
      </c>
      <c r="CK215" s="1351">
        <f>CK214/CE214-1</f>
        <v>1.8765629254230198E-2</v>
      </c>
      <c r="CL215" s="1351">
        <f>CL214/CF214-1</f>
        <v>-1.3765753771800338E-2</v>
      </c>
      <c r="CM215" s="1354"/>
      <c r="CN215" s="1407"/>
      <c r="CO215" s="1351">
        <f>CO214/CI214-1</f>
        <v>-1.3768995990223076E-2</v>
      </c>
      <c r="CP215" s="1351">
        <f>CP214/CJ214-1</f>
        <v>4.2203001642726612E-3</v>
      </c>
      <c r="CQ215" s="1351">
        <f>CQ214/CK214-1</f>
        <v>2.1665799521819462E-3</v>
      </c>
      <c r="CR215" s="1351">
        <f>CR214/CL214-1</f>
        <v>3.343219328218705E-2</v>
      </c>
      <c r="CS215" s="1354"/>
      <c r="CT215" s="1407"/>
      <c r="CU215" s="1351">
        <f>CU214/CO214-1</f>
        <v>3.5154856624793229E-2</v>
      </c>
      <c r="CV215" s="1351">
        <f>CV214/CP214-1</f>
        <v>5.1025982442810758E-2</v>
      </c>
      <c r="CW215" s="1351">
        <f>CW214/CQ214-1</f>
        <v>7.1819445466748455E-2</v>
      </c>
      <c r="CX215" s="1351">
        <f>CX214/CR214-1</f>
        <v>7.0880581253976338E-2</v>
      </c>
      <c r="CY215" s="1354"/>
      <c r="CZ215" s="1407"/>
      <c r="DA215" s="1351">
        <f>DA214/CU214-1</f>
        <v>8.3071514806787317E-2</v>
      </c>
      <c r="DB215" s="1351">
        <f>DB214/CV214-1</f>
        <v>6.0915716075935489E-2</v>
      </c>
      <c r="DC215" s="1351">
        <f>DC214/CW214-1</f>
        <v>3.6849166095752617E-2</v>
      </c>
      <c r="DD215" s="1351">
        <f>DD214/CX214-1</f>
        <v>7.2503423479394202E-2</v>
      </c>
      <c r="DE215" s="1354"/>
      <c r="DF215" s="1407"/>
      <c r="DG215" s="1351">
        <f>DG214/DA214-1</f>
        <v>4.4102185344624401E-2</v>
      </c>
      <c r="DH215" s="1351">
        <f>DH214/DB214-1</f>
        <v>1.9799730337536126E-2</v>
      </c>
      <c r="DI215" s="1351">
        <f>DI214/DC214-1</f>
        <v>1.2664270698477642E-2</v>
      </c>
      <c r="DJ215" s="1351">
        <f>DJ214/DD214-1</f>
        <v>1.1255428713938809E-3</v>
      </c>
      <c r="DK215" s="1354"/>
      <c r="DL215" s="1407"/>
      <c r="DM215" s="1351">
        <f>DM214/DG214-1</f>
        <v>2.0068893055925852E-2</v>
      </c>
      <c r="DN215" s="1351">
        <f>DN214/DH214-1</f>
        <v>1.5978993800410679E-2</v>
      </c>
      <c r="DO215" s="1351">
        <f>DO214/DI214-1</f>
        <v>1.7919641362141414E-2</v>
      </c>
      <c r="DP215" s="1351">
        <f>DP214/DJ214-1</f>
        <v>-3.9888229619933213E-4</v>
      </c>
      <c r="DQ215" s="1354"/>
      <c r="DR215" s="1407"/>
      <c r="DS215" s="1351">
        <f>DS214/DM214-1</f>
        <v>1.1544576127975548E-2</v>
      </c>
      <c r="DT215" s="1351">
        <f>DT214/DN214-1</f>
        <v>8.1348129617018206E-3</v>
      </c>
      <c r="DU215" s="1351">
        <f>DU214/DO214-1</f>
        <v>7.6634619151425554E-3</v>
      </c>
      <c r="DV215" s="1351">
        <f>DV214/DP214-1</f>
        <v>9.1931752495533203E-4</v>
      </c>
      <c r="DW215" s="1354"/>
      <c r="EJ215" s="656"/>
      <c r="EK215" s="656"/>
      <c r="EL215" s="656"/>
    </row>
    <row r="216" spans="1:142" ht="4.5" customHeight="1">
      <c r="A216" s="260"/>
      <c r="B216" s="260"/>
      <c r="C216" s="260"/>
      <c r="D216" s="260"/>
      <c r="E216" s="260"/>
      <c r="F216" s="260"/>
      <c r="G216" s="316"/>
      <c r="H216" s="260"/>
      <c r="I216" s="260"/>
      <c r="J216" s="260"/>
      <c r="K216" s="260"/>
      <c r="L216" s="260"/>
      <c r="M216" s="316"/>
      <c r="N216" s="260"/>
      <c r="O216" s="260"/>
      <c r="P216" s="260"/>
      <c r="Q216" s="260"/>
      <c r="R216" s="260"/>
      <c r="S216" s="316"/>
      <c r="T216" s="260"/>
      <c r="U216" s="260"/>
      <c r="V216" s="260"/>
      <c r="W216" s="260"/>
      <c r="X216" s="260"/>
      <c r="Y216" s="316"/>
      <c r="Z216" s="260"/>
      <c r="AA216" s="260"/>
      <c r="AB216" s="260"/>
      <c r="AC216" s="260"/>
      <c r="AD216" s="260"/>
      <c r="AE216" s="316"/>
      <c r="AF216" s="260"/>
      <c r="AG216" s="260"/>
      <c r="AH216" s="260"/>
      <c r="AI216" s="260"/>
      <c r="AJ216" s="260"/>
      <c r="AK216" s="316"/>
      <c r="AL216" s="260"/>
      <c r="AM216" s="260"/>
      <c r="AN216" s="260"/>
      <c r="AO216" s="260"/>
      <c r="AP216" s="260"/>
      <c r="AQ216" s="507"/>
      <c r="AR216" s="260"/>
      <c r="AS216" s="260"/>
      <c r="AT216" s="260"/>
      <c r="AU216" s="260"/>
      <c r="AV216" s="260"/>
      <c r="AW216" s="507"/>
      <c r="AX216" s="260"/>
      <c r="AY216" s="260"/>
      <c r="AZ216" s="260"/>
      <c r="BA216" s="260"/>
      <c r="BB216" s="260"/>
      <c r="BC216" s="507"/>
      <c r="BD216" s="260"/>
      <c r="BE216" s="260"/>
      <c r="BF216" s="260"/>
      <c r="BG216" s="260"/>
      <c r="BH216" s="260"/>
      <c r="BI216" s="507"/>
      <c r="BJ216" s="260"/>
      <c r="BK216" s="260"/>
      <c r="BL216" s="260"/>
      <c r="BM216" s="260"/>
      <c r="BN216" s="260"/>
      <c r="BO216" s="507"/>
      <c r="BP216" s="260"/>
      <c r="BQ216" s="260"/>
      <c r="BR216" s="260"/>
      <c r="BS216" s="260"/>
      <c r="BT216" s="260"/>
      <c r="BU216" s="507"/>
      <c r="BV216" s="260"/>
      <c r="BW216" s="260"/>
      <c r="BX216" s="260"/>
      <c r="BY216" s="260"/>
      <c r="BZ216" s="260"/>
      <c r="CA216" s="507"/>
      <c r="CB216" s="260"/>
      <c r="CC216" s="260"/>
      <c r="CD216" s="260"/>
      <c r="CE216" s="260"/>
      <c r="CF216" s="260"/>
      <c r="CG216" s="507"/>
      <c r="CH216" s="260"/>
      <c r="CI216" s="260"/>
      <c r="CJ216" s="260"/>
      <c r="CK216" s="260"/>
      <c r="CL216" s="260"/>
      <c r="CM216" s="507"/>
      <c r="CN216" s="260"/>
      <c r="CO216" s="260"/>
      <c r="CP216" s="260"/>
      <c r="CQ216" s="260"/>
      <c r="CR216" s="260"/>
      <c r="CS216" s="507"/>
      <c r="CT216" s="260"/>
      <c r="CU216" s="260"/>
      <c r="CV216" s="260"/>
      <c r="CW216" s="260"/>
      <c r="CX216" s="260"/>
      <c r="CY216" s="507"/>
      <c r="CZ216" s="260"/>
      <c r="DA216" s="260"/>
      <c r="DB216" s="260"/>
      <c r="DC216" s="260"/>
      <c r="DD216" s="260"/>
      <c r="DE216" s="507"/>
      <c r="DF216" s="260"/>
      <c r="DG216" s="260"/>
      <c r="DH216" s="260"/>
      <c r="DI216" s="260"/>
      <c r="DJ216" s="260"/>
      <c r="DK216" s="507"/>
      <c r="DL216" s="260"/>
      <c r="DM216" s="260"/>
      <c r="DN216" s="260"/>
      <c r="DO216" s="260"/>
      <c r="DP216" s="260"/>
      <c r="DQ216" s="507"/>
      <c r="DR216" s="260"/>
      <c r="DS216" s="260"/>
      <c r="DT216" s="260"/>
      <c r="DU216" s="260"/>
      <c r="DV216" s="260"/>
      <c r="DW216" s="507"/>
      <c r="DX216" s="500"/>
      <c r="DY216" s="500"/>
      <c r="DZ216" s="500"/>
      <c r="EA216" s="500"/>
      <c r="EB216" s="500"/>
      <c r="EC216" s="500"/>
      <c r="ED216" s="500"/>
      <c r="EE216" s="500"/>
      <c r="EF216" s="500"/>
      <c r="EG216" s="500"/>
      <c r="EH216" s="500"/>
      <c r="EI216" s="500"/>
    </row>
    <row r="217" spans="1:142">
      <c r="A217" s="260" t="s">
        <v>396</v>
      </c>
      <c r="B217" s="260"/>
      <c r="C217" s="260"/>
      <c r="D217" s="260"/>
      <c r="E217" s="260"/>
      <c r="F217" s="260"/>
      <c r="G217" s="316"/>
      <c r="H217" s="260"/>
      <c r="I217" s="260"/>
      <c r="J217" s="260"/>
      <c r="K217" s="260"/>
      <c r="L217" s="260"/>
      <c r="M217" s="316"/>
      <c r="N217" s="260"/>
      <c r="O217" s="1545">
        <f>Model!G19/'MS Revenue Analysis'!O54/3*1000000</f>
        <v>54.524781341107875</v>
      </c>
      <c r="P217" s="1545">
        <f>Model!H19/'MS Revenue Analysis'!P54/3*1000000</f>
        <v>63.03978779840849</v>
      </c>
      <c r="Q217" s="1545">
        <f>Model!I19/'MS Revenue Analysis'!Q54/3*1000000</f>
        <v>70.954999999999984</v>
      </c>
      <c r="R217" s="1545">
        <f>Model!J19/'MS Revenue Analysis'!R54/3*1000000</f>
        <v>71.567816091954029</v>
      </c>
      <c r="S217" s="316"/>
      <c r="T217" s="260"/>
      <c r="U217" s="1545">
        <f>Model!M19/'MS Revenue Analysis'!U54/3*1000000</f>
        <v>77.991752577319588</v>
      </c>
      <c r="V217" s="1545">
        <f>Model!N19/'MS Revenue Analysis'!V54/3*1000000</f>
        <v>79.937153419593329</v>
      </c>
      <c r="W217" s="1545">
        <f>Model!O19/'MS Revenue Analysis'!W54/3*1000000</f>
        <v>84.079338842975204</v>
      </c>
      <c r="X217" s="1545">
        <f>Model!P19/'MS Revenue Analysis'!X54/3*1000000</f>
        <v>85.621082621082621</v>
      </c>
      <c r="Y217" s="316"/>
      <c r="Z217" s="260"/>
      <c r="AA217" s="1545">
        <f>Model!S19/'MS Revenue Analysis'!AA54/3*1000000</f>
        <v>84.766423357664237</v>
      </c>
      <c r="AB217" s="1545">
        <f>Model!T19/'MS Revenue Analysis'!AB54/3*1000000</f>
        <v>85.8857142857143</v>
      </c>
      <c r="AC217" s="1545">
        <f>Model!U19/'MS Revenue Analysis'!AC54/3*1000000</f>
        <v>85.300827966881329</v>
      </c>
      <c r="AD217" s="1545">
        <f>Model!V19/'MS Revenue Analysis'!AD54/3*1000000</f>
        <v>86.863961813842465</v>
      </c>
      <c r="AE217" s="316"/>
      <c r="AF217" s="260"/>
      <c r="AG217" s="1545">
        <f>Model!Y19/'MS Revenue Analysis'!AG54/3*1000000</f>
        <v>86.608636977058026</v>
      </c>
      <c r="AH217" s="1545">
        <f>Model!Z19/'MS Revenue Analysis'!AH54/3*1000000</f>
        <v>83.557491289198609</v>
      </c>
      <c r="AI217" s="1545">
        <f>Model!AA19/'MS Revenue Analysis'!AI54/3*1000000</f>
        <v>84.145547073791349</v>
      </c>
      <c r="AJ217" s="1545">
        <f>Model!AB19/'MS Revenue Analysis'!AJ54/3*1000000</f>
        <v>81.92892487629328</v>
      </c>
      <c r="AK217" s="316"/>
      <c r="AL217" s="260"/>
      <c r="AM217" s="913">
        <f>Model!AE19/'MS Revenue Analysis'!AM54/3*1000000</f>
        <v>83.983955074207785</v>
      </c>
      <c r="AN217" s="913">
        <f>Model!AF19/'MS Revenue Analysis'!AN54/3*1000000</f>
        <v>84.413719185423361</v>
      </c>
      <c r="AO217" s="913">
        <f>Model!AG19/'MS Revenue Analysis'!AO54/3*1000000</f>
        <v>82.494766888677447</v>
      </c>
      <c r="AP217" s="913">
        <f>Model!AH19/'MS Revenue Analysis'!AP54/3*1000000</f>
        <v>82.886206896551727</v>
      </c>
      <c r="AQ217" s="515"/>
      <c r="AR217" s="913"/>
      <c r="AS217" s="913">
        <f>Model!AK19/'MS Revenue Analysis'!AS54/3*1000000</f>
        <v>84.260440985732814</v>
      </c>
      <c r="AT217" s="913">
        <f>Model!AL19/'MS Revenue Analysis'!AT54/3*1000000</f>
        <v>80.684944025588294</v>
      </c>
      <c r="AU217" s="913">
        <f>Model!AM19/'MS Revenue Analysis'!AU54/3*1000000</f>
        <v>75.787342767295598</v>
      </c>
      <c r="AV217" s="913">
        <f>Model!AN19/'MS Revenue Analysis'!AV54/3*1000000</f>
        <v>73.180161943319845</v>
      </c>
      <c r="AW217" s="515"/>
      <c r="AX217" s="913"/>
      <c r="AY217" s="913">
        <f>Model!AQ19/'MS Revenue Analysis'!AY54/3*1000000</f>
        <v>74.160527103923329</v>
      </c>
      <c r="AZ217" s="913">
        <f>Model!AR19/'MS Revenue Analysis'!AZ54/3*1000000</f>
        <v>71.849515226000278</v>
      </c>
      <c r="BA217" s="913">
        <f>Model!AS19/'MS Revenue Analysis'!BA54/3*1000000</f>
        <v>69.055021785002495</v>
      </c>
      <c r="BB217" s="913">
        <f>Model!AT19/'MS Revenue Analysis'!BB54/3*1000000</f>
        <v>66.657149048720044</v>
      </c>
      <c r="BC217" s="507"/>
      <c r="BD217" s="260"/>
      <c r="BE217" s="1545">
        <f>Model!AW19/'MS Revenue Analysis'!BE54/3*1000000</f>
        <v>64.711276765865293</v>
      </c>
      <c r="BF217" s="1545">
        <f>Model!AX19/'MS Revenue Analysis'!BF54/3*1000000</f>
        <v>62.365652186987617</v>
      </c>
      <c r="BG217" s="1545">
        <f>Model!AY19/'MS Revenue Analysis'!BG54/3*1000000</f>
        <v>60.201222869599391</v>
      </c>
      <c r="BH217" s="1545">
        <f>Model!AZ19/'MS Revenue Analysis'!BH54/3*1000000</f>
        <v>58.108696209749304</v>
      </c>
      <c r="BI217" s="507"/>
      <c r="BJ217" s="260"/>
      <c r="BK217" s="1545">
        <f>Model!BC19/'MS Revenue Analysis'!BK54/3*1000000</f>
        <v>56.139651573615339</v>
      </c>
      <c r="BL217" s="1545">
        <f>Model!BD19/'MS Revenue Analysis'!BL54/3*1000000</f>
        <v>53.795433233993585</v>
      </c>
      <c r="BM217" s="1545">
        <f>Model!BE19/'MS Revenue Analysis'!BM54/3*1000000</f>
        <v>53.798589073562852</v>
      </c>
      <c r="BN217" s="1545">
        <f>Model!BF19/'MS Revenue Analysis'!BN54/3*1000000</f>
        <v>52.828000226689127</v>
      </c>
      <c r="BO217" s="507"/>
      <c r="BP217" s="260"/>
      <c r="BQ217" s="1545">
        <f>Model!BI19/'MS Revenue Analysis'!BQ54/3*1000000</f>
        <v>53.902743756563211</v>
      </c>
      <c r="BR217" s="1545">
        <f>Model!BJ19/'MS Revenue Analysis'!BR54/3*1000000</f>
        <v>53.888545556609529</v>
      </c>
      <c r="BS217" s="1545">
        <f>Model!BK19/'MS Revenue Analysis'!BS54/3*1000000</f>
        <v>53.16071543945403</v>
      </c>
      <c r="BT217" s="1545">
        <f>Model!BL19/'MS Revenue Analysis'!BT54/3*1000000</f>
        <v>53.124719397306251</v>
      </c>
      <c r="BU217" s="507"/>
      <c r="BV217" s="260"/>
      <c r="BW217" s="1545">
        <f>Model!BO19/'MS Revenue Analysis'!BW54/3*1000000</f>
        <v>54.706836243418564</v>
      </c>
      <c r="BX217" s="1545">
        <f>Model!BP19/'MS Revenue Analysis'!BX54/3*1000000</f>
        <v>54.350055964130618</v>
      </c>
      <c r="BY217" s="1545">
        <f>Model!BQ19/'MS Revenue Analysis'!BY54/3*1000000</f>
        <v>55.252925314246653</v>
      </c>
      <c r="BZ217" s="1545">
        <f>Model!BR19/'MS Revenue Analysis'!BZ54/3*1000000</f>
        <v>55.02353758916496</v>
      </c>
      <c r="CA217" s="507"/>
      <c r="CB217" s="260"/>
      <c r="CC217" s="1545">
        <f>Model!BU19/'MS Revenue Analysis'!CC54/3*1000000</f>
        <v>55.66151820937494</v>
      </c>
      <c r="CD217" s="1545">
        <f>Model!BV19/'MS Revenue Analysis'!CD54/3*1000000</f>
        <v>55.527228133032558</v>
      </c>
      <c r="CE217" s="1545">
        <f>Model!BW19/'MS Revenue Analysis'!CE54/3*1000000</f>
        <v>58.148579299648183</v>
      </c>
      <c r="CF217" s="1545">
        <f>Model!BX19/'MS Revenue Analysis'!CF54/3*1000000</f>
        <v>58.644708202861374</v>
      </c>
      <c r="CG217" s="507"/>
      <c r="CH217" s="260"/>
      <c r="CI217" s="1545">
        <f>Model!CA19/'MS Revenue Analysis'!CI54/3*1000000</f>
        <v>59.612273298588008</v>
      </c>
      <c r="CJ217" s="1545">
        <f>Model!CB19/'MS Revenue Analysis'!CJ54/3*1000000</f>
        <v>60.862535309672097</v>
      </c>
      <c r="CK217" s="1545">
        <f>Model!CC19/'MS Revenue Analysis'!CK54/3*1000000</f>
        <v>60.862477244310782</v>
      </c>
      <c r="CL217" s="1545">
        <f>Model!CD19/'MS Revenue Analysis'!CL54/3*1000000</f>
        <v>60.384142646241663</v>
      </c>
      <c r="CM217" s="507"/>
      <c r="CN217" s="260"/>
      <c r="CO217" s="1545">
        <f>Model!CG19/'MS Revenue Analysis'!CO54/3*1000000</f>
        <v>60.100004061079261</v>
      </c>
      <c r="CP217" s="1545">
        <f>Model!CH19/'MS Revenue Analysis'!CP54/3*1000000</f>
        <v>62.31023077419303</v>
      </c>
      <c r="CQ217" s="1545">
        <f>Model!CI19/'MS Revenue Analysis'!CQ54/3*1000000</f>
        <v>62.550159937929941</v>
      </c>
      <c r="CR217" s="1545">
        <f>Model!CJ19/'MS Revenue Analysis'!CR54/3*1000000</f>
        <v>63.273492090317568</v>
      </c>
      <c r="CS217" s="507"/>
      <c r="CT217" s="260"/>
      <c r="CU217" s="1545">
        <f>Model!CM19/'MS Revenue Analysis'!CU54/3*1000000</f>
        <v>64.275667742403854</v>
      </c>
      <c r="CV217" s="1545">
        <f>Model!CN19/'MS Revenue Analysis'!CV54/3*1000000</f>
        <v>65.678263946480968</v>
      </c>
      <c r="CW217" s="1545">
        <f>Model!CO19/'MS Revenue Analysis'!CW54/3*1000000</f>
        <v>66.618108050415486</v>
      </c>
      <c r="CX217" s="1545">
        <f>Model!CP19/'MS Revenue Analysis'!CX54/3*1000000</f>
        <v>68.364503532737928</v>
      </c>
      <c r="CY217" s="507"/>
      <c r="CZ217" s="260"/>
      <c r="DA217" s="1545">
        <f>Model!CS19/'MS Revenue Analysis'!DA54/3*1000000</f>
        <v>68.605624057307722</v>
      </c>
      <c r="DB217" s="1545">
        <f>Model!CT19/'MS Revenue Analysis'!DB54/3*1000000</f>
        <v>71.271690263944123</v>
      </c>
      <c r="DC217" s="1545">
        <f>Model!CU19/'MS Revenue Analysis'!DC54/3*1000000</f>
        <v>72.041469137855515</v>
      </c>
      <c r="DD217" s="1545">
        <f>Model!CV19/'MS Revenue Analysis'!DD54/3*1000000</f>
        <v>73.842400807785708</v>
      </c>
      <c r="DE217" s="507"/>
      <c r="DF217" s="260"/>
      <c r="DG217" s="1545">
        <f>Model!CY19/'MS Revenue Analysis'!DG54/3*1000000</f>
        <v>73.703162984477473</v>
      </c>
      <c r="DH217" s="1545">
        <f>Model!CZ19/'MS Revenue Analysis'!DH54/3*1000000</f>
        <v>75.558639132981483</v>
      </c>
      <c r="DI217" s="1545">
        <f>Model!DA19/'MS Revenue Analysis'!DI54/3*1000000</f>
        <v>75.777638550052728</v>
      </c>
      <c r="DJ217" s="1545">
        <f>Model!DB19/'MS Revenue Analysis'!DJ54/3*1000000</f>
        <v>77.035272849816678</v>
      </c>
      <c r="DK217" s="507"/>
      <c r="DL217" s="260"/>
      <c r="DM217" s="1545">
        <f>Model!DE19/'MS Revenue Analysis'!DM54/3*1000000</f>
        <v>77.183007938534516</v>
      </c>
      <c r="DN217" s="1545">
        <f>Model!DF19/'MS Revenue Analysis'!DN54/3*1000000</f>
        <v>79.076695447231145</v>
      </c>
      <c r="DO217" s="1545">
        <f>Model!DG19/'MS Revenue Analysis'!DO54/3*1000000</f>
        <v>79.232446998749111</v>
      </c>
      <c r="DP217" s="1545">
        <f>Model!DH19/'MS Revenue Analysis'!DP54/3*1000000</f>
        <v>80.149952526736215</v>
      </c>
      <c r="DQ217" s="507"/>
      <c r="DR217" s="260"/>
      <c r="DS217" s="1545">
        <f>Model!DK19/'MS Revenue Analysis'!DS54/3*1000000</f>
        <v>80.452736240973081</v>
      </c>
      <c r="DT217" s="1545">
        <f>Model!DL19/'MS Revenue Analysis'!DT54/3*1000000</f>
        <v>82.199513391549345</v>
      </c>
      <c r="DU217" s="1545">
        <f>Model!DM19/'MS Revenue Analysis'!DU54/3*1000000</f>
        <v>82.216308172021186</v>
      </c>
      <c r="DV217" s="1545">
        <f>Model!DN19/'MS Revenue Analysis'!DV54/3*1000000</f>
        <v>83.084800186664367</v>
      </c>
      <c r="DW217" s="507"/>
      <c r="DX217" s="500"/>
      <c r="DY217" s="500"/>
      <c r="DZ217" s="500"/>
      <c r="EA217" s="500"/>
      <c r="EB217" s="500"/>
      <c r="EC217" s="500"/>
      <c r="ED217" s="500"/>
      <c r="EE217" s="500"/>
      <c r="EF217" s="500"/>
      <c r="EG217" s="500"/>
      <c r="EH217" s="500"/>
      <c r="EI217" s="500"/>
    </row>
    <row r="218" spans="1:142" ht="3.75" customHeight="1">
      <c r="A218" s="260"/>
      <c r="B218" s="260"/>
      <c r="C218" s="260"/>
      <c r="D218" s="260"/>
      <c r="E218" s="260"/>
      <c r="F218" s="260"/>
      <c r="G218" s="316"/>
      <c r="H218" s="260"/>
      <c r="I218" s="260"/>
      <c r="J218" s="260"/>
      <c r="K218" s="260"/>
      <c r="L218" s="260"/>
      <c r="M218" s="316"/>
      <c r="N218" s="260"/>
      <c r="O218" s="260"/>
      <c r="P218" s="260"/>
      <c r="Q218" s="260"/>
      <c r="R218" s="260"/>
      <c r="S218" s="316"/>
      <c r="T218" s="260"/>
      <c r="U218" s="260"/>
      <c r="V218" s="260"/>
      <c r="W218" s="260"/>
      <c r="X218" s="260"/>
      <c r="Y218" s="316"/>
      <c r="Z218" s="260"/>
      <c r="AA218" s="260"/>
      <c r="AB218" s="260"/>
      <c r="AC218" s="260"/>
      <c r="AD218" s="260"/>
      <c r="AE218" s="316"/>
      <c r="AF218" s="260"/>
      <c r="AG218" s="260"/>
      <c r="AH218" s="260"/>
      <c r="AI218" s="260"/>
      <c r="AJ218" s="260"/>
      <c r="AK218" s="316"/>
      <c r="AL218" s="260"/>
      <c r="AM218" s="260"/>
      <c r="AN218" s="260"/>
      <c r="AO218" s="260"/>
      <c r="AP218" s="260"/>
      <c r="AQ218" s="507"/>
      <c r="AR218" s="260"/>
      <c r="AS218" s="260"/>
      <c r="AT218" s="260"/>
      <c r="AU218" s="260"/>
      <c r="AV218" s="260"/>
      <c r="AW218" s="507"/>
      <c r="AX218" s="260"/>
      <c r="AY218" s="260"/>
      <c r="AZ218" s="260"/>
      <c r="BA218" s="260"/>
      <c r="BB218" s="260"/>
      <c r="BC218" s="507"/>
      <c r="BD218" s="260"/>
      <c r="BE218" s="260"/>
      <c r="BF218" s="260"/>
      <c r="BG218" s="260"/>
      <c r="BH218" s="260"/>
      <c r="BI218" s="507"/>
      <c r="BJ218" s="260"/>
      <c r="BK218" s="260"/>
      <c r="BL218" s="260"/>
      <c r="BM218" s="260"/>
      <c r="BN218" s="260"/>
      <c r="BO218" s="507"/>
      <c r="BP218" s="260"/>
      <c r="BQ218" s="260"/>
      <c r="BR218" s="260"/>
      <c r="BS218" s="260"/>
      <c r="BT218" s="260"/>
      <c r="BU218" s="507"/>
      <c r="BV218" s="260"/>
      <c r="BW218" s="260"/>
      <c r="BX218" s="260"/>
      <c r="BY218" s="260"/>
      <c r="BZ218" s="260"/>
      <c r="CA218" s="507"/>
      <c r="CB218" s="260"/>
      <c r="CC218" s="260"/>
      <c r="CD218" s="260"/>
      <c r="CE218" s="260"/>
      <c r="CF218" s="260"/>
      <c r="CG218" s="507"/>
      <c r="CH218" s="260"/>
      <c r="CI218" s="260"/>
      <c r="CJ218" s="260"/>
      <c r="CK218" s="260"/>
      <c r="CL218" s="260"/>
      <c r="CM218" s="507"/>
      <c r="CN218" s="260"/>
      <c r="CO218" s="260"/>
      <c r="CP218" s="260"/>
      <c r="CQ218" s="260"/>
      <c r="CR218" s="260"/>
      <c r="CS218" s="507"/>
      <c r="CT218" s="260"/>
      <c r="CU218" s="260"/>
      <c r="CV218" s="260"/>
      <c r="CW218" s="260"/>
      <c r="CX218" s="260"/>
      <c r="CY218" s="507"/>
      <c r="CZ218" s="260"/>
      <c r="DA218" s="260"/>
      <c r="DB218" s="260"/>
      <c r="DC218" s="260"/>
      <c r="DD218" s="260"/>
      <c r="DE218" s="507"/>
      <c r="DF218" s="260"/>
      <c r="DG218" s="260"/>
      <c r="DH218" s="260"/>
      <c r="DI218" s="260"/>
      <c r="DJ218" s="260"/>
      <c r="DK218" s="507"/>
      <c r="DL218" s="260"/>
      <c r="DM218" s="260"/>
      <c r="DN218" s="260"/>
      <c r="DO218" s="260"/>
      <c r="DP218" s="260"/>
      <c r="DQ218" s="507"/>
      <c r="DR218" s="260"/>
      <c r="DS218" s="260"/>
      <c r="DT218" s="260"/>
      <c r="DU218" s="260"/>
      <c r="DV218" s="260"/>
      <c r="DW218" s="507"/>
      <c r="DX218" s="500"/>
      <c r="DY218" s="500"/>
      <c r="DZ218" s="500"/>
      <c r="EA218" s="500"/>
      <c r="EB218" s="500"/>
      <c r="EC218" s="500"/>
      <c r="ED218" s="500"/>
      <c r="EE218" s="500"/>
      <c r="EF218" s="500"/>
      <c r="EG218" s="500"/>
      <c r="EH218" s="500"/>
      <c r="EI218" s="500"/>
    </row>
    <row r="219" spans="1:142">
      <c r="A219" s="260" t="s">
        <v>794</v>
      </c>
      <c r="B219" s="260"/>
      <c r="C219" s="260"/>
      <c r="D219" s="260"/>
      <c r="E219" s="260"/>
      <c r="F219" s="260"/>
      <c r="G219" s="316"/>
      <c r="H219" s="260"/>
      <c r="I219" s="260"/>
      <c r="J219" s="260"/>
      <c r="K219" s="260"/>
      <c r="L219" s="260"/>
      <c r="M219" s="316"/>
      <c r="N219" s="260"/>
      <c r="O219" s="913">
        <f>O217-O214</f>
        <v>-9.5276967930029244</v>
      </c>
      <c r="P219" s="913">
        <f>P217-P214</f>
        <v>-7.3527851458886104</v>
      </c>
      <c r="Q219" s="913">
        <f>Q217-Q214</f>
        <v>-24.365000000000009</v>
      </c>
      <c r="R219" s="913">
        <f>R217-R214</f>
        <v>-11.986206896551735</v>
      </c>
      <c r="S219" s="316"/>
      <c r="T219" s="260"/>
      <c r="U219" s="913">
        <f>U217-U214</f>
        <v>7.01030927834978E-2</v>
      </c>
      <c r="V219" s="913">
        <f>V217-V214</f>
        <v>0.49537892791126126</v>
      </c>
      <c r="W219" s="913">
        <f>W217-W214</f>
        <v>-0.10247933884298277</v>
      </c>
      <c r="X219" s="913">
        <f>X217-X214</f>
        <v>0.43589743589741659</v>
      </c>
      <c r="Y219" s="316"/>
      <c r="Z219" s="260"/>
      <c r="AA219" s="913">
        <f>AA217-AA214</f>
        <v>0.87834549878344603</v>
      </c>
      <c r="AB219" s="913">
        <f>AB217-AB214</f>
        <v>2.4656084656084829</v>
      </c>
      <c r="AC219" s="913">
        <f>AC217-AC214</f>
        <v>3.2621895124194964</v>
      </c>
      <c r="AD219" s="913">
        <f>AD217-AD214</f>
        <v>5.1249005568814425</v>
      </c>
      <c r="AE219" s="316"/>
      <c r="AF219" s="260"/>
      <c r="AG219" s="913">
        <f>AG217-AG214</f>
        <v>5.3778677462887856</v>
      </c>
      <c r="AH219" s="913">
        <f>AH217-AH214</f>
        <v>4.8699186991869965</v>
      </c>
      <c r="AI219" s="913">
        <f>AI217-AI214</f>
        <v>6.5007633587786273</v>
      </c>
      <c r="AJ219" s="913">
        <f>AJ217-AJ214</f>
        <v>4.7251461988303873</v>
      </c>
      <c r="AK219" s="316"/>
      <c r="AL219" s="260"/>
      <c r="AM219" s="913">
        <f>AM217-AM214</f>
        <v>6.0770156438026532</v>
      </c>
      <c r="AN219" s="913">
        <f>AN217-AN214</f>
        <v>6.7559842801000372</v>
      </c>
      <c r="AO219" s="913">
        <f>AO217-AO214</f>
        <v>6.4173802727561053</v>
      </c>
      <c r="AP219" s="913">
        <f>AP217-AP214</f>
        <v>5.2287356321839127</v>
      </c>
      <c r="AQ219" s="507"/>
      <c r="AR219" s="260"/>
      <c r="AS219" s="913">
        <f>AS217-AS214</f>
        <v>6.5504539559014319</v>
      </c>
      <c r="AT219" s="913">
        <f>AT217-AT214</f>
        <v>8.3518391592414929</v>
      </c>
      <c r="AU219" s="913">
        <f>AU217-AU214</f>
        <v>8.5676100628930953</v>
      </c>
      <c r="AV219" s="913">
        <f>AV217-AV214</f>
        <v>9.317139001349517</v>
      </c>
      <c r="AW219" s="507"/>
      <c r="AX219" s="260"/>
      <c r="AY219" s="913">
        <f>AY217-AY214</f>
        <v>10.418089248277923</v>
      </c>
      <c r="AZ219" s="913">
        <f>AZ217-AZ214</f>
        <v>9.9090536665301059</v>
      </c>
      <c r="BA219" s="913">
        <f>BA217-BA214</f>
        <v>9.4681009264365414</v>
      </c>
      <c r="BB219" s="913">
        <f>BB217-BB214</f>
        <v>9.2374830306826823</v>
      </c>
      <c r="BC219" s="507"/>
      <c r="BD219" s="260"/>
      <c r="BE219" s="913">
        <f>BE217-BE214</f>
        <v>11.159853602897087</v>
      </c>
      <c r="BF219" s="913">
        <f>BF217-BF214</f>
        <v>10.372405557348721</v>
      </c>
      <c r="BG219" s="913">
        <f>BG217-BG214</f>
        <v>9.6067273049551716</v>
      </c>
      <c r="BH219" s="913">
        <f>BH217-BH214</f>
        <v>8.9238665560882424</v>
      </c>
      <c r="BI219" s="507"/>
      <c r="BJ219" s="260"/>
      <c r="BK219" s="913">
        <f>BK217-BK214</f>
        <v>9.2403751194857193</v>
      </c>
      <c r="BL219" s="913">
        <f>BL217-BL214</f>
        <v>8.3772147647379995</v>
      </c>
      <c r="BM219" s="913">
        <f>BM217-BM214</f>
        <v>8.2711411033050837</v>
      </c>
      <c r="BN219" s="913">
        <f>BN217-BN214</f>
        <v>5.5722591715403951</v>
      </c>
      <c r="BO219" s="507"/>
      <c r="BP219" s="260"/>
      <c r="BQ219" s="913">
        <f>BQ217-BQ214</f>
        <v>5.8876171843134486</v>
      </c>
      <c r="BR219" s="913">
        <f>BR217-BR214</f>
        <v>5.6775223957860277</v>
      </c>
      <c r="BS219" s="913">
        <f>BS217-BS214</f>
        <v>5.9388851837342997</v>
      </c>
      <c r="BT219" s="913">
        <f>BT217-BT214</f>
        <v>7.0287290970927714</v>
      </c>
      <c r="BU219" s="507"/>
      <c r="BV219" s="260"/>
      <c r="BW219" s="913">
        <f>BW217-BW214</f>
        <v>6.2844657779005928</v>
      </c>
      <c r="BX219" s="913">
        <f>BX217-BX214</f>
        <v>6.8360897782339407</v>
      </c>
      <c r="BY219" s="913">
        <f>BY217-BY214</f>
        <v>5.4079883952003414</v>
      </c>
      <c r="BZ219" s="913">
        <f>BZ217-BZ214</f>
        <v>7.1015401499111448</v>
      </c>
      <c r="CA219" s="507"/>
      <c r="CB219" s="260"/>
      <c r="CC219" s="913">
        <f>CC217-CC214</f>
        <v>5.8586477105861121</v>
      </c>
      <c r="CD219" s="913">
        <f>CD217-CD214</f>
        <v>5.6650195185112153</v>
      </c>
      <c r="CE219" s="913">
        <f>CE217-CE214</f>
        <v>5.0073207332718184</v>
      </c>
      <c r="CF219" s="913">
        <f>CF217-CF214</f>
        <v>4.0700556715347673</v>
      </c>
      <c r="CG219" s="507"/>
      <c r="CH219" s="260"/>
      <c r="CI219" s="913">
        <f>CI217-CI214</f>
        <v>5.8013959273376159</v>
      </c>
      <c r="CJ219" s="913">
        <f>CJ217-CJ214</f>
        <v>6.6882038815565323</v>
      </c>
      <c r="CK219" s="913">
        <f>CK217-CK214</f>
        <v>6.7239895215746159</v>
      </c>
      <c r="CL219" s="913">
        <f>CL217-CL214</f>
        <v>6.5607513438428597</v>
      </c>
      <c r="CM219" s="507"/>
      <c r="CN219" s="260"/>
      <c r="CO219" s="913">
        <f>CO217-CO214</f>
        <v>7.0300484445840041</v>
      </c>
      <c r="CP219" s="913">
        <f>CP217-CP214</f>
        <v>7.9072674062520321</v>
      </c>
      <c r="CQ219" s="913">
        <f>CQ217-CQ214</f>
        <v>8.2943768530522419</v>
      </c>
      <c r="CR219" s="913">
        <f>CR217-CR214</f>
        <v>7.6506667667941812</v>
      </c>
      <c r="CS219" s="507"/>
      <c r="CT219" s="260"/>
      <c r="CU219" s="913">
        <f>CU217-CU214</f>
        <v>9.3400454451265702</v>
      </c>
      <c r="CV219" s="913">
        <f>CV217-CV214</f>
        <v>8.4993359248905307</v>
      </c>
      <c r="CW219" s="913">
        <f>CW217-CW214</f>
        <v>8.4657047110176791</v>
      </c>
      <c r="CX219" s="913">
        <f>CX217-CX214</f>
        <v>8.7991000192948121</v>
      </c>
      <c r="CY219" s="507"/>
      <c r="CZ219" s="260"/>
      <c r="DA219" s="913">
        <f>DA217-DA214</f>
        <v>9.1064163989420948</v>
      </c>
      <c r="DB219" s="913">
        <f>DB217-DB214</f>
        <v>10.60966689746413</v>
      </c>
      <c r="DC219" s="913">
        <f>DC217-DC214</f>
        <v>11.74619822893704</v>
      </c>
      <c r="DD219" s="913">
        <f>DD217-DD214</f>
        <v>9.9583016186864342</v>
      </c>
      <c r="DE219" s="507"/>
      <c r="DF219" s="260"/>
      <c r="DG219" s="913">
        <f>DG217-DG214</f>
        <v>11.579910242104312</v>
      </c>
      <c r="DH219" s="913">
        <f>DH217-DH214</f>
        <v>13.695524062115872</v>
      </c>
      <c r="DI219" s="913">
        <f>DI217-DI214</f>
        <v>14.71877200850566</v>
      </c>
      <c r="DJ219" s="913">
        <f>DJ217-DJ214</f>
        <v>13.079269368279697</v>
      </c>
      <c r="DK219" s="507"/>
      <c r="DL219" s="260"/>
      <c r="DM219" s="913">
        <f>DM217-DM214</f>
        <v>13.813010280588422</v>
      </c>
      <c r="DN219" s="913">
        <f>DN217-DN214</f>
        <v>16.225070044174075</v>
      </c>
      <c r="DO219" s="913">
        <f>DO217-DO214</f>
        <v>17.079427466798663</v>
      </c>
      <c r="DP219" s="913">
        <f>DP217-DP214</f>
        <v>16.219459962723683</v>
      </c>
      <c r="DQ219" s="507"/>
      <c r="DR219" s="260"/>
      <c r="DS219" s="913">
        <f>DS217-DS214</f>
        <v>16.351158820835195</v>
      </c>
      <c r="DT219" s="913">
        <f>DT217-DT214</f>
        <v>18.836601771499453</v>
      </c>
      <c r="DU219" s="913">
        <f>DU217-DU214</f>
        <v>19.586981341976525</v>
      </c>
      <c r="DV219" s="913">
        <f>DV217-DV214</f>
        <v>19.095535200458713</v>
      </c>
      <c r="DW219" s="507"/>
      <c r="DX219" s="500"/>
      <c r="DY219" s="500"/>
      <c r="DZ219" s="500"/>
      <c r="EA219" s="500"/>
      <c r="EB219" s="500"/>
      <c r="EC219" s="500"/>
      <c r="ED219" s="500"/>
      <c r="EE219" s="500"/>
      <c r="EF219" s="500"/>
      <c r="EG219" s="500"/>
      <c r="EH219" s="500"/>
      <c r="EI219" s="500"/>
    </row>
    <row r="220" spans="1:142">
      <c r="A220" s="260"/>
      <c r="B220" s="260"/>
      <c r="C220" s="260"/>
      <c r="D220" s="260"/>
      <c r="E220" s="260"/>
      <c r="F220" s="260"/>
      <c r="G220" s="316"/>
      <c r="H220" s="260"/>
      <c r="I220" s="260"/>
      <c r="J220" s="260"/>
      <c r="K220" s="260"/>
      <c r="L220" s="260"/>
      <c r="M220" s="316"/>
      <c r="N220" s="260"/>
      <c r="O220" s="260"/>
      <c r="P220" s="260"/>
      <c r="Q220" s="260"/>
      <c r="R220" s="260"/>
      <c r="S220" s="316"/>
      <c r="T220" s="260"/>
      <c r="U220" s="260"/>
      <c r="V220" s="260"/>
      <c r="W220" s="260"/>
      <c r="X220" s="260"/>
      <c r="Y220" s="316"/>
      <c r="Z220" s="260"/>
      <c r="AA220" s="260"/>
      <c r="AB220" s="260"/>
      <c r="AC220" s="260"/>
      <c r="AD220" s="260"/>
      <c r="AE220" s="316"/>
      <c r="AF220" s="260"/>
      <c r="AG220" s="260"/>
      <c r="AH220" s="260"/>
      <c r="AI220" s="260"/>
      <c r="AJ220" s="260"/>
      <c r="AK220" s="316"/>
      <c r="AL220" s="260"/>
      <c r="AM220" s="280"/>
      <c r="AN220" s="280"/>
      <c r="AO220" s="280"/>
      <c r="AP220" s="280"/>
      <c r="AQ220" s="507"/>
      <c r="AR220" s="260"/>
      <c r="AS220" s="280"/>
      <c r="AT220" s="280"/>
      <c r="AU220" s="280"/>
      <c r="AV220" s="280"/>
      <c r="AW220" s="507"/>
      <c r="AX220" s="260"/>
      <c r="AY220" s="260"/>
      <c r="AZ220" s="260"/>
      <c r="BA220" s="260"/>
      <c r="BB220" s="260"/>
      <c r="BC220" s="507"/>
      <c r="BD220" s="260"/>
      <c r="BE220" s="260"/>
      <c r="BF220" s="260"/>
      <c r="BG220" s="260"/>
      <c r="BH220" s="260"/>
      <c r="BI220" s="507"/>
      <c r="BJ220" s="260"/>
      <c r="BK220" s="260"/>
      <c r="BL220" s="260"/>
      <c r="BM220" s="260"/>
      <c r="BN220" s="260"/>
      <c r="BO220" s="507"/>
      <c r="BP220" s="260"/>
      <c r="BQ220" s="260"/>
      <c r="BR220" s="260"/>
      <c r="BS220" s="260"/>
      <c r="BT220" s="260"/>
      <c r="BU220" s="507"/>
      <c r="BV220" s="260"/>
      <c r="BW220" s="260"/>
      <c r="BX220" s="260"/>
      <c r="BY220" s="260"/>
      <c r="BZ220" s="260"/>
      <c r="CA220" s="507"/>
      <c r="CB220" s="260"/>
      <c r="CC220" s="260"/>
      <c r="CD220" s="260"/>
      <c r="CE220" s="260"/>
      <c r="CF220" s="260"/>
      <c r="CG220" s="507"/>
      <c r="CH220" s="260"/>
      <c r="CI220" s="260"/>
      <c r="CJ220" s="260"/>
      <c r="CK220" s="260"/>
      <c r="CL220" s="260"/>
      <c r="CM220" s="507"/>
      <c r="CN220" s="260"/>
      <c r="CO220" s="260"/>
      <c r="CP220" s="260"/>
      <c r="CQ220" s="260"/>
      <c r="CR220" s="260"/>
      <c r="CS220" s="507"/>
      <c r="CT220" s="260"/>
      <c r="CU220" s="260"/>
      <c r="CV220" s="260"/>
      <c r="CW220" s="260"/>
      <c r="CX220" s="260"/>
      <c r="CY220" s="507"/>
      <c r="CZ220" s="260"/>
      <c r="DA220" s="260"/>
      <c r="DB220" s="260"/>
      <c r="DC220" s="260"/>
      <c r="DD220" s="260"/>
      <c r="DE220" s="507"/>
      <c r="DF220" s="260"/>
      <c r="DG220" s="260"/>
      <c r="DH220" s="260"/>
      <c r="DI220" s="260"/>
      <c r="DJ220" s="260"/>
      <c r="DK220" s="507"/>
      <c r="DL220" s="260"/>
      <c r="DM220" s="260"/>
      <c r="DN220" s="260"/>
      <c r="DO220" s="260"/>
      <c r="DP220" s="260"/>
      <c r="DQ220" s="507"/>
      <c r="DR220" s="260"/>
      <c r="DS220" s="260"/>
      <c r="DT220" s="260"/>
      <c r="DU220" s="260"/>
      <c r="DV220" s="260"/>
      <c r="DW220" s="507"/>
      <c r="DX220" s="500"/>
      <c r="DY220" s="500"/>
      <c r="DZ220" s="500"/>
      <c r="EA220" s="500"/>
      <c r="EB220" s="500"/>
      <c r="EC220" s="500"/>
      <c r="ED220" s="500"/>
      <c r="EE220" s="500"/>
      <c r="EF220" s="500"/>
      <c r="EG220" s="500"/>
      <c r="EH220" s="500"/>
      <c r="EI220" s="500"/>
    </row>
    <row r="221" spans="1:142" ht="15">
      <c r="A221" s="425" t="s">
        <v>397</v>
      </c>
      <c r="B221" s="425"/>
      <c r="C221" s="425"/>
      <c r="D221" s="425"/>
      <c r="E221" s="425"/>
      <c r="F221" s="425"/>
      <c r="G221" s="425"/>
      <c r="H221" s="425"/>
      <c r="I221" s="426"/>
      <c r="J221" s="426"/>
      <c r="K221" s="426"/>
      <c r="L221" s="426"/>
      <c r="M221" s="425"/>
      <c r="N221" s="425"/>
      <c r="O221" s="426"/>
      <c r="P221" s="426"/>
      <c r="Q221" s="426"/>
      <c r="R221" s="426"/>
      <c r="S221" s="425"/>
      <c r="T221" s="426"/>
      <c r="U221" s="426"/>
      <c r="V221" s="426"/>
      <c r="W221" s="426"/>
      <c r="X221" s="426"/>
      <c r="Y221" s="425"/>
      <c r="Z221" s="426"/>
      <c r="AA221" s="426"/>
      <c r="AB221" s="426"/>
      <c r="AC221" s="426"/>
      <c r="AD221" s="426"/>
      <c r="AE221" s="425"/>
      <c r="AF221" s="426"/>
      <c r="AG221" s="426"/>
      <c r="AH221" s="426"/>
      <c r="AI221" s="426"/>
      <c r="AJ221" s="426"/>
      <c r="AK221" s="425"/>
      <c r="AL221" s="426"/>
      <c r="AM221" s="426"/>
      <c r="AN221" s="426"/>
      <c r="AO221" s="426"/>
      <c r="AP221" s="426"/>
      <c r="AQ221" s="427"/>
      <c r="AR221" s="426"/>
      <c r="AS221" s="426"/>
      <c r="AT221" s="426"/>
      <c r="AU221" s="426"/>
      <c r="AV221" s="426"/>
      <c r="AW221" s="427"/>
      <c r="AX221" s="426"/>
      <c r="AY221" s="426"/>
      <c r="AZ221" s="426"/>
      <c r="BA221" s="426"/>
      <c r="BB221" s="426"/>
      <c r="BC221" s="427"/>
      <c r="BD221" s="426"/>
      <c r="BE221" s="426"/>
      <c r="BF221" s="426"/>
      <c r="BG221" s="426"/>
      <c r="BH221" s="426"/>
      <c r="BI221" s="427"/>
      <c r="BJ221" s="426"/>
      <c r="BK221" s="426"/>
      <c r="BL221" s="426"/>
      <c r="BM221" s="426"/>
      <c r="BN221" s="426"/>
      <c r="BO221" s="428"/>
      <c r="BP221" s="426"/>
      <c r="BQ221" s="426"/>
      <c r="BR221" s="426"/>
      <c r="BS221" s="426"/>
      <c r="BT221" s="426"/>
      <c r="BU221" s="429"/>
      <c r="BV221" s="426"/>
      <c r="BW221" s="426"/>
      <c r="BX221" s="426"/>
      <c r="BY221" s="426"/>
      <c r="BZ221" s="426"/>
      <c r="CA221" s="429"/>
      <c r="CB221" s="426"/>
      <c r="CC221" s="426"/>
      <c r="CD221" s="426"/>
      <c r="CE221" s="426"/>
      <c r="CF221" s="426"/>
      <c r="CG221" s="429"/>
      <c r="CH221" s="426"/>
      <c r="CI221" s="426"/>
      <c r="CJ221" s="426"/>
      <c r="CK221" s="426"/>
      <c r="CL221" s="426"/>
      <c r="CM221" s="429"/>
      <c r="CN221" s="426"/>
      <c r="CO221" s="426"/>
      <c r="CP221" s="426"/>
      <c r="CQ221" s="426"/>
      <c r="CR221" s="426"/>
      <c r="CS221" s="429"/>
      <c r="CT221" s="426"/>
      <c r="CU221" s="426"/>
      <c r="CV221" s="426"/>
      <c r="CW221" s="426"/>
      <c r="CX221" s="426"/>
      <c r="CY221" s="429"/>
      <c r="CZ221" s="426"/>
      <c r="DA221" s="426"/>
      <c r="DB221" s="426"/>
      <c r="DC221" s="426"/>
      <c r="DD221" s="426"/>
      <c r="DE221" s="429"/>
      <c r="DF221" s="426"/>
      <c r="DG221" s="426"/>
      <c r="DH221" s="426"/>
      <c r="DI221" s="426"/>
      <c r="DJ221" s="426"/>
      <c r="DK221" s="429"/>
      <c r="DL221" s="426"/>
      <c r="DM221" s="426"/>
      <c r="DN221" s="426"/>
      <c r="DO221" s="426"/>
      <c r="DP221" s="426"/>
      <c r="DQ221" s="429"/>
      <c r="DR221" s="426"/>
      <c r="DS221" s="426"/>
      <c r="DT221" s="426"/>
      <c r="DU221" s="426"/>
      <c r="DV221" s="426"/>
      <c r="DW221" s="429"/>
      <c r="DX221" s="500"/>
      <c r="DY221" s="500"/>
      <c r="DZ221" s="500"/>
      <c r="EA221" s="500"/>
      <c r="EB221" s="500"/>
      <c r="EC221" s="500"/>
      <c r="ED221" s="500"/>
      <c r="EE221" s="500"/>
      <c r="EF221" s="500"/>
      <c r="EG221" s="500"/>
      <c r="EH221" s="500"/>
      <c r="EI221" s="500"/>
    </row>
    <row r="222" spans="1:142">
      <c r="A222" s="260"/>
      <c r="B222" s="260"/>
      <c r="C222" s="260"/>
      <c r="D222" s="260"/>
      <c r="E222" s="260"/>
      <c r="F222" s="260"/>
      <c r="G222" s="316"/>
      <c r="H222" s="260"/>
      <c r="I222" s="260"/>
      <c r="J222" s="260"/>
      <c r="K222" s="260"/>
      <c r="L222" s="260"/>
      <c r="M222" s="316"/>
      <c r="N222" s="260"/>
      <c r="O222" s="260"/>
      <c r="P222" s="260"/>
      <c r="Q222" s="260"/>
      <c r="R222" s="260"/>
      <c r="S222" s="316"/>
      <c r="T222" s="260"/>
      <c r="U222" s="260"/>
      <c r="V222" s="260"/>
      <c r="W222" s="260"/>
      <c r="X222" s="260"/>
      <c r="Y222" s="316"/>
      <c r="Z222" s="260"/>
      <c r="AA222" s="260"/>
      <c r="AB222" s="260"/>
      <c r="AC222" s="260"/>
      <c r="AD222" s="260"/>
      <c r="AE222" s="316"/>
      <c r="AF222" s="260"/>
      <c r="AG222" s="260"/>
      <c r="AH222" s="260"/>
      <c r="AI222" s="260"/>
      <c r="AJ222" s="260"/>
      <c r="AK222" s="316"/>
      <c r="AL222" s="260"/>
      <c r="AM222" s="260"/>
      <c r="AN222" s="1546" t="s">
        <v>639</v>
      </c>
      <c r="AO222" s="260"/>
      <c r="AP222" s="260"/>
      <c r="AQ222" s="507"/>
      <c r="AR222" s="260"/>
      <c r="AS222" s="260"/>
      <c r="AT222" s="260"/>
      <c r="AU222" s="260"/>
      <c r="AV222" s="260"/>
      <c r="AW222" s="507"/>
      <c r="AX222" s="260"/>
      <c r="AY222" s="260"/>
      <c r="AZ222" s="260"/>
      <c r="BA222" s="260"/>
      <c r="BB222" s="260"/>
      <c r="BC222" s="507"/>
      <c r="BD222" s="260"/>
      <c r="BE222" s="260"/>
      <c r="BF222" s="260"/>
      <c r="BG222" s="260"/>
      <c r="BH222" s="260"/>
      <c r="BI222" s="507"/>
      <c r="BJ222" s="260"/>
      <c r="BK222" s="260"/>
      <c r="BL222" s="260"/>
      <c r="BM222" s="260"/>
      <c r="BN222" s="260"/>
      <c r="BO222" s="262"/>
      <c r="BP222" s="260"/>
      <c r="BQ222" s="260"/>
      <c r="BR222" s="260"/>
      <c r="BS222" s="260"/>
      <c r="BT222" s="260"/>
      <c r="BU222" s="262"/>
      <c r="BV222" s="260"/>
      <c r="BW222" s="260"/>
      <c r="BX222" s="260"/>
      <c r="BY222" s="260"/>
      <c r="BZ222" s="260"/>
      <c r="CA222" s="262"/>
      <c r="CB222" s="260"/>
      <c r="CC222" s="260"/>
      <c r="CD222" s="260"/>
      <c r="CE222" s="260"/>
      <c r="CF222" s="260"/>
      <c r="CG222" s="262"/>
      <c r="CH222" s="260"/>
      <c r="CI222" s="260"/>
      <c r="CJ222" s="260"/>
      <c r="CK222" s="260"/>
      <c r="CL222" s="260"/>
      <c r="CM222" s="262"/>
      <c r="CN222" s="260"/>
      <c r="CO222" s="260"/>
      <c r="CP222" s="260"/>
      <c r="CQ222" s="260"/>
      <c r="CR222" s="260"/>
      <c r="CS222" s="262"/>
      <c r="CT222" s="260"/>
      <c r="CU222" s="260"/>
      <c r="CV222" s="260"/>
      <c r="CW222" s="260"/>
      <c r="CX222" s="260"/>
      <c r="CY222" s="262"/>
      <c r="CZ222" s="260"/>
      <c r="DA222" s="260"/>
      <c r="DB222" s="260"/>
      <c r="DC222" s="260"/>
      <c r="DD222" s="260"/>
      <c r="DE222" s="262"/>
      <c r="DF222" s="260"/>
      <c r="DG222" s="260"/>
      <c r="DH222" s="260"/>
      <c r="DI222" s="260"/>
      <c r="DJ222" s="260"/>
      <c r="DK222" s="262"/>
      <c r="DL222" s="260"/>
      <c r="DM222" s="260"/>
      <c r="DN222" s="260"/>
      <c r="DO222" s="260"/>
      <c r="DP222" s="260"/>
      <c r="DQ222" s="262"/>
      <c r="DR222" s="260"/>
      <c r="DS222" s="260"/>
      <c r="DT222" s="260"/>
      <c r="DU222" s="260"/>
      <c r="DV222" s="260"/>
      <c r="DW222" s="262"/>
      <c r="DX222" s="500"/>
      <c r="DY222" s="500"/>
      <c r="DZ222" s="500"/>
      <c r="EA222" s="500"/>
      <c r="EB222" s="500"/>
      <c r="EC222" s="500"/>
      <c r="ED222" s="500"/>
      <c r="EE222" s="500"/>
      <c r="EF222" s="500"/>
      <c r="EG222" s="500"/>
      <c r="EH222" s="500"/>
      <c r="EI222" s="500"/>
    </row>
    <row r="223" spans="1:142">
      <c r="A223" s="305"/>
      <c r="B223" s="260"/>
      <c r="C223" s="260"/>
      <c r="D223" s="260"/>
      <c r="E223" s="260"/>
      <c r="F223" s="260"/>
      <c r="G223" s="316"/>
      <c r="H223" s="260"/>
      <c r="I223" s="260"/>
      <c r="J223" s="260"/>
      <c r="K223" s="260"/>
      <c r="L223" s="260"/>
      <c r="M223" s="316"/>
      <c r="N223" s="260"/>
      <c r="O223" s="260"/>
      <c r="P223" s="260"/>
      <c r="Q223" s="260"/>
      <c r="R223" s="260"/>
      <c r="S223" s="316"/>
      <c r="T223" s="260"/>
      <c r="U223" s="260"/>
      <c r="V223" s="260"/>
      <c r="W223" s="260"/>
      <c r="X223" s="260"/>
      <c r="Y223" s="316"/>
      <c r="Z223" s="260"/>
      <c r="AA223" s="260"/>
      <c r="AB223" s="260"/>
      <c r="AC223" s="260"/>
      <c r="AD223" s="260"/>
      <c r="AE223" s="316"/>
      <c r="AF223" s="260"/>
      <c r="AG223" s="260"/>
      <c r="AH223" s="260"/>
      <c r="AI223" s="260"/>
      <c r="AJ223" s="260"/>
      <c r="AK223" s="316"/>
      <c r="AL223" s="260"/>
      <c r="AM223" s="260"/>
      <c r="AN223" s="1546"/>
      <c r="AO223" s="260"/>
      <c r="AP223" s="260"/>
      <c r="AQ223" s="507"/>
      <c r="AR223" s="260"/>
      <c r="AS223" s="260"/>
      <c r="AT223" s="260"/>
      <c r="AU223" s="260"/>
      <c r="AV223" s="260"/>
      <c r="AW223" s="507"/>
      <c r="AX223" s="260"/>
      <c r="AY223" s="260"/>
      <c r="AZ223" s="260"/>
      <c r="BA223" s="260"/>
      <c r="BB223" s="260"/>
      <c r="BC223" s="507"/>
      <c r="BD223" s="260"/>
      <c r="BE223" s="260"/>
      <c r="BF223" s="260"/>
      <c r="BG223" s="260"/>
      <c r="BH223" s="260"/>
      <c r="BI223" s="507"/>
      <c r="BJ223" s="260"/>
      <c r="BK223" s="1547"/>
      <c r="BL223" s="1547"/>
      <c r="BM223" s="1547"/>
      <c r="BN223" s="1547"/>
      <c r="BO223" s="1548"/>
      <c r="BP223" s="1549"/>
      <c r="BQ223" s="1547"/>
      <c r="BR223" s="1547"/>
      <c r="BS223" s="1547"/>
      <c r="BT223" s="1547"/>
      <c r="BU223" s="1548"/>
      <c r="BV223" s="1549"/>
      <c r="BW223" s="1547"/>
      <c r="BX223" s="1547"/>
      <c r="BY223" s="1547"/>
      <c r="BZ223" s="1547"/>
      <c r="CA223" s="1548"/>
      <c r="CB223" s="1549"/>
      <c r="CC223" s="1547"/>
      <c r="CD223" s="1547"/>
      <c r="CE223" s="1547"/>
      <c r="CF223" s="1547"/>
      <c r="CG223" s="1548"/>
      <c r="CH223" s="1549"/>
      <c r="CI223" s="1547"/>
      <c r="CJ223" s="1547"/>
      <c r="CK223" s="1547"/>
      <c r="CL223" s="1547"/>
      <c r="CM223" s="1548"/>
      <c r="CN223" s="1549"/>
      <c r="CO223" s="1547"/>
      <c r="CP223" s="1547"/>
      <c r="CQ223" s="1547"/>
      <c r="CR223" s="1547"/>
      <c r="CS223" s="1548"/>
      <c r="CT223" s="1549"/>
      <c r="CU223" s="1547"/>
      <c r="CV223" s="1547"/>
      <c r="CW223" s="1547"/>
      <c r="CX223" s="1547"/>
      <c r="CY223" s="1548"/>
      <c r="CZ223" s="1549"/>
      <c r="DA223" s="1547"/>
      <c r="DB223" s="1547"/>
      <c r="DC223" s="1547"/>
      <c r="DD223" s="1547"/>
      <c r="DE223" s="1548"/>
      <c r="DF223" s="1549"/>
      <c r="DG223" s="1547"/>
      <c r="DH223" s="1547"/>
      <c r="DI223" s="1547"/>
      <c r="DJ223" s="1547"/>
      <c r="DK223" s="1548"/>
      <c r="DL223" s="1549"/>
      <c r="DM223" s="1547"/>
      <c r="DN223" s="1547"/>
      <c r="DO223" s="1547"/>
      <c r="DP223" s="1547"/>
      <c r="DQ223" s="1548"/>
      <c r="DR223" s="1549"/>
      <c r="DS223" s="1547"/>
      <c r="DT223" s="1547"/>
      <c r="DU223" s="1547"/>
      <c r="DV223" s="1547"/>
      <c r="DW223" s="1548"/>
      <c r="DX223" s="500"/>
      <c r="DY223" s="500"/>
      <c r="DZ223" s="500"/>
      <c r="EA223" s="500"/>
      <c r="EB223" s="500"/>
      <c r="EC223" s="500"/>
      <c r="ED223" s="500"/>
      <c r="EE223" s="500"/>
      <c r="EF223" s="500"/>
      <c r="EG223" s="500"/>
      <c r="EH223" s="500"/>
      <c r="EI223" s="500"/>
    </row>
    <row r="224" spans="1:142">
      <c r="A224" s="1427" t="s">
        <v>629</v>
      </c>
      <c r="B224" s="260"/>
      <c r="C224" s="260"/>
      <c r="D224" s="260"/>
      <c r="E224" s="260"/>
      <c r="F224" s="260"/>
      <c r="G224" s="316"/>
      <c r="H224" s="260"/>
      <c r="I224" s="260"/>
      <c r="J224" s="260"/>
      <c r="K224" s="260"/>
      <c r="L224" s="260"/>
      <c r="M224" s="316"/>
      <c r="N224" s="260"/>
      <c r="O224" s="260"/>
      <c r="P224" s="260"/>
      <c r="Q224" s="260"/>
      <c r="R224" s="260"/>
      <c r="S224" s="316"/>
      <c r="T224" s="260"/>
      <c r="U224" s="260"/>
      <c r="V224" s="260"/>
      <c r="W224" s="260"/>
      <c r="X224" s="260"/>
      <c r="Y224" s="316"/>
      <c r="Z224" s="260"/>
      <c r="AA224" s="260"/>
      <c r="AB224" s="260"/>
      <c r="AC224" s="260"/>
      <c r="AD224" s="260"/>
      <c r="AE224" s="316"/>
      <c r="AF224" s="260"/>
      <c r="AG224" s="260"/>
      <c r="AH224" s="260"/>
      <c r="AI224" s="260"/>
      <c r="AJ224" s="260"/>
      <c r="AK224" s="316"/>
      <c r="AL224" s="260"/>
      <c r="AM224" s="260"/>
      <c r="AN224" s="1546"/>
      <c r="AO224" s="260"/>
      <c r="AP224" s="260"/>
      <c r="AQ224" s="507"/>
      <c r="AR224" s="260"/>
      <c r="AS224" s="260"/>
      <c r="AT224" s="260"/>
      <c r="AU224" s="260"/>
      <c r="AV224" s="260"/>
      <c r="AW224" s="507"/>
      <c r="AX224" s="260"/>
      <c r="AY224" s="260"/>
      <c r="AZ224" s="260"/>
      <c r="BA224" s="260"/>
      <c r="BB224" s="260"/>
      <c r="BC224" s="507"/>
      <c r="BD224" s="260"/>
      <c r="BE224" s="260"/>
      <c r="BF224" s="260"/>
      <c r="BG224" s="260"/>
      <c r="BH224" s="260"/>
      <c r="BI224" s="507"/>
      <c r="BJ224" s="260"/>
      <c r="BK224" s="260"/>
      <c r="BL224" s="260"/>
      <c r="BM224" s="260"/>
      <c r="BN224" s="260"/>
      <c r="BO224" s="262"/>
      <c r="BP224" s="260"/>
      <c r="BQ224" s="260"/>
      <c r="BR224" s="260"/>
      <c r="BS224" s="260"/>
      <c r="BT224" s="260"/>
      <c r="BU224" s="262"/>
      <c r="BV224" s="260"/>
      <c r="BW224" s="260"/>
      <c r="BX224" s="260"/>
      <c r="BY224" s="260"/>
      <c r="BZ224" s="260"/>
      <c r="CA224" s="262"/>
      <c r="CB224" s="260"/>
      <c r="CC224" s="260"/>
      <c r="CD224" s="260"/>
      <c r="CE224" s="260"/>
      <c r="CF224" s="260"/>
      <c r="CG224" s="262"/>
      <c r="CH224" s="260"/>
      <c r="CI224" s="260"/>
      <c r="CJ224" s="260"/>
      <c r="CK224" s="260"/>
      <c r="CL224" s="260"/>
      <c r="CM224" s="262"/>
      <c r="CN224" s="260"/>
      <c r="CO224" s="260"/>
      <c r="CP224" s="260"/>
      <c r="CQ224" s="260"/>
      <c r="CR224" s="260"/>
      <c r="CS224" s="262"/>
      <c r="CT224" s="260"/>
      <c r="CU224" s="260"/>
      <c r="CV224" s="260"/>
      <c r="CW224" s="260"/>
      <c r="CX224" s="260"/>
      <c r="CY224" s="262"/>
      <c r="CZ224" s="260"/>
      <c r="DA224" s="260"/>
      <c r="DB224" s="260"/>
      <c r="DC224" s="260"/>
      <c r="DD224" s="260"/>
      <c r="DE224" s="262"/>
      <c r="DF224" s="260"/>
      <c r="DG224" s="260"/>
      <c r="DH224" s="260"/>
      <c r="DI224" s="260"/>
      <c r="DJ224" s="260"/>
      <c r="DK224" s="262"/>
      <c r="DL224" s="260"/>
      <c r="DM224" s="260"/>
      <c r="DN224" s="260"/>
      <c r="DO224" s="260"/>
      <c r="DP224" s="260"/>
      <c r="DQ224" s="262"/>
      <c r="DR224" s="260"/>
      <c r="DS224" s="260"/>
      <c r="DT224" s="260"/>
      <c r="DU224" s="260"/>
      <c r="DV224" s="260"/>
      <c r="DW224" s="262"/>
      <c r="DX224" s="500"/>
      <c r="DY224" s="500"/>
      <c r="DZ224" s="500"/>
      <c r="EA224" s="500"/>
      <c r="EB224" s="500"/>
      <c r="EC224" s="500"/>
      <c r="ED224" s="500"/>
      <c r="EE224" s="500"/>
      <c r="EF224" s="500"/>
      <c r="EG224" s="500"/>
      <c r="EH224" s="500"/>
      <c r="EI224" s="500"/>
    </row>
    <row r="225" spans="1:139" hidden="1" outlineLevel="1">
      <c r="A225" s="260" t="s">
        <v>732</v>
      </c>
      <c r="B225" s="260"/>
      <c r="C225" s="260"/>
      <c r="D225" s="260"/>
      <c r="E225" s="260"/>
      <c r="F225" s="260"/>
      <c r="G225" s="316"/>
      <c r="H225" s="260"/>
      <c r="I225" s="260"/>
      <c r="J225" s="260"/>
      <c r="K225" s="260"/>
      <c r="L225" s="260"/>
      <c r="M225" s="316"/>
      <c r="N225" s="260"/>
      <c r="O225" s="260"/>
      <c r="P225" s="260"/>
      <c r="Q225" s="260"/>
      <c r="R225" s="260"/>
      <c r="S225" s="316"/>
      <c r="T225" s="260"/>
      <c r="U225" s="260"/>
      <c r="V225" s="260"/>
      <c r="W225" s="260"/>
      <c r="X225" s="260"/>
      <c r="Y225" s="316"/>
      <c r="Z225" s="260"/>
      <c r="AA225" s="260"/>
      <c r="AB225" s="260"/>
      <c r="AC225" s="260"/>
      <c r="AD225" s="260"/>
      <c r="AE225" s="316"/>
      <c r="AF225" s="260"/>
      <c r="AG225" s="260"/>
      <c r="AH225" s="260"/>
      <c r="AI225" s="260"/>
      <c r="AJ225" s="260"/>
      <c r="AK225" s="316"/>
      <c r="AL225" s="260"/>
      <c r="AM225" s="260"/>
      <c r="AN225" s="1546"/>
      <c r="AO225" s="260"/>
      <c r="AP225" s="260"/>
      <c r="AQ225" s="507"/>
      <c r="AR225" s="260"/>
      <c r="AS225" s="260"/>
      <c r="AT225" s="260"/>
      <c r="AU225" s="260"/>
      <c r="AV225" s="260"/>
      <c r="AW225" s="507"/>
      <c r="AX225" s="260"/>
      <c r="AY225" s="260"/>
      <c r="AZ225" s="260"/>
      <c r="BA225" s="260"/>
      <c r="BB225" s="260"/>
      <c r="BC225" s="507"/>
      <c r="BD225" s="260"/>
      <c r="BE225" s="260"/>
      <c r="BF225" s="260"/>
      <c r="BG225" s="260"/>
      <c r="BH225" s="260"/>
      <c r="BI225" s="507"/>
      <c r="BJ225" s="260"/>
      <c r="BK225" s="716">
        <v>1</v>
      </c>
      <c r="BL225" s="716">
        <v>8</v>
      </c>
      <c r="BM225" s="716">
        <v>10</v>
      </c>
      <c r="BN225" s="716">
        <v>12</v>
      </c>
      <c r="BO225" s="1550">
        <f t="shared" ref="BO225:BO237" si="113">SUM(BK225:BN225)</f>
        <v>31</v>
      </c>
      <c r="BP225" s="731"/>
      <c r="BQ225" s="731">
        <v>7</v>
      </c>
      <c r="BR225" s="731"/>
      <c r="BS225" s="731"/>
      <c r="BT225" s="731"/>
      <c r="BU225" s="1550">
        <f t="shared" ref="BU225:BU237" si="114">SUM(BQ225:BT225)</f>
        <v>7</v>
      </c>
      <c r="BV225" s="731"/>
      <c r="BW225" s="731"/>
      <c r="BX225" s="731"/>
      <c r="BY225" s="731"/>
      <c r="BZ225" s="731"/>
      <c r="CA225" s="1550"/>
      <c r="CB225" s="731"/>
      <c r="CC225" s="731"/>
      <c r="CD225" s="731"/>
      <c r="CE225" s="731"/>
      <c r="CF225" s="731"/>
      <c r="CG225" s="1550"/>
      <c r="CH225" s="731"/>
      <c r="CI225" s="731"/>
      <c r="CJ225" s="731"/>
      <c r="CK225" s="731"/>
      <c r="CL225" s="731"/>
      <c r="CM225" s="1550"/>
      <c r="CN225" s="731"/>
      <c r="CO225" s="731"/>
      <c r="CP225" s="731"/>
      <c r="CQ225" s="731"/>
      <c r="CR225" s="731"/>
      <c r="CS225" s="1550">
        <f t="shared" ref="CS225:CS231" si="115">SUM(CO225:CR225)</f>
        <v>0</v>
      </c>
      <c r="CT225" s="731"/>
      <c r="CU225" s="731"/>
      <c r="CV225" s="731"/>
      <c r="CW225" s="731"/>
      <c r="CX225" s="731"/>
      <c r="CY225" s="1550">
        <f t="shared" ref="CY225:CY231" si="116">SUM(CU225:CX225)</f>
        <v>0</v>
      </c>
      <c r="CZ225" s="731"/>
      <c r="DA225" s="731"/>
      <c r="DB225" s="731"/>
      <c r="DC225" s="731"/>
      <c r="DD225" s="731"/>
      <c r="DE225" s="1550">
        <f t="shared" ref="DE225:DE231" si="117">SUM(DA225:DD225)</f>
        <v>0</v>
      </c>
      <c r="DF225" s="731"/>
      <c r="DG225" s="731"/>
      <c r="DH225" s="731"/>
      <c r="DI225" s="731"/>
      <c r="DJ225" s="731"/>
      <c r="DK225" s="1550">
        <f t="shared" ref="DK225:DK231" si="118">SUM(DG225:DJ225)</f>
        <v>0</v>
      </c>
      <c r="DL225" s="731"/>
      <c r="DM225" s="731"/>
      <c r="DN225" s="731"/>
      <c r="DO225" s="731"/>
      <c r="DP225" s="731"/>
      <c r="DQ225" s="1550">
        <f t="shared" ref="DQ225:DQ231" si="119">SUM(DM225:DP225)</f>
        <v>0</v>
      </c>
      <c r="DR225" s="731"/>
      <c r="DS225" s="731"/>
      <c r="DT225" s="731"/>
      <c r="DU225" s="731"/>
      <c r="DV225" s="731"/>
      <c r="DW225" s="1550">
        <f t="shared" ref="DW225:DW231" si="120">SUM(DS225:DV225)</f>
        <v>0</v>
      </c>
      <c r="DX225" s="500"/>
      <c r="DY225" s="500"/>
      <c r="DZ225" s="500"/>
      <c r="EA225" s="500"/>
      <c r="EB225" s="500"/>
      <c r="EC225" s="500"/>
      <c r="ED225" s="500"/>
      <c r="EE225" s="500"/>
      <c r="EF225" s="500"/>
      <c r="EG225" s="500"/>
      <c r="EH225" s="500"/>
      <c r="EI225" s="500"/>
    </row>
    <row r="226" spans="1:139" hidden="1" outlineLevel="1">
      <c r="A226" s="260" t="s">
        <v>733</v>
      </c>
      <c r="B226" s="260"/>
      <c r="C226" s="260"/>
      <c r="D226" s="260"/>
      <c r="E226" s="260"/>
      <c r="F226" s="260"/>
      <c r="G226" s="316"/>
      <c r="H226" s="260"/>
      <c r="I226" s="260"/>
      <c r="J226" s="260"/>
      <c r="K226" s="260"/>
      <c r="L226" s="260"/>
      <c r="M226" s="316"/>
      <c r="N226" s="260"/>
      <c r="O226" s="260"/>
      <c r="P226" s="260"/>
      <c r="Q226" s="260"/>
      <c r="R226" s="260"/>
      <c r="S226" s="316"/>
      <c r="T226" s="260"/>
      <c r="U226" s="260"/>
      <c r="V226" s="260"/>
      <c r="W226" s="260"/>
      <c r="X226" s="260"/>
      <c r="Y226" s="316"/>
      <c r="Z226" s="260"/>
      <c r="AA226" s="260"/>
      <c r="AB226" s="260"/>
      <c r="AC226" s="260"/>
      <c r="AD226" s="260"/>
      <c r="AE226" s="316"/>
      <c r="AF226" s="260"/>
      <c r="AG226" s="260"/>
      <c r="AH226" s="260"/>
      <c r="AI226" s="260"/>
      <c r="AJ226" s="260"/>
      <c r="AK226" s="316"/>
      <c r="AL226" s="260"/>
      <c r="AM226" s="260"/>
      <c r="AN226" s="1546"/>
      <c r="AO226" s="260"/>
      <c r="AP226" s="260"/>
      <c r="AQ226" s="507"/>
      <c r="AR226" s="260"/>
      <c r="AS226" s="260"/>
      <c r="AT226" s="260"/>
      <c r="AU226" s="260"/>
      <c r="AV226" s="260"/>
      <c r="AW226" s="507"/>
      <c r="AX226" s="260"/>
      <c r="AY226" s="260"/>
      <c r="AZ226" s="260"/>
      <c r="BA226" s="260"/>
      <c r="BB226" s="260"/>
      <c r="BC226" s="507"/>
      <c r="BD226" s="260"/>
      <c r="BE226" s="260"/>
      <c r="BF226" s="260"/>
      <c r="BG226" s="260"/>
      <c r="BH226" s="260"/>
      <c r="BI226" s="507"/>
      <c r="BJ226" s="260"/>
      <c r="BK226" s="716"/>
      <c r="BL226" s="716"/>
      <c r="BM226" s="716"/>
      <c r="BN226" s="716">
        <v>1</v>
      </c>
      <c r="BO226" s="1550">
        <f t="shared" si="113"/>
        <v>1</v>
      </c>
      <c r="BP226" s="731"/>
      <c r="BQ226" s="731">
        <v>1</v>
      </c>
      <c r="BR226" s="731">
        <v>1.25</v>
      </c>
      <c r="BS226" s="731">
        <v>1.5</v>
      </c>
      <c r="BT226" s="731"/>
      <c r="BU226" s="1550">
        <f t="shared" si="114"/>
        <v>3.75</v>
      </c>
      <c r="BV226" s="731"/>
      <c r="BW226" s="731"/>
      <c r="BX226" s="731"/>
      <c r="BY226" s="731"/>
      <c r="BZ226" s="731"/>
      <c r="CA226" s="1550"/>
      <c r="CB226" s="731"/>
      <c r="CC226" s="731"/>
      <c r="CD226" s="731"/>
      <c r="CE226" s="731"/>
      <c r="CF226" s="731"/>
      <c r="CG226" s="1550"/>
      <c r="CH226" s="731"/>
      <c r="CI226" s="731"/>
      <c r="CJ226" s="731"/>
      <c r="CK226" s="731"/>
      <c r="CL226" s="731"/>
      <c r="CM226" s="1550"/>
      <c r="CN226" s="731"/>
      <c r="CO226" s="731"/>
      <c r="CP226" s="731"/>
      <c r="CQ226" s="731"/>
      <c r="CR226" s="731"/>
      <c r="CS226" s="1550">
        <f t="shared" si="115"/>
        <v>0</v>
      </c>
      <c r="CT226" s="731"/>
      <c r="CU226" s="731"/>
      <c r="CV226" s="731"/>
      <c r="CW226" s="731"/>
      <c r="CX226" s="731"/>
      <c r="CY226" s="1550">
        <f t="shared" si="116"/>
        <v>0</v>
      </c>
      <c r="CZ226" s="731"/>
      <c r="DA226" s="731"/>
      <c r="DB226" s="731"/>
      <c r="DC226" s="731"/>
      <c r="DD226" s="731"/>
      <c r="DE226" s="1550">
        <f t="shared" si="117"/>
        <v>0</v>
      </c>
      <c r="DF226" s="731"/>
      <c r="DG226" s="731"/>
      <c r="DH226" s="731"/>
      <c r="DI226" s="731"/>
      <c r="DJ226" s="731"/>
      <c r="DK226" s="1550">
        <f t="shared" si="118"/>
        <v>0</v>
      </c>
      <c r="DL226" s="731"/>
      <c r="DM226" s="731"/>
      <c r="DN226" s="731"/>
      <c r="DO226" s="731"/>
      <c r="DP226" s="731"/>
      <c r="DQ226" s="1550">
        <f t="shared" si="119"/>
        <v>0</v>
      </c>
      <c r="DR226" s="731"/>
      <c r="DS226" s="731"/>
      <c r="DT226" s="731"/>
      <c r="DU226" s="731"/>
      <c r="DV226" s="731"/>
      <c r="DW226" s="1550">
        <f t="shared" si="120"/>
        <v>0</v>
      </c>
      <c r="DX226" s="500"/>
      <c r="DY226" s="500"/>
      <c r="DZ226" s="500"/>
      <c r="EA226" s="500"/>
      <c r="EB226" s="500"/>
      <c r="EC226" s="500"/>
      <c r="ED226" s="500"/>
      <c r="EE226" s="500"/>
      <c r="EF226" s="500"/>
      <c r="EG226" s="500"/>
      <c r="EH226" s="500"/>
      <c r="EI226" s="500"/>
    </row>
    <row r="227" spans="1:139" hidden="1" outlineLevel="1">
      <c r="A227" s="260" t="s">
        <v>734</v>
      </c>
      <c r="B227" s="260"/>
      <c r="C227" s="260"/>
      <c r="D227" s="260"/>
      <c r="E227" s="260"/>
      <c r="F227" s="260"/>
      <c r="G227" s="316"/>
      <c r="H227" s="260"/>
      <c r="I227" s="260"/>
      <c r="J227" s="260"/>
      <c r="K227" s="260"/>
      <c r="L227" s="260"/>
      <c r="M227" s="316"/>
      <c r="N227" s="260"/>
      <c r="O227" s="260"/>
      <c r="P227" s="260"/>
      <c r="Q227" s="260"/>
      <c r="R227" s="260"/>
      <c r="S227" s="316"/>
      <c r="T227" s="260"/>
      <c r="U227" s="260"/>
      <c r="V227" s="260"/>
      <c r="W227" s="260"/>
      <c r="X227" s="260"/>
      <c r="Y227" s="316"/>
      <c r="Z227" s="260"/>
      <c r="AA227" s="260"/>
      <c r="AB227" s="260"/>
      <c r="AC227" s="260"/>
      <c r="AD227" s="260"/>
      <c r="AE227" s="316"/>
      <c r="AF227" s="260"/>
      <c r="AG227" s="260"/>
      <c r="AH227" s="260"/>
      <c r="AI227" s="260"/>
      <c r="AJ227" s="260"/>
      <c r="AK227" s="316"/>
      <c r="AL227" s="260"/>
      <c r="AM227" s="260"/>
      <c r="AN227" s="1546"/>
      <c r="AO227" s="260"/>
      <c r="AP227" s="260"/>
      <c r="AQ227" s="507"/>
      <c r="AR227" s="260"/>
      <c r="AS227" s="260"/>
      <c r="AT227" s="260"/>
      <c r="AU227" s="260"/>
      <c r="AV227" s="260"/>
      <c r="AW227" s="507"/>
      <c r="AX227" s="260"/>
      <c r="AY227" s="260"/>
      <c r="AZ227" s="260"/>
      <c r="BA227" s="260"/>
      <c r="BB227" s="260"/>
      <c r="BC227" s="507"/>
      <c r="BD227" s="260"/>
      <c r="BE227" s="260"/>
      <c r="BF227" s="260"/>
      <c r="BG227" s="260"/>
      <c r="BH227" s="260"/>
      <c r="BI227" s="507"/>
      <c r="BJ227" s="260"/>
      <c r="BK227" s="716"/>
      <c r="BL227" s="716"/>
      <c r="BM227" s="716"/>
      <c r="BN227" s="716"/>
      <c r="BO227" s="1550">
        <f t="shared" si="113"/>
        <v>0</v>
      </c>
      <c r="BP227" s="731"/>
      <c r="BQ227" s="731"/>
      <c r="BR227" s="731"/>
      <c r="BS227" s="731"/>
      <c r="BT227" s="731"/>
      <c r="BU227" s="1550">
        <f t="shared" si="114"/>
        <v>0</v>
      </c>
      <c r="BV227" s="731"/>
      <c r="BW227" s="731"/>
      <c r="BX227" s="731"/>
      <c r="BY227" s="731"/>
      <c r="BZ227" s="731"/>
      <c r="CA227" s="1550"/>
      <c r="CB227" s="731"/>
      <c r="CC227" s="731"/>
      <c r="CD227" s="731"/>
      <c r="CE227" s="731"/>
      <c r="CF227" s="731"/>
      <c r="CG227" s="1550"/>
      <c r="CH227" s="731"/>
      <c r="CI227" s="731"/>
      <c r="CJ227" s="731"/>
      <c r="CK227" s="731"/>
      <c r="CL227" s="731"/>
      <c r="CM227" s="1550"/>
      <c r="CN227" s="731"/>
      <c r="CO227" s="731"/>
      <c r="CP227" s="731"/>
      <c r="CQ227" s="731"/>
      <c r="CR227" s="731"/>
      <c r="CS227" s="1550">
        <f t="shared" si="115"/>
        <v>0</v>
      </c>
      <c r="CT227" s="731"/>
      <c r="CU227" s="731"/>
      <c r="CV227" s="731"/>
      <c r="CW227" s="731"/>
      <c r="CX227" s="731"/>
      <c r="CY227" s="1550">
        <f t="shared" si="116"/>
        <v>0</v>
      </c>
      <c r="CZ227" s="731"/>
      <c r="DA227" s="731"/>
      <c r="DB227" s="731"/>
      <c r="DC227" s="731"/>
      <c r="DD227" s="731"/>
      <c r="DE227" s="1550">
        <f t="shared" si="117"/>
        <v>0</v>
      </c>
      <c r="DF227" s="731"/>
      <c r="DG227" s="731"/>
      <c r="DH227" s="731"/>
      <c r="DI227" s="731"/>
      <c r="DJ227" s="731"/>
      <c r="DK227" s="1550">
        <f t="shared" si="118"/>
        <v>0</v>
      </c>
      <c r="DL227" s="731"/>
      <c r="DM227" s="731"/>
      <c r="DN227" s="731"/>
      <c r="DO227" s="731"/>
      <c r="DP227" s="731"/>
      <c r="DQ227" s="1550">
        <f t="shared" si="119"/>
        <v>0</v>
      </c>
      <c r="DR227" s="731"/>
      <c r="DS227" s="731"/>
      <c r="DT227" s="731"/>
      <c r="DU227" s="731"/>
      <c r="DV227" s="731"/>
      <c r="DW227" s="1550">
        <f t="shared" si="120"/>
        <v>0</v>
      </c>
      <c r="DX227" s="500"/>
      <c r="DY227" s="500"/>
      <c r="DZ227" s="500"/>
      <c r="EA227" s="500"/>
      <c r="EB227" s="500"/>
      <c r="EC227" s="500"/>
      <c r="ED227" s="500"/>
      <c r="EE227" s="500"/>
      <c r="EF227" s="500"/>
      <c r="EG227" s="500"/>
      <c r="EH227" s="500"/>
      <c r="EI227" s="500"/>
    </row>
    <row r="228" spans="1:139" hidden="1" outlineLevel="1">
      <c r="A228" s="260" t="s">
        <v>735</v>
      </c>
      <c r="B228" s="260"/>
      <c r="C228" s="260"/>
      <c r="D228" s="260"/>
      <c r="E228" s="260"/>
      <c r="F228" s="260"/>
      <c r="G228" s="316"/>
      <c r="H228" s="260"/>
      <c r="I228" s="260"/>
      <c r="J228" s="260"/>
      <c r="K228" s="260"/>
      <c r="L228" s="260"/>
      <c r="M228" s="316"/>
      <c r="N228" s="260"/>
      <c r="O228" s="260"/>
      <c r="P228" s="260"/>
      <c r="Q228" s="260"/>
      <c r="R228" s="260"/>
      <c r="S228" s="316"/>
      <c r="T228" s="260"/>
      <c r="U228" s="260"/>
      <c r="V228" s="260"/>
      <c r="W228" s="260"/>
      <c r="X228" s="260"/>
      <c r="Y228" s="316"/>
      <c r="Z228" s="260"/>
      <c r="AA228" s="260"/>
      <c r="AB228" s="260"/>
      <c r="AC228" s="260"/>
      <c r="AD228" s="260"/>
      <c r="AE228" s="316"/>
      <c r="AF228" s="260"/>
      <c r="AG228" s="260"/>
      <c r="AH228" s="260"/>
      <c r="AI228" s="260"/>
      <c r="AJ228" s="260"/>
      <c r="AK228" s="316"/>
      <c r="AL228" s="260"/>
      <c r="AM228" s="260"/>
      <c r="AN228" s="1546"/>
      <c r="AO228" s="260"/>
      <c r="AP228" s="260"/>
      <c r="AQ228" s="507"/>
      <c r="AR228" s="260"/>
      <c r="AS228" s="260"/>
      <c r="AT228" s="260"/>
      <c r="AU228" s="260"/>
      <c r="AV228" s="260"/>
      <c r="AW228" s="507"/>
      <c r="AX228" s="260"/>
      <c r="AY228" s="260"/>
      <c r="AZ228" s="260"/>
      <c r="BA228" s="260"/>
      <c r="BB228" s="260"/>
      <c r="BC228" s="507"/>
      <c r="BD228" s="260"/>
      <c r="BE228" s="260"/>
      <c r="BF228" s="260"/>
      <c r="BG228" s="260"/>
      <c r="BH228" s="260"/>
      <c r="BI228" s="507"/>
      <c r="BJ228" s="260"/>
      <c r="BK228" s="716"/>
      <c r="BL228" s="716"/>
      <c r="BM228" s="716"/>
      <c r="BN228" s="716"/>
      <c r="BO228" s="1550">
        <f t="shared" si="113"/>
        <v>0</v>
      </c>
      <c r="BP228" s="731"/>
      <c r="BQ228" s="731"/>
      <c r="BR228" s="731"/>
      <c r="BS228" s="731"/>
      <c r="BT228" s="731"/>
      <c r="BU228" s="1550">
        <f t="shared" si="114"/>
        <v>0</v>
      </c>
      <c r="BV228" s="731"/>
      <c r="BW228" s="731"/>
      <c r="BX228" s="731"/>
      <c r="BY228" s="731"/>
      <c r="BZ228" s="731"/>
      <c r="CA228" s="1550"/>
      <c r="CB228" s="731"/>
      <c r="CC228" s="731"/>
      <c r="CD228" s="731"/>
      <c r="CE228" s="731"/>
      <c r="CF228" s="731"/>
      <c r="CG228" s="1550"/>
      <c r="CH228" s="731"/>
      <c r="CI228" s="731"/>
      <c r="CJ228" s="731"/>
      <c r="CK228" s="731"/>
      <c r="CL228" s="731"/>
      <c r="CM228" s="1550"/>
      <c r="CN228" s="731"/>
      <c r="CO228" s="731"/>
      <c r="CP228" s="731"/>
      <c r="CQ228" s="731"/>
      <c r="CR228" s="731"/>
      <c r="CS228" s="1550">
        <f t="shared" si="115"/>
        <v>0</v>
      </c>
      <c r="CT228" s="731"/>
      <c r="CU228" s="731"/>
      <c r="CV228" s="731"/>
      <c r="CW228" s="731"/>
      <c r="CX228" s="731"/>
      <c r="CY228" s="1550">
        <f t="shared" si="116"/>
        <v>0</v>
      </c>
      <c r="CZ228" s="731"/>
      <c r="DA228" s="731"/>
      <c r="DB228" s="731"/>
      <c r="DC228" s="731"/>
      <c r="DD228" s="731"/>
      <c r="DE228" s="1550">
        <f t="shared" si="117"/>
        <v>0</v>
      </c>
      <c r="DF228" s="731"/>
      <c r="DG228" s="731"/>
      <c r="DH228" s="731"/>
      <c r="DI228" s="731"/>
      <c r="DJ228" s="731"/>
      <c r="DK228" s="1550">
        <f t="shared" si="118"/>
        <v>0</v>
      </c>
      <c r="DL228" s="731"/>
      <c r="DM228" s="731"/>
      <c r="DN228" s="731"/>
      <c r="DO228" s="731"/>
      <c r="DP228" s="731"/>
      <c r="DQ228" s="1550">
        <f t="shared" si="119"/>
        <v>0</v>
      </c>
      <c r="DR228" s="731"/>
      <c r="DS228" s="731"/>
      <c r="DT228" s="731"/>
      <c r="DU228" s="731"/>
      <c r="DV228" s="731"/>
      <c r="DW228" s="1550">
        <f t="shared" si="120"/>
        <v>0</v>
      </c>
      <c r="DX228" s="500"/>
      <c r="DY228" s="500"/>
      <c r="DZ228" s="500"/>
      <c r="EA228" s="500"/>
      <c r="EB228" s="500"/>
      <c r="EC228" s="500"/>
      <c r="ED228" s="500"/>
      <c r="EE228" s="500"/>
      <c r="EF228" s="500"/>
      <c r="EG228" s="500"/>
      <c r="EH228" s="500"/>
      <c r="EI228" s="500"/>
    </row>
    <row r="229" spans="1:139" hidden="1" outlineLevel="1">
      <c r="A229" s="260" t="s">
        <v>736</v>
      </c>
      <c r="B229" s="260"/>
      <c r="C229" s="260"/>
      <c r="D229" s="260"/>
      <c r="E229" s="260"/>
      <c r="F229" s="260"/>
      <c r="G229" s="316"/>
      <c r="H229" s="260"/>
      <c r="I229" s="260"/>
      <c r="J229" s="260"/>
      <c r="K229" s="260"/>
      <c r="L229" s="260"/>
      <c r="M229" s="316"/>
      <c r="N229" s="260"/>
      <c r="O229" s="260"/>
      <c r="P229" s="260"/>
      <c r="Q229" s="260"/>
      <c r="R229" s="260"/>
      <c r="S229" s="316"/>
      <c r="T229" s="260"/>
      <c r="U229" s="260"/>
      <c r="V229" s="260"/>
      <c r="W229" s="260"/>
      <c r="X229" s="260"/>
      <c r="Y229" s="316"/>
      <c r="Z229" s="260"/>
      <c r="AA229" s="260"/>
      <c r="AB229" s="260"/>
      <c r="AC229" s="260"/>
      <c r="AD229" s="260"/>
      <c r="AE229" s="316"/>
      <c r="AF229" s="260"/>
      <c r="AG229" s="260"/>
      <c r="AH229" s="260"/>
      <c r="AI229" s="260"/>
      <c r="AJ229" s="260"/>
      <c r="AK229" s="316"/>
      <c r="AL229" s="260"/>
      <c r="AM229" s="260"/>
      <c r="AN229" s="1546"/>
      <c r="AO229" s="260"/>
      <c r="AP229" s="260"/>
      <c r="AQ229" s="507"/>
      <c r="AR229" s="260"/>
      <c r="AS229" s="260"/>
      <c r="AT229" s="260"/>
      <c r="AU229" s="260"/>
      <c r="AV229" s="260"/>
      <c r="AW229" s="507"/>
      <c r="AX229" s="260"/>
      <c r="AY229" s="260"/>
      <c r="AZ229" s="260"/>
      <c r="BA229" s="260"/>
      <c r="BB229" s="260"/>
      <c r="BC229" s="507"/>
      <c r="BD229" s="260"/>
      <c r="BE229" s="260"/>
      <c r="BF229" s="260"/>
      <c r="BG229" s="260"/>
      <c r="BH229" s="260"/>
      <c r="BI229" s="507"/>
      <c r="BJ229" s="260"/>
      <c r="BK229" s="716"/>
      <c r="BL229" s="716"/>
      <c r="BM229" s="716"/>
      <c r="BN229" s="716"/>
      <c r="BO229" s="1550">
        <f>SUM(BK229:BN229)</f>
        <v>0</v>
      </c>
      <c r="BP229" s="731"/>
      <c r="BQ229" s="731"/>
      <c r="BR229" s="731">
        <v>10</v>
      </c>
      <c r="BS229" s="731">
        <v>15</v>
      </c>
      <c r="BT229" s="731">
        <v>20</v>
      </c>
      <c r="BU229" s="1550">
        <f>SUM(BQ229:BT229)</f>
        <v>45</v>
      </c>
      <c r="BV229" s="731"/>
      <c r="BW229" s="731">
        <v>20</v>
      </c>
      <c r="BX229" s="731"/>
      <c r="BY229" s="731"/>
      <c r="BZ229" s="731"/>
      <c r="CA229" s="1550">
        <f t="shared" ref="CA229:CA234" si="121">SUM(BW229:BZ229)</f>
        <v>20</v>
      </c>
      <c r="CB229" s="731"/>
      <c r="CC229" s="731"/>
      <c r="CD229" s="731"/>
      <c r="CE229" s="731"/>
      <c r="CF229" s="731"/>
      <c r="CG229" s="1550"/>
      <c r="CH229" s="731"/>
      <c r="CI229" s="731"/>
      <c r="CJ229" s="731"/>
      <c r="CK229" s="731"/>
      <c r="CL229" s="731"/>
      <c r="CM229" s="1550"/>
      <c r="CN229" s="731"/>
      <c r="CO229" s="731"/>
      <c r="CP229" s="731"/>
      <c r="CQ229" s="731"/>
      <c r="CR229" s="731"/>
      <c r="CS229" s="1550">
        <f t="shared" si="115"/>
        <v>0</v>
      </c>
      <c r="CT229" s="731"/>
      <c r="CU229" s="731"/>
      <c r="CV229" s="731"/>
      <c r="CW229" s="731"/>
      <c r="CX229" s="731"/>
      <c r="CY229" s="1550">
        <f t="shared" si="116"/>
        <v>0</v>
      </c>
      <c r="CZ229" s="731"/>
      <c r="DA229" s="731"/>
      <c r="DB229" s="731"/>
      <c r="DC229" s="731"/>
      <c r="DD229" s="731"/>
      <c r="DE229" s="1550">
        <f t="shared" si="117"/>
        <v>0</v>
      </c>
      <c r="DF229" s="731"/>
      <c r="DG229" s="731"/>
      <c r="DH229" s="731"/>
      <c r="DI229" s="731"/>
      <c r="DJ229" s="731"/>
      <c r="DK229" s="1550">
        <f t="shared" si="118"/>
        <v>0</v>
      </c>
      <c r="DL229" s="731"/>
      <c r="DM229" s="731"/>
      <c r="DN229" s="731"/>
      <c r="DO229" s="731"/>
      <c r="DP229" s="731"/>
      <c r="DQ229" s="1550">
        <f t="shared" si="119"/>
        <v>0</v>
      </c>
      <c r="DR229" s="731"/>
      <c r="DS229" s="731"/>
      <c r="DT229" s="731"/>
      <c r="DU229" s="731"/>
      <c r="DV229" s="731"/>
      <c r="DW229" s="1550">
        <f t="shared" si="120"/>
        <v>0</v>
      </c>
      <c r="DX229" s="500"/>
      <c r="DY229" s="500"/>
      <c r="DZ229" s="500"/>
      <c r="EA229" s="500"/>
      <c r="EB229" s="500"/>
      <c r="EC229" s="500"/>
      <c r="ED229" s="500"/>
      <c r="EE229" s="500"/>
      <c r="EF229" s="500"/>
      <c r="EG229" s="500"/>
      <c r="EH229" s="500"/>
      <c r="EI229" s="500"/>
    </row>
    <row r="230" spans="1:139" hidden="1" outlineLevel="1">
      <c r="A230" s="260" t="s">
        <v>926</v>
      </c>
      <c r="B230" s="260"/>
      <c r="C230" s="260"/>
      <c r="D230" s="260"/>
      <c r="E230" s="260"/>
      <c r="F230" s="260"/>
      <c r="G230" s="316"/>
      <c r="H230" s="260"/>
      <c r="I230" s="260"/>
      <c r="J230" s="260"/>
      <c r="K230" s="260"/>
      <c r="L230" s="260"/>
      <c r="M230" s="316"/>
      <c r="N230" s="260"/>
      <c r="O230" s="260"/>
      <c r="P230" s="260"/>
      <c r="Q230" s="260"/>
      <c r="R230" s="260"/>
      <c r="S230" s="316"/>
      <c r="T230" s="260"/>
      <c r="U230" s="260"/>
      <c r="V230" s="260"/>
      <c r="W230" s="260"/>
      <c r="X230" s="260"/>
      <c r="Y230" s="316"/>
      <c r="Z230" s="260"/>
      <c r="AA230" s="260"/>
      <c r="AB230" s="260"/>
      <c r="AC230" s="260"/>
      <c r="AD230" s="260"/>
      <c r="AE230" s="316"/>
      <c r="AF230" s="260"/>
      <c r="AG230" s="260"/>
      <c r="AH230" s="260"/>
      <c r="AI230" s="260"/>
      <c r="AJ230" s="260"/>
      <c r="AK230" s="316"/>
      <c r="AL230" s="260"/>
      <c r="AM230" s="260"/>
      <c r="AN230" s="1546"/>
      <c r="AO230" s="260"/>
      <c r="AP230" s="260"/>
      <c r="AQ230" s="507"/>
      <c r="AR230" s="260"/>
      <c r="AS230" s="260"/>
      <c r="AT230" s="260"/>
      <c r="AU230" s="260"/>
      <c r="AV230" s="260"/>
      <c r="AW230" s="507"/>
      <c r="AX230" s="260"/>
      <c r="AY230" s="260"/>
      <c r="AZ230" s="260"/>
      <c r="BA230" s="260"/>
      <c r="BB230" s="260"/>
      <c r="BC230" s="507"/>
      <c r="BD230" s="260"/>
      <c r="BE230" s="260"/>
      <c r="BF230" s="260"/>
      <c r="BG230" s="260"/>
      <c r="BH230" s="260"/>
      <c r="BI230" s="507"/>
      <c r="BJ230" s="260"/>
      <c r="BK230" s="716"/>
      <c r="BL230" s="716"/>
      <c r="BM230" s="716"/>
      <c r="BN230" s="716"/>
      <c r="BO230" s="1550">
        <f t="shared" si="113"/>
        <v>0</v>
      </c>
      <c r="BP230" s="731"/>
      <c r="BQ230" s="731"/>
      <c r="BR230" s="731"/>
      <c r="BS230" s="731">
        <v>0.4</v>
      </c>
      <c r="BT230" s="731">
        <v>1</v>
      </c>
      <c r="BU230" s="1550">
        <f t="shared" si="114"/>
        <v>1.4</v>
      </c>
      <c r="BV230" s="731"/>
      <c r="BW230" s="731">
        <v>1.25</v>
      </c>
      <c r="BX230" s="731">
        <v>1.5</v>
      </c>
      <c r="BY230" s="731"/>
      <c r="BZ230" s="731"/>
      <c r="CA230" s="1550">
        <f t="shared" si="121"/>
        <v>2.75</v>
      </c>
      <c r="CB230" s="731"/>
      <c r="CC230" s="731"/>
      <c r="CD230" s="731"/>
      <c r="CE230" s="731"/>
      <c r="CF230" s="731"/>
      <c r="CG230" s="1550"/>
      <c r="CH230" s="731"/>
      <c r="CI230" s="731"/>
      <c r="CJ230" s="731"/>
      <c r="CK230" s="731"/>
      <c r="CL230" s="731"/>
      <c r="CM230" s="1550"/>
      <c r="CN230" s="731"/>
      <c r="CO230" s="731"/>
      <c r="CP230" s="731"/>
      <c r="CQ230" s="731"/>
      <c r="CR230" s="731"/>
      <c r="CS230" s="1550">
        <f t="shared" si="115"/>
        <v>0</v>
      </c>
      <c r="CT230" s="731"/>
      <c r="CU230" s="731"/>
      <c r="CV230" s="731"/>
      <c r="CW230" s="731"/>
      <c r="CX230" s="731"/>
      <c r="CY230" s="1550">
        <f t="shared" si="116"/>
        <v>0</v>
      </c>
      <c r="CZ230" s="731"/>
      <c r="DA230" s="731"/>
      <c r="DB230" s="731"/>
      <c r="DC230" s="731"/>
      <c r="DD230" s="731"/>
      <c r="DE230" s="1550">
        <f t="shared" si="117"/>
        <v>0</v>
      </c>
      <c r="DF230" s="731"/>
      <c r="DG230" s="731"/>
      <c r="DH230" s="731"/>
      <c r="DI230" s="731"/>
      <c r="DJ230" s="731"/>
      <c r="DK230" s="1550">
        <f t="shared" si="118"/>
        <v>0</v>
      </c>
      <c r="DL230" s="731"/>
      <c r="DM230" s="731"/>
      <c r="DN230" s="731"/>
      <c r="DO230" s="731"/>
      <c r="DP230" s="731"/>
      <c r="DQ230" s="1550">
        <f t="shared" si="119"/>
        <v>0</v>
      </c>
      <c r="DR230" s="731"/>
      <c r="DS230" s="731"/>
      <c r="DT230" s="731"/>
      <c r="DU230" s="731"/>
      <c r="DV230" s="731"/>
      <c r="DW230" s="1550">
        <f t="shared" si="120"/>
        <v>0</v>
      </c>
      <c r="DX230" s="500"/>
      <c r="DY230" s="500"/>
      <c r="DZ230" s="500"/>
      <c r="EA230" s="500"/>
      <c r="EB230" s="500"/>
      <c r="EC230" s="500"/>
      <c r="ED230" s="500"/>
      <c r="EE230" s="500"/>
      <c r="EF230" s="500"/>
      <c r="EG230" s="500"/>
      <c r="EH230" s="500"/>
      <c r="EI230" s="500"/>
    </row>
    <row r="231" spans="1:139" hidden="1" outlineLevel="1">
      <c r="A231" s="260" t="s">
        <v>927</v>
      </c>
      <c r="B231" s="260"/>
      <c r="C231" s="260"/>
      <c r="D231" s="260"/>
      <c r="E231" s="260"/>
      <c r="F231" s="260"/>
      <c r="G231" s="316"/>
      <c r="H231" s="260"/>
      <c r="I231" s="260"/>
      <c r="J231" s="260"/>
      <c r="K231" s="260"/>
      <c r="L231" s="260"/>
      <c r="M231" s="316"/>
      <c r="N231" s="260"/>
      <c r="O231" s="260"/>
      <c r="P231" s="260"/>
      <c r="Q231" s="260"/>
      <c r="R231" s="260"/>
      <c r="S231" s="316"/>
      <c r="T231" s="260"/>
      <c r="U231" s="260"/>
      <c r="V231" s="260"/>
      <c r="W231" s="260"/>
      <c r="X231" s="260"/>
      <c r="Y231" s="316"/>
      <c r="Z231" s="260"/>
      <c r="AA231" s="260"/>
      <c r="AB231" s="260"/>
      <c r="AC231" s="260"/>
      <c r="AD231" s="260"/>
      <c r="AE231" s="316"/>
      <c r="AF231" s="260"/>
      <c r="AG231" s="260"/>
      <c r="AH231" s="260"/>
      <c r="AI231" s="260"/>
      <c r="AJ231" s="260"/>
      <c r="AK231" s="316"/>
      <c r="AL231" s="260"/>
      <c r="AM231" s="260"/>
      <c r="AN231" s="1546"/>
      <c r="AO231" s="260"/>
      <c r="AP231" s="260"/>
      <c r="AQ231" s="507"/>
      <c r="AR231" s="260"/>
      <c r="AS231" s="260"/>
      <c r="AT231" s="260"/>
      <c r="AU231" s="260"/>
      <c r="AV231" s="260"/>
      <c r="AW231" s="507"/>
      <c r="AX231" s="260"/>
      <c r="AY231" s="260"/>
      <c r="AZ231" s="260"/>
      <c r="BA231" s="260"/>
      <c r="BB231" s="260"/>
      <c r="BC231" s="507"/>
      <c r="BD231" s="260"/>
      <c r="BE231" s="260"/>
      <c r="BF231" s="260"/>
      <c r="BG231" s="260"/>
      <c r="BH231" s="260"/>
      <c r="BI231" s="507"/>
      <c r="BJ231" s="260"/>
      <c r="BK231" s="716"/>
      <c r="BL231" s="716"/>
      <c r="BM231" s="716"/>
      <c r="BN231" s="716"/>
      <c r="BO231" s="1550">
        <f>SUM(BK231:BN231)</f>
        <v>0</v>
      </c>
      <c r="BP231" s="731"/>
      <c r="BQ231" s="731"/>
      <c r="BR231" s="731"/>
      <c r="BS231" s="731"/>
      <c r="BT231" s="731"/>
      <c r="BU231" s="1550">
        <f>SUM(BQ231:BT231)</f>
        <v>0</v>
      </c>
      <c r="BV231" s="731"/>
      <c r="BW231" s="731">
        <v>8</v>
      </c>
      <c r="BX231" s="731">
        <v>9</v>
      </c>
      <c r="BY231" s="731">
        <v>10.5</v>
      </c>
      <c r="BZ231" s="731">
        <v>11.5</v>
      </c>
      <c r="CA231" s="1550">
        <f t="shared" si="121"/>
        <v>39</v>
      </c>
      <c r="CB231" s="731"/>
      <c r="CC231" s="731"/>
      <c r="CD231" s="731"/>
      <c r="CE231" s="731"/>
      <c r="CF231" s="731"/>
      <c r="CG231" s="1550"/>
      <c r="CH231" s="731"/>
      <c r="CI231" s="731"/>
      <c r="CJ231" s="731"/>
      <c r="CK231" s="731"/>
      <c r="CL231" s="731"/>
      <c r="CM231" s="1550"/>
      <c r="CN231" s="731"/>
      <c r="CO231" s="731"/>
      <c r="CP231" s="731"/>
      <c r="CQ231" s="731"/>
      <c r="CR231" s="731"/>
      <c r="CS231" s="1550">
        <f t="shared" si="115"/>
        <v>0</v>
      </c>
      <c r="CT231" s="731"/>
      <c r="CU231" s="731"/>
      <c r="CV231" s="731"/>
      <c r="CW231" s="731"/>
      <c r="CX231" s="731"/>
      <c r="CY231" s="1550">
        <f t="shared" si="116"/>
        <v>0</v>
      </c>
      <c r="CZ231" s="731"/>
      <c r="DA231" s="731"/>
      <c r="DB231" s="731"/>
      <c r="DC231" s="731"/>
      <c r="DD231" s="731"/>
      <c r="DE231" s="1550">
        <f t="shared" si="117"/>
        <v>0</v>
      </c>
      <c r="DF231" s="731"/>
      <c r="DG231" s="731"/>
      <c r="DH231" s="731"/>
      <c r="DI231" s="731"/>
      <c r="DJ231" s="731"/>
      <c r="DK231" s="1550">
        <f t="shared" si="118"/>
        <v>0</v>
      </c>
      <c r="DL231" s="731"/>
      <c r="DM231" s="731"/>
      <c r="DN231" s="731"/>
      <c r="DO231" s="731"/>
      <c r="DP231" s="731"/>
      <c r="DQ231" s="1550">
        <f t="shared" si="119"/>
        <v>0</v>
      </c>
      <c r="DR231" s="731"/>
      <c r="DS231" s="731"/>
      <c r="DT231" s="731"/>
      <c r="DU231" s="731"/>
      <c r="DV231" s="731"/>
      <c r="DW231" s="1550">
        <f t="shared" si="120"/>
        <v>0</v>
      </c>
      <c r="DX231" s="500"/>
      <c r="DY231" s="500"/>
      <c r="DZ231" s="500"/>
      <c r="EA231" s="500"/>
      <c r="EB231" s="500"/>
      <c r="EC231" s="500"/>
      <c r="ED231" s="500"/>
      <c r="EE231" s="500"/>
      <c r="EF231" s="500"/>
      <c r="EG231" s="500"/>
      <c r="EH231" s="500"/>
      <c r="EI231" s="500"/>
    </row>
    <row r="232" spans="1:139" hidden="1" outlineLevel="1">
      <c r="A232" s="260" t="s">
        <v>674</v>
      </c>
      <c r="B232" s="260"/>
      <c r="C232" s="260"/>
      <c r="D232" s="260"/>
      <c r="E232" s="260"/>
      <c r="F232" s="260"/>
      <c r="G232" s="316"/>
      <c r="H232" s="260"/>
      <c r="I232" s="260"/>
      <c r="J232" s="260"/>
      <c r="K232" s="260"/>
      <c r="L232" s="260"/>
      <c r="M232" s="316"/>
      <c r="N232" s="260"/>
      <c r="O232" s="260"/>
      <c r="P232" s="260"/>
      <c r="Q232" s="260"/>
      <c r="R232" s="260"/>
      <c r="S232" s="316"/>
      <c r="T232" s="260"/>
      <c r="U232" s="260"/>
      <c r="V232" s="260"/>
      <c r="W232" s="260"/>
      <c r="X232" s="260"/>
      <c r="Y232" s="316"/>
      <c r="Z232" s="260"/>
      <c r="AA232" s="260"/>
      <c r="AB232" s="260"/>
      <c r="AC232" s="260"/>
      <c r="AD232" s="260"/>
      <c r="AE232" s="316"/>
      <c r="AF232" s="260"/>
      <c r="AG232" s="260"/>
      <c r="AH232" s="260"/>
      <c r="AI232" s="260"/>
      <c r="AJ232" s="260"/>
      <c r="AK232" s="316"/>
      <c r="AL232" s="260"/>
      <c r="AM232" s="260"/>
      <c r="AN232" s="1546"/>
      <c r="AO232" s="260"/>
      <c r="AP232" s="260"/>
      <c r="AQ232" s="507"/>
      <c r="AR232" s="260"/>
      <c r="AS232" s="260"/>
      <c r="AT232" s="260"/>
      <c r="AU232" s="260"/>
      <c r="AV232" s="260"/>
      <c r="AW232" s="507"/>
      <c r="AX232" s="260"/>
      <c r="AY232" s="260"/>
      <c r="AZ232" s="260"/>
      <c r="BA232" s="260"/>
      <c r="BB232" s="260"/>
      <c r="BC232" s="507"/>
      <c r="BD232" s="260"/>
      <c r="BE232" s="260"/>
      <c r="BF232" s="260"/>
      <c r="BG232" s="260"/>
      <c r="BH232" s="260"/>
      <c r="BI232" s="507"/>
      <c r="BJ232" s="260"/>
      <c r="BK232" s="716"/>
      <c r="BL232" s="716"/>
      <c r="BM232" s="716"/>
      <c r="BN232" s="716"/>
      <c r="BO232" s="1550"/>
      <c r="BP232" s="731"/>
      <c r="BQ232" s="731"/>
      <c r="BR232" s="731"/>
      <c r="BS232" s="731"/>
      <c r="BT232" s="731"/>
      <c r="BU232" s="1550"/>
      <c r="BV232" s="731"/>
      <c r="BW232" s="731"/>
      <c r="BX232" s="731">
        <v>0.5</v>
      </c>
      <c r="BY232" s="731">
        <v>0.75</v>
      </c>
      <c r="BZ232" s="731">
        <v>1</v>
      </c>
      <c r="CA232" s="1550">
        <f t="shared" si="121"/>
        <v>2.25</v>
      </c>
      <c r="CB232" s="731"/>
      <c r="CC232" s="731"/>
      <c r="CD232" s="731"/>
      <c r="CE232" s="731"/>
      <c r="CF232" s="731"/>
      <c r="CG232" s="1550"/>
      <c r="CH232" s="731"/>
      <c r="CI232" s="731"/>
      <c r="CJ232" s="731"/>
      <c r="CK232" s="731"/>
      <c r="CL232" s="731"/>
      <c r="CM232" s="1550"/>
      <c r="CN232" s="731"/>
      <c r="CO232" s="731"/>
      <c r="CP232" s="731"/>
      <c r="CQ232" s="731"/>
      <c r="CR232" s="731"/>
      <c r="CS232" s="1550"/>
      <c r="CT232" s="731"/>
      <c r="CU232" s="731"/>
      <c r="CV232" s="731"/>
      <c r="CW232" s="731"/>
      <c r="CX232" s="731"/>
      <c r="CY232" s="1550"/>
      <c r="CZ232" s="731"/>
      <c r="DA232" s="731"/>
      <c r="DB232" s="731"/>
      <c r="DC232" s="731"/>
      <c r="DD232" s="731"/>
      <c r="DE232" s="1550"/>
      <c r="DF232" s="731"/>
      <c r="DG232" s="731"/>
      <c r="DH232" s="731"/>
      <c r="DI232" s="731"/>
      <c r="DJ232" s="731"/>
      <c r="DK232" s="1550"/>
      <c r="DL232" s="731"/>
      <c r="DM232" s="731"/>
      <c r="DN232" s="731"/>
      <c r="DO232" s="731"/>
      <c r="DP232" s="731"/>
      <c r="DQ232" s="1550"/>
      <c r="DR232" s="731"/>
      <c r="DS232" s="731"/>
      <c r="DT232" s="731"/>
      <c r="DU232" s="731"/>
      <c r="DV232" s="731"/>
      <c r="DW232" s="1550"/>
      <c r="DX232" s="500"/>
      <c r="DY232" s="500"/>
      <c r="DZ232" s="500"/>
      <c r="EA232" s="500"/>
      <c r="EB232" s="500"/>
      <c r="EC232" s="500"/>
      <c r="ED232" s="500"/>
      <c r="EE232" s="500"/>
      <c r="EF232" s="500"/>
      <c r="EG232" s="500"/>
      <c r="EH232" s="500"/>
      <c r="EI232" s="500"/>
    </row>
    <row r="233" spans="1:139" hidden="1" outlineLevel="1">
      <c r="A233" s="260" t="s">
        <v>598</v>
      </c>
      <c r="B233" s="260"/>
      <c r="C233" s="260"/>
      <c r="D233" s="260"/>
      <c r="E233" s="260"/>
      <c r="F233" s="260"/>
      <c r="G233" s="316"/>
      <c r="H233" s="260"/>
      <c r="I233" s="260"/>
      <c r="J233" s="260"/>
      <c r="K233" s="260"/>
      <c r="L233" s="260"/>
      <c r="M233" s="316"/>
      <c r="N233" s="260"/>
      <c r="O233" s="260"/>
      <c r="P233" s="260"/>
      <c r="Q233" s="260"/>
      <c r="R233" s="260"/>
      <c r="S233" s="316"/>
      <c r="T233" s="260"/>
      <c r="U233" s="260"/>
      <c r="V233" s="260"/>
      <c r="W233" s="260"/>
      <c r="X233" s="260"/>
      <c r="Y233" s="316"/>
      <c r="Z233" s="260"/>
      <c r="AA233" s="260"/>
      <c r="AB233" s="260"/>
      <c r="AC233" s="260"/>
      <c r="AD233" s="260"/>
      <c r="AE233" s="316"/>
      <c r="AF233" s="260"/>
      <c r="AG233" s="260"/>
      <c r="AH233" s="260"/>
      <c r="AI233" s="260"/>
      <c r="AJ233" s="260"/>
      <c r="AK233" s="316"/>
      <c r="AL233" s="260"/>
      <c r="AM233" s="260"/>
      <c r="AN233" s="1546"/>
      <c r="AO233" s="260"/>
      <c r="AP233" s="260"/>
      <c r="AQ233" s="507"/>
      <c r="AR233" s="260"/>
      <c r="AS233" s="260"/>
      <c r="AT233" s="260"/>
      <c r="AU233" s="260"/>
      <c r="AV233" s="260"/>
      <c r="AW233" s="507"/>
      <c r="AX233" s="260"/>
      <c r="AY233" s="260"/>
      <c r="AZ233" s="260"/>
      <c r="BA233" s="260"/>
      <c r="BB233" s="260"/>
      <c r="BC233" s="507"/>
      <c r="BD233" s="260"/>
      <c r="BE233" s="260"/>
      <c r="BF233" s="260"/>
      <c r="BG233" s="260"/>
      <c r="BH233" s="260"/>
      <c r="BI233" s="507"/>
      <c r="BJ233" s="260"/>
      <c r="BK233" s="716"/>
      <c r="BL233" s="716"/>
      <c r="BM233" s="716"/>
      <c r="BN233" s="716"/>
      <c r="BO233" s="1550"/>
      <c r="BP233" s="731"/>
      <c r="BQ233" s="731"/>
      <c r="BR233" s="731"/>
      <c r="BS233" s="731"/>
      <c r="BT233" s="731"/>
      <c r="BU233" s="1550"/>
      <c r="BV233" s="731"/>
      <c r="BW233" s="731"/>
      <c r="BX233" s="731"/>
      <c r="BY233" s="731">
        <v>0.75</v>
      </c>
      <c r="BZ233" s="731">
        <v>1.25</v>
      </c>
      <c r="CA233" s="1550">
        <f t="shared" si="121"/>
        <v>2</v>
      </c>
      <c r="CB233" s="731"/>
      <c r="CC233" s="731">
        <v>1.75</v>
      </c>
      <c r="CD233" s="731">
        <v>2.25</v>
      </c>
      <c r="CE233" s="731"/>
      <c r="CF233" s="731"/>
      <c r="CG233" s="1550">
        <f>SUM(CC233:CF233)</f>
        <v>4</v>
      </c>
      <c r="CH233" s="731"/>
      <c r="CI233" s="731"/>
      <c r="CJ233" s="731"/>
      <c r="CK233" s="731"/>
      <c r="CL233" s="731"/>
      <c r="CM233" s="1550"/>
      <c r="CN233" s="731"/>
      <c r="CO233" s="731"/>
      <c r="CP233" s="731"/>
      <c r="CQ233" s="731"/>
      <c r="CR233" s="1783"/>
      <c r="CS233" s="1550"/>
      <c r="CT233" s="731"/>
      <c r="CU233" s="731"/>
      <c r="CV233" s="731"/>
      <c r="CW233" s="731"/>
      <c r="CX233" s="731"/>
      <c r="CY233" s="1550"/>
      <c r="CZ233" s="731"/>
      <c r="DA233" s="731"/>
      <c r="DB233" s="731"/>
      <c r="DC233" s="731"/>
      <c r="DD233" s="731"/>
      <c r="DE233" s="1550"/>
      <c r="DF233" s="731"/>
      <c r="DG233" s="731"/>
      <c r="DH233" s="731"/>
      <c r="DI233" s="731"/>
      <c r="DJ233" s="731"/>
      <c r="DK233" s="1550"/>
      <c r="DL233" s="731"/>
      <c r="DM233" s="731"/>
      <c r="DN233" s="731"/>
      <c r="DO233" s="731"/>
      <c r="DP233" s="731"/>
      <c r="DQ233" s="1550"/>
      <c r="DR233" s="731"/>
      <c r="DS233" s="731"/>
      <c r="DT233" s="731"/>
      <c r="DU233" s="731"/>
      <c r="DV233" s="731"/>
      <c r="DW233" s="1550"/>
      <c r="DX233" s="500"/>
      <c r="DY233" s="500"/>
      <c r="DZ233" s="500"/>
      <c r="EA233" s="500"/>
      <c r="EB233" s="500"/>
      <c r="EC233" s="500"/>
      <c r="ED233" s="500"/>
      <c r="EE233" s="500"/>
      <c r="EF233" s="500"/>
      <c r="EG233" s="500"/>
      <c r="EH233" s="500"/>
      <c r="EI233" s="500"/>
    </row>
    <row r="234" spans="1:139" hidden="1" outlineLevel="1">
      <c r="A234" s="260" t="s">
        <v>706</v>
      </c>
      <c r="B234" s="260"/>
      <c r="C234" s="260"/>
      <c r="D234" s="260"/>
      <c r="E234" s="260"/>
      <c r="F234" s="260"/>
      <c r="G234" s="316"/>
      <c r="H234" s="260"/>
      <c r="I234" s="260"/>
      <c r="J234" s="260"/>
      <c r="K234" s="260"/>
      <c r="L234" s="260"/>
      <c r="M234" s="316"/>
      <c r="N234" s="260"/>
      <c r="O234" s="260"/>
      <c r="P234" s="260"/>
      <c r="Q234" s="260"/>
      <c r="R234" s="260"/>
      <c r="S234" s="316"/>
      <c r="T234" s="260"/>
      <c r="U234" s="260"/>
      <c r="V234" s="260"/>
      <c r="W234" s="260"/>
      <c r="X234" s="260"/>
      <c r="Y234" s="316"/>
      <c r="Z234" s="260"/>
      <c r="AA234" s="260"/>
      <c r="AB234" s="260"/>
      <c r="AC234" s="260"/>
      <c r="AD234" s="260"/>
      <c r="AE234" s="316"/>
      <c r="AF234" s="260"/>
      <c r="AG234" s="260"/>
      <c r="AH234" s="260"/>
      <c r="AI234" s="260"/>
      <c r="AJ234" s="260"/>
      <c r="AK234" s="316"/>
      <c r="AL234" s="260"/>
      <c r="AM234" s="260"/>
      <c r="AN234" s="1546"/>
      <c r="AO234" s="260"/>
      <c r="AP234" s="260"/>
      <c r="AQ234" s="507"/>
      <c r="AR234" s="260"/>
      <c r="AS234" s="260"/>
      <c r="AT234" s="260"/>
      <c r="AU234" s="260"/>
      <c r="AV234" s="260"/>
      <c r="AW234" s="507"/>
      <c r="AX234" s="260"/>
      <c r="AY234" s="260"/>
      <c r="AZ234" s="260"/>
      <c r="BA234" s="260"/>
      <c r="BB234" s="260"/>
      <c r="BC234" s="507"/>
      <c r="BD234" s="260"/>
      <c r="BE234" s="260"/>
      <c r="BF234" s="260"/>
      <c r="BG234" s="260"/>
      <c r="BH234" s="260"/>
      <c r="BI234" s="507"/>
      <c r="BJ234" s="260"/>
      <c r="BK234" s="716"/>
      <c r="BL234" s="716"/>
      <c r="BM234" s="716"/>
      <c r="BN234" s="716"/>
      <c r="BO234" s="1550"/>
      <c r="BP234" s="731"/>
      <c r="BQ234" s="731"/>
      <c r="BR234" s="731"/>
      <c r="BS234" s="731"/>
      <c r="BT234" s="731"/>
      <c r="BU234" s="1550"/>
      <c r="BV234" s="731"/>
      <c r="BW234" s="731"/>
      <c r="BX234" s="731"/>
      <c r="BY234" s="731">
        <v>9</v>
      </c>
      <c r="BZ234" s="731">
        <v>11</v>
      </c>
      <c r="CA234" s="1550">
        <f t="shared" si="121"/>
        <v>20</v>
      </c>
      <c r="CB234" s="731"/>
      <c r="CC234" s="731">
        <v>12</v>
      </c>
      <c r="CD234" s="731">
        <v>13</v>
      </c>
      <c r="CE234" s="731">
        <v>7</v>
      </c>
      <c r="CF234" s="731"/>
      <c r="CG234" s="1550">
        <f>SUM(CC234:CF234)</f>
        <v>32</v>
      </c>
      <c r="CH234" s="731"/>
      <c r="CI234" s="731"/>
      <c r="CJ234" s="731"/>
      <c r="CK234" s="731"/>
      <c r="CL234" s="731"/>
      <c r="CM234" s="1550"/>
      <c r="CN234" s="731"/>
      <c r="CO234" s="731"/>
      <c r="CP234" s="731"/>
      <c r="CQ234" s="731"/>
      <c r="CR234" s="731"/>
      <c r="CS234" s="1550"/>
      <c r="CT234" s="731"/>
      <c r="CU234" s="731"/>
      <c r="CV234" s="731"/>
      <c r="CW234" s="731"/>
      <c r="CX234" s="731"/>
      <c r="CY234" s="1550"/>
      <c r="CZ234" s="731"/>
      <c r="DA234" s="731"/>
      <c r="DB234" s="731"/>
      <c r="DC234" s="731"/>
      <c r="DD234" s="731"/>
      <c r="DE234" s="1550"/>
      <c r="DF234" s="731"/>
      <c r="DG234" s="731"/>
      <c r="DH234" s="731"/>
      <c r="DI234" s="731"/>
      <c r="DJ234" s="731"/>
      <c r="DK234" s="1550"/>
      <c r="DL234" s="731"/>
      <c r="DM234" s="731"/>
      <c r="DN234" s="731"/>
      <c r="DO234" s="731"/>
      <c r="DP234" s="731"/>
      <c r="DQ234" s="1550"/>
      <c r="DR234" s="731"/>
      <c r="DS234" s="731"/>
      <c r="DT234" s="731"/>
      <c r="DU234" s="731"/>
      <c r="DV234" s="731"/>
      <c r="DW234" s="1550"/>
      <c r="DX234" s="500"/>
      <c r="DY234" s="500"/>
      <c r="DZ234" s="500"/>
      <c r="EA234" s="500"/>
      <c r="EB234" s="500"/>
      <c r="EC234" s="500"/>
      <c r="ED234" s="500"/>
      <c r="EE234" s="500"/>
      <c r="EF234" s="500"/>
      <c r="EG234" s="500"/>
      <c r="EH234" s="500"/>
      <c r="EI234" s="500"/>
    </row>
    <row r="235" spans="1:139" hidden="1" outlineLevel="1">
      <c r="A235" s="260" t="s">
        <v>924</v>
      </c>
      <c r="B235" s="260"/>
      <c r="C235" s="260"/>
      <c r="D235" s="260"/>
      <c r="E235" s="260"/>
      <c r="F235" s="260"/>
      <c r="G235" s="316"/>
      <c r="H235" s="260"/>
      <c r="I235" s="260"/>
      <c r="J235" s="260"/>
      <c r="K235" s="260"/>
      <c r="L235" s="260"/>
      <c r="M235" s="316"/>
      <c r="N235" s="260"/>
      <c r="O235" s="260"/>
      <c r="P235" s="260"/>
      <c r="Q235" s="260"/>
      <c r="R235" s="260"/>
      <c r="S235" s="316"/>
      <c r="T235" s="260"/>
      <c r="U235" s="260"/>
      <c r="V235" s="260"/>
      <c r="W235" s="260"/>
      <c r="X235" s="260"/>
      <c r="Y235" s="316"/>
      <c r="Z235" s="260"/>
      <c r="AA235" s="260"/>
      <c r="AB235" s="260"/>
      <c r="AC235" s="260"/>
      <c r="AD235" s="260"/>
      <c r="AE235" s="316"/>
      <c r="AF235" s="260"/>
      <c r="AG235" s="260"/>
      <c r="AH235" s="260"/>
      <c r="AI235" s="260"/>
      <c r="AJ235" s="260"/>
      <c r="AK235" s="316"/>
      <c r="AL235" s="260"/>
      <c r="AM235" s="260"/>
      <c r="AN235" s="1546"/>
      <c r="AO235" s="260"/>
      <c r="AP235" s="260"/>
      <c r="AQ235" s="507"/>
      <c r="AR235" s="260"/>
      <c r="AS235" s="260"/>
      <c r="AT235" s="260"/>
      <c r="AU235" s="260"/>
      <c r="AV235" s="260"/>
      <c r="AW235" s="507"/>
      <c r="AX235" s="260"/>
      <c r="AY235" s="260"/>
      <c r="AZ235" s="260"/>
      <c r="BA235" s="260"/>
      <c r="BB235" s="260"/>
      <c r="BC235" s="507"/>
      <c r="BD235" s="260"/>
      <c r="BE235" s="260"/>
      <c r="BF235" s="260"/>
      <c r="BG235" s="260"/>
      <c r="BH235" s="260"/>
      <c r="BI235" s="507"/>
      <c r="BJ235" s="260"/>
      <c r="BK235" s="716"/>
      <c r="BL235" s="716"/>
      <c r="BM235" s="716"/>
      <c r="BN235" s="716"/>
      <c r="BO235" s="1550"/>
      <c r="BP235" s="731"/>
      <c r="BQ235" s="731"/>
      <c r="BR235" s="731"/>
      <c r="BS235" s="731"/>
      <c r="BT235" s="731"/>
      <c r="BU235" s="1550"/>
      <c r="BV235" s="731"/>
      <c r="BW235" s="731"/>
      <c r="BX235" s="731"/>
      <c r="BY235" s="731"/>
      <c r="BZ235" s="731"/>
      <c r="CA235" s="1550"/>
      <c r="CB235" s="731"/>
      <c r="CC235" s="731"/>
      <c r="CD235" s="731">
        <v>16</v>
      </c>
      <c r="CE235" s="731">
        <v>81</v>
      </c>
      <c r="CF235" s="731">
        <v>96</v>
      </c>
      <c r="CG235" s="1550">
        <f>SUM(CC235:CF235)</f>
        <v>193</v>
      </c>
      <c r="CH235" s="731"/>
      <c r="CI235" s="731">
        <v>105</v>
      </c>
      <c r="CJ235" s="731">
        <v>115</v>
      </c>
      <c r="CK235" s="731"/>
      <c r="CL235" s="731"/>
      <c r="CM235" s="1550">
        <f>SUM(CI235:CL235)</f>
        <v>220</v>
      </c>
      <c r="CN235" s="731"/>
      <c r="CO235" s="731"/>
      <c r="CP235" s="731"/>
      <c r="CQ235" s="731"/>
      <c r="CR235" s="731"/>
      <c r="CS235" s="1550"/>
      <c r="CT235" s="731"/>
      <c r="CU235" s="731"/>
      <c r="CY235" s="1809"/>
      <c r="DE235" s="1809"/>
      <c r="DF235" s="731"/>
      <c r="DG235" s="731"/>
      <c r="DH235" s="731"/>
      <c r="DI235" s="731"/>
      <c r="DJ235" s="731"/>
      <c r="DK235" s="1550"/>
      <c r="DL235" s="731"/>
      <c r="DM235" s="731"/>
      <c r="DN235" s="731"/>
      <c r="DO235" s="731"/>
      <c r="DP235" s="731"/>
      <c r="DQ235" s="1550"/>
      <c r="DR235" s="731"/>
      <c r="DS235" s="731"/>
      <c r="DT235" s="731"/>
      <c r="DU235" s="731"/>
      <c r="DV235" s="731"/>
      <c r="DW235" s="1550"/>
      <c r="DX235" s="500"/>
      <c r="DY235" s="500"/>
      <c r="DZ235" s="500"/>
      <c r="EA235" s="500"/>
      <c r="EB235" s="500"/>
      <c r="EC235" s="500"/>
      <c r="ED235" s="500"/>
      <c r="EE235" s="500"/>
      <c r="EF235" s="500"/>
      <c r="EG235" s="500"/>
      <c r="EH235" s="500"/>
      <c r="EI235" s="500"/>
    </row>
    <row r="236" spans="1:139" hidden="1" outlineLevel="1">
      <c r="A236" s="260" t="s">
        <v>1132</v>
      </c>
      <c r="B236" s="260"/>
      <c r="C236" s="260"/>
      <c r="D236" s="260"/>
      <c r="E236" s="260"/>
      <c r="F236" s="260"/>
      <c r="G236" s="316"/>
      <c r="H236" s="260"/>
      <c r="I236" s="260"/>
      <c r="J236" s="260"/>
      <c r="K236" s="260"/>
      <c r="L236" s="260"/>
      <c r="M236" s="316"/>
      <c r="N236" s="260"/>
      <c r="O236" s="260"/>
      <c r="P236" s="260"/>
      <c r="Q236" s="260"/>
      <c r="R236" s="260"/>
      <c r="S236" s="316"/>
      <c r="T236" s="260"/>
      <c r="U236" s="260"/>
      <c r="V236" s="260"/>
      <c r="W236" s="260"/>
      <c r="X236" s="260"/>
      <c r="Y236" s="316"/>
      <c r="Z236" s="260"/>
      <c r="AA236" s="260"/>
      <c r="AB236" s="260"/>
      <c r="AC236" s="260"/>
      <c r="AD236" s="260"/>
      <c r="AE236" s="316"/>
      <c r="AF236" s="260"/>
      <c r="AG236" s="260"/>
      <c r="AH236" s="260"/>
      <c r="AI236" s="260"/>
      <c r="AJ236" s="260"/>
      <c r="AK236" s="316"/>
      <c r="AL236" s="260"/>
      <c r="AM236" s="260"/>
      <c r="AN236" s="1546"/>
      <c r="AO236" s="260"/>
      <c r="AP236" s="260"/>
      <c r="AQ236" s="507"/>
      <c r="AR236" s="260"/>
      <c r="AS236" s="260"/>
      <c r="AT236" s="260"/>
      <c r="AU236" s="260"/>
      <c r="AV236" s="260"/>
      <c r="AW236" s="507"/>
      <c r="AX236" s="260"/>
      <c r="AY236" s="260"/>
      <c r="AZ236" s="260"/>
      <c r="BA236" s="260"/>
      <c r="BB236" s="260"/>
      <c r="BC236" s="507"/>
      <c r="BD236" s="260"/>
      <c r="BE236" s="260"/>
      <c r="BF236" s="260"/>
      <c r="BG236" s="260"/>
      <c r="BH236" s="260"/>
      <c r="BI236" s="507"/>
      <c r="BJ236" s="260"/>
      <c r="BK236" s="716"/>
      <c r="BL236" s="716"/>
      <c r="BM236" s="716"/>
      <c r="BN236" s="716"/>
      <c r="BO236" s="1550"/>
      <c r="BP236" s="731"/>
      <c r="BQ236" s="731"/>
      <c r="BR236" s="731"/>
      <c r="BS236" s="731"/>
      <c r="BT236" s="731"/>
      <c r="BU236" s="1550"/>
      <c r="BV236" s="731"/>
      <c r="BW236" s="731"/>
      <c r="BX236" s="731"/>
      <c r="BY236" s="731"/>
      <c r="BZ236" s="731"/>
      <c r="CA236" s="1550"/>
      <c r="CB236" s="731"/>
      <c r="CC236" s="731"/>
      <c r="CD236" s="731"/>
      <c r="CE236" s="731"/>
      <c r="CF236" s="731"/>
      <c r="CG236" s="1550"/>
      <c r="CH236" s="731"/>
      <c r="CI236" s="731"/>
      <c r="CJ236" s="731"/>
      <c r="CK236" s="1601"/>
      <c r="CL236" s="731"/>
      <c r="CM236" s="1550"/>
      <c r="CN236" s="731"/>
      <c r="CO236" s="731"/>
      <c r="CP236" s="731"/>
      <c r="CQ236" s="731"/>
      <c r="CR236" s="731"/>
      <c r="CS236" s="1550"/>
      <c r="CT236" s="731"/>
      <c r="CU236" s="731"/>
      <c r="CV236" s="731">
        <f>9+23</f>
        <v>32</v>
      </c>
      <c r="CW236" s="731">
        <f>49+7</f>
        <v>56</v>
      </c>
      <c r="CX236" s="731">
        <f>63+49-30</f>
        <v>82</v>
      </c>
      <c r="CY236" s="1550">
        <f>SUM(CU236:CX236)</f>
        <v>170</v>
      </c>
      <c r="CZ236" s="731"/>
      <c r="DA236" s="731">
        <f>57+1</f>
        <v>58</v>
      </c>
      <c r="DB236" s="731">
        <f>63+4</f>
        <v>67</v>
      </c>
      <c r="DC236" s="731"/>
      <c r="DD236" s="731"/>
      <c r="DE236" s="1550">
        <f>SUM(DA236:DD236)</f>
        <v>125</v>
      </c>
      <c r="DF236" s="731"/>
      <c r="DG236" s="731"/>
      <c r="DH236" s="731"/>
      <c r="DI236" s="731"/>
      <c r="DJ236" s="731"/>
      <c r="DK236" s="1550"/>
      <c r="DL236" s="731"/>
      <c r="DM236" s="731"/>
      <c r="DN236" s="731"/>
      <c r="DO236" s="731"/>
      <c r="DP236" s="731"/>
      <c r="DQ236" s="1550"/>
      <c r="DR236" s="731"/>
      <c r="DS236" s="731"/>
      <c r="DT236" s="731"/>
      <c r="DU236" s="731"/>
      <c r="DV236" s="731"/>
      <c r="DW236" s="1550"/>
      <c r="DX236" s="500"/>
      <c r="DY236" s="500"/>
      <c r="DZ236" s="500"/>
      <c r="EA236" s="500"/>
      <c r="EB236" s="500"/>
      <c r="EC236" s="500"/>
      <c r="ED236" s="500"/>
      <c r="EE236" s="500"/>
      <c r="EF236" s="500"/>
      <c r="EG236" s="500"/>
      <c r="EH236" s="500"/>
      <c r="EI236" s="500"/>
    </row>
    <row r="237" spans="1:139" collapsed="1">
      <c r="A237" s="316" t="s">
        <v>741</v>
      </c>
      <c r="B237" s="260"/>
      <c r="C237" s="260"/>
      <c r="D237" s="260"/>
      <c r="E237" s="260"/>
      <c r="F237" s="260"/>
      <c r="G237" s="316"/>
      <c r="H237" s="260"/>
      <c r="I237" s="260"/>
      <c r="J237" s="260"/>
      <c r="K237" s="260"/>
      <c r="L237" s="260"/>
      <c r="M237" s="316"/>
      <c r="N237" s="260"/>
      <c r="O237" s="260"/>
      <c r="P237" s="260"/>
      <c r="Q237" s="260"/>
      <c r="R237" s="260"/>
      <c r="S237" s="316"/>
      <c r="T237" s="260"/>
      <c r="U237" s="260"/>
      <c r="V237" s="260"/>
      <c r="W237" s="260"/>
      <c r="X237" s="260"/>
      <c r="Y237" s="316"/>
      <c r="Z237" s="260"/>
      <c r="AA237" s="260"/>
      <c r="AB237" s="260"/>
      <c r="AC237" s="260"/>
      <c r="AD237" s="260"/>
      <c r="AE237" s="316"/>
      <c r="AF237" s="260"/>
      <c r="AG237" s="260"/>
      <c r="AH237" s="260"/>
      <c r="AI237" s="260"/>
      <c r="AJ237" s="260"/>
      <c r="AK237" s="316"/>
      <c r="AL237" s="260"/>
      <c r="AM237" s="260"/>
      <c r="AN237" s="1546"/>
      <c r="AO237" s="260"/>
      <c r="AP237" s="260"/>
      <c r="AQ237" s="507"/>
      <c r="AR237" s="260"/>
      <c r="AS237" s="260"/>
      <c r="AT237" s="260"/>
      <c r="AU237" s="260"/>
      <c r="AV237" s="260"/>
      <c r="AW237" s="507"/>
      <c r="AX237" s="260"/>
      <c r="AY237" s="260"/>
      <c r="AZ237" s="260"/>
      <c r="BA237" s="260"/>
      <c r="BB237" s="260"/>
      <c r="BC237" s="507"/>
      <c r="BD237" s="260"/>
      <c r="BE237" s="260"/>
      <c r="BF237" s="260"/>
      <c r="BG237" s="260"/>
      <c r="BH237" s="260"/>
      <c r="BI237" s="507"/>
      <c r="BJ237" s="260"/>
      <c r="BK237" s="1551">
        <f>SUM(BK224:BK230)</f>
        <v>1</v>
      </c>
      <c r="BL237" s="1551">
        <f>SUM(BL224:BL230)</f>
        <v>8</v>
      </c>
      <c r="BM237" s="1551">
        <f>SUM(BM224:BM230)</f>
        <v>10</v>
      </c>
      <c r="BN237" s="1551">
        <f>SUM(BN224:BN230)</f>
        <v>13</v>
      </c>
      <c r="BO237" s="1552">
        <f t="shared" si="113"/>
        <v>32</v>
      </c>
      <c r="BP237" s="1553"/>
      <c r="BQ237" s="1553">
        <f>SUM(BQ224:BQ231)</f>
        <v>8</v>
      </c>
      <c r="BR237" s="1553">
        <f>SUM(BR224:BR231)</f>
        <v>11.25</v>
      </c>
      <c r="BS237" s="1553">
        <f>SUM(BS224:BS231)</f>
        <v>16.899999999999999</v>
      </c>
      <c r="BT237" s="1553">
        <f>SUM(BT224:BT230)</f>
        <v>21</v>
      </c>
      <c r="BU237" s="1552">
        <f t="shared" si="114"/>
        <v>57.15</v>
      </c>
      <c r="BV237" s="1553"/>
      <c r="BW237" s="1553">
        <f>SUM(BW224:BW235)</f>
        <v>29.25</v>
      </c>
      <c r="BX237" s="1553">
        <f>SUM(BX224:BX235)</f>
        <v>11</v>
      </c>
      <c r="BY237" s="1553">
        <f>SUM(BY224:BY235)</f>
        <v>21</v>
      </c>
      <c r="BZ237" s="1553">
        <f>SUM(BZ224:BZ235)</f>
        <v>24.75</v>
      </c>
      <c r="CA237" s="1552">
        <f>SUM(CA224:CA235)</f>
        <v>86</v>
      </c>
      <c r="CB237" s="1553"/>
      <c r="CC237" s="1553">
        <f>SUM(CC224:CC235)</f>
        <v>13.75</v>
      </c>
      <c r="CD237" s="1553">
        <f>SUM(CD224:CD235)</f>
        <v>31.25</v>
      </c>
      <c r="CE237" s="1553">
        <f>SUM(CE224:CE235)</f>
        <v>88</v>
      </c>
      <c r="CF237" s="1553">
        <f>SUM(CF224:CF235)</f>
        <v>96</v>
      </c>
      <c r="CG237" s="1552">
        <f>SUM(CG224:CG235)</f>
        <v>229</v>
      </c>
      <c r="CH237" s="1553"/>
      <c r="CI237" s="1553">
        <f>SUM(CI224:CI235)</f>
        <v>105</v>
      </c>
      <c r="CJ237" s="1553">
        <f>SUM(CJ224:CJ235)</f>
        <v>115</v>
      </c>
      <c r="CK237" s="1553">
        <f>SUM(CK224:CK235)</f>
        <v>0</v>
      </c>
      <c r="CL237" s="1553">
        <f>SUM(CL224:CL235)</f>
        <v>0</v>
      </c>
      <c r="CM237" s="1552">
        <f>SUM(CM224:CM235)</f>
        <v>220</v>
      </c>
      <c r="CN237" s="1553"/>
      <c r="CO237" s="1553">
        <f>SUM(CO224:CO230)</f>
        <v>0</v>
      </c>
      <c r="CP237" s="1553">
        <f>SUM(CP224:CP230)</f>
        <v>0</v>
      </c>
      <c r="CQ237" s="1553">
        <f>SUM(CQ224:CQ230)</f>
        <v>0</v>
      </c>
      <c r="CR237" s="1553">
        <f>SUM(CR224:CR230)</f>
        <v>0</v>
      </c>
      <c r="CS237" s="1552">
        <f>SUM(CO237:CR237)</f>
        <v>0</v>
      </c>
      <c r="CT237" s="1553"/>
      <c r="CU237" s="1553">
        <f>SUM(CU230:CU236)</f>
        <v>0</v>
      </c>
      <c r="CV237" s="1553">
        <f>SUM(CV230:CV236)</f>
        <v>32</v>
      </c>
      <c r="CW237" s="1553">
        <f>SUM(CW230:CW236)</f>
        <v>56</v>
      </c>
      <c r="CX237" s="1553">
        <f>SUM(CX230:CX236)</f>
        <v>82</v>
      </c>
      <c r="CY237" s="1552">
        <f>SUM(CU237:CX237)</f>
        <v>170</v>
      </c>
      <c r="CZ237" s="1553"/>
      <c r="DA237" s="1553">
        <f>SUM(DA230:DA236)</f>
        <v>58</v>
      </c>
      <c r="DB237" s="1553">
        <f>SUM(DB230:DB236)</f>
        <v>67</v>
      </c>
      <c r="DC237" s="1553">
        <f>SUM(DC230:DC236)</f>
        <v>0</v>
      </c>
      <c r="DD237" s="1553">
        <f>SUM(DD230:DD236)</f>
        <v>0</v>
      </c>
      <c r="DE237" s="1552">
        <f>SUM(DA237:DD237)</f>
        <v>125</v>
      </c>
      <c r="DF237" s="1553"/>
      <c r="DG237" s="1553">
        <f>SUM(DG224:DG230)</f>
        <v>0</v>
      </c>
      <c r="DH237" s="1553">
        <f>SUM(DH224:DH230)</f>
        <v>0</v>
      </c>
      <c r="DI237" s="1553">
        <f>SUM(DI224:DI230)</f>
        <v>0</v>
      </c>
      <c r="DJ237" s="1553">
        <f>SUM(DJ224:DJ230)</f>
        <v>0</v>
      </c>
      <c r="DK237" s="1552">
        <f>SUM(DG237:DJ237)</f>
        <v>0</v>
      </c>
      <c r="DL237" s="1553"/>
      <c r="DM237" s="1553">
        <f>SUM(DM224:DM230)</f>
        <v>0</v>
      </c>
      <c r="DN237" s="1553">
        <f>SUM(DN224:DN230)</f>
        <v>0</v>
      </c>
      <c r="DO237" s="1553">
        <f>SUM(DO224:DO230)</f>
        <v>0</v>
      </c>
      <c r="DP237" s="1553">
        <f>SUM(DP224:DP230)</f>
        <v>0</v>
      </c>
      <c r="DQ237" s="1552">
        <f>SUM(DM237:DP237)</f>
        <v>0</v>
      </c>
      <c r="DR237" s="1553"/>
      <c r="DS237" s="1553">
        <f>SUM(DS224:DS230)</f>
        <v>0</v>
      </c>
      <c r="DT237" s="1553">
        <f>SUM(DT224:DT230)</f>
        <v>0</v>
      </c>
      <c r="DU237" s="1553">
        <f>SUM(DU224:DU230)</f>
        <v>0</v>
      </c>
      <c r="DV237" s="1553">
        <f>SUM(DV224:DV230)</f>
        <v>0</v>
      </c>
      <c r="DW237" s="1552">
        <f>SUM(DS237:DV237)</f>
        <v>0</v>
      </c>
      <c r="DX237" s="500"/>
      <c r="DY237" s="500"/>
      <c r="DZ237" s="500"/>
      <c r="EA237" s="500"/>
      <c r="EB237" s="500"/>
      <c r="EC237" s="500"/>
      <c r="ED237" s="500"/>
      <c r="EE237" s="500"/>
      <c r="EF237" s="500"/>
      <c r="EG237" s="500"/>
      <c r="EH237" s="500"/>
      <c r="EI237" s="500"/>
    </row>
    <row r="238" spans="1:139">
      <c r="A238" s="316"/>
      <c r="B238" s="260"/>
      <c r="C238" s="260"/>
      <c r="D238" s="260"/>
      <c r="E238" s="260"/>
      <c r="F238" s="260"/>
      <c r="G238" s="316"/>
      <c r="H238" s="260"/>
      <c r="I238" s="260"/>
      <c r="J238" s="260"/>
      <c r="K238" s="260"/>
      <c r="L238" s="260"/>
      <c r="M238" s="316"/>
      <c r="N238" s="260"/>
      <c r="O238" s="260"/>
      <c r="P238" s="260"/>
      <c r="Q238" s="260"/>
      <c r="R238" s="260"/>
      <c r="S238" s="316"/>
      <c r="T238" s="260"/>
      <c r="U238" s="260"/>
      <c r="V238" s="260"/>
      <c r="W238" s="260"/>
      <c r="X238" s="260"/>
      <c r="Y238" s="316"/>
      <c r="Z238" s="260"/>
      <c r="AA238" s="260"/>
      <c r="AB238" s="260"/>
      <c r="AC238" s="260"/>
      <c r="AD238" s="260"/>
      <c r="AE238" s="316"/>
      <c r="AF238" s="260"/>
      <c r="AG238" s="260"/>
      <c r="AH238" s="260"/>
      <c r="AI238" s="260"/>
      <c r="AJ238" s="260"/>
      <c r="AK238" s="316"/>
      <c r="AL238" s="260"/>
      <c r="AM238" s="260"/>
      <c r="AN238" s="1546"/>
      <c r="AO238" s="260"/>
      <c r="AP238" s="260"/>
      <c r="AQ238" s="507"/>
      <c r="AR238" s="260"/>
      <c r="AS238" s="260"/>
      <c r="AT238" s="260"/>
      <c r="AU238" s="260"/>
      <c r="AV238" s="260"/>
      <c r="AW238" s="507"/>
      <c r="AX238" s="260"/>
      <c r="AY238" s="260"/>
      <c r="AZ238" s="260"/>
      <c r="BA238" s="260"/>
      <c r="BB238" s="260"/>
      <c r="BC238" s="507"/>
      <c r="BD238" s="260"/>
      <c r="BE238" s="260"/>
      <c r="BF238" s="260"/>
      <c r="BG238" s="260"/>
      <c r="BH238" s="260"/>
      <c r="BI238" s="507"/>
      <c r="BJ238" s="260"/>
      <c r="BK238" s="1554"/>
      <c r="BL238" s="1554"/>
      <c r="BM238" s="1554"/>
      <c r="BN238" s="1554"/>
      <c r="BO238" s="1555"/>
      <c r="BP238" s="1554"/>
      <c r="BQ238" s="1554"/>
      <c r="BR238" s="1554"/>
      <c r="BS238" s="1554"/>
      <c r="BT238" s="1554"/>
      <c r="BU238" s="1555"/>
      <c r="BV238" s="1554"/>
      <c r="BW238" s="1554"/>
      <c r="BX238" s="1554"/>
      <c r="BY238" s="1554"/>
      <c r="BZ238" s="1554"/>
      <c r="CA238" s="1555"/>
      <c r="CB238" s="1554"/>
      <c r="CC238" s="1554"/>
      <c r="CD238" s="1554"/>
      <c r="CE238" s="1554"/>
      <c r="CF238" s="1554"/>
      <c r="CG238" s="1555"/>
      <c r="CH238" s="1554"/>
      <c r="CI238" s="1554"/>
      <c r="CJ238" s="1554"/>
      <c r="CK238" s="1554"/>
      <c r="CL238" s="1554"/>
      <c r="CM238" s="1555"/>
      <c r="CN238" s="1554"/>
      <c r="CO238" s="1554"/>
      <c r="CP238" s="1554"/>
      <c r="CQ238" s="1554"/>
      <c r="CR238" s="1554"/>
      <c r="CS238" s="1555"/>
      <c r="CT238" s="1554"/>
      <c r="CU238" s="1554"/>
      <c r="CV238" s="1554"/>
      <c r="CW238" s="1554"/>
      <c r="CX238" s="1554"/>
      <c r="CY238" s="1555"/>
      <c r="CZ238" s="1554"/>
      <c r="DA238" s="1554"/>
      <c r="DB238" s="1554"/>
      <c r="DC238" s="1554"/>
      <c r="DD238" s="1554"/>
      <c r="DE238" s="1555"/>
      <c r="DF238" s="1554"/>
      <c r="DG238" s="1554"/>
      <c r="DH238" s="1554"/>
      <c r="DI238" s="1554"/>
      <c r="DJ238" s="1554"/>
      <c r="DK238" s="1555"/>
      <c r="DL238" s="1554"/>
      <c r="DM238" s="1554"/>
      <c r="DN238" s="1554"/>
      <c r="DO238" s="1554"/>
      <c r="DP238" s="1554"/>
      <c r="DQ238" s="1555"/>
      <c r="DR238" s="1554"/>
      <c r="DS238" s="1554"/>
      <c r="DT238" s="1554"/>
      <c r="DU238" s="1554"/>
      <c r="DV238" s="1554"/>
      <c r="DW238" s="1555"/>
      <c r="DX238" s="500"/>
      <c r="DY238" s="500"/>
      <c r="DZ238" s="500"/>
      <c r="EA238" s="500"/>
      <c r="EB238" s="500"/>
      <c r="EC238" s="500"/>
      <c r="ED238" s="500"/>
      <c r="EE238" s="500"/>
      <c r="EF238" s="500"/>
      <c r="EG238" s="500"/>
      <c r="EH238" s="500"/>
      <c r="EI238" s="500"/>
    </row>
    <row r="239" spans="1:139">
      <c r="A239" s="305" t="s">
        <v>739</v>
      </c>
      <c r="B239" s="260"/>
      <c r="C239" s="260"/>
      <c r="D239" s="260"/>
      <c r="E239" s="260"/>
      <c r="F239" s="260"/>
      <c r="G239" s="316"/>
      <c r="H239" s="260"/>
      <c r="I239" s="260"/>
      <c r="J239" s="260"/>
      <c r="K239" s="260"/>
      <c r="L239" s="260"/>
      <c r="M239" s="316"/>
      <c r="N239" s="260"/>
      <c r="O239" s="260"/>
      <c r="P239" s="260"/>
      <c r="Q239" s="260"/>
      <c r="R239" s="260"/>
      <c r="S239" s="316"/>
      <c r="T239" s="260"/>
      <c r="U239" s="260"/>
      <c r="V239" s="260"/>
      <c r="W239" s="260"/>
      <c r="X239" s="260"/>
      <c r="Y239" s="316"/>
      <c r="Z239" s="260"/>
      <c r="AA239" s="260"/>
      <c r="AB239" s="260"/>
      <c r="AC239" s="260"/>
      <c r="AD239" s="260"/>
      <c r="AE239" s="316"/>
      <c r="AF239" s="260"/>
      <c r="AG239" s="260"/>
      <c r="AH239" s="260"/>
      <c r="AI239" s="260"/>
      <c r="AJ239" s="260"/>
      <c r="AK239" s="316"/>
      <c r="AL239" s="260"/>
      <c r="AM239" s="260"/>
      <c r="AN239" s="1546"/>
      <c r="AO239" s="260"/>
      <c r="AP239" s="260"/>
      <c r="AQ239" s="507"/>
      <c r="AR239" s="260"/>
      <c r="AS239" s="260"/>
      <c r="AT239" s="260"/>
      <c r="AU239" s="260"/>
      <c r="AV239" s="260"/>
      <c r="AW239" s="507"/>
      <c r="AX239" s="260"/>
      <c r="AY239" s="260"/>
      <c r="AZ239" s="260"/>
      <c r="BA239" s="260"/>
      <c r="BB239" s="260"/>
      <c r="BC239" s="507"/>
      <c r="BD239" s="260"/>
      <c r="BE239" s="260"/>
      <c r="BF239" s="260"/>
      <c r="BG239" s="260"/>
      <c r="BH239" s="1547">
        <f>BH168</f>
        <v>0.2226166591270895</v>
      </c>
      <c r="BI239" s="507"/>
      <c r="BJ239" s="260"/>
      <c r="BK239" s="1547">
        <f>BK168</f>
        <v>0.23576038619459272</v>
      </c>
      <c r="BL239" s="1547">
        <f>BL168</f>
        <v>0.24777179088846779</v>
      </c>
      <c r="BM239" s="1547">
        <f>BM168</f>
        <v>0.29810406324024585</v>
      </c>
      <c r="BN239" s="1547">
        <f>BN168</f>
        <v>0.29040613022491235</v>
      </c>
      <c r="BO239" s="1548">
        <f>BO168</f>
        <v>0.26927127574424592</v>
      </c>
      <c r="BP239" s="1549"/>
      <c r="BQ239" s="1547">
        <f>BQ168</f>
        <v>0.3384994679058313</v>
      </c>
      <c r="BR239" s="1547">
        <f>BR168</f>
        <v>0.38448469972513255</v>
      </c>
      <c r="BS239" s="1547">
        <f>BS168</f>
        <v>0.36163528608417406</v>
      </c>
      <c r="BT239" s="1547">
        <f>BT168</f>
        <v>0.38314432865582337</v>
      </c>
      <c r="BU239" s="1556">
        <f>BU168</f>
        <v>0.36774223526209959</v>
      </c>
      <c r="BV239" s="1549"/>
      <c r="BW239" s="1547">
        <f>BW168</f>
        <v>0.37889896979165827</v>
      </c>
      <c r="BX239" s="1547">
        <f>BX168</f>
        <v>0.34001157504917567</v>
      </c>
      <c r="BY239" s="1547">
        <f>BY168</f>
        <v>0.34939581693081845</v>
      </c>
      <c r="BZ239" s="1547">
        <f>BZ168</f>
        <v>0.3208796147570947</v>
      </c>
      <c r="CA239" s="1548">
        <f>CA168</f>
        <v>0.34575006209908588</v>
      </c>
      <c r="CB239" s="1549"/>
      <c r="CC239" s="1547">
        <f>CC168</f>
        <v>0.28350158957937621</v>
      </c>
      <c r="CD239" s="1547">
        <f>CD168</f>
        <v>0.30813272484483689</v>
      </c>
      <c r="CE239" s="1547">
        <f>CE168</f>
        <v>0.36483603459166569</v>
      </c>
      <c r="CF239" s="1547">
        <f>CF168</f>
        <v>0.37207148599285222</v>
      </c>
      <c r="CG239" s="1548">
        <f>CG168</f>
        <v>0.33466975062250137</v>
      </c>
      <c r="CH239" s="1549"/>
      <c r="CI239" s="1547">
        <f>CI168</f>
        <v>0.3743296517157666</v>
      </c>
      <c r="CJ239" s="1547">
        <f>CJ168</f>
        <v>0.37766091940812485</v>
      </c>
      <c r="CK239" s="1547">
        <f>CK168</f>
        <v>0.28588408916446872</v>
      </c>
      <c r="CL239" s="1547">
        <f>CL168</f>
        <v>0.26139977402156056</v>
      </c>
      <c r="CM239" s="1548">
        <f>CM168</f>
        <v>0.31996611154548393</v>
      </c>
      <c r="CN239" s="1549"/>
      <c r="CO239" s="1547">
        <f>CO168</f>
        <v>0.23182384338736139</v>
      </c>
      <c r="CP239" s="1547">
        <f>CP168</f>
        <v>0.2397578857397249</v>
      </c>
      <c r="CQ239" s="1547">
        <f>CQ168</f>
        <v>0.23727880143532909</v>
      </c>
      <c r="CR239" s="1557">
        <f>CR168</f>
        <v>0.25251833023214609</v>
      </c>
      <c r="CS239" s="1548">
        <f>CS168</f>
        <v>0.24073867990574627</v>
      </c>
      <c r="CT239" s="1549"/>
      <c r="CU239" s="1547">
        <f>CU168</f>
        <v>0.26829331238704923</v>
      </c>
      <c r="CV239" s="1547">
        <f>CV168</f>
        <v>0.24587871417350393</v>
      </c>
      <c r="CW239" s="1547">
        <f>CW168</f>
        <v>0.25281328436821493</v>
      </c>
      <c r="CX239" s="1547">
        <f>CX168</f>
        <v>0.26781835726578662</v>
      </c>
      <c r="CY239" s="1556">
        <f>CY168</f>
        <v>0.25869388362398937</v>
      </c>
      <c r="CZ239" s="1549"/>
      <c r="DA239" s="1547">
        <f>DA168</f>
        <v>0.24573477136370947</v>
      </c>
      <c r="DB239" s="1547">
        <f>DB168</f>
        <v>0.25776606118575018</v>
      </c>
      <c r="DC239" s="1547">
        <f>DC168</f>
        <v>0.24947418726906068</v>
      </c>
      <c r="DD239" s="1547">
        <f>DD168</f>
        <v>0.242815132424407</v>
      </c>
      <c r="DE239" s="1908">
        <f>DE168</f>
        <v>0.24881219983260205</v>
      </c>
      <c r="DF239" s="1549"/>
      <c r="DG239" s="1547">
        <f>DG168</f>
        <v>0.23314102844758078</v>
      </c>
      <c r="DH239" s="1547">
        <f>DH168</f>
        <v>0.21673156062485521</v>
      </c>
      <c r="DI239" s="1547">
        <f>DI168</f>
        <v>0.20733629117080232</v>
      </c>
      <c r="DJ239" s="1547">
        <f>DJ168</f>
        <v>0.19718486450946715</v>
      </c>
      <c r="DK239" s="1548">
        <f>DK168</f>
        <v>0.2127500177812629</v>
      </c>
      <c r="DL239" s="1549"/>
      <c r="DM239" s="1547">
        <f>DM168</f>
        <v>0.20207541853607958</v>
      </c>
      <c r="DN239" s="1547">
        <f>DN168</f>
        <v>0.20299602074179024</v>
      </c>
      <c r="DO239" s="1547">
        <f>DO168</f>
        <v>0.20305768333069318</v>
      </c>
      <c r="DP239" s="1547">
        <f>DP168</f>
        <v>0.19588384562318462</v>
      </c>
      <c r="DQ239" s="1548">
        <f>DQ168</f>
        <v>0.20088848050592767</v>
      </c>
      <c r="DR239" s="1549"/>
      <c r="DS239" s="1547">
        <f>DS168</f>
        <v>0.19692078603125918</v>
      </c>
      <c r="DT239" s="1547">
        <f>DT168</f>
        <v>0.19418778795264946</v>
      </c>
      <c r="DU239" s="1547">
        <f>DU168</f>
        <v>0.19295287657664995</v>
      </c>
      <c r="DV239" s="1547">
        <f>DV168</f>
        <v>0.19213755742988692</v>
      </c>
      <c r="DW239" s="1548">
        <f>DW168</f>
        <v>0.19395828741640364</v>
      </c>
      <c r="DX239" s="500"/>
      <c r="DY239" s="500"/>
      <c r="DZ239" s="500"/>
      <c r="EA239" s="500"/>
      <c r="EB239" s="500"/>
      <c r="EC239" s="500"/>
      <c r="ED239" s="500"/>
      <c r="EE239" s="500"/>
      <c r="EF239" s="500"/>
      <c r="EG239" s="500"/>
      <c r="EH239" s="500"/>
      <c r="EI239" s="500"/>
    </row>
    <row r="240" spans="1:139">
      <c r="A240" s="305" t="s">
        <v>742</v>
      </c>
      <c r="B240" s="260"/>
      <c r="C240" s="260"/>
      <c r="D240" s="260"/>
      <c r="E240" s="260"/>
      <c r="F240" s="260"/>
      <c r="G240" s="316"/>
      <c r="H240" s="260"/>
      <c r="I240" s="260"/>
      <c r="J240" s="260"/>
      <c r="K240" s="260"/>
      <c r="L240" s="260"/>
      <c r="M240" s="316"/>
      <c r="N240" s="260"/>
      <c r="O240" s="260"/>
      <c r="P240" s="260"/>
      <c r="Q240" s="260"/>
      <c r="R240" s="260"/>
      <c r="S240" s="316"/>
      <c r="T240" s="260"/>
      <c r="U240" s="260"/>
      <c r="V240" s="260"/>
      <c r="W240" s="260"/>
      <c r="X240" s="260"/>
      <c r="Y240" s="316"/>
      <c r="Z240" s="260"/>
      <c r="AA240" s="260"/>
      <c r="AB240" s="260"/>
      <c r="AC240" s="260"/>
      <c r="AD240" s="260"/>
      <c r="AE240" s="316"/>
      <c r="AF240" s="260"/>
      <c r="AG240" s="260"/>
      <c r="AH240" s="260"/>
      <c r="AI240" s="260"/>
      <c r="AJ240" s="260"/>
      <c r="AK240" s="316"/>
      <c r="AL240" s="260"/>
      <c r="AM240" s="260"/>
      <c r="AN240" s="1546"/>
      <c r="AO240" s="260"/>
      <c r="AP240" s="260"/>
      <c r="AQ240" s="507"/>
      <c r="AR240" s="260"/>
      <c r="AS240" s="260"/>
      <c r="AT240" s="260"/>
      <c r="AU240" s="260"/>
      <c r="AV240" s="260"/>
      <c r="AW240" s="507"/>
      <c r="AX240" s="260"/>
      <c r="AY240" s="260"/>
      <c r="AZ240" s="260"/>
      <c r="BA240" s="260"/>
      <c r="BB240" s="260"/>
      <c r="BC240" s="507"/>
      <c r="BD240" s="260"/>
      <c r="BE240" s="260"/>
      <c r="BF240" s="260"/>
      <c r="BG240" s="260"/>
      <c r="BH240" s="1547">
        <f>(BH167-BH244)/BB167-1</f>
        <v>0.20261665912708948</v>
      </c>
      <c r="BI240" s="507"/>
      <c r="BJ240" s="260"/>
      <c r="BK240" s="1547">
        <f>(BK167-BK244)/BE167-1</f>
        <v>0.22133056105783755</v>
      </c>
      <c r="BL240" s="1547">
        <f>(BL167-BL244)/BF167-1</f>
        <v>0.26390791650978795</v>
      </c>
      <c r="BM240" s="1547">
        <f>(BM167-BM244)/BG167-1</f>
        <v>0.30929756253989571</v>
      </c>
      <c r="BN240" s="1547">
        <f>(BN167-BN244)/BH167-1</f>
        <v>0.29944442718380793</v>
      </c>
      <c r="BO240" s="1548">
        <f>(BO167-BO244)/BI167-1</f>
        <v>0.27509242997189731</v>
      </c>
      <c r="BP240" s="1549"/>
      <c r="BQ240" s="1557">
        <f>(BQ167-BQ244)/BK167-1</f>
        <v>0.31833031238306542</v>
      </c>
      <c r="BR240" s="1547">
        <f>(BR167-BR244)/BL167-1</f>
        <v>0.33833537877942632</v>
      </c>
      <c r="BS240" s="1547">
        <f>(BS167-BS244)/BM167-1</f>
        <v>0.33996135981747311</v>
      </c>
      <c r="BT240" s="1547">
        <f>(BT167-BT244)/BN167-1</f>
        <v>0.37876668702270044</v>
      </c>
      <c r="BU240" s="1556">
        <f>(BU167-BU244)/BO167-1</f>
        <v>0.34535425211765602</v>
      </c>
      <c r="BV240" s="1549"/>
      <c r="BW240" s="1547">
        <f>(BW167-BW244)/BQ167-1</f>
        <v>0.3911916790254657</v>
      </c>
      <c r="BX240" s="1547">
        <f>(BX167-BX244)/BR167-1</f>
        <v>0.37151329116010579</v>
      </c>
      <c r="BY240" s="1547">
        <f>(BY167-BY244)/BS167-1</f>
        <v>0.37370006503953723</v>
      </c>
      <c r="BZ240" s="1547">
        <f>(BZ167-BZ244)/BT167-1</f>
        <v>0.33069109196993907</v>
      </c>
      <c r="CA240" s="1548">
        <f>(CA167-CA244)/BU167-1</f>
        <v>0.36507467994153209</v>
      </c>
      <c r="CB240" s="1549"/>
      <c r="CC240" s="1547">
        <f>(CC167-CC244)/BW167-1</f>
        <v>0.29788041704351187</v>
      </c>
      <c r="CD240" s="1547">
        <f>(CD167-CD244)/BX167-1</f>
        <v>0.31770015403561014</v>
      </c>
      <c r="CE240" s="1547">
        <f>(CE167-CE244)/BY167-1</f>
        <v>0.37783603459166581</v>
      </c>
      <c r="CF240" s="1547">
        <f>(CF167-CF244)/BZ167-1</f>
        <v>0.37566567347285962</v>
      </c>
      <c r="CG240" s="1548">
        <f>(CG167-CG244)/CA167-1</f>
        <v>0.34458687854383085</v>
      </c>
      <c r="CH240" s="1549"/>
      <c r="CI240" s="1547">
        <f>(CI167-CI244)/CC167-1</f>
        <v>0.36760796430335851</v>
      </c>
      <c r="CJ240" s="1547">
        <f>(CJ167-CJ244)/CD167-1</f>
        <v>0.36825745433572865</v>
      </c>
      <c r="CK240" s="1547">
        <f>(CK167-CK244)/CE167-1</f>
        <v>0.29703615313270748</v>
      </c>
      <c r="CL240" s="1547">
        <f>(CL167-CL244)/CF167-1</f>
        <v>0.2910878224864264</v>
      </c>
      <c r="CM240" s="1548">
        <f>(CM167-CM244)/CG167-1</f>
        <v>0.32758094258343684</v>
      </c>
      <c r="CN240" s="1549"/>
      <c r="CO240" s="1547">
        <f>(CO167-CO244)/CI167-1</f>
        <v>0.27421150792486304</v>
      </c>
      <c r="CP240" s="1547">
        <f>(CP167-CP244)/CJ167-1</f>
        <v>0.27767829989132009</v>
      </c>
      <c r="CQ240" s="1547">
        <f>(CQ167-CQ244)/CK167-1</f>
        <v>0.26618774188652528</v>
      </c>
      <c r="CR240" s="1557">
        <f>(CR167-CR244)/CL167-1</f>
        <v>0.27466966817295768</v>
      </c>
      <c r="CS240" s="1548">
        <f>(CS167-CS244)/CM167-1</f>
        <v>0.27311929128890844</v>
      </c>
      <c r="CT240" s="1549"/>
      <c r="CU240" s="1547">
        <f>(CU167-CU244)/CO167-1</f>
        <v>0.28152811701155467</v>
      </c>
      <c r="CV240" s="1547">
        <f>(CV167-CV244)/CP167-1</f>
        <v>0.26117218985443058</v>
      </c>
      <c r="CW240" s="1547">
        <f>(CW167-CW244)/CQ167-1</f>
        <v>0.27150523345368227</v>
      </c>
      <c r="CX240" s="1547">
        <f>(CX167-CX244)/CR167-1</f>
        <v>0.28439845738748448</v>
      </c>
      <c r="CY240" s="1556">
        <f>(CY167-CY244)/CS167-1</f>
        <v>0.27474256121295615</v>
      </c>
      <c r="CZ240" s="1549"/>
      <c r="DA240" s="1547">
        <f>(DA167-DA244)/CU167-1</f>
        <v>0.25147409244376617</v>
      </c>
      <c r="DB240" s="1547">
        <f>(DB167-DB244)/CV167-1</f>
        <v>0.25432899051270286</v>
      </c>
      <c r="DC240" s="1547">
        <f>(DC167-DC244)/CW167-1</f>
        <v>0.23129046170344192</v>
      </c>
      <c r="DD240" s="1547">
        <f>(DD167-DD244)/CX167-1</f>
        <v>0.21491611987508241</v>
      </c>
      <c r="DE240" s="1908">
        <f>(DE167-DE244)/CY167-1</f>
        <v>0.23701522786506724</v>
      </c>
      <c r="DF240" s="1549"/>
      <c r="DG240" s="1547">
        <f>(DG167-DG244)/DA167-1</f>
        <v>0.23314102844758078</v>
      </c>
      <c r="DH240" s="1547">
        <f>(DH167-DH244)/DB167-1</f>
        <v>0.21673156062485521</v>
      </c>
      <c r="DI240" s="1547">
        <f>(DI167-DI244)/DC167-1</f>
        <v>0.20733629117080232</v>
      </c>
      <c r="DJ240" s="1547">
        <f>(DJ167-DJ244)/DD167-1</f>
        <v>0.19718486450946715</v>
      </c>
      <c r="DK240" s="1548">
        <f>(DK167-DK244)/DE167-1</f>
        <v>0.2127500177812629</v>
      </c>
      <c r="DL240" s="1549"/>
      <c r="DM240" s="1547">
        <f>(DM167-DM244)/DG167-1</f>
        <v>0.20207541853607958</v>
      </c>
      <c r="DN240" s="1547">
        <f>(DN167-DN244)/DH167-1</f>
        <v>0.20299602074179024</v>
      </c>
      <c r="DO240" s="1547">
        <f>(DO167-DO244)/DI167-1</f>
        <v>0.20305768333069318</v>
      </c>
      <c r="DP240" s="1547">
        <f>(DP167-DP244)/DJ167-1</f>
        <v>0.19588384562318462</v>
      </c>
      <c r="DQ240" s="1548">
        <f>(DQ167-DQ244)/DK167-1</f>
        <v>0.20088848050592767</v>
      </c>
      <c r="DR240" s="1549"/>
      <c r="DS240" s="1547">
        <f>(DS167-DS244)/DM167-1</f>
        <v>0.19692078603125918</v>
      </c>
      <c r="DT240" s="1547">
        <f>(DT167-DT244)/DN167-1</f>
        <v>0.19418778795264946</v>
      </c>
      <c r="DU240" s="1547">
        <f>(DU167-DU244)/DO167-1</f>
        <v>0.19295287657664995</v>
      </c>
      <c r="DV240" s="1547">
        <f>(DV167-DV244)/DP167-1</f>
        <v>0.19213755742988692</v>
      </c>
      <c r="DW240" s="1548">
        <f>(DW167-DW244)/DQ167-1</f>
        <v>0.19395828741640364</v>
      </c>
      <c r="DX240" s="500"/>
      <c r="DY240" s="500"/>
      <c r="DZ240" s="500"/>
      <c r="EA240" s="500"/>
      <c r="EB240" s="500"/>
      <c r="EC240" s="500"/>
      <c r="ED240" s="500"/>
      <c r="EE240" s="500"/>
      <c r="EF240" s="500"/>
      <c r="EG240" s="500"/>
      <c r="EH240" s="500"/>
      <c r="EI240" s="500"/>
    </row>
    <row r="241" spans="1:157">
      <c r="A241" s="129" t="s">
        <v>740</v>
      </c>
      <c r="B241" s="130"/>
      <c r="C241" s="130"/>
      <c r="D241" s="130"/>
      <c r="E241" s="130"/>
      <c r="F241" s="130"/>
      <c r="G241" s="131"/>
      <c r="H241" s="130"/>
      <c r="I241" s="130"/>
      <c r="J241" s="130"/>
      <c r="K241" s="130"/>
      <c r="L241" s="130"/>
      <c r="M241" s="131"/>
      <c r="N241" s="130"/>
      <c r="O241" s="130"/>
      <c r="P241" s="130"/>
      <c r="Q241" s="130"/>
      <c r="R241" s="130"/>
      <c r="S241" s="131"/>
      <c r="T241" s="130"/>
      <c r="U241" s="130"/>
      <c r="V241" s="130"/>
      <c r="W241" s="130"/>
      <c r="X241" s="130"/>
      <c r="Y241" s="131"/>
      <c r="Z241" s="130"/>
      <c r="AA241" s="130"/>
      <c r="AB241" s="130"/>
      <c r="AC241" s="130"/>
      <c r="AD241" s="130"/>
      <c r="AE241" s="131"/>
      <c r="AF241" s="130"/>
      <c r="AG241" s="130"/>
      <c r="AH241" s="130"/>
      <c r="AI241" s="130"/>
      <c r="AJ241" s="130"/>
      <c r="AK241" s="131"/>
      <c r="AL241" s="130"/>
      <c r="AM241" s="130"/>
      <c r="AN241" s="132"/>
      <c r="AO241" s="130"/>
      <c r="AP241" s="130"/>
      <c r="AQ241" s="133"/>
      <c r="AR241" s="130"/>
      <c r="AS241" s="130"/>
      <c r="AT241" s="130"/>
      <c r="AU241" s="130"/>
      <c r="AV241" s="130"/>
      <c r="AW241" s="133"/>
      <c r="AX241" s="130"/>
      <c r="AY241" s="130"/>
      <c r="AZ241" s="130"/>
      <c r="BA241" s="130"/>
      <c r="BB241" s="130"/>
      <c r="BC241" s="133"/>
      <c r="BD241" s="130"/>
      <c r="BE241" s="130"/>
      <c r="BF241" s="130"/>
      <c r="BG241" s="130"/>
      <c r="BH241" s="140">
        <f>(BH167-BH237-BH244)/BB167-1</f>
        <v>0.20261665912708948</v>
      </c>
      <c r="BI241" s="133"/>
      <c r="BJ241" s="130"/>
      <c r="BK241" s="140">
        <f>(BK167-BK237-BK244)/BE167-1</f>
        <v>0.21805105534493863</v>
      </c>
      <c r="BL241" s="140">
        <f>(BL167-BL237-BL244)/BF167-1</f>
        <v>0.23859634690771747</v>
      </c>
      <c r="BM241" s="140">
        <f>(BM167-BM237-BM244)/BG167-1</f>
        <v>0.27904486173003096</v>
      </c>
      <c r="BN241" s="140">
        <f>(BN167-BN237-BN244)/BH167-1</f>
        <v>0.26272634578829468</v>
      </c>
      <c r="BO241" s="141">
        <f>(BO167-BO237-BO244)/BI167-1</f>
        <v>0.25058230690810146</v>
      </c>
      <c r="BP241" s="142"/>
      <c r="BQ241" s="143">
        <f>(BQ167-BQ237-BQ244)/BK167-1</f>
        <v>0.29709962235910137</v>
      </c>
      <c r="BR241" s="140">
        <f>(BR167-BR237-BR244)/BL167-1</f>
        <v>0.30980901281023976</v>
      </c>
      <c r="BS241" s="140">
        <f>(BS167-BS237-BS244)/BM167-1</f>
        <v>0.30057540778443559</v>
      </c>
      <c r="BT241" s="140">
        <f>(BT167-BT237-BT244)/BN167-1</f>
        <v>0.33280144987490901</v>
      </c>
      <c r="BU241" s="141">
        <f>(BU167-BU237-BU244)/BO167-1</f>
        <v>0.31086710288032582</v>
      </c>
      <c r="BV241" s="142"/>
      <c r="BW241" s="140">
        <f>(BW167-BW237-BW244)/BQ167-1</f>
        <v>0.33319784917242301</v>
      </c>
      <c r="BX241" s="140">
        <f>(BX167-BX237-BX244)/BR167-1</f>
        <v>0.35136684481009239</v>
      </c>
      <c r="BY241" s="140">
        <f>(BY167-BY237-BY244)/BS167-1</f>
        <v>0.33775716290692515</v>
      </c>
      <c r="BZ241" s="140">
        <f>(BZ167-BZ237-BZ244)/BT167-1</f>
        <v>0.29152430793479489</v>
      </c>
      <c r="CA241" s="141">
        <f>(CA167-CA237-CA244)/BU167-1</f>
        <v>0.32713136636960582</v>
      </c>
      <c r="CB241" s="142"/>
      <c r="CC241" s="140">
        <f>(CC167-CC237-CC244)/BW167-1</f>
        <v>0.27810952928032528</v>
      </c>
      <c r="CD241" s="140">
        <f>(CD167-CD237-CD244)/BX167-1</f>
        <v>0.27498841657680129</v>
      </c>
      <c r="CE241" s="140">
        <f>(CE167-CE237-CE244)/BY167-1</f>
        <v>0.26621728365622443</v>
      </c>
      <c r="CF241" s="140">
        <f>(CF167-CF237-CF244)/BZ167-1</f>
        <v>0.26065167411262502</v>
      </c>
      <c r="CG241" s="141">
        <f>(CG167-CG237-CG244)/CA167-1</f>
        <v>0.26950971134632384</v>
      </c>
      <c r="CH241" s="142"/>
      <c r="CI241" s="140">
        <f>(CI167-CI237-CI244)/CC167-1</f>
        <v>0.24997843458621838</v>
      </c>
      <c r="CJ241" s="140">
        <f>(CJ167-CJ237-CJ244)/CD167-1</f>
        <v>0.24810206729955464</v>
      </c>
      <c r="CK241" s="140">
        <f>(CK167-CK237-CK244)/CE167-1</f>
        <v>0.29703615313270748</v>
      </c>
      <c r="CL241" s="140">
        <f>(CL167-CL237-CL244)/CF167-1</f>
        <v>0.2910878224864264</v>
      </c>
      <c r="CM241" s="141">
        <f>(CM167-CM237-CM244)/CG167-1</f>
        <v>0.27354020618506047</v>
      </c>
      <c r="CN241" s="142"/>
      <c r="CO241" s="140">
        <f>(CO167-CO237-CO244)/CI167-1</f>
        <v>0.27421150792486304</v>
      </c>
      <c r="CP241" s="140">
        <f>(CP167-CP237-CP244)/CJ167-1</f>
        <v>0.27767829989132009</v>
      </c>
      <c r="CQ241" s="140">
        <f>(CQ167-CQ237-CQ244)/CK167-1</f>
        <v>0.26618774188652528</v>
      </c>
      <c r="CR241" s="140">
        <f>(CR167-CR237-CR244)/CL167-1</f>
        <v>0.27466966817295768</v>
      </c>
      <c r="CS241" s="141">
        <f>(CS167-CS237-CS244)/CM167-1</f>
        <v>0.27311929128890844</v>
      </c>
      <c r="CT241" s="142"/>
      <c r="CU241" s="140">
        <f>(CU167-CU237-CU244)/CO167-1</f>
        <v>0.28152811701155467</v>
      </c>
      <c r="CV241" s="140">
        <f>(CV167-CV237-CV244)/CP167-1</f>
        <v>0.24159654098284444</v>
      </c>
      <c r="CW241" s="140">
        <f>(CW167-CW237-CW244)/CQ167-1</f>
        <v>0.2387943225541147</v>
      </c>
      <c r="CX241" s="140">
        <f>(CX167-CX237-CX244)/CR167-1</f>
        <v>0.23907951705484343</v>
      </c>
      <c r="CY241" s="141">
        <f>(CY167-CY237-CY244)/CS167-1</f>
        <v>0.24924466223983144</v>
      </c>
      <c r="CZ241" s="142"/>
      <c r="DA241" s="140">
        <f>(DA167-DA237-DA244)/CU167-1</f>
        <v>0.22121221765801247</v>
      </c>
      <c r="DB241" s="140">
        <f>(DB167-DB237-DB244)/CV167-1</f>
        <v>0.22143131407067984</v>
      </c>
      <c r="DC241" s="140">
        <f>(DC167-DC237-DC244)/CW167-1</f>
        <v>0.23129046170344192</v>
      </c>
      <c r="DD241" s="140">
        <f>(DD167-DD237-DD244)/CX167-1</f>
        <v>0.21491611987508241</v>
      </c>
      <c r="DE241" s="1909">
        <f>(DE167-DE237-DE244)/CY167-1</f>
        <v>0.2221200612393921</v>
      </c>
      <c r="DF241" s="142"/>
      <c r="DG241" s="140">
        <f>(DG167-DG237-DG244)/DA167-1</f>
        <v>0.23314102844758078</v>
      </c>
      <c r="DH241" s="140">
        <f>(DH167-DH237-DH244)/DB167-1</f>
        <v>0.21673156062485521</v>
      </c>
      <c r="DI241" s="140">
        <f>(DI167-DI237-DI244)/DC167-1</f>
        <v>0.20733629117080232</v>
      </c>
      <c r="DJ241" s="140">
        <f>(DJ167-DJ237-DJ244)/DD167-1</f>
        <v>0.19718486450946715</v>
      </c>
      <c r="DK241" s="141">
        <f>(DK167-DK237-DK244)/DE167-1</f>
        <v>0.2127500177812629</v>
      </c>
      <c r="DL241" s="142"/>
      <c r="DM241" s="140">
        <f>(DM167-DM237-DM244)/DG167-1</f>
        <v>0.20207541853607958</v>
      </c>
      <c r="DN241" s="140">
        <f>(DN167-DN237-DN244)/DH167-1</f>
        <v>0.20299602074179024</v>
      </c>
      <c r="DO241" s="140">
        <f>(DO167-DO237-DO244)/DI167-1</f>
        <v>0.20305768333069318</v>
      </c>
      <c r="DP241" s="140">
        <f>(DP167-DP237-DP244)/DJ167-1</f>
        <v>0.19588384562318462</v>
      </c>
      <c r="DQ241" s="141">
        <f>(DQ167-DQ237-DQ244)/DK167-1</f>
        <v>0.20088848050592767</v>
      </c>
      <c r="DR241" s="142"/>
      <c r="DS241" s="140">
        <f>(DS167-DS237-DS244)/DM167-1</f>
        <v>0.19692078603125918</v>
      </c>
      <c r="DT241" s="140">
        <f>(DT167-DT237-DT244)/DN167-1</f>
        <v>0.19418778795264946</v>
      </c>
      <c r="DU241" s="140">
        <f>(DU167-DU237-DU244)/DO167-1</f>
        <v>0.19295287657664995</v>
      </c>
      <c r="DV241" s="140">
        <f>(DV167-DV237-DV244)/DP167-1</f>
        <v>0.19213755742988692</v>
      </c>
      <c r="DW241" s="141">
        <f>(DW167-DW237-DW244)/DQ167-1</f>
        <v>0.19395828741640364</v>
      </c>
      <c r="DX241" s="500"/>
      <c r="DY241" s="500"/>
      <c r="DZ241" s="500"/>
      <c r="EA241" s="500"/>
      <c r="EB241" s="500"/>
      <c r="EC241" s="500"/>
      <c r="ED241" s="500"/>
      <c r="EE241" s="500"/>
      <c r="EF241" s="500"/>
      <c r="EG241" s="500"/>
      <c r="EH241" s="500"/>
      <c r="EI241" s="500"/>
    </row>
    <row r="242" spans="1:157">
      <c r="A242" s="260"/>
      <c r="B242" s="260"/>
      <c r="C242" s="260"/>
      <c r="D242" s="260"/>
      <c r="E242" s="260"/>
      <c r="F242" s="260"/>
      <c r="G242" s="316"/>
      <c r="H242" s="260"/>
      <c r="I242" s="260"/>
      <c r="J242" s="260"/>
      <c r="K242" s="260"/>
      <c r="L242" s="260"/>
      <c r="M242" s="316"/>
      <c r="N242" s="260"/>
      <c r="O242" s="260"/>
      <c r="P242" s="260"/>
      <c r="Q242" s="260"/>
      <c r="R242" s="260"/>
      <c r="S242" s="316"/>
      <c r="T242" s="260"/>
      <c r="U242" s="260"/>
      <c r="V242" s="260"/>
      <c r="W242" s="260"/>
      <c r="X242" s="260"/>
      <c r="Y242" s="316"/>
      <c r="Z242" s="260"/>
      <c r="AA242" s="260"/>
      <c r="AB242" s="260"/>
      <c r="AC242" s="260"/>
      <c r="AD242" s="260"/>
      <c r="AE242" s="316"/>
      <c r="AF242" s="260"/>
      <c r="AG242" s="260"/>
      <c r="AH242" s="260"/>
      <c r="AI242" s="260"/>
      <c r="AJ242" s="260"/>
      <c r="AK242" s="316"/>
      <c r="AL242" s="260"/>
      <c r="AM242" s="260"/>
      <c r="AN242" s="1546"/>
      <c r="AO242" s="260"/>
      <c r="AP242" s="260"/>
      <c r="AQ242" s="507"/>
      <c r="AR242" s="260"/>
      <c r="AS242" s="260"/>
      <c r="AT242" s="260"/>
      <c r="AU242" s="260"/>
      <c r="AV242" s="260"/>
      <c r="AW242" s="507"/>
      <c r="AX242" s="260"/>
      <c r="AY242" s="260"/>
      <c r="AZ242" s="260"/>
      <c r="BA242" s="260"/>
      <c r="BB242" s="260"/>
      <c r="BC242" s="507"/>
      <c r="BD242" s="260"/>
      <c r="BE242" s="260"/>
      <c r="BF242" s="260"/>
      <c r="BG242" s="260"/>
      <c r="BH242" s="260"/>
      <c r="BI242" s="507"/>
      <c r="BJ242" s="260"/>
      <c r="BK242" s="260"/>
      <c r="BL242" s="260"/>
      <c r="BM242" s="260"/>
      <c r="BN242" s="260"/>
      <c r="BO242" s="262"/>
      <c r="BP242" s="260"/>
      <c r="BQ242" s="260"/>
      <c r="BR242" s="260"/>
      <c r="BS242" s="260"/>
      <c r="BT242" s="260"/>
      <c r="BU242" s="262"/>
      <c r="BV242" s="260"/>
      <c r="BW242" s="260"/>
      <c r="BX242" s="260"/>
      <c r="BY242" s="260"/>
      <c r="BZ242" s="260"/>
      <c r="CA242" s="262"/>
      <c r="CB242" s="260"/>
      <c r="CC242" s="260"/>
      <c r="CD242" s="260"/>
      <c r="CE242" s="260"/>
      <c r="CF242" s="260"/>
      <c r="CG242" s="262"/>
      <c r="CH242" s="260"/>
      <c r="CI242" s="260"/>
      <c r="CJ242" s="260"/>
      <c r="CK242" s="260"/>
      <c r="CL242" s="260"/>
      <c r="CM242" s="262"/>
      <c r="CN242" s="260"/>
      <c r="CO242" s="260"/>
      <c r="CP242" s="260"/>
      <c r="CQ242" s="260"/>
      <c r="CR242" s="260"/>
      <c r="CS242" s="262"/>
      <c r="CT242" s="260"/>
      <c r="CU242" s="260"/>
      <c r="CV242" s="260"/>
      <c r="CW242" s="260"/>
      <c r="CX242" s="260"/>
      <c r="CY242" s="262"/>
      <c r="CZ242" s="260"/>
      <c r="DA242" s="260"/>
      <c r="DB242" s="260"/>
      <c r="DC242" s="260"/>
      <c r="DD242" s="260"/>
      <c r="DE242" s="262"/>
      <c r="DF242" s="260"/>
      <c r="DG242" s="260"/>
      <c r="DH242" s="260"/>
      <c r="DI242" s="260"/>
      <c r="DJ242" s="260"/>
      <c r="DK242" s="262"/>
      <c r="DL242" s="260"/>
      <c r="DM242" s="260"/>
      <c r="DN242" s="260"/>
      <c r="DO242" s="260"/>
      <c r="DP242" s="260"/>
      <c r="DQ242" s="262"/>
      <c r="DR242" s="260"/>
      <c r="DS242" s="260"/>
      <c r="DT242" s="260"/>
      <c r="DU242" s="260"/>
      <c r="DV242" s="260"/>
      <c r="DW242" s="262"/>
      <c r="DX242" s="500"/>
      <c r="DY242" s="500"/>
      <c r="DZ242" s="500"/>
      <c r="EA242" s="500"/>
      <c r="EB242" s="500"/>
      <c r="EC242" s="500"/>
      <c r="ED242" s="500"/>
      <c r="EE242" s="500"/>
      <c r="EF242" s="500"/>
      <c r="EG242" s="500"/>
      <c r="EH242" s="500"/>
      <c r="EI242" s="500"/>
      <c r="EK242" s="655" t="s">
        <v>1204</v>
      </c>
      <c r="EL242" s="655" t="s">
        <v>1205</v>
      </c>
      <c r="EM242" s="655" t="s">
        <v>1206</v>
      </c>
      <c r="EN242" s="655" t="s">
        <v>1207</v>
      </c>
      <c r="EO242" s="655" t="s">
        <v>1208</v>
      </c>
      <c r="EP242" s="655" t="s">
        <v>1209</v>
      </c>
      <c r="EQ242" s="655" t="s">
        <v>1210</v>
      </c>
      <c r="ER242" s="655" t="s">
        <v>1211</v>
      </c>
      <c r="ES242" s="655" t="s">
        <v>1212</v>
      </c>
      <c r="ET242" s="655" t="s">
        <v>1213</v>
      </c>
      <c r="EU242" s="655" t="s">
        <v>1214</v>
      </c>
      <c r="EV242" s="655" t="s">
        <v>1215</v>
      </c>
      <c r="EW242" s="655" t="s">
        <v>1216</v>
      </c>
      <c r="EX242" s="655" t="s">
        <v>1217</v>
      </c>
      <c r="EY242" s="655" t="s">
        <v>1218</v>
      </c>
      <c r="EZ242" s="655" t="s">
        <v>1219</v>
      </c>
      <c r="FA242" s="655"/>
    </row>
    <row r="243" spans="1:157">
      <c r="A243" s="305" t="s">
        <v>1157</v>
      </c>
      <c r="B243" s="260"/>
      <c r="C243" s="260"/>
      <c r="D243" s="260"/>
      <c r="E243" s="260"/>
      <c r="F243" s="260"/>
      <c r="G243" s="316"/>
      <c r="H243" s="260"/>
      <c r="I243" s="260"/>
      <c r="J243" s="260"/>
      <c r="K243" s="260"/>
      <c r="L243" s="260"/>
      <c r="M243" s="316"/>
      <c r="N243" s="260"/>
      <c r="O243" s="260"/>
      <c r="P243" s="260"/>
      <c r="Q243" s="260"/>
      <c r="R243" s="260"/>
      <c r="S243" s="316"/>
      <c r="T243" s="260"/>
      <c r="U243" s="260"/>
      <c r="V243" s="260"/>
      <c r="W243" s="260"/>
      <c r="X243" s="260"/>
      <c r="Y243" s="316"/>
      <c r="Z243" s="260"/>
      <c r="AA243" s="260"/>
      <c r="AB243" s="260"/>
      <c r="AC243" s="260"/>
      <c r="AD243" s="260"/>
      <c r="AE243" s="316"/>
      <c r="AF243" s="260"/>
      <c r="AG243" s="260"/>
      <c r="AH243" s="260"/>
      <c r="AI243" s="260"/>
      <c r="AJ243" s="260"/>
      <c r="AK243" s="316"/>
      <c r="AL243" s="260"/>
      <c r="AM243" s="260"/>
      <c r="AN243" s="1546"/>
      <c r="AO243" s="260"/>
      <c r="AP243" s="260"/>
      <c r="AQ243" s="507"/>
      <c r="AR243" s="260"/>
      <c r="AS243" s="260"/>
      <c r="AT243" s="260"/>
      <c r="AU243" s="260"/>
      <c r="AV243" s="260"/>
      <c r="AW243" s="507"/>
      <c r="AX243" s="260"/>
      <c r="AY243" s="260"/>
      <c r="AZ243" s="260"/>
      <c r="BA243" s="260"/>
      <c r="BB243" s="260"/>
      <c r="BC243" s="507"/>
      <c r="BD243" s="260"/>
      <c r="BE243" s="260"/>
      <c r="BF243" s="260"/>
      <c r="BG243" s="260"/>
      <c r="BH243" s="733">
        <v>0</v>
      </c>
      <c r="BI243" s="507"/>
      <c r="BJ243" s="260"/>
      <c r="BK243" s="733">
        <v>-10</v>
      </c>
      <c r="BL243" s="733">
        <v>3</v>
      </c>
      <c r="BM243" s="733">
        <v>11</v>
      </c>
      <c r="BN243" s="733">
        <v>-3</v>
      </c>
      <c r="BO243" s="1558">
        <f>SUM(BK243:BN243)</f>
        <v>1</v>
      </c>
      <c r="BP243" s="260"/>
      <c r="BQ243" s="733">
        <v>15</v>
      </c>
      <c r="BR243" s="733">
        <v>-2</v>
      </c>
      <c r="BS243" s="733">
        <v>-1</v>
      </c>
      <c r="BT243" s="733">
        <v>-12</v>
      </c>
      <c r="BU243" s="1558">
        <f>SUM(BQ243:BT243)</f>
        <v>0</v>
      </c>
      <c r="BV243" s="260"/>
      <c r="BW243" s="733">
        <v>0</v>
      </c>
      <c r="BX243" s="733">
        <v>-14</v>
      </c>
      <c r="BY243" s="733">
        <v>11</v>
      </c>
      <c r="BZ243" s="733">
        <v>13</v>
      </c>
      <c r="CA243" s="1558">
        <f>SUM(BW243:BZ243)</f>
        <v>10</v>
      </c>
      <c r="CB243" s="260"/>
      <c r="CC243" s="733">
        <v>-16</v>
      </c>
      <c r="CD243" s="733">
        <v>4</v>
      </c>
      <c r="CE243" s="733">
        <v>12</v>
      </c>
      <c r="CF243" s="733">
        <v>-8</v>
      </c>
      <c r="CG243" s="1558">
        <f>SUM(CC243:CF243)</f>
        <v>-8</v>
      </c>
      <c r="CH243" s="260"/>
      <c r="CI243" s="733">
        <v>9</v>
      </c>
      <c r="CJ243" s="733">
        <v>-14</v>
      </c>
      <c r="CK243" s="733">
        <v>-30</v>
      </c>
      <c r="CL243" s="733">
        <v>-44</v>
      </c>
      <c r="CM243" s="1558">
        <f>SUM(CI243:CL243)</f>
        <v>-79</v>
      </c>
      <c r="CN243" s="260"/>
      <c r="CO243" s="733">
        <v>18</v>
      </c>
      <c r="CP243" s="733">
        <v>-12</v>
      </c>
      <c r="CQ243" s="733">
        <v>-7</v>
      </c>
      <c r="CR243" s="733">
        <v>-35</v>
      </c>
      <c r="CS243" s="1558">
        <f>SUM(CO243:CR243)</f>
        <v>-36</v>
      </c>
      <c r="CT243" s="260"/>
      <c r="CU243" s="1803">
        <v>51</v>
      </c>
      <c r="CV243" s="733">
        <v>-41</v>
      </c>
      <c r="CW243" s="733">
        <v>-33</v>
      </c>
      <c r="CX243" s="733">
        <v>23</v>
      </c>
      <c r="CY243" s="1558">
        <f>SUM(CU243:CX243)</f>
        <v>0</v>
      </c>
      <c r="CZ243" s="260"/>
      <c r="DA243" s="733">
        <v>41</v>
      </c>
      <c r="DB243" s="733">
        <v>17</v>
      </c>
      <c r="DC243" s="733">
        <v>4</v>
      </c>
      <c r="DD243" s="733">
        <v>56</v>
      </c>
      <c r="DE243" s="1558">
        <f>SUM(DA243:DD243)</f>
        <v>118</v>
      </c>
      <c r="DF243" s="260"/>
      <c r="DG243" s="733">
        <v>0</v>
      </c>
      <c r="DH243" s="733">
        <v>0</v>
      </c>
      <c r="DI243" s="733">
        <v>0</v>
      </c>
      <c r="DJ243" s="733">
        <v>0</v>
      </c>
      <c r="DK243" s="1558">
        <f>SUM(DG243:DJ243)</f>
        <v>0</v>
      </c>
      <c r="DL243" s="260"/>
      <c r="DM243" s="733">
        <v>0</v>
      </c>
      <c r="DN243" s="733">
        <v>0</v>
      </c>
      <c r="DO243" s="733">
        <v>0</v>
      </c>
      <c r="DP243" s="733">
        <v>0</v>
      </c>
      <c r="DQ243" s="1558">
        <f>SUM(DM243:DP243)</f>
        <v>0</v>
      </c>
      <c r="DR243" s="260"/>
      <c r="DS243" s="733">
        <v>0</v>
      </c>
      <c r="DT243" s="733">
        <v>0</v>
      </c>
      <c r="DU243" s="733">
        <v>0</v>
      </c>
      <c r="DV243" s="733">
        <v>0</v>
      </c>
      <c r="DW243" s="1558">
        <f>SUM(DS243:DV243)</f>
        <v>0</v>
      </c>
      <c r="DX243" s="500"/>
      <c r="DY243" s="500"/>
      <c r="DZ243" s="500"/>
      <c r="EA243" s="500"/>
      <c r="EB243" s="500"/>
      <c r="EC243" s="500"/>
      <c r="ED243" s="500"/>
      <c r="EE243" s="500"/>
      <c r="EF243" s="500"/>
      <c r="EG243" s="500"/>
      <c r="EH243" s="500"/>
      <c r="EI243" s="500"/>
    </row>
    <row r="244" spans="1:157">
      <c r="A244" s="305" t="s">
        <v>1067</v>
      </c>
      <c r="B244" s="260"/>
      <c r="C244" s="260"/>
      <c r="D244" s="260"/>
      <c r="E244" s="260"/>
      <c r="F244" s="260"/>
      <c r="G244" s="316"/>
      <c r="H244" s="260"/>
      <c r="I244" s="260"/>
      <c r="J244" s="260"/>
      <c r="K244" s="260"/>
      <c r="L244" s="260"/>
      <c r="M244" s="316"/>
      <c r="N244" s="260"/>
      <c r="O244" s="260"/>
      <c r="P244" s="260"/>
      <c r="Q244" s="260"/>
      <c r="R244" s="260"/>
      <c r="S244" s="316"/>
      <c r="T244" s="260"/>
      <c r="U244" s="260"/>
      <c r="V244" s="260"/>
      <c r="W244" s="260"/>
      <c r="X244" s="260"/>
      <c r="Y244" s="316"/>
      <c r="Z244" s="260"/>
      <c r="AA244" s="260"/>
      <c r="AB244" s="260"/>
      <c r="AC244" s="260"/>
      <c r="AD244" s="260"/>
      <c r="AE244" s="316"/>
      <c r="AF244" s="260"/>
      <c r="AG244" s="260"/>
      <c r="AH244" s="260"/>
      <c r="AI244" s="260"/>
      <c r="AJ244" s="260"/>
      <c r="AK244" s="316"/>
      <c r="AL244" s="260"/>
      <c r="AM244" s="260"/>
      <c r="AN244" s="1546"/>
      <c r="AO244" s="260"/>
      <c r="AP244" s="260"/>
      <c r="AQ244" s="507"/>
      <c r="AR244" s="260"/>
      <c r="AS244" s="260"/>
      <c r="AT244" s="260"/>
      <c r="AU244" s="260"/>
      <c r="AV244" s="260"/>
      <c r="AW244" s="507"/>
      <c r="AX244" s="260"/>
      <c r="AY244" s="260"/>
      <c r="AZ244" s="260"/>
      <c r="BA244" s="260"/>
      <c r="BB244" s="260"/>
      <c r="BC244" s="507"/>
      <c r="BD244" s="260"/>
      <c r="BE244" s="260"/>
      <c r="BF244" s="260"/>
      <c r="BG244" s="260"/>
      <c r="BH244" s="733">
        <f>(0.02*Model!AT19)</f>
        <v>5.7916600000000003</v>
      </c>
      <c r="BI244" s="507"/>
      <c r="BJ244" s="260"/>
      <c r="BK244" s="733">
        <v>4.4000000000000004</v>
      </c>
      <c r="BL244" s="733">
        <v>-5.0999999999999996</v>
      </c>
      <c r="BM244" s="733">
        <v>-3.7</v>
      </c>
      <c r="BN244" s="733">
        <f>-7.6-SUM(BK244:BM244)</f>
        <v>-3.2</v>
      </c>
      <c r="BO244" s="1558">
        <f>SUM(BK244:BN244)</f>
        <v>-7.6</v>
      </c>
      <c r="BP244" s="260"/>
      <c r="BQ244" s="733">
        <v>7.6</v>
      </c>
      <c r="BR244" s="733">
        <v>18.2</v>
      </c>
      <c r="BS244" s="733">
        <v>9.3000000000000007</v>
      </c>
      <c r="BT244" s="733">
        <v>2</v>
      </c>
      <c r="BU244" s="1558">
        <f>SUM(BQ244:BT244)</f>
        <v>37.099999999999994</v>
      </c>
      <c r="BV244" s="260"/>
      <c r="BW244" s="733">
        <v>-6.2</v>
      </c>
      <c r="BX244" s="733">
        <v>-17.2</v>
      </c>
      <c r="BY244" s="733">
        <v>-14.2</v>
      </c>
      <c r="BZ244" s="733">
        <v>-6.2</v>
      </c>
      <c r="CA244" s="1558">
        <f>SUM(BW244:BZ244)</f>
        <v>-43.8</v>
      </c>
      <c r="CB244" s="260"/>
      <c r="CC244" s="733">
        <v>-10</v>
      </c>
      <c r="CD244" s="733">
        <v>-7</v>
      </c>
      <c r="CE244" s="733">
        <v>-10.249174</v>
      </c>
      <c r="CF244" s="733">
        <v>-3</v>
      </c>
      <c r="CG244" s="1558">
        <f>SUM(CC244:CF244)</f>
        <v>-30.249174</v>
      </c>
      <c r="CH244" s="260"/>
      <c r="CI244" s="733">
        <v>6</v>
      </c>
      <c r="CJ244" s="733">
        <v>9</v>
      </c>
      <c r="CK244" s="733">
        <v>-12</v>
      </c>
      <c r="CL244" s="733">
        <v>-34</v>
      </c>
      <c r="CM244" s="1558">
        <f>SUM(CI244:CL244)</f>
        <v>-31</v>
      </c>
      <c r="CN244" s="260"/>
      <c r="CO244" s="733">
        <v>-52</v>
      </c>
      <c r="CP244" s="733">
        <v>-50</v>
      </c>
      <c r="CQ244" s="733">
        <v>-40</v>
      </c>
      <c r="CR244" s="733">
        <v>-32</v>
      </c>
      <c r="CS244" s="1558">
        <f>SUM(CO244:CR244)</f>
        <v>-174</v>
      </c>
      <c r="CT244" s="260"/>
      <c r="CU244" s="733">
        <v>-20</v>
      </c>
      <c r="CV244" s="733">
        <v>-25</v>
      </c>
      <c r="CW244" s="733">
        <v>-32</v>
      </c>
      <c r="CX244" s="733">
        <v>-30</v>
      </c>
      <c r="CY244" s="1558">
        <f>SUM(CU244:CX244)</f>
        <v>-107</v>
      </c>
      <c r="CZ244" s="260"/>
      <c r="DA244" s="733">
        <v>-11</v>
      </c>
      <c r="DB244" s="733">
        <v>7</v>
      </c>
      <c r="DC244" s="733">
        <v>39</v>
      </c>
      <c r="DD244" s="733">
        <v>64</v>
      </c>
      <c r="DE244" s="1558">
        <f>SUM(DA244:DD244)</f>
        <v>99</v>
      </c>
      <c r="DF244" s="260"/>
      <c r="DG244" s="733">
        <v>0</v>
      </c>
      <c r="DH244" s="733">
        <f>DG244</f>
        <v>0</v>
      </c>
      <c r="DI244" s="733">
        <f>DH244</f>
        <v>0</v>
      </c>
      <c r="DJ244" s="733">
        <f>DI244</f>
        <v>0</v>
      </c>
      <c r="DK244" s="1558">
        <f>SUM(DG244:DJ244)</f>
        <v>0</v>
      </c>
      <c r="DL244" s="260"/>
      <c r="DM244" s="733">
        <v>0</v>
      </c>
      <c r="DN244" s="733">
        <f>DM244</f>
        <v>0</v>
      </c>
      <c r="DO244" s="733">
        <f>DN244</f>
        <v>0</v>
      </c>
      <c r="DP244" s="733">
        <f>DO244</f>
        <v>0</v>
      </c>
      <c r="DQ244" s="1558">
        <f>SUM(DM244:DP244)</f>
        <v>0</v>
      </c>
      <c r="DR244" s="260"/>
      <c r="DS244" s="733">
        <v>0</v>
      </c>
      <c r="DT244" s="733">
        <f>DS244</f>
        <v>0</v>
      </c>
      <c r="DU244" s="733">
        <f>DT244</f>
        <v>0</v>
      </c>
      <c r="DV244" s="733">
        <f>DU244</f>
        <v>0</v>
      </c>
      <c r="DW244" s="1558">
        <f>SUM(DS244:DV244)</f>
        <v>0</v>
      </c>
      <c r="DX244" s="500"/>
      <c r="DY244" s="500"/>
      <c r="DZ244" s="500"/>
      <c r="EA244" s="500"/>
      <c r="EB244" s="500"/>
      <c r="EC244" s="500"/>
      <c r="ED244" s="500"/>
      <c r="EE244" s="500"/>
      <c r="EF244" s="500"/>
      <c r="EG244" s="500"/>
      <c r="EH244" s="500" t="s">
        <v>1174</v>
      </c>
      <c r="EI244" s="500"/>
    </row>
    <row r="245" spans="1:157" s="919" customFormat="1" hidden="1" outlineLevel="1">
      <c r="A245" s="305" t="s">
        <v>165</v>
      </c>
      <c r="B245" s="305"/>
      <c r="C245" s="305"/>
      <c r="D245" s="305"/>
      <c r="E245" s="305"/>
      <c r="F245" s="305"/>
      <c r="G245" s="340"/>
      <c r="H245" s="305"/>
      <c r="I245" s="305"/>
      <c r="J245" s="305"/>
      <c r="K245" s="305"/>
      <c r="L245" s="305"/>
      <c r="M245" s="340"/>
      <c r="N245" s="305"/>
      <c r="O245" s="305"/>
      <c r="P245" s="305"/>
      <c r="Q245" s="305"/>
      <c r="R245" s="305"/>
      <c r="S245" s="340"/>
      <c r="T245" s="305"/>
      <c r="U245" s="305"/>
      <c r="V245" s="305"/>
      <c r="W245" s="305"/>
      <c r="X245" s="305"/>
      <c r="Y245" s="340"/>
      <c r="Z245" s="305"/>
      <c r="AA245" s="305"/>
      <c r="AB245" s="305"/>
      <c r="AC245" s="305"/>
      <c r="AD245" s="305"/>
      <c r="AE245" s="340"/>
      <c r="AF245" s="305"/>
      <c r="AG245" s="305"/>
      <c r="AH245" s="305"/>
      <c r="AI245" s="305"/>
      <c r="AJ245" s="305"/>
      <c r="AK245" s="340"/>
      <c r="AL245" s="305"/>
      <c r="AM245" s="305"/>
      <c r="AN245" s="1559"/>
      <c r="AO245" s="305"/>
      <c r="AP245" s="305"/>
      <c r="AQ245" s="1502"/>
      <c r="AR245" s="305"/>
      <c r="AS245" s="305"/>
      <c r="AT245" s="305"/>
      <c r="AU245" s="305"/>
      <c r="AV245" s="305"/>
      <c r="AW245" s="1502"/>
      <c r="AX245" s="305"/>
      <c r="AY245" s="305"/>
      <c r="AZ245" s="305"/>
      <c r="BA245" s="305"/>
      <c r="BB245" s="305"/>
      <c r="BC245" s="1502"/>
      <c r="BD245" s="305"/>
      <c r="BE245" s="305"/>
      <c r="BF245" s="305"/>
      <c r="BG245" s="305"/>
      <c r="BH245" s="305"/>
      <c r="BI245" s="1502"/>
      <c r="BJ245" s="305"/>
      <c r="BK245" s="282"/>
      <c r="BL245" s="282"/>
      <c r="BM245" s="305"/>
      <c r="BN245" s="305"/>
      <c r="BO245" s="1560"/>
      <c r="BP245" s="305"/>
      <c r="BQ245" s="282"/>
      <c r="BR245" s="282"/>
      <c r="BS245" s="305"/>
      <c r="BT245" s="305"/>
      <c r="BU245" s="1561">
        <f>BU244/BO167</f>
        <v>2.2387983144443523E-2</v>
      </c>
      <c r="BV245" s="305"/>
      <c r="BW245" s="305"/>
      <c r="BX245" s="274"/>
      <c r="BY245" s="274"/>
      <c r="BZ245" s="274"/>
      <c r="CA245" s="1561">
        <f>CA244/BU167</f>
        <v>-1.9324617842446122E-2</v>
      </c>
      <c r="CB245" s="274"/>
      <c r="CC245" s="274"/>
      <c r="CD245" s="275"/>
      <c r="CE245" s="275"/>
      <c r="CF245" s="275"/>
      <c r="CG245" s="1561">
        <f>CG244/CA167</f>
        <v>-9.9171279213296198E-3</v>
      </c>
      <c r="CH245" s="276"/>
      <c r="CI245" s="276"/>
      <c r="CJ245" s="276"/>
      <c r="CK245" s="276"/>
      <c r="CL245" s="275"/>
      <c r="CM245" s="1561">
        <f>CM244/CG167</f>
        <v>-7.6148310379530538E-3</v>
      </c>
      <c r="CN245" s="305"/>
      <c r="CO245" s="305"/>
      <c r="CP245" s="305"/>
      <c r="CQ245" s="305"/>
      <c r="CR245" s="305"/>
      <c r="CS245" s="1560"/>
      <c r="CT245" s="305"/>
      <c r="CU245" s="305"/>
      <c r="CV245" s="305"/>
      <c r="CW245" s="305"/>
      <c r="CX245" s="305"/>
      <c r="CY245" s="1560"/>
      <c r="CZ245" s="305"/>
      <c r="DA245" s="305"/>
      <c r="DB245" s="305"/>
      <c r="DC245" s="305"/>
      <c r="DD245" s="305"/>
      <c r="DE245" s="1560"/>
      <c r="DF245" s="305"/>
      <c r="DG245" s="305"/>
      <c r="DH245" s="305"/>
      <c r="DI245" s="305"/>
      <c r="DJ245" s="305"/>
      <c r="DK245" s="1560"/>
      <c r="DL245" s="305"/>
      <c r="DM245" s="305"/>
      <c r="DN245" s="305"/>
      <c r="DO245" s="305"/>
      <c r="DP245" s="305"/>
      <c r="DQ245" s="1560"/>
      <c r="DR245" s="305"/>
      <c r="DS245" s="305"/>
      <c r="DT245" s="305"/>
      <c r="DU245" s="305"/>
      <c r="DV245" s="305"/>
      <c r="DW245" s="1560"/>
      <c r="DX245" s="1356"/>
      <c r="DY245" s="1356"/>
      <c r="DZ245" s="1356"/>
      <c r="EA245" s="1356"/>
      <c r="EB245" s="1356"/>
      <c r="EC245" s="1356"/>
      <c r="ED245" s="1356"/>
      <c r="EE245" s="1356"/>
      <c r="EF245" s="1356"/>
      <c r="EG245" s="1356"/>
      <c r="EH245" s="500" t="s">
        <v>1150</v>
      </c>
      <c r="EI245" s="1356"/>
    </row>
    <row r="246" spans="1:157" s="923" customFormat="1" collapsed="1">
      <c r="A246" s="305" t="s">
        <v>707</v>
      </c>
      <c r="B246" s="260"/>
      <c r="C246" s="260"/>
      <c r="D246" s="260"/>
      <c r="E246" s="260"/>
      <c r="F246" s="260"/>
      <c r="G246" s="316"/>
      <c r="H246" s="260"/>
      <c r="I246" s="260"/>
      <c r="J246" s="260"/>
      <c r="K246" s="260"/>
      <c r="L246" s="260"/>
      <c r="M246" s="316"/>
      <c r="N246" s="260"/>
      <c r="O246" s="260"/>
      <c r="P246" s="260"/>
      <c r="Q246" s="260"/>
      <c r="R246" s="260"/>
      <c r="S246" s="316"/>
      <c r="T246" s="260"/>
      <c r="U246" s="260"/>
      <c r="V246" s="260"/>
      <c r="W246" s="260"/>
      <c r="X246" s="260"/>
      <c r="Y246" s="316"/>
      <c r="Z246" s="260"/>
      <c r="AA246" s="260"/>
      <c r="AB246" s="260"/>
      <c r="AC246" s="260"/>
      <c r="AD246" s="260"/>
      <c r="AE246" s="316"/>
      <c r="AF246" s="260"/>
      <c r="AG246" s="260"/>
      <c r="AH246" s="260"/>
      <c r="AI246" s="260"/>
      <c r="AJ246" s="260"/>
      <c r="AK246" s="316"/>
      <c r="AL246" s="260"/>
      <c r="AM246" s="260"/>
      <c r="AN246" s="1546"/>
      <c r="AO246" s="260"/>
      <c r="AP246" s="260"/>
      <c r="AQ246" s="507"/>
      <c r="AR246" s="260"/>
      <c r="AS246" s="260"/>
      <c r="AT246" s="260"/>
      <c r="AU246" s="260"/>
      <c r="AV246" s="260"/>
      <c r="AW246" s="507"/>
      <c r="AX246" s="260"/>
      <c r="AY246" s="260"/>
      <c r="AZ246" s="260"/>
      <c r="BA246" s="260"/>
      <c r="BB246" s="260"/>
      <c r="BC246" s="507"/>
      <c r="BD246" s="260"/>
      <c r="BE246" s="260"/>
      <c r="BF246" s="260"/>
      <c r="BG246" s="260"/>
      <c r="BH246" s="263"/>
      <c r="BI246" s="507"/>
      <c r="BJ246" s="260"/>
      <c r="BK246" s="263">
        <v>0</v>
      </c>
      <c r="BL246" s="263">
        <v>0</v>
      </c>
      <c r="BM246" s="263">
        <v>0</v>
      </c>
      <c r="BN246" s="263">
        <v>0</v>
      </c>
      <c r="BO246" s="1558">
        <f>SUM(BK246:BN246)</f>
        <v>0</v>
      </c>
      <c r="BP246" s="260"/>
      <c r="BQ246" s="263">
        <v>0</v>
      </c>
      <c r="BR246" s="263">
        <v>0</v>
      </c>
      <c r="BS246" s="263">
        <v>0</v>
      </c>
      <c r="BT246" s="263">
        <f>BT136</f>
        <v>80</v>
      </c>
      <c r="BU246" s="1558">
        <f>SUM(BQ246:BT246)</f>
        <v>80</v>
      </c>
      <c r="BV246" s="260"/>
      <c r="BW246" s="263">
        <f>BW136</f>
        <v>-10</v>
      </c>
      <c r="BX246" s="263">
        <f>BX136</f>
        <v>-25</v>
      </c>
      <c r="BY246" s="263">
        <f>BY136</f>
        <v>-10</v>
      </c>
      <c r="BZ246" s="263">
        <f>BZ136</f>
        <v>15</v>
      </c>
      <c r="CA246" s="1558">
        <f>SUM(BW246:BZ246)</f>
        <v>-30</v>
      </c>
      <c r="CB246" s="260"/>
      <c r="CC246" s="263">
        <f>CC136</f>
        <v>-25</v>
      </c>
      <c r="CD246" s="263">
        <f>CD136</f>
        <v>-15</v>
      </c>
      <c r="CE246" s="263">
        <f>CE136</f>
        <v>-18</v>
      </c>
      <c r="CF246" s="263">
        <f>CF136</f>
        <v>8</v>
      </c>
      <c r="CG246" s="1558">
        <f>SUM(CC246:CF246)</f>
        <v>-50</v>
      </c>
      <c r="CH246" s="260"/>
      <c r="CI246" s="263">
        <f>CI136</f>
        <v>-37.396699999999996</v>
      </c>
      <c r="CJ246" s="263">
        <f>CJ136</f>
        <v>6.3513599999999997</v>
      </c>
      <c r="CK246" s="263">
        <f>CK136</f>
        <v>-1.8523199999999989</v>
      </c>
      <c r="CL246" s="263">
        <f>CL136</f>
        <v>25.75712</v>
      </c>
      <c r="CM246" s="1558">
        <f>SUM(CI246:CL246)</f>
        <v>-7.1405399999999943</v>
      </c>
      <c r="CN246" s="260"/>
      <c r="CO246" s="263">
        <f>CO136</f>
        <v>23.950679999999991</v>
      </c>
      <c r="CP246" s="263">
        <f>CP136</f>
        <v>-26.406659999999988</v>
      </c>
      <c r="CQ246" s="263">
        <f>CQ136</f>
        <v>27.767830000000004</v>
      </c>
      <c r="CR246" s="263">
        <f>CR136</f>
        <v>21.479779999999991</v>
      </c>
      <c r="CS246" s="1558">
        <f>SUM(CO246:CR246)</f>
        <v>46.791629999999998</v>
      </c>
      <c r="CT246" s="260"/>
      <c r="CU246" s="263">
        <f>CU136</f>
        <v>-0.22406999999999755</v>
      </c>
      <c r="CV246" s="263">
        <f>CV136</f>
        <v>-0.22406999999999755</v>
      </c>
      <c r="CW246" s="263">
        <f>CW136</f>
        <v>-10.004684999999988</v>
      </c>
      <c r="CX246" s="263">
        <f>CX136</f>
        <v>50.366179999999993</v>
      </c>
      <c r="CY246" s="1558">
        <f>SUM(CU246:CX246)</f>
        <v>39.91335500000001</v>
      </c>
      <c r="CZ246" s="260"/>
      <c r="DA246" s="263">
        <f>DA136</f>
        <v>18.874289999999998</v>
      </c>
      <c r="DB246" s="263">
        <f>DB136</f>
        <v>0</v>
      </c>
      <c r="DC246" s="263">
        <f>DC136</f>
        <v>0</v>
      </c>
      <c r="DD246" s="263">
        <f>DD136</f>
        <v>0</v>
      </c>
      <c r="DE246" s="1558">
        <f>SUM(DA246:DD246)</f>
        <v>18.874289999999998</v>
      </c>
      <c r="DF246" s="260"/>
      <c r="DG246" s="263">
        <f>DG136</f>
        <v>0</v>
      </c>
      <c r="DH246" s="263">
        <f>DH136</f>
        <v>0</v>
      </c>
      <c r="DI246" s="263">
        <f>DI136</f>
        <v>0</v>
      </c>
      <c r="DJ246" s="263">
        <f>DJ136</f>
        <v>0</v>
      </c>
      <c r="DK246" s="1558">
        <f>SUM(DG246:DJ246)</f>
        <v>0</v>
      </c>
      <c r="DL246" s="260"/>
      <c r="DM246" s="263">
        <f>DM136</f>
        <v>0</v>
      </c>
      <c r="DN246" s="263">
        <f>DN136</f>
        <v>0</v>
      </c>
      <c r="DO246" s="263">
        <f>DO136</f>
        <v>0</v>
      </c>
      <c r="DP246" s="263">
        <f>DP136</f>
        <v>0</v>
      </c>
      <c r="DQ246" s="1558">
        <f>SUM(DM246:DP246)</f>
        <v>0</v>
      </c>
      <c r="DR246" s="260"/>
      <c r="DS246" s="263">
        <f>DS136</f>
        <v>0</v>
      </c>
      <c r="DT246" s="263">
        <f>DT136</f>
        <v>0</v>
      </c>
      <c r="DU246" s="263">
        <f>DU136</f>
        <v>0</v>
      </c>
      <c r="DV246" s="263">
        <f>DV136</f>
        <v>0</v>
      </c>
      <c r="DW246" s="1558">
        <f>SUM(DS246:DV246)</f>
        <v>0</v>
      </c>
      <c r="DX246" s="500"/>
      <c r="DY246" s="500"/>
      <c r="DZ246" s="500"/>
      <c r="EA246" s="500"/>
      <c r="EB246" s="500"/>
      <c r="EC246" s="500"/>
      <c r="ED246" s="500"/>
      <c r="EE246" s="500"/>
      <c r="EF246" s="500"/>
      <c r="EG246" s="500"/>
      <c r="EH246" s="500"/>
      <c r="EI246" s="500"/>
    </row>
    <row r="247" spans="1:157">
      <c r="A247" s="305"/>
      <c r="B247" s="260"/>
      <c r="C247" s="260"/>
      <c r="D247" s="260"/>
      <c r="E247" s="260"/>
      <c r="F247" s="260"/>
      <c r="G247" s="316"/>
      <c r="H247" s="260"/>
      <c r="I247" s="260"/>
      <c r="J247" s="260"/>
      <c r="K247" s="260"/>
      <c r="L247" s="260"/>
      <c r="M247" s="316"/>
      <c r="N247" s="260"/>
      <c r="O247" s="260"/>
      <c r="P247" s="260"/>
      <c r="Q247" s="260"/>
      <c r="R247" s="260"/>
      <c r="S247" s="316"/>
      <c r="T247" s="260"/>
      <c r="U247" s="260"/>
      <c r="V247" s="260"/>
      <c r="W247" s="260"/>
      <c r="X247" s="260"/>
      <c r="Y247" s="316"/>
      <c r="Z247" s="260"/>
      <c r="AA247" s="260"/>
      <c r="AB247" s="260"/>
      <c r="AC247" s="260"/>
      <c r="AD247" s="260"/>
      <c r="AE247" s="316"/>
      <c r="AF247" s="260"/>
      <c r="AG247" s="260"/>
      <c r="AH247" s="260"/>
      <c r="AI247" s="260"/>
      <c r="AJ247" s="260"/>
      <c r="AK247" s="316"/>
      <c r="AL247" s="260"/>
      <c r="AM247" s="260"/>
      <c r="AN247" s="1546"/>
      <c r="AO247" s="260"/>
      <c r="AP247" s="260"/>
      <c r="AQ247" s="507"/>
      <c r="AR247" s="260"/>
      <c r="AS247" s="260"/>
      <c r="AT247" s="260"/>
      <c r="AU247" s="260"/>
      <c r="AV247" s="260"/>
      <c r="AW247" s="507"/>
      <c r="AX247" s="260"/>
      <c r="AY247" s="260"/>
      <c r="AZ247" s="260"/>
      <c r="BA247" s="260"/>
      <c r="BB247" s="260"/>
      <c r="BC247" s="507"/>
      <c r="BD247" s="260"/>
      <c r="BE247" s="260"/>
      <c r="BF247" s="260"/>
      <c r="BG247" s="260"/>
      <c r="BH247" s="260"/>
      <c r="BI247" s="507"/>
      <c r="BJ247" s="260"/>
      <c r="BK247" s="263"/>
      <c r="BL247" s="263"/>
      <c r="BM247" s="260"/>
      <c r="BN247" s="260"/>
      <c r="BO247" s="262"/>
      <c r="BP247" s="260"/>
      <c r="BQ247" s="263"/>
      <c r="BR247" s="263"/>
      <c r="BS247" s="260"/>
      <c r="BT247" s="260"/>
      <c r="BU247" s="262"/>
      <c r="BV247" s="260"/>
      <c r="BW247" s="260"/>
      <c r="BX247" s="279"/>
      <c r="BY247" s="279"/>
      <c r="BZ247" s="279"/>
      <c r="CA247" s="871"/>
      <c r="CB247" s="279"/>
      <c r="CC247" s="279"/>
      <c r="CD247" s="279"/>
      <c r="CE247" s="279"/>
      <c r="CF247" s="279"/>
      <c r="CG247" s="262"/>
      <c r="CH247" s="260"/>
      <c r="CI247" s="260"/>
      <c r="CJ247" s="260"/>
      <c r="CK247" s="260"/>
      <c r="CL247" s="260"/>
      <c r="CM247" s="262"/>
      <c r="CN247" s="260"/>
      <c r="CO247" s="260"/>
      <c r="CP247" s="260"/>
      <c r="CQ247" s="260"/>
      <c r="CR247" s="260"/>
      <c r="CS247" s="262"/>
      <c r="CT247" s="260"/>
      <c r="CU247" s="260"/>
      <c r="CV247" s="260"/>
      <c r="CW247" s="260"/>
      <c r="CX247" s="260"/>
      <c r="CY247" s="262"/>
      <c r="CZ247" s="260"/>
      <c r="DA247" s="260"/>
      <c r="DB247" s="260"/>
      <c r="DC247" s="260"/>
      <c r="DD247" s="260"/>
      <c r="DE247" s="262"/>
      <c r="DF247" s="260"/>
      <c r="DG247" s="260"/>
      <c r="DH247" s="260"/>
      <c r="DI247" s="260"/>
      <c r="DJ247" s="260"/>
      <c r="DK247" s="262"/>
      <c r="DL247" s="260"/>
      <c r="DM247" s="260"/>
      <c r="DN247" s="260"/>
      <c r="DO247" s="260"/>
      <c r="DP247" s="260"/>
      <c r="DQ247" s="262"/>
      <c r="DR247" s="260"/>
      <c r="DS247" s="260"/>
      <c r="DT247" s="260"/>
      <c r="DU247" s="260"/>
      <c r="DV247" s="260"/>
      <c r="DW247" s="262"/>
      <c r="DX247" s="500"/>
      <c r="DY247" s="500"/>
      <c r="DZ247" s="500"/>
      <c r="EA247" s="500"/>
      <c r="EB247" s="500"/>
      <c r="EC247" s="500"/>
      <c r="ED247" s="500"/>
      <c r="EE247" s="500"/>
      <c r="EF247" s="500"/>
      <c r="EG247" s="500"/>
      <c r="EH247" s="500"/>
      <c r="EI247" s="500"/>
    </row>
    <row r="248" spans="1:157">
      <c r="A248" s="260" t="s">
        <v>661</v>
      </c>
      <c r="B248" s="260"/>
      <c r="C248" s="260"/>
      <c r="D248" s="260"/>
      <c r="E248" s="260"/>
      <c r="F248" s="260"/>
      <c r="G248" s="316"/>
      <c r="H248" s="260"/>
      <c r="I248" s="260"/>
      <c r="J248" s="260"/>
      <c r="K248" s="260"/>
      <c r="L248" s="260"/>
      <c r="M248" s="316"/>
      <c r="N248" s="260"/>
      <c r="O248" s="260"/>
      <c r="P248" s="260"/>
      <c r="Q248" s="260"/>
      <c r="R248" s="260"/>
      <c r="S248" s="316"/>
      <c r="T248" s="260"/>
      <c r="U248" s="260"/>
      <c r="V248" s="260"/>
      <c r="W248" s="260"/>
      <c r="X248" s="260"/>
      <c r="Y248" s="316"/>
      <c r="Z248" s="260"/>
      <c r="AA248" s="260"/>
      <c r="AB248" s="260"/>
      <c r="AC248" s="260"/>
      <c r="AD248" s="260"/>
      <c r="AE248" s="316"/>
      <c r="AF248" s="260"/>
      <c r="AG248" s="260"/>
      <c r="AH248" s="260"/>
      <c r="AI248" s="260"/>
      <c r="AJ248" s="260"/>
      <c r="AK248" s="316"/>
      <c r="AL248" s="260"/>
      <c r="AM248" s="260"/>
      <c r="AN248" s="1546"/>
      <c r="AO248" s="260"/>
      <c r="AP248" s="260"/>
      <c r="AQ248" s="507"/>
      <c r="AR248" s="260"/>
      <c r="AS248" s="263">
        <f>AS139</f>
        <v>174.02100000000004</v>
      </c>
      <c r="AT248" s="263">
        <f>AT139</f>
        <v>202.75899999999993</v>
      </c>
      <c r="AU248" s="263">
        <f>AU139</f>
        <v>211.75900000000001</v>
      </c>
      <c r="AV248" s="263">
        <f>AV139</f>
        <v>356.99200000000002</v>
      </c>
      <c r="AW248" s="507"/>
      <c r="AX248" s="260"/>
      <c r="AY248" s="263">
        <f>AY139</f>
        <v>237.02500000000003</v>
      </c>
      <c r="AZ248" s="263">
        <f>AZ139</f>
        <v>272.32599999999996</v>
      </c>
      <c r="BA248" s="263">
        <f>BA139</f>
        <v>266.47499999999997</v>
      </c>
      <c r="BB248" s="263">
        <f>BB139</f>
        <v>414.0750000000001</v>
      </c>
      <c r="BC248" s="507"/>
      <c r="BD248" s="260"/>
      <c r="BE248" s="263">
        <f>BE139</f>
        <v>260.27099999999996</v>
      </c>
      <c r="BF248" s="263">
        <f>BF139</f>
        <v>315.69799999999992</v>
      </c>
      <c r="BG248" s="263">
        <f>BG139</f>
        <v>326.97399999999993</v>
      </c>
      <c r="BH248" s="263">
        <f>BH139</f>
        <v>512.9620000000001</v>
      </c>
      <c r="BI248" s="507"/>
      <c r="BJ248" s="260"/>
      <c r="BK248" s="263">
        <f>BK139</f>
        <v>336.99399999999991</v>
      </c>
      <c r="BL248" s="263">
        <f>BL139</f>
        <v>412.86200000000002</v>
      </c>
      <c r="BM248" s="263">
        <f>BM139</f>
        <v>440.62499999999989</v>
      </c>
      <c r="BN248" s="263">
        <f>BN139</f>
        <v>697.25100000000009</v>
      </c>
      <c r="BO248" s="1558">
        <f>SUM(BK248:BN248)</f>
        <v>1887.732</v>
      </c>
      <c r="BP248" s="260"/>
      <c r="BQ248" s="263">
        <f>BQ139</f>
        <v>484.55600000000004</v>
      </c>
      <c r="BR248" s="263">
        <f>BR139</f>
        <v>566.13499999999988</v>
      </c>
      <c r="BS248" s="263">
        <f>BS139</f>
        <v>566.81499999999994</v>
      </c>
      <c r="BT248" s="263">
        <f>BT139</f>
        <v>1094.3870000000002</v>
      </c>
      <c r="BU248" s="1558">
        <f>SUM(BQ248:BT248)</f>
        <v>2711.893</v>
      </c>
      <c r="BV248" s="260"/>
      <c r="BW248" s="263">
        <f>BW139</f>
        <v>649.88699999999994</v>
      </c>
      <c r="BX248" s="263">
        <f>BX139</f>
        <v>734.11800000000005</v>
      </c>
      <c r="BY248" s="263">
        <f>BY139</f>
        <v>739.63599999999997</v>
      </c>
      <c r="BZ248" s="263">
        <f>BZ139</f>
        <v>1405.973</v>
      </c>
      <c r="CA248" s="1558">
        <f>SUM(BW248:BZ248)</f>
        <v>3529.614</v>
      </c>
      <c r="CB248" s="260"/>
      <c r="CC248" s="263">
        <f>CC139</f>
        <v>762.798</v>
      </c>
      <c r="CD248" s="263">
        <f>CD139</f>
        <v>966.8950000000001</v>
      </c>
      <c r="CE248" s="263">
        <f>CE139</f>
        <v>1020.9150000000001</v>
      </c>
      <c r="CF248" s="263">
        <f>CF139</f>
        <v>1932.7379999999998</v>
      </c>
      <c r="CG248" s="1558">
        <f>SUM(CC248:CF248)</f>
        <v>4683.3459999999995</v>
      </c>
      <c r="CH248" s="260"/>
      <c r="CI248" s="263">
        <f>CI139</f>
        <v>1029.2719999999999</v>
      </c>
      <c r="CJ248" s="263">
        <f>CJ139</f>
        <v>1346.84</v>
      </c>
      <c r="CK248" s="263">
        <f>CK139</f>
        <v>1254.2239999999999</v>
      </c>
      <c r="CL248" s="263">
        <f>CL139</f>
        <v>2542.08</v>
      </c>
      <c r="CM248" s="1558">
        <f>SUM(CI248:CL248)</f>
        <v>6172.4160000000002</v>
      </c>
      <c r="CN248" s="260"/>
      <c r="CO248" s="263">
        <f>CO139</f>
        <v>1246.538</v>
      </c>
      <c r="CP248" s="263">
        <f>CP139</f>
        <v>1612.854</v>
      </c>
      <c r="CQ248" s="263">
        <f>CQ139</f>
        <v>1523.069</v>
      </c>
      <c r="CR248" s="263">
        <f>CR139</f>
        <v>3254.4410000000003</v>
      </c>
      <c r="CS248" s="1558">
        <f>SUM(CO248:CR248)</f>
        <v>7636.902</v>
      </c>
      <c r="CT248" s="260"/>
      <c r="CU248" s="263">
        <f>CU139</f>
        <v>1623.4860000000001</v>
      </c>
      <c r="CV248" s="263">
        <f>CV139</f>
        <v>1853.2649999999999</v>
      </c>
      <c r="CW248" s="263">
        <f>CW139</f>
        <v>1816.3470000000007</v>
      </c>
      <c r="CX248" s="263">
        <f>CX139</f>
        <v>4334.6559999999999</v>
      </c>
      <c r="CY248" s="1558">
        <f>SUM(CU248:CX248)</f>
        <v>9627.7540000000008</v>
      </c>
      <c r="CZ248" s="260"/>
      <c r="DA248" s="263">
        <f>DA139</f>
        <v>1887.4289999999996</v>
      </c>
      <c r="DB248" s="263">
        <f>DB139</f>
        <v>2337.5709999999999</v>
      </c>
      <c r="DC248" s="263">
        <f>DC139</f>
        <v>2253.2890000000002</v>
      </c>
      <c r="DD248" s="263">
        <f>DD139</f>
        <v>5553.6270000000004</v>
      </c>
      <c r="DE248" s="1558">
        <f>SUM(DA248:DD248)</f>
        <v>12031.916000000001</v>
      </c>
      <c r="DF248" s="260"/>
      <c r="DG248" s="263">
        <f>DG139</f>
        <v>2086.3577969999992</v>
      </c>
      <c r="DH248" s="263">
        <f>DH139</f>
        <v>2823.1401287999997</v>
      </c>
      <c r="DI248" s="263">
        <f>DI139</f>
        <v>2736.8636969999998</v>
      </c>
      <c r="DJ248" s="263">
        <f>DJ139</f>
        <v>6890.7793990000009</v>
      </c>
      <c r="DK248" s="1558">
        <f>SUM(DG248:DJ248)</f>
        <v>14537.141021799998</v>
      </c>
      <c r="DL248" s="260"/>
      <c r="DM248" s="263">
        <f>DM139</f>
        <v>2365.7716755128681</v>
      </c>
      <c r="DN248" s="263">
        <f>DN139</f>
        <v>3370.8652585776445</v>
      </c>
      <c r="DO248" s="263">
        <f>DO139</f>
        <v>3272.7754113484343</v>
      </c>
      <c r="DP248" s="263">
        <f>DP139</f>
        <v>8445.3658499462581</v>
      </c>
      <c r="DQ248" s="1558">
        <f>SUM(DM248:DP248)</f>
        <v>17454.778195385206</v>
      </c>
      <c r="DR248" s="260"/>
      <c r="DS248" s="263">
        <f>DS139</f>
        <v>2678.5402229848073</v>
      </c>
      <c r="DT248" s="263">
        <f>DT139</f>
        <v>4028.8235448038135</v>
      </c>
      <c r="DU248" s="263">
        <f>DU139</f>
        <v>3918.8783498198177</v>
      </c>
      <c r="DV248" s="263">
        <f>DV139</f>
        <v>10226.521406584799</v>
      </c>
      <c r="DW248" s="1558">
        <f>SUM(DS248:DV248)</f>
        <v>20852.763524193237</v>
      </c>
      <c r="DX248" s="500"/>
      <c r="DY248" s="500"/>
      <c r="DZ248" s="500"/>
      <c r="EA248" s="500"/>
      <c r="EB248" s="500"/>
      <c r="EC248" s="500"/>
      <c r="ED248" s="500"/>
      <c r="EE248" s="500"/>
      <c r="EF248" s="500"/>
      <c r="EG248" s="500"/>
      <c r="EH248" s="500"/>
      <c r="EI248" s="500"/>
    </row>
    <row r="249" spans="1:157">
      <c r="A249" s="260" t="s">
        <v>737</v>
      </c>
      <c r="B249" s="260"/>
      <c r="C249" s="260"/>
      <c r="D249" s="260"/>
      <c r="E249" s="260"/>
      <c r="F249" s="260"/>
      <c r="G249" s="316"/>
      <c r="H249" s="260"/>
      <c r="I249" s="260"/>
      <c r="J249" s="260"/>
      <c r="K249" s="260"/>
      <c r="L249" s="260"/>
      <c r="M249" s="316"/>
      <c r="N249" s="260"/>
      <c r="O249" s="260"/>
      <c r="P249" s="260"/>
      <c r="Q249" s="260"/>
      <c r="R249" s="260"/>
      <c r="S249" s="316"/>
      <c r="T249" s="260"/>
      <c r="U249" s="260"/>
      <c r="V249" s="260"/>
      <c r="W249" s="260"/>
      <c r="X249" s="260"/>
      <c r="Y249" s="316"/>
      <c r="Z249" s="260"/>
      <c r="AA249" s="260"/>
      <c r="AB249" s="260"/>
      <c r="AC249" s="260"/>
      <c r="AD249" s="260"/>
      <c r="AE249" s="316"/>
      <c r="AF249" s="260"/>
      <c r="AG249" s="260"/>
      <c r="AH249" s="260"/>
      <c r="AI249" s="260"/>
      <c r="AJ249" s="260"/>
      <c r="AK249" s="316"/>
      <c r="AL249" s="260"/>
      <c r="AM249" s="260"/>
      <c r="AN249" s="1546"/>
      <c r="AO249" s="260"/>
      <c r="AP249" s="260"/>
      <c r="AQ249" s="507"/>
      <c r="AR249" s="260"/>
      <c r="AS249" s="263">
        <f>AS248-AS243-AS244</f>
        <v>174.02100000000004</v>
      </c>
      <c r="AT249" s="263">
        <f>AT248-AT243-AT244</f>
        <v>202.75899999999993</v>
      </c>
      <c r="AU249" s="263">
        <f>AU248-AU243-AU244</f>
        <v>211.75900000000001</v>
      </c>
      <c r="AV249" s="263">
        <f>AV248-AV243-AV244</f>
        <v>356.99200000000002</v>
      </c>
      <c r="AW249" s="507"/>
      <c r="AX249" s="260"/>
      <c r="AY249" s="263">
        <f>AY248-AY243-AY244</f>
        <v>237.02500000000003</v>
      </c>
      <c r="AZ249" s="263">
        <f>AZ248-AZ243-AZ244</f>
        <v>272.32599999999996</v>
      </c>
      <c r="BA249" s="263">
        <f>BA248-BA243-BA244</f>
        <v>266.47499999999997</v>
      </c>
      <c r="BB249" s="263">
        <f>BB248-BB243-BB244</f>
        <v>414.0750000000001</v>
      </c>
      <c r="BC249" s="507"/>
      <c r="BD249" s="260"/>
      <c r="BE249" s="263">
        <f>BE248-BE243-BE244</f>
        <v>260.27099999999996</v>
      </c>
      <c r="BF249" s="263">
        <f>BF248-BF243-BF244</f>
        <v>315.69799999999992</v>
      </c>
      <c r="BG249" s="263">
        <f>BG248-BG243-BG244</f>
        <v>326.97399999999993</v>
      </c>
      <c r="BH249" s="263">
        <f>BH248-BH243-BH244</f>
        <v>507.17034000000012</v>
      </c>
      <c r="BI249" s="507"/>
      <c r="BJ249" s="260"/>
      <c r="BK249" s="263">
        <f>BK248-BK243-BK244</f>
        <v>342.59399999999994</v>
      </c>
      <c r="BL249" s="263">
        <f>BL248-BL243-BL244</f>
        <v>414.96200000000005</v>
      </c>
      <c r="BM249" s="263">
        <f>BM248-BM243-BM244</f>
        <v>433.32499999999987</v>
      </c>
      <c r="BN249" s="263">
        <f>BN248-BN243-BN244</f>
        <v>703.45100000000014</v>
      </c>
      <c r="BO249" s="1558">
        <f>SUM(BK249:BN249)</f>
        <v>1894.3319999999999</v>
      </c>
      <c r="BP249" s="260"/>
      <c r="BQ249" s="263">
        <f>BQ248-BQ243-BQ244</f>
        <v>461.95600000000002</v>
      </c>
      <c r="BR249" s="263">
        <f>BR248-BR243-BR244</f>
        <v>549.93499999999983</v>
      </c>
      <c r="BS249" s="263">
        <f>BS248-BS243-BS244</f>
        <v>558.51499999999999</v>
      </c>
      <c r="BT249" s="263">
        <f>BT248-BT243-BT244</f>
        <v>1104.3870000000002</v>
      </c>
      <c r="BU249" s="1558">
        <f>SUM(BQ249:BT249)</f>
        <v>2674.7930000000001</v>
      </c>
      <c r="BV249" s="260"/>
      <c r="BW249" s="263">
        <f>BW248-BW243-BW244</f>
        <v>656.08699999999999</v>
      </c>
      <c r="BX249" s="263">
        <f>BX248-BX243-BX244</f>
        <v>765.3180000000001</v>
      </c>
      <c r="BY249" s="263">
        <f>BY248-BY243-BY244</f>
        <v>742.83600000000001</v>
      </c>
      <c r="BZ249" s="263">
        <f>BZ248-BZ243-BZ244</f>
        <v>1399.173</v>
      </c>
      <c r="CA249" s="1558">
        <f>SUM(BW249:BZ249)</f>
        <v>3563.4139999999998</v>
      </c>
      <c r="CB249" s="260"/>
      <c r="CC249" s="263">
        <f>CC248-CC243-CC244</f>
        <v>788.798</v>
      </c>
      <c r="CD249" s="263">
        <f>CD248-CD243-CD244</f>
        <v>969.8950000000001</v>
      </c>
      <c r="CE249" s="263">
        <f>CE248-CE243-CE244</f>
        <v>1019.1641740000001</v>
      </c>
      <c r="CF249" s="263">
        <f>CF248-CF243-CF244</f>
        <v>1943.7379999999998</v>
      </c>
      <c r="CG249" s="1558">
        <f>SUM(CC249:CF249)</f>
        <v>4721.595174</v>
      </c>
      <c r="CH249" s="260"/>
      <c r="CI249" s="263">
        <f>CI248-CI243-CI244</f>
        <v>1014.2719999999999</v>
      </c>
      <c r="CJ249" s="263">
        <f>CJ248-CJ243-CJ244</f>
        <v>1351.84</v>
      </c>
      <c r="CK249" s="263">
        <f>CK248-CK243-CK244</f>
        <v>1296.2239999999999</v>
      </c>
      <c r="CL249" s="263">
        <f>CL248-CL243-CL244</f>
        <v>2620.08</v>
      </c>
      <c r="CM249" s="1558">
        <f>SUM(CI249:CL249)</f>
        <v>6282.4160000000002</v>
      </c>
      <c r="CN249" s="260"/>
      <c r="CO249" s="263">
        <f>CO248-CO243-CO244</f>
        <v>1280.538</v>
      </c>
      <c r="CP249" s="263">
        <f>CP248-CP243-CP244</f>
        <v>1674.854</v>
      </c>
      <c r="CQ249" s="263">
        <f>CQ248-CQ243-CQ244</f>
        <v>1570.069</v>
      </c>
      <c r="CR249" s="263">
        <f>CR248-CR243-CR244</f>
        <v>3321.4410000000003</v>
      </c>
      <c r="CS249" s="1558">
        <f>SUM(CO249:CR249)</f>
        <v>7846.902</v>
      </c>
      <c r="CT249" s="260"/>
      <c r="CU249" s="263">
        <f>CU248-CU243-CU244</f>
        <v>1592.4860000000001</v>
      </c>
      <c r="CV249" s="263">
        <f>CV248-CV243-CV244</f>
        <v>1919.2649999999999</v>
      </c>
      <c r="CW249" s="263">
        <f>CW248-CW243-CW244</f>
        <v>1881.3470000000007</v>
      </c>
      <c r="CX249" s="263">
        <f>CX248-CX243-CX244</f>
        <v>4341.6559999999999</v>
      </c>
      <c r="CY249" s="1558">
        <f>SUM(CU249:CX249)</f>
        <v>9734.7540000000008</v>
      </c>
      <c r="CZ249" s="260"/>
      <c r="DA249" s="263">
        <f>DA248-DA243-DA244</f>
        <v>1857.4289999999996</v>
      </c>
      <c r="DB249" s="263">
        <f>DB248-DB243-DB244</f>
        <v>2313.5709999999999</v>
      </c>
      <c r="DC249" s="263">
        <f>DC248-DC243-DC244</f>
        <v>2210.2890000000002</v>
      </c>
      <c r="DD249" s="263">
        <f>DD248-DD243-DD244</f>
        <v>5433.6270000000004</v>
      </c>
      <c r="DE249" s="1558">
        <f>SUM(DA249:DD249)</f>
        <v>11814.916000000001</v>
      </c>
      <c r="DF249" s="260"/>
      <c r="DG249" s="263">
        <f>DG248-DG243-DG244</f>
        <v>2086.3577969999992</v>
      </c>
      <c r="DH249" s="263">
        <f>DH248-DH243-DH244</f>
        <v>2823.1401287999997</v>
      </c>
      <c r="DI249" s="263">
        <f>DI248-DI243-DI244</f>
        <v>2736.8636969999998</v>
      </c>
      <c r="DJ249" s="263">
        <f>DJ248-DJ243-DJ244</f>
        <v>6890.7793990000009</v>
      </c>
      <c r="DK249" s="1558">
        <f>SUM(DG249:DJ249)</f>
        <v>14537.141021799998</v>
      </c>
      <c r="DL249" s="260"/>
      <c r="DM249" s="263">
        <f>DM248-DM243-DM244</f>
        <v>2365.7716755128681</v>
      </c>
      <c r="DN249" s="263">
        <f>DN248-DN243-DN244</f>
        <v>3370.8652585776445</v>
      </c>
      <c r="DO249" s="263">
        <f>DO248-DO243-DO244</f>
        <v>3272.7754113484343</v>
      </c>
      <c r="DP249" s="263">
        <f>DP248-DP243-DP244</f>
        <v>8445.3658499462581</v>
      </c>
      <c r="DQ249" s="1558">
        <f>SUM(DM249:DP249)</f>
        <v>17454.778195385206</v>
      </c>
      <c r="DR249" s="260"/>
      <c r="DS249" s="263">
        <f>DS248-DS243-DS244</f>
        <v>2678.5402229848073</v>
      </c>
      <c r="DT249" s="263">
        <f>DT248-DT243-DT244</f>
        <v>4028.8235448038135</v>
      </c>
      <c r="DU249" s="263">
        <f>DU248-DU243-DU244</f>
        <v>3918.8783498198177</v>
      </c>
      <c r="DV249" s="263">
        <f>DV248-DV243-DV244</f>
        <v>10226.521406584799</v>
      </c>
      <c r="DW249" s="1558">
        <f>SUM(DS249:DV249)</f>
        <v>20852.763524193237</v>
      </c>
      <c r="DX249" s="500"/>
      <c r="DY249" s="500"/>
      <c r="DZ249" s="500"/>
      <c r="EA249" s="500"/>
      <c r="EB249" s="500"/>
      <c r="EC249" s="500"/>
      <c r="ED249" s="500"/>
      <c r="EE249" s="500"/>
      <c r="EF249" s="500"/>
      <c r="EG249" s="500"/>
      <c r="EH249" s="500"/>
      <c r="EI249" s="500"/>
    </row>
    <row r="250" spans="1:157">
      <c r="A250" s="260" t="s">
        <v>344</v>
      </c>
      <c r="B250" s="260"/>
      <c r="C250" s="260"/>
      <c r="D250" s="260"/>
      <c r="E250" s="260"/>
      <c r="F250" s="260"/>
      <c r="G250" s="316"/>
      <c r="H250" s="260"/>
      <c r="I250" s="260"/>
      <c r="J250" s="260"/>
      <c r="K250" s="260"/>
      <c r="L250" s="260"/>
      <c r="M250" s="316"/>
      <c r="N250" s="260"/>
      <c r="O250" s="260"/>
      <c r="P250" s="260"/>
      <c r="Q250" s="260"/>
      <c r="R250" s="260"/>
      <c r="S250" s="316"/>
      <c r="T250" s="260"/>
      <c r="U250" s="260"/>
      <c r="V250" s="260"/>
      <c r="W250" s="260"/>
      <c r="X250" s="260"/>
      <c r="Y250" s="316"/>
      <c r="Z250" s="260"/>
      <c r="AA250" s="260"/>
      <c r="AB250" s="260"/>
      <c r="AC250" s="260"/>
      <c r="AD250" s="260"/>
      <c r="AE250" s="316"/>
      <c r="AF250" s="260"/>
      <c r="AG250" s="260"/>
      <c r="AH250" s="260"/>
      <c r="AI250" s="260"/>
      <c r="AJ250" s="260"/>
      <c r="AK250" s="316"/>
      <c r="AL250" s="260"/>
      <c r="AM250" s="260"/>
      <c r="AN250" s="1546"/>
      <c r="AO250" s="260"/>
      <c r="AP250" s="260"/>
      <c r="AQ250" s="507"/>
      <c r="AR250" s="260"/>
      <c r="AS250" s="263"/>
      <c r="AT250" s="263"/>
      <c r="AU250" s="263"/>
      <c r="AV250" s="263"/>
      <c r="AW250" s="507"/>
      <c r="AX250" s="260"/>
      <c r="AY250" s="263"/>
      <c r="AZ250" s="263"/>
      <c r="BA250" s="263"/>
      <c r="BB250" s="263"/>
      <c r="BC250" s="507"/>
      <c r="BD250" s="260"/>
      <c r="BE250" s="263"/>
      <c r="BF250" s="263"/>
      <c r="BG250" s="263"/>
      <c r="BH250" s="263"/>
      <c r="BI250" s="507"/>
      <c r="BJ250" s="260"/>
      <c r="BK250" s="263">
        <f>BK249-BK246-BK130</f>
        <v>342.59399999999994</v>
      </c>
      <c r="BL250" s="263">
        <f>BL249-BL246-BL130</f>
        <v>414.96200000000005</v>
      </c>
      <c r="BM250" s="263">
        <f>BM249-BM246-BM130</f>
        <v>433.32499999999987</v>
      </c>
      <c r="BN250" s="263">
        <f>BN249-BN246-BN130</f>
        <v>703.45100000000014</v>
      </c>
      <c r="BO250" s="1558">
        <f>BO249-BO246-BO130</f>
        <v>1894.3319999999999</v>
      </c>
      <c r="BP250" s="260"/>
      <c r="BQ250" s="263">
        <f>BQ249-BQ246-BQ130</f>
        <v>461.95600000000002</v>
      </c>
      <c r="BR250" s="263">
        <f>BR249-BR246-BR130</f>
        <v>549.93499999999983</v>
      </c>
      <c r="BS250" s="263">
        <f>BS249-BS246-BS130</f>
        <v>558.51499999999999</v>
      </c>
      <c r="BT250" s="263">
        <f>BT249-BT246-BT130</f>
        <v>949.38700000000017</v>
      </c>
      <c r="BU250" s="1558">
        <f>SUM(BQ250:BT250)</f>
        <v>2519.7930000000001</v>
      </c>
      <c r="BV250" s="260"/>
      <c r="BW250" s="263">
        <f>BW249-BW246-BW130</f>
        <v>666.08699999999999</v>
      </c>
      <c r="BX250" s="263">
        <f>BX249-BX246-BX130</f>
        <v>790.3180000000001</v>
      </c>
      <c r="BY250" s="263">
        <f>BY249-BY246-BY130</f>
        <v>752.83600000000001</v>
      </c>
      <c r="BZ250" s="263">
        <f>BZ249-BZ246-BZ130-30</f>
        <v>1354.173</v>
      </c>
      <c r="CA250" s="1558">
        <f>SUM(BW250:BZ250)</f>
        <v>3563.4139999999998</v>
      </c>
      <c r="CB250" s="260"/>
      <c r="CC250" s="263">
        <f>CC249-CC246-CC130+30</f>
        <v>843.798</v>
      </c>
      <c r="CD250" s="263">
        <f>CD249-CD246-CD130</f>
        <v>984.8950000000001</v>
      </c>
      <c r="CE250" s="263">
        <f>CE249-CE246-CE130</f>
        <v>1037.164174</v>
      </c>
      <c r="CF250" s="263">
        <f>CF249-CF246-CF130</f>
        <v>1935.7379999999998</v>
      </c>
      <c r="CG250" s="1558">
        <f>SUM(CC250:CF250)</f>
        <v>4801.595174</v>
      </c>
      <c r="CH250" s="260"/>
      <c r="CI250" s="263">
        <f>CI249-CI246-CI130</f>
        <v>1051.6686999999999</v>
      </c>
      <c r="CJ250" s="263">
        <f>CJ249-CJ246-CJ130</f>
        <v>1345.48864</v>
      </c>
      <c r="CK250" s="263">
        <f>CK249-CK246-CK130</f>
        <v>1298.0763199999999</v>
      </c>
      <c r="CL250" s="263">
        <f>CL249-CL246-CL130</f>
        <v>2594.3228799999997</v>
      </c>
      <c r="CM250" s="1558">
        <f>CM249-CM246</f>
        <v>6289.5565400000005</v>
      </c>
      <c r="CN250" s="260"/>
      <c r="CO250" s="263">
        <f>CO249-CO246-CO130</f>
        <v>1256.5873200000001</v>
      </c>
      <c r="CP250" s="263">
        <f>CP249-CP246-CP130</f>
        <v>1701.2606599999999</v>
      </c>
      <c r="CQ250" s="263">
        <f>CQ249-CQ246-CQ130</f>
        <v>1542.30117</v>
      </c>
      <c r="CR250" s="263">
        <f>CR249-CR246-CR130</f>
        <v>3299.9612200000001</v>
      </c>
      <c r="CS250" s="1558">
        <f>CS249-CS246</f>
        <v>7800.1103700000003</v>
      </c>
      <c r="CT250" s="260"/>
      <c r="CU250" s="263">
        <f>CU249-CU246-CU130</f>
        <v>1592.7100700000001</v>
      </c>
      <c r="CV250" s="263">
        <f>CV249-CV246-CV130</f>
        <v>1919.4890699999999</v>
      </c>
      <c r="CW250" s="263">
        <f>CW249-CW246-CW130</f>
        <v>1891.3516850000005</v>
      </c>
      <c r="CX250" s="263">
        <f>CX249-CX246-CX130</f>
        <v>4291.28982</v>
      </c>
      <c r="CY250" s="1558">
        <f>CY249-CY246</f>
        <v>9694.8406450000002</v>
      </c>
      <c r="CZ250" s="260"/>
      <c r="DA250" s="263">
        <f>DA249-DA246-DA130</f>
        <v>1838.5547099999997</v>
      </c>
      <c r="DB250" s="263">
        <f>DB249-DB246-DB130</f>
        <v>2313.5709999999999</v>
      </c>
      <c r="DC250" s="263">
        <f>DC249-DC246-DC130</f>
        <v>2210.2890000000002</v>
      </c>
      <c r="DD250" s="263">
        <f>DD249-DD246-DD130</f>
        <v>5433.6270000000004</v>
      </c>
      <c r="DE250" s="1558">
        <f>DE249-DE246</f>
        <v>11796.041710000001</v>
      </c>
      <c r="DF250" s="260"/>
      <c r="DG250" s="263">
        <f>DG249-DG246-DG130</f>
        <v>2086.3577969999992</v>
      </c>
      <c r="DH250" s="263">
        <f>DH249-DH246-DH130</f>
        <v>2823.1401287999997</v>
      </c>
      <c r="DI250" s="263">
        <f>DI249-DI246-DI130</f>
        <v>2736.8636969999998</v>
      </c>
      <c r="DJ250" s="263">
        <f>DJ249-DJ246-DJ130</f>
        <v>6890.7793990000009</v>
      </c>
      <c r="DK250" s="1558">
        <f>DK249-DK246</f>
        <v>14537.141021799998</v>
      </c>
      <c r="DL250" s="260"/>
      <c r="DM250" s="263">
        <f>DM249-DM246-DM130</f>
        <v>2365.7716755128681</v>
      </c>
      <c r="DN250" s="263">
        <f>DN249-DN246-DN130</f>
        <v>3370.8652585776445</v>
      </c>
      <c r="DO250" s="263">
        <f>DO249-DO246-DO130</f>
        <v>3272.7754113484343</v>
      </c>
      <c r="DP250" s="263">
        <f>DP249-DP246-DP130</f>
        <v>8445.3658499462581</v>
      </c>
      <c r="DQ250" s="1558">
        <f>DQ249-DQ246</f>
        <v>17454.778195385206</v>
      </c>
      <c r="DR250" s="260"/>
      <c r="DS250" s="263">
        <f>DS249-DS246-DS130</f>
        <v>2678.5402229848073</v>
      </c>
      <c r="DT250" s="263">
        <f>DT249-DT246-DT130</f>
        <v>4028.8235448038135</v>
      </c>
      <c r="DU250" s="263">
        <f>DU249-DU246-DU130</f>
        <v>3918.8783498198177</v>
      </c>
      <c r="DV250" s="263">
        <f>DV249-DV246-DV130</f>
        <v>10226.521406584799</v>
      </c>
      <c r="DW250" s="1558">
        <f>DW249-DW246</f>
        <v>20852.763524193237</v>
      </c>
      <c r="DX250" s="500"/>
      <c r="DY250" s="500"/>
      <c r="DZ250" s="500"/>
      <c r="EA250" s="500"/>
      <c r="EB250" s="500"/>
      <c r="EC250" s="500"/>
      <c r="ED250" s="500"/>
      <c r="EE250" s="500"/>
      <c r="EF250" s="500"/>
      <c r="EG250" s="500"/>
      <c r="EH250" s="500"/>
      <c r="EI250" s="500"/>
    </row>
    <row r="251" spans="1:157" s="923" customFormat="1">
      <c r="A251" s="260" t="s">
        <v>743</v>
      </c>
      <c r="B251" s="260"/>
      <c r="C251" s="260"/>
      <c r="D251" s="260"/>
      <c r="E251" s="260"/>
      <c r="F251" s="260"/>
      <c r="G251" s="260"/>
      <c r="H251" s="260"/>
      <c r="I251" s="260"/>
      <c r="J251" s="260"/>
      <c r="K251" s="260"/>
      <c r="L251" s="260"/>
      <c r="M251" s="260"/>
      <c r="N251" s="260"/>
      <c r="O251" s="260"/>
      <c r="P251" s="260"/>
      <c r="Q251" s="260"/>
      <c r="R251" s="260"/>
      <c r="S251" s="260"/>
      <c r="T251" s="260"/>
      <c r="U251" s="260"/>
      <c r="V251" s="260"/>
      <c r="W251" s="260"/>
      <c r="X251" s="260"/>
      <c r="Y251" s="260"/>
      <c r="Z251" s="260"/>
      <c r="AA251" s="260"/>
      <c r="AB251" s="260"/>
      <c r="AC251" s="260"/>
      <c r="AD251" s="260"/>
      <c r="AE251" s="260"/>
      <c r="AF251" s="260"/>
      <c r="AG251" s="260"/>
      <c r="AH251" s="260"/>
      <c r="AI251" s="260"/>
      <c r="AJ251" s="260"/>
      <c r="AK251" s="260"/>
      <c r="AL251" s="260"/>
      <c r="AM251" s="260"/>
      <c r="AN251" s="1546"/>
      <c r="AO251" s="260"/>
      <c r="AP251" s="260"/>
      <c r="AQ251" s="262"/>
      <c r="AR251" s="260"/>
      <c r="AS251" s="263">
        <f>AS249-AS237</f>
        <v>174.02100000000004</v>
      </c>
      <c r="AT251" s="263">
        <f>AT249-AT237</f>
        <v>202.75899999999993</v>
      </c>
      <c r="AU251" s="263">
        <f>AU249-AU237</f>
        <v>211.75900000000001</v>
      </c>
      <c r="AV251" s="263">
        <f>AV249-AV237</f>
        <v>356.99200000000002</v>
      </c>
      <c r="AW251" s="262"/>
      <c r="AX251" s="260"/>
      <c r="AY251" s="263">
        <f>AY249-AY237</f>
        <v>237.02500000000003</v>
      </c>
      <c r="AZ251" s="263">
        <f>AZ249-AZ237</f>
        <v>272.32599999999996</v>
      </c>
      <c r="BA251" s="263">
        <f>BA249-BA237</f>
        <v>266.47499999999997</v>
      </c>
      <c r="BB251" s="263">
        <f>BB249-BB237</f>
        <v>414.0750000000001</v>
      </c>
      <c r="BC251" s="262"/>
      <c r="BD251" s="260"/>
      <c r="BE251" s="263">
        <f>BE249-BE237</f>
        <v>260.27099999999996</v>
      </c>
      <c r="BF251" s="263">
        <f>BF249-BF237</f>
        <v>315.69799999999992</v>
      </c>
      <c r="BG251" s="263">
        <f>BG249-BG237</f>
        <v>326.97399999999993</v>
      </c>
      <c r="BH251" s="263">
        <f>BH249-BH237</f>
        <v>507.17034000000012</v>
      </c>
      <c r="BI251" s="262"/>
      <c r="BJ251" s="260"/>
      <c r="BK251" s="263">
        <f>BK249-BK237</f>
        <v>341.59399999999994</v>
      </c>
      <c r="BL251" s="263">
        <f>BL249-BL237</f>
        <v>406.96200000000005</v>
      </c>
      <c r="BM251" s="263">
        <f>BM249-BM237</f>
        <v>423.32499999999987</v>
      </c>
      <c r="BN251" s="263">
        <f>BN249-BN237</f>
        <v>690.45100000000014</v>
      </c>
      <c r="BO251" s="1558">
        <f>SUM(BK251:BN251)</f>
        <v>1862.3319999999999</v>
      </c>
      <c r="BP251" s="260"/>
      <c r="BQ251" s="263">
        <f>BQ249-BQ237</f>
        <v>453.95600000000002</v>
      </c>
      <c r="BR251" s="263">
        <f>BR249-BR237</f>
        <v>538.68499999999983</v>
      </c>
      <c r="BS251" s="263">
        <f>BS249-BS237</f>
        <v>541.61500000000001</v>
      </c>
      <c r="BT251" s="263">
        <f>BT249-BT237</f>
        <v>1083.3870000000002</v>
      </c>
      <c r="BU251" s="1558">
        <f>SUM(BQ251:BT251)</f>
        <v>2617.643</v>
      </c>
      <c r="BV251" s="260"/>
      <c r="BW251" s="263">
        <f>BW249-BW237</f>
        <v>626.83699999999999</v>
      </c>
      <c r="BX251" s="263">
        <f>BX249-BX237</f>
        <v>754.3180000000001</v>
      </c>
      <c r="BY251" s="263">
        <f>BY249-BY237</f>
        <v>721.83600000000001</v>
      </c>
      <c r="BZ251" s="263">
        <f>BZ249-BZ237</f>
        <v>1374.423</v>
      </c>
      <c r="CA251" s="1558">
        <f>SUM(BW251:BZ251)</f>
        <v>3477.4139999999998</v>
      </c>
      <c r="CB251" s="260"/>
      <c r="CC251" s="263">
        <f>CC249-CC237</f>
        <v>775.048</v>
      </c>
      <c r="CD251" s="263">
        <f>CD249-CD237</f>
        <v>938.6450000000001</v>
      </c>
      <c r="CE251" s="263">
        <f>CE249-CE234-CE235-20</f>
        <v>911.16417400000012</v>
      </c>
      <c r="CF251" s="263">
        <f>CF249-CF234-CF235-34</f>
        <v>1813.7379999999998</v>
      </c>
      <c r="CG251" s="1558">
        <f>SUM(CC251:CF251)</f>
        <v>4438.595174</v>
      </c>
      <c r="CH251" s="260"/>
      <c r="CI251" s="263">
        <f>CI249-85</f>
        <v>929.27199999999993</v>
      </c>
      <c r="CJ251" s="263">
        <f>CJ249-CJ237</f>
        <v>1236.8399999999999</v>
      </c>
      <c r="CK251" s="263">
        <f>CK249-CK237</f>
        <v>1296.2239999999999</v>
      </c>
      <c r="CL251" s="263">
        <f>CL249-CL237</f>
        <v>2620.08</v>
      </c>
      <c r="CM251" s="1558">
        <f>SUM(CI251:CL251)</f>
        <v>6082.4160000000002</v>
      </c>
      <c r="CN251" s="260"/>
      <c r="CO251" s="263">
        <f>CO249-CO237</f>
        <v>1280.538</v>
      </c>
      <c r="CP251" s="263">
        <f>CP249-CP237</f>
        <v>1674.854</v>
      </c>
      <c r="CQ251" s="263">
        <f>CQ249-CQ237</f>
        <v>1570.069</v>
      </c>
      <c r="CR251" s="263">
        <f>CR249-CR237</f>
        <v>3321.4410000000003</v>
      </c>
      <c r="CS251" s="1558">
        <f>SUM(CO251:CR251)</f>
        <v>7846.902</v>
      </c>
      <c r="CT251" s="260"/>
      <c r="CU251" s="263">
        <f>CU249-CU237</f>
        <v>1592.4860000000001</v>
      </c>
      <c r="CV251" s="263">
        <f>CV249-CV237</f>
        <v>1887.2649999999999</v>
      </c>
      <c r="CW251" s="263">
        <f>CW249-CW237</f>
        <v>1825.3470000000007</v>
      </c>
      <c r="CX251" s="263">
        <f>CX249-CX237</f>
        <v>4259.6559999999999</v>
      </c>
      <c r="CY251" s="1558">
        <f>SUM(CU251:CX251)</f>
        <v>9564.7540000000008</v>
      </c>
      <c r="CZ251" s="260"/>
      <c r="DA251" s="263">
        <f>DA249-DA237</f>
        <v>1799.4289999999996</v>
      </c>
      <c r="DB251" s="263">
        <f>DB249-DB237</f>
        <v>2246.5709999999999</v>
      </c>
      <c r="DC251" s="263">
        <f>DC249-DC237</f>
        <v>2210.2890000000002</v>
      </c>
      <c r="DD251" s="263">
        <f>DD249-DD237</f>
        <v>5433.6270000000004</v>
      </c>
      <c r="DE251" s="1558">
        <f>SUM(DA251:DD251)</f>
        <v>11689.916000000001</v>
      </c>
      <c r="DF251" s="260"/>
      <c r="DG251" s="263">
        <f>DG249-DG237</f>
        <v>2086.3577969999992</v>
      </c>
      <c r="DH251" s="263">
        <f>DH249-DH237</f>
        <v>2823.1401287999997</v>
      </c>
      <c r="DI251" s="263">
        <f>DI249-DI237</f>
        <v>2736.8636969999998</v>
      </c>
      <c r="DJ251" s="263">
        <f>DJ249-DJ237</f>
        <v>6890.7793990000009</v>
      </c>
      <c r="DK251" s="1558">
        <f>SUM(DG251:DJ251)</f>
        <v>14537.141021799998</v>
      </c>
      <c r="DL251" s="260"/>
      <c r="DM251" s="263">
        <f>DM249-DM237</f>
        <v>2365.7716755128681</v>
      </c>
      <c r="DN251" s="263">
        <f>DN249-DN237</f>
        <v>3370.8652585776445</v>
      </c>
      <c r="DO251" s="263">
        <f>DO249-DO237</f>
        <v>3272.7754113484343</v>
      </c>
      <c r="DP251" s="263">
        <f>DP249-DP237</f>
        <v>8445.3658499462581</v>
      </c>
      <c r="DQ251" s="1558">
        <f>SUM(DM251:DP251)</f>
        <v>17454.778195385206</v>
      </c>
      <c r="DR251" s="260"/>
      <c r="DS251" s="263">
        <f>DS249-DS237</f>
        <v>2678.5402229848073</v>
      </c>
      <c r="DT251" s="263">
        <f>DT249-DT237</f>
        <v>4028.8235448038135</v>
      </c>
      <c r="DU251" s="263">
        <f>DU249-DU237</f>
        <v>3918.8783498198177</v>
      </c>
      <c r="DV251" s="263">
        <f>DV249-DV237</f>
        <v>10226.521406584799</v>
      </c>
      <c r="DW251" s="1558">
        <f>SUM(DS251:DV251)</f>
        <v>20852.763524193237</v>
      </c>
      <c r="DX251" s="500"/>
      <c r="DY251" s="500"/>
      <c r="DZ251" s="500"/>
      <c r="EA251" s="500"/>
      <c r="EB251" s="500"/>
      <c r="EC251" s="500"/>
      <c r="ED251" s="500"/>
      <c r="EE251" s="500"/>
      <c r="EF251" s="500"/>
      <c r="EG251" s="500"/>
      <c r="EH251" s="500"/>
      <c r="EI251" s="500"/>
      <c r="EJ251" s="656"/>
      <c r="EK251" s="656"/>
      <c r="EL251" s="656"/>
    </row>
    <row r="252" spans="1:157" s="923" customFormat="1">
      <c r="A252" s="260" t="s">
        <v>345</v>
      </c>
      <c r="B252" s="260"/>
      <c r="C252" s="260"/>
      <c r="D252" s="260"/>
      <c r="E252" s="260"/>
      <c r="F252" s="260"/>
      <c r="G252" s="260"/>
      <c r="H252" s="260"/>
      <c r="I252" s="260"/>
      <c r="J252" s="260"/>
      <c r="K252" s="260"/>
      <c r="L252" s="260"/>
      <c r="M252" s="260"/>
      <c r="N252" s="260"/>
      <c r="O252" s="260"/>
      <c r="P252" s="260"/>
      <c r="Q252" s="260"/>
      <c r="R252" s="260"/>
      <c r="S252" s="260"/>
      <c r="T252" s="260"/>
      <c r="U252" s="260"/>
      <c r="V252" s="260"/>
      <c r="W252" s="260"/>
      <c r="X252" s="260"/>
      <c r="Y252" s="260"/>
      <c r="Z252" s="260"/>
      <c r="AA252" s="260"/>
      <c r="AB252" s="260"/>
      <c r="AC252" s="260"/>
      <c r="AD252" s="260"/>
      <c r="AE252" s="260"/>
      <c r="AF252" s="260"/>
      <c r="AG252" s="260"/>
      <c r="AH252" s="260"/>
      <c r="AI252" s="260"/>
      <c r="AJ252" s="260"/>
      <c r="AK252" s="260"/>
      <c r="AL252" s="260"/>
      <c r="AM252" s="260"/>
      <c r="AN252" s="1546"/>
      <c r="AO252" s="260"/>
      <c r="AP252" s="260"/>
      <c r="AQ252" s="262"/>
      <c r="AR252" s="260"/>
      <c r="AS252" s="263">
        <f>AS139-AS237-AS246-AS243-AS244-AS130</f>
        <v>174.02100000000004</v>
      </c>
      <c r="AT252" s="263">
        <f>AT139-AT237-AT246-AT243-AT244-AT130</f>
        <v>202.75899999999993</v>
      </c>
      <c r="AU252" s="263">
        <f>AU139-AU237-AU246-AU243-AU244-AU130</f>
        <v>211.75900000000001</v>
      </c>
      <c r="AV252" s="263">
        <f>AV139-AV237-AV246-AV243-AV244-AV130</f>
        <v>356.99200000000002</v>
      </c>
      <c r="AW252" s="262"/>
      <c r="AX252" s="260"/>
      <c r="AY252" s="263">
        <f>AY139-AY237-AY246-AY243-AY244-AY130</f>
        <v>237.02500000000003</v>
      </c>
      <c r="AZ252" s="263">
        <f>AZ139-AZ237-AZ246-AZ243-AZ244-AZ130</f>
        <v>272.32599999999996</v>
      </c>
      <c r="BA252" s="263">
        <f>BA139-BA237-BA246-BA243-BA244-BA130</f>
        <v>266.47499999999997</v>
      </c>
      <c r="BB252" s="263">
        <f>BB139-BB237-BB246-BB243-BB244-BB130</f>
        <v>414.0750000000001</v>
      </c>
      <c r="BC252" s="262"/>
      <c r="BD252" s="260"/>
      <c r="BE252" s="263">
        <f>BE139-BE237-BE246-BE243-BE244-BE130</f>
        <v>260.27099999999996</v>
      </c>
      <c r="BF252" s="263">
        <f>BF139-BF237-BF246-BF243-BF244-BF130</f>
        <v>315.69799999999992</v>
      </c>
      <c r="BG252" s="263">
        <f>BG139-BG237-BG246-BG243-BG244-BG130</f>
        <v>326.97399999999993</v>
      </c>
      <c r="BH252" s="263">
        <f>BH139-BH237-BH246-BH243-BH244-BH130</f>
        <v>507.17034000000012</v>
      </c>
      <c r="BI252" s="262"/>
      <c r="BJ252" s="260"/>
      <c r="BK252" s="263">
        <f>BK250-BK237-BK130</f>
        <v>341.59399999999994</v>
      </c>
      <c r="BL252" s="263">
        <f>BL250-BL237-BL130</f>
        <v>406.96200000000005</v>
      </c>
      <c r="BM252" s="263">
        <f>BM250-BM237-BM130</f>
        <v>423.32499999999987</v>
      </c>
      <c r="BN252" s="263">
        <f>BN250-BN237-BN130</f>
        <v>690.45100000000014</v>
      </c>
      <c r="BO252" s="1558">
        <f>BO250-BO237</f>
        <v>1862.3319999999999</v>
      </c>
      <c r="BP252" s="260"/>
      <c r="BQ252" s="263">
        <f>BQ250-BQ237</f>
        <v>453.95600000000002</v>
      </c>
      <c r="BR252" s="263">
        <f>BR250-BR237</f>
        <v>538.68499999999983</v>
      </c>
      <c r="BS252" s="263">
        <f>BS250-BS237</f>
        <v>541.61500000000001</v>
      </c>
      <c r="BT252" s="263">
        <f>BT250-BT237</f>
        <v>928.38700000000017</v>
      </c>
      <c r="BU252" s="1558">
        <f>SUM(BQ252:BT252)</f>
        <v>2462.643</v>
      </c>
      <c r="BV252" s="260"/>
      <c r="BW252" s="263">
        <f>BW250-BW237-BW130</f>
        <v>636.83699999999999</v>
      </c>
      <c r="BX252" s="263">
        <f>BX250-BX237-BX130</f>
        <v>779.3180000000001</v>
      </c>
      <c r="BY252" s="263">
        <f>BY250-BY237-BY130</f>
        <v>731.83600000000001</v>
      </c>
      <c r="BZ252" s="263">
        <f>BZ250-BZ237-BZ130</f>
        <v>1329.423</v>
      </c>
      <c r="CA252" s="1558">
        <f>SUM(BW252:BZ252)</f>
        <v>3477.4139999999998</v>
      </c>
      <c r="CB252" s="260"/>
      <c r="CC252" s="263">
        <f>CC250-CC237-CC130</f>
        <v>830.048</v>
      </c>
      <c r="CD252" s="263">
        <f>CD250-CD237-CD130</f>
        <v>953.6450000000001</v>
      </c>
      <c r="CE252" s="263">
        <f>CE250-CE234-CE235-20-CE130</f>
        <v>929.164174</v>
      </c>
      <c r="CF252" s="263">
        <f>CF250-CF234-CF235-34-CF130</f>
        <v>1805.7379999999998</v>
      </c>
      <c r="CG252" s="1558">
        <f>SUM(CC252:CF252)</f>
        <v>4518.595174</v>
      </c>
      <c r="CH252" s="260"/>
      <c r="CI252" s="263">
        <f>CI250-85</f>
        <v>966.66869999999994</v>
      </c>
      <c r="CJ252" s="263">
        <f>CJ250-CJ237-CJ130</f>
        <v>1230.48864</v>
      </c>
      <c r="CK252" s="263">
        <f>CK250-CK237-CK130</f>
        <v>1298.0763199999999</v>
      </c>
      <c r="CL252" s="263">
        <f>CL250-CL237-CL130</f>
        <v>2594.3228799999997</v>
      </c>
      <c r="CM252" s="1558">
        <f>SUM(CI252:CL252)</f>
        <v>6089.5565399999996</v>
      </c>
      <c r="CN252" s="260"/>
      <c r="CO252" s="263">
        <f>CO250-CO237-CO130</f>
        <v>1256.5873200000001</v>
      </c>
      <c r="CP252" s="263">
        <f>CP250-CP237-CP130</f>
        <v>1701.2606599999999</v>
      </c>
      <c r="CQ252" s="263">
        <f>CQ250-CQ237-CQ130</f>
        <v>1542.30117</v>
      </c>
      <c r="CR252" s="263">
        <f>CR250-CR237-CR130</f>
        <v>3299.9612200000001</v>
      </c>
      <c r="CS252" s="1558">
        <f>CS249-CS237-CS246-CS130</f>
        <v>7800.1103700000003</v>
      </c>
      <c r="CT252" s="260"/>
      <c r="CU252" s="263">
        <f>CU250-CU237-CU130</f>
        <v>1592.7100700000001</v>
      </c>
      <c r="CV252" s="263">
        <f>CV250-CV237-CV130</f>
        <v>1887.4890699999999</v>
      </c>
      <c r="CW252" s="263">
        <f>CW250-CW237-CW130</f>
        <v>1835.3516850000005</v>
      </c>
      <c r="CX252" s="263">
        <f>CX250-CX237-CX130</f>
        <v>4209.28982</v>
      </c>
      <c r="CY252" s="1558">
        <f>CY249-CY237-CY246-CY130</f>
        <v>9524.8406450000002</v>
      </c>
      <c r="CZ252" s="260"/>
      <c r="DA252" s="263">
        <f>DA250-DA237-DA130</f>
        <v>1780.5547099999997</v>
      </c>
      <c r="DB252" s="263">
        <f>DB250-DB237-DB130</f>
        <v>2246.5709999999999</v>
      </c>
      <c r="DC252" s="263">
        <f>DC250-DC237-DC130</f>
        <v>2210.2890000000002</v>
      </c>
      <c r="DD252" s="263">
        <f>DD250-DD237-DD130</f>
        <v>5433.6270000000004</v>
      </c>
      <c r="DE252" s="1558">
        <f>DE249-DE237-DE246-DE130</f>
        <v>11671.041710000001</v>
      </c>
      <c r="DF252" s="260"/>
      <c r="DG252" s="263">
        <f>DG250-DG237-DG130</f>
        <v>2086.3577969999992</v>
      </c>
      <c r="DH252" s="263">
        <f>DH250-DH237-DH130</f>
        <v>2823.1401287999997</v>
      </c>
      <c r="DI252" s="263">
        <f>DI250-DI237-DI130</f>
        <v>2736.8636969999998</v>
      </c>
      <c r="DJ252" s="263">
        <f>DJ250-DJ237-DJ130</f>
        <v>6890.7793990000009</v>
      </c>
      <c r="DK252" s="1558">
        <f>DK249-DK237-DK246-DK130</f>
        <v>14537.141021799998</v>
      </c>
      <c r="DL252" s="260"/>
      <c r="DM252" s="263">
        <f>DM250-DM237-DM130</f>
        <v>2365.7716755128681</v>
      </c>
      <c r="DN252" s="263">
        <f>DN250-DN237-DN130</f>
        <v>3370.8652585776445</v>
      </c>
      <c r="DO252" s="263">
        <f>DO250-DO237-DO130</f>
        <v>3272.7754113484343</v>
      </c>
      <c r="DP252" s="263">
        <f>DP250-DP237-DP130</f>
        <v>8445.3658499462581</v>
      </c>
      <c r="DQ252" s="1558">
        <f>DQ249-DQ237-DQ246-DQ130</f>
        <v>17454.778195385206</v>
      </c>
      <c r="DR252" s="260"/>
      <c r="DS252" s="263">
        <f>DS250-DS237-DS130</f>
        <v>2678.5402229848073</v>
      </c>
      <c r="DT252" s="263">
        <f>DT250-DT237-DT130</f>
        <v>4028.8235448038135</v>
      </c>
      <c r="DU252" s="263">
        <f>DU250-DU237-DU130</f>
        <v>3918.8783498198177</v>
      </c>
      <c r="DV252" s="263">
        <f>DV250-DV237-DV130</f>
        <v>10226.521406584799</v>
      </c>
      <c r="DW252" s="1558">
        <f>DW249-DW237-DW246-DW130</f>
        <v>20852.763524193237</v>
      </c>
      <c r="DX252" s="500"/>
      <c r="DY252" s="500"/>
      <c r="DZ252" s="500"/>
      <c r="EA252" s="500"/>
      <c r="EB252" s="500"/>
      <c r="EC252" s="500"/>
      <c r="ED252" s="500"/>
      <c r="EE252" s="500"/>
      <c r="EF252" s="500"/>
      <c r="EG252" s="500"/>
      <c r="EH252" s="500"/>
      <c r="EI252" s="500"/>
      <c r="EJ252" s="656"/>
      <c r="EK252" s="656"/>
      <c r="EL252" s="656"/>
    </row>
    <row r="253" spans="1:157" s="923" customFormat="1">
      <c r="A253" s="260"/>
      <c r="B253" s="260"/>
      <c r="C253" s="260"/>
      <c r="D253" s="260"/>
      <c r="E253" s="260"/>
      <c r="F253" s="260"/>
      <c r="G253" s="260"/>
      <c r="H253" s="260"/>
      <c r="I253" s="260"/>
      <c r="J253" s="260"/>
      <c r="K253" s="260"/>
      <c r="L253" s="260"/>
      <c r="M253" s="260"/>
      <c r="N253" s="260"/>
      <c r="O253" s="260"/>
      <c r="P253" s="260"/>
      <c r="Q253" s="260"/>
      <c r="R253" s="260"/>
      <c r="S253" s="260"/>
      <c r="T253" s="260"/>
      <c r="U253" s="260"/>
      <c r="V253" s="260"/>
      <c r="W253" s="260"/>
      <c r="X253" s="260"/>
      <c r="Y253" s="260"/>
      <c r="Z253" s="260"/>
      <c r="AA253" s="260"/>
      <c r="AB253" s="260"/>
      <c r="AC253" s="260"/>
      <c r="AD253" s="260"/>
      <c r="AE253" s="260"/>
      <c r="AF253" s="260"/>
      <c r="AG253" s="260"/>
      <c r="AH253" s="260"/>
      <c r="AI253" s="260"/>
      <c r="AJ253" s="260"/>
      <c r="AK253" s="260"/>
      <c r="AL253" s="260"/>
      <c r="AM253" s="260"/>
      <c r="AN253" s="1546"/>
      <c r="AO253" s="260"/>
      <c r="AP253" s="260"/>
      <c r="AQ253" s="262"/>
      <c r="AR253" s="260"/>
      <c r="AS253" s="260"/>
      <c r="AT253" s="260"/>
      <c r="AU253" s="260"/>
      <c r="AV253" s="260"/>
      <c r="AW253" s="262"/>
      <c r="AX253" s="260"/>
      <c r="AY253" s="260"/>
      <c r="AZ253" s="260"/>
      <c r="BA253" s="260"/>
      <c r="BB253" s="260"/>
      <c r="BC253" s="262"/>
      <c r="BD253" s="260"/>
      <c r="BE253" s="260"/>
      <c r="BF253" s="260"/>
      <c r="BG253" s="260"/>
      <c r="BH253" s="263"/>
      <c r="BI253" s="262"/>
      <c r="BJ253" s="260"/>
      <c r="BK253" s="263"/>
      <c r="BL253" s="263"/>
      <c r="BM253" s="263"/>
      <c r="BN253" s="263"/>
      <c r="BO253" s="1558"/>
      <c r="BP253" s="260"/>
      <c r="BQ253" s="1562"/>
      <c r="BR253" s="1562"/>
      <c r="BS253" s="1562"/>
      <c r="BT253" s="263"/>
      <c r="BU253" s="1558"/>
      <c r="BV253" s="260"/>
      <c r="BW253" s="263"/>
      <c r="BX253" s="263"/>
      <c r="BY253" s="263"/>
      <c r="BZ253" s="263"/>
      <c r="CA253" s="281"/>
      <c r="CB253" s="260"/>
      <c r="CC253" s="263"/>
      <c r="CD253" s="263"/>
      <c r="CE253" s="263"/>
      <c r="CF253" s="263"/>
      <c r="CG253" s="1558"/>
      <c r="CH253" s="260"/>
      <c r="CI253" s="263"/>
      <c r="CJ253" s="263"/>
      <c r="CK253" s="263"/>
      <c r="CL253" s="263"/>
      <c r="CM253" s="1558"/>
      <c r="CN253" s="260"/>
      <c r="CO253" s="263"/>
      <c r="CP253" s="263"/>
      <c r="CQ253" s="263"/>
      <c r="CR253" s="263"/>
      <c r="CS253" s="871"/>
      <c r="CT253" s="260"/>
      <c r="CU253" s="263"/>
      <c r="CV253" s="263"/>
      <c r="CW253" s="263"/>
      <c r="CX253" s="263"/>
      <c r="CY253" s="1558"/>
      <c r="CZ253" s="260"/>
      <c r="DA253" s="263"/>
      <c r="DB253" s="263"/>
      <c r="DC253" s="263"/>
      <c r="DD253" s="263"/>
      <c r="DE253" s="1558"/>
      <c r="DF253" s="260"/>
      <c r="DG253" s="263"/>
      <c r="DH253" s="263"/>
      <c r="DI253" s="263"/>
      <c r="DJ253" s="263"/>
      <c r="DK253" s="1558"/>
      <c r="DL253" s="260"/>
      <c r="DM253" s="263"/>
      <c r="DN253" s="263"/>
      <c r="DO253" s="263"/>
      <c r="DP253" s="263"/>
      <c r="DQ253" s="1558"/>
      <c r="DR253" s="260"/>
      <c r="DS253" s="263"/>
      <c r="DT253" s="263"/>
      <c r="DU253" s="263"/>
      <c r="DV253" s="263"/>
      <c r="DW253" s="1558"/>
      <c r="DX253" s="500"/>
      <c r="DY253" s="500"/>
      <c r="DZ253" s="500"/>
      <c r="EA253" s="500"/>
      <c r="EB253" s="500"/>
      <c r="EC253" s="500"/>
      <c r="ED253" s="500"/>
      <c r="EE253" s="500"/>
      <c r="EF253" s="500"/>
      <c r="EG253" s="500"/>
      <c r="EH253" s="500"/>
      <c r="EI253" s="500"/>
      <c r="EJ253" s="656"/>
      <c r="EK253" s="656"/>
      <c r="EL253" s="656"/>
    </row>
    <row r="254" spans="1:157" s="923" customFormat="1">
      <c r="A254" s="305" t="s">
        <v>662</v>
      </c>
      <c r="B254" s="260"/>
      <c r="C254" s="260"/>
      <c r="D254" s="260"/>
      <c r="E254" s="260"/>
      <c r="F254" s="260"/>
      <c r="G254" s="260"/>
      <c r="H254" s="260"/>
      <c r="I254" s="260"/>
      <c r="J254" s="260"/>
      <c r="K254" s="260"/>
      <c r="L254" s="260"/>
      <c r="M254" s="260"/>
      <c r="N254" s="260"/>
      <c r="O254" s="260"/>
      <c r="P254" s="260"/>
      <c r="Q254" s="260"/>
      <c r="R254" s="260"/>
      <c r="S254" s="260"/>
      <c r="T254" s="260"/>
      <c r="U254" s="260"/>
      <c r="V254" s="260"/>
      <c r="W254" s="260"/>
      <c r="X254" s="260"/>
      <c r="Y254" s="260"/>
      <c r="Z254" s="260"/>
      <c r="AA254" s="260"/>
      <c r="AB254" s="260"/>
      <c r="AC254" s="260"/>
      <c r="AD254" s="260"/>
      <c r="AE254" s="260"/>
      <c r="AF254" s="260"/>
      <c r="AG254" s="260"/>
      <c r="AH254" s="260"/>
      <c r="AI254" s="260"/>
      <c r="AJ254" s="260"/>
      <c r="AK254" s="260"/>
      <c r="AL254" s="260"/>
      <c r="AM254" s="260"/>
      <c r="AN254" s="1546"/>
      <c r="AO254" s="260"/>
      <c r="AP254" s="260"/>
      <c r="AQ254" s="262"/>
      <c r="AR254" s="260"/>
      <c r="AS254" s="260"/>
      <c r="AT254" s="260"/>
      <c r="AU254" s="260"/>
      <c r="AV254" s="260"/>
      <c r="AW254" s="262"/>
      <c r="AX254" s="260"/>
      <c r="AY254" s="260"/>
      <c r="AZ254" s="260"/>
      <c r="BA254" s="260"/>
      <c r="BB254" s="260"/>
      <c r="BC254" s="262"/>
      <c r="BD254" s="260"/>
      <c r="BE254" s="260"/>
      <c r="BF254" s="260"/>
      <c r="BG254" s="260"/>
      <c r="BH254" s="274">
        <f>BH140</f>
        <v>0.23881422447624212</v>
      </c>
      <c r="BI254" s="262"/>
      <c r="BJ254" s="260"/>
      <c r="BK254" s="275">
        <f>BK140</f>
        <v>0.29478120881696368</v>
      </c>
      <c r="BL254" s="275">
        <f>BL140</f>
        <v>0.30777515220242169</v>
      </c>
      <c r="BM254" s="275">
        <f>BM140</f>
        <v>0.34758421158868891</v>
      </c>
      <c r="BN254" s="275">
        <f>BN140</f>
        <v>0.3592644289440543</v>
      </c>
      <c r="BO254" s="277">
        <f>BO140</f>
        <v>0.33323351496039622</v>
      </c>
      <c r="BP254" s="269"/>
      <c r="BQ254" s="275">
        <f>BQ140</f>
        <v>0.43787723223558928</v>
      </c>
      <c r="BR254" s="275">
        <f>BR140</f>
        <v>0.37124511337928867</v>
      </c>
      <c r="BS254" s="275">
        <f>BS140</f>
        <v>0.28638865248226963</v>
      </c>
      <c r="BT254" s="275">
        <f>BT140</f>
        <v>0.56957394109151505</v>
      </c>
      <c r="BU254" s="277">
        <f>BU140</f>
        <v>0.43658792667603263</v>
      </c>
      <c r="BV254" s="269"/>
      <c r="BW254" s="275">
        <f>BW140</f>
        <v>0.34120101701351313</v>
      </c>
      <c r="BX254" s="275">
        <f>BX140</f>
        <v>0.29671898045519218</v>
      </c>
      <c r="BY254" s="275">
        <f>BY140</f>
        <v>0.30489842364792752</v>
      </c>
      <c r="BZ254" s="275">
        <f>BZ140</f>
        <v>0.28471281182981856</v>
      </c>
      <c r="CA254" s="277">
        <f>CA140</f>
        <v>0.30153143947788497</v>
      </c>
      <c r="CB254" s="269"/>
      <c r="CC254" s="275">
        <f>CC140</f>
        <v>0.17373943470172515</v>
      </c>
      <c r="CD254" s="275">
        <f>CD140</f>
        <v>0.31708390204299586</v>
      </c>
      <c r="CE254" s="275">
        <f>CE140</f>
        <v>0.38029382020345159</v>
      </c>
      <c r="CF254" s="275">
        <f>CF140</f>
        <v>0.37466224458079922</v>
      </c>
      <c r="CG254" s="277">
        <f>CG140</f>
        <v>0.32687200356752877</v>
      </c>
      <c r="CH254" s="269"/>
      <c r="CI254" s="275">
        <f>CI140</f>
        <v>0.34933757036594204</v>
      </c>
      <c r="CJ254" s="275">
        <f>CJ140</f>
        <v>0.39295373334229655</v>
      </c>
      <c r="CK254" s="275">
        <f>CK140</f>
        <v>0.22852930949197514</v>
      </c>
      <c r="CL254" s="275">
        <f>CL140</f>
        <v>0.31527397919428291</v>
      </c>
      <c r="CM254" s="277">
        <f>CM140</f>
        <v>0.31795002974369191</v>
      </c>
      <c r="CN254" s="269"/>
      <c r="CO254" s="275">
        <f>CO140</f>
        <v>0.21108705959163387</v>
      </c>
      <c r="CP254" s="275">
        <f>CP140</f>
        <v>0.1975097264708503</v>
      </c>
      <c r="CQ254" s="275">
        <f>CQ140</f>
        <v>0.2143516628608606</v>
      </c>
      <c r="CR254" s="275">
        <f>CR140</f>
        <v>0.28022760888721066</v>
      </c>
      <c r="CS254" s="277">
        <f>CS140</f>
        <v>0.23726301014059969</v>
      </c>
      <c r="CT254" s="269"/>
      <c r="CU254" s="275">
        <f>CU140</f>
        <v>0.30239591572820079</v>
      </c>
      <c r="CV254" s="275">
        <f>CV140</f>
        <v>0.14905936929195063</v>
      </c>
      <c r="CW254" s="275">
        <f>CW140</f>
        <v>0.19255726431304199</v>
      </c>
      <c r="CX254" s="275">
        <f>CX140</f>
        <v>0.33192028984393929</v>
      </c>
      <c r="CY254" s="277">
        <f>CY140</f>
        <v>0.26068843098942485</v>
      </c>
      <c r="CZ254" s="269"/>
      <c r="DA254" s="275">
        <f>DA140</f>
        <v>0.16257793414910848</v>
      </c>
      <c r="DB254" s="275">
        <f>DB140</f>
        <v>0.26132582226502965</v>
      </c>
      <c r="DC254" s="275">
        <f>DC140</f>
        <v>0.24056086199388083</v>
      </c>
      <c r="DD254" s="275">
        <f>DD140</f>
        <v>0.28121516447902684</v>
      </c>
      <c r="DE254" s="277">
        <f>DE140</f>
        <v>0.24971161498310002</v>
      </c>
      <c r="DF254" s="269"/>
      <c r="DG254" s="275">
        <f>DG140</f>
        <v>0.1053967047237272</v>
      </c>
      <c r="DH254" s="275">
        <f>DH140</f>
        <v>0.20772379910599503</v>
      </c>
      <c r="DI254" s="275">
        <f>DI140</f>
        <v>0.21460837779796527</v>
      </c>
      <c r="DJ254" s="275">
        <f>DJ140</f>
        <v>0.2407710130694769</v>
      </c>
      <c r="DK254" s="277">
        <f>DK140</f>
        <v>0.20821496940304418</v>
      </c>
      <c r="DL254" s="269"/>
      <c r="DM254" s="275">
        <f>DM140</f>
        <v>0.13392423816981047</v>
      </c>
      <c r="DN254" s="275">
        <f>DN140</f>
        <v>0.19401273220201798</v>
      </c>
      <c r="DO254" s="275">
        <f>DO140</f>
        <v>0.19581235080719273</v>
      </c>
      <c r="DP254" s="275">
        <f>DP140</f>
        <v>0.22560386292033385</v>
      </c>
      <c r="DQ254" s="277">
        <f>DQ140</f>
        <v>0.20070226801885571</v>
      </c>
      <c r="DR254" s="269"/>
      <c r="DS254" s="275">
        <f>DS140</f>
        <v>0.13220571989650476</v>
      </c>
      <c r="DT254" s="275">
        <f>DT140</f>
        <v>0.19518973193956679</v>
      </c>
      <c r="DU254" s="275">
        <f>DU140</f>
        <v>0.19741743849303095</v>
      </c>
      <c r="DV254" s="275">
        <f>DV140</f>
        <v>0.21090330345486175</v>
      </c>
      <c r="DW254" s="277">
        <f>DW140</f>
        <v>0.1946736469963517</v>
      </c>
      <c r="DX254" s="500"/>
      <c r="DY254" s="500"/>
      <c r="DZ254" s="500"/>
      <c r="EA254" s="500"/>
      <c r="EB254" s="500"/>
      <c r="EC254" s="500"/>
      <c r="ED254" s="500"/>
      <c r="EE254" s="500"/>
      <c r="EF254" s="500"/>
      <c r="EG254" s="500"/>
      <c r="EH254" s="500"/>
      <c r="EI254" s="500"/>
      <c r="EJ254" s="656"/>
      <c r="EK254" s="656"/>
      <c r="EL254" s="656"/>
    </row>
    <row r="255" spans="1:157">
      <c r="A255" s="305" t="s">
        <v>738</v>
      </c>
      <c r="B255" s="260"/>
      <c r="C255" s="260"/>
      <c r="D255" s="260"/>
      <c r="E255" s="260"/>
      <c r="F255" s="260"/>
      <c r="G255" s="316"/>
      <c r="H255" s="260"/>
      <c r="I255" s="260"/>
      <c r="J255" s="260"/>
      <c r="K255" s="260"/>
      <c r="L255" s="260"/>
      <c r="M255" s="316"/>
      <c r="N255" s="260"/>
      <c r="O255" s="260"/>
      <c r="P255" s="260"/>
      <c r="Q255" s="260"/>
      <c r="R255" s="260"/>
      <c r="S255" s="316"/>
      <c r="T255" s="260"/>
      <c r="U255" s="260"/>
      <c r="V255" s="260"/>
      <c r="W255" s="260"/>
      <c r="X255" s="260"/>
      <c r="Y255" s="316"/>
      <c r="Z255" s="260"/>
      <c r="AA255" s="260"/>
      <c r="AB255" s="260"/>
      <c r="AC255" s="260"/>
      <c r="AD255" s="260"/>
      <c r="AE255" s="316"/>
      <c r="AF255" s="260"/>
      <c r="AG255" s="260"/>
      <c r="AH255" s="260"/>
      <c r="AI255" s="260"/>
      <c r="AJ255" s="260"/>
      <c r="AK255" s="316"/>
      <c r="AL255" s="260"/>
      <c r="AM255" s="260"/>
      <c r="AN255" s="1546"/>
      <c r="AO255" s="260"/>
      <c r="AP255" s="260"/>
      <c r="AQ255" s="507"/>
      <c r="AR255" s="260"/>
      <c r="AS255" s="260"/>
      <c r="AT255" s="260"/>
      <c r="AU255" s="260"/>
      <c r="AV255" s="260"/>
      <c r="AW255" s="507"/>
      <c r="AX255" s="260"/>
      <c r="AY255" s="260"/>
      <c r="AZ255" s="260"/>
      <c r="BA255" s="260"/>
      <c r="BB255" s="260"/>
      <c r="BC255" s="507"/>
      <c r="BD255" s="260"/>
      <c r="BE255" s="260"/>
      <c r="BF255" s="260"/>
      <c r="BG255" s="260"/>
      <c r="BH255" s="1563">
        <f>BH249/BB139-1</f>
        <v>0.2248272414417678</v>
      </c>
      <c r="BI255" s="507"/>
      <c r="BJ255" s="260"/>
      <c r="BK255" s="275">
        <f>BK249/BE139-1</f>
        <v>0.31629724402641868</v>
      </c>
      <c r="BL255" s="275">
        <f>BL249/BF139-1</f>
        <v>0.31442707904389677</v>
      </c>
      <c r="BM255" s="275">
        <f>BM249/BG139-1</f>
        <v>0.32525827741655289</v>
      </c>
      <c r="BN255" s="275">
        <f>BN249/BH139-1</f>
        <v>0.37135109423310109</v>
      </c>
      <c r="BO255" s="277">
        <f>BO249/BI139-1</f>
        <v>0.33789484464000052</v>
      </c>
      <c r="BP255" s="269"/>
      <c r="BQ255" s="275">
        <f>BQ249/BK139-1</f>
        <v>0.37081372368647547</v>
      </c>
      <c r="BR255" s="275">
        <f>BR249/BL139-1</f>
        <v>0.33200682068100185</v>
      </c>
      <c r="BS255" s="275">
        <f>BS249/BM139-1</f>
        <v>0.26755177304964572</v>
      </c>
      <c r="BT255" s="275">
        <f>BT249/BN139-1</f>
        <v>0.58391597860741684</v>
      </c>
      <c r="BU255" s="277">
        <f>BU249/BO139-1</f>
        <v>0.41693471319022013</v>
      </c>
      <c r="BV255" s="269"/>
      <c r="BW255" s="275">
        <f>BW249/BQ139-1</f>
        <v>0.35399623572920347</v>
      </c>
      <c r="BX255" s="275">
        <f>BX249/BR139-1</f>
        <v>0.35182951062909074</v>
      </c>
      <c r="BY255" s="275">
        <f>BY249/BS139-1</f>
        <v>0.31054400465760446</v>
      </c>
      <c r="BZ255" s="275">
        <f>BZ249/BT139-1</f>
        <v>0.27849928772911214</v>
      </c>
      <c r="CA255" s="277">
        <f>CA249/BU139-1</f>
        <v>0.31399505806460648</v>
      </c>
      <c r="CB255" s="269"/>
      <c r="CC255" s="275">
        <f>CC249/BW139-1</f>
        <v>0.21374638975698868</v>
      </c>
      <c r="CD255" s="275">
        <f>CD249/BX139-1</f>
        <v>0.32117043853985328</v>
      </c>
      <c r="CE255" s="275">
        <f>CE249/BY139-1</f>
        <v>0.37792667474271147</v>
      </c>
      <c r="CF255" s="275">
        <f>CF249/BZ139-1</f>
        <v>0.38248600791053589</v>
      </c>
      <c r="CG255" s="277">
        <f>CG249/CA139-1</f>
        <v>0.33770864859443561</v>
      </c>
      <c r="CH255" s="269"/>
      <c r="CI255" s="275">
        <f>CI249/CC139-1</f>
        <v>0.32967312447069852</v>
      </c>
      <c r="CJ255" s="275">
        <f>CJ249/CD139-1</f>
        <v>0.39812492566411017</v>
      </c>
      <c r="CK255" s="275">
        <f>CK249/CE139-1</f>
        <v>0.2696688754695542</v>
      </c>
      <c r="CL255" s="275">
        <f>CL249/CF139-1</f>
        <v>0.35563123403172092</v>
      </c>
      <c r="CM255" s="277">
        <f>CM249/CG139-1</f>
        <v>0.34143751070281825</v>
      </c>
      <c r="CN255" s="269"/>
      <c r="CO255" s="275">
        <f>CO249/CI139-1</f>
        <v>0.24412011596545913</v>
      </c>
      <c r="CP255" s="275">
        <f>CP249/CJ139-1</f>
        <v>0.24354340530426777</v>
      </c>
      <c r="CQ255" s="275">
        <f>CQ249/CK139-1</f>
        <v>0.2518250328489966</v>
      </c>
      <c r="CR255" s="275">
        <f>CR249/CL139-1</f>
        <v>0.30658397847432028</v>
      </c>
      <c r="CS255" s="277">
        <f>CS249/CM139-1</f>
        <v>0.27128534434490481</v>
      </c>
      <c r="CT255" s="269"/>
      <c r="CU255" s="275">
        <f>CU249/CO139-1</f>
        <v>0.27752703888690133</v>
      </c>
      <c r="CV255" s="275">
        <f>CV249/CP139-1</f>
        <v>0.18998061820846757</v>
      </c>
      <c r="CW255" s="275">
        <f>CW249/CQ139-1</f>
        <v>0.23523425399637232</v>
      </c>
      <c r="CX255" s="275">
        <f>CX249/CR139-1</f>
        <v>0.33407119686606679</v>
      </c>
      <c r="CY255" s="277">
        <f>CY249/CS139-1</f>
        <v>0.27469934798168172</v>
      </c>
      <c r="CZ255" s="269"/>
      <c r="DA255" s="275">
        <f>DA249/CU139-1</f>
        <v>0.14409917917370363</v>
      </c>
      <c r="DB255" s="275">
        <f>DB249/CV139-1</f>
        <v>0.24837570449989621</v>
      </c>
      <c r="DC255" s="275">
        <f>DC249/CW139-1</f>
        <v>0.21688697148727609</v>
      </c>
      <c r="DD255" s="275">
        <f>DD249/CX139-1</f>
        <v>0.25353130675190849</v>
      </c>
      <c r="DE255" s="277">
        <f>DE249/CY139-1</f>
        <v>0.22717260952035123</v>
      </c>
      <c r="DF255" s="269"/>
      <c r="DG255" s="275">
        <f>DG249/DA139-1</f>
        <v>0.1053967047237272</v>
      </c>
      <c r="DH255" s="275">
        <f>DH249/DB139-1</f>
        <v>0.20772379910599503</v>
      </c>
      <c r="DI255" s="275">
        <f>DI249/DC139-1</f>
        <v>0.21460837779796527</v>
      </c>
      <c r="DJ255" s="275">
        <f>DJ249/DD139-1</f>
        <v>0.2407710130694769</v>
      </c>
      <c r="DK255" s="277">
        <f>DK249/DE139-1</f>
        <v>0.20821496940304418</v>
      </c>
      <c r="DL255" s="269"/>
      <c r="DM255" s="275">
        <f>DM249/DG139-1</f>
        <v>0.13392423816981047</v>
      </c>
      <c r="DN255" s="275">
        <f>DN249/DH139-1</f>
        <v>0.19401273220201798</v>
      </c>
      <c r="DO255" s="275">
        <f>DO249/DI139-1</f>
        <v>0.19581235080719273</v>
      </c>
      <c r="DP255" s="275">
        <f>DP249/DJ139-1</f>
        <v>0.22560386292033385</v>
      </c>
      <c r="DQ255" s="277">
        <f>DQ249/DK139-1</f>
        <v>0.20070226801885593</v>
      </c>
      <c r="DR255" s="269"/>
      <c r="DS255" s="275">
        <f>DS249/DM139-1</f>
        <v>0.13220571989650476</v>
      </c>
      <c r="DT255" s="275">
        <f>DT249/DN139-1</f>
        <v>0.19518973193956679</v>
      </c>
      <c r="DU255" s="275">
        <f>DU249/DO139-1</f>
        <v>0.19741743849303095</v>
      </c>
      <c r="DV255" s="275">
        <f>DV249/DP139-1</f>
        <v>0.21090330345486175</v>
      </c>
      <c r="DW255" s="277">
        <f>DW249/DQ139-1</f>
        <v>0.1946736469963517</v>
      </c>
      <c r="DX255" s="500"/>
      <c r="DY255" s="500"/>
      <c r="DZ255" s="500"/>
      <c r="EA255" s="500"/>
      <c r="EB255" s="500"/>
      <c r="EC255" s="500"/>
      <c r="ED255" s="500"/>
      <c r="EE255" s="500"/>
      <c r="EF255" s="500"/>
      <c r="EG255" s="500"/>
      <c r="EH255" s="500"/>
      <c r="EI255" s="500"/>
    </row>
    <row r="256" spans="1:157">
      <c r="A256" s="129" t="str">
        <f>A250</f>
        <v>Constant Currency Billings (Net Duration)</v>
      </c>
      <c r="B256" s="130"/>
      <c r="C256" s="130"/>
      <c r="D256" s="130"/>
      <c r="E256" s="130"/>
      <c r="F256" s="130"/>
      <c r="G256" s="131"/>
      <c r="H256" s="130"/>
      <c r="I256" s="130"/>
      <c r="J256" s="130"/>
      <c r="K256" s="130"/>
      <c r="L256" s="130"/>
      <c r="M256" s="131"/>
      <c r="N256" s="130"/>
      <c r="O256" s="130"/>
      <c r="P256" s="130"/>
      <c r="Q256" s="130"/>
      <c r="R256" s="130"/>
      <c r="S256" s="131"/>
      <c r="T256" s="130"/>
      <c r="U256" s="130"/>
      <c r="V256" s="130"/>
      <c r="W256" s="130"/>
      <c r="X256" s="130"/>
      <c r="Y256" s="131"/>
      <c r="Z256" s="130"/>
      <c r="AA256" s="130"/>
      <c r="AB256" s="130"/>
      <c r="AC256" s="130"/>
      <c r="AD256" s="130"/>
      <c r="AE256" s="131"/>
      <c r="AF256" s="130"/>
      <c r="AG256" s="130"/>
      <c r="AH256" s="130"/>
      <c r="AI256" s="130"/>
      <c r="AJ256" s="130"/>
      <c r="AK256" s="131"/>
      <c r="AL256" s="130"/>
      <c r="AM256" s="130"/>
      <c r="AN256" s="132"/>
      <c r="AO256" s="130"/>
      <c r="AP256" s="130"/>
      <c r="AQ256" s="133"/>
      <c r="AR256" s="130"/>
      <c r="AS256" s="130"/>
      <c r="AT256" s="130"/>
      <c r="AU256" s="130"/>
      <c r="AV256" s="130"/>
      <c r="AW256" s="133"/>
      <c r="AX256" s="130"/>
      <c r="AY256" s="130"/>
      <c r="AZ256" s="130"/>
      <c r="BA256" s="130"/>
      <c r="BB256" s="130"/>
      <c r="BC256" s="133"/>
      <c r="BD256" s="130"/>
      <c r="BE256" s="130"/>
      <c r="BF256" s="130"/>
      <c r="BG256" s="130"/>
      <c r="BH256" s="134"/>
      <c r="BI256" s="133"/>
      <c r="BJ256" s="130"/>
      <c r="BK256" s="135">
        <f>BK250/BE139-1</f>
        <v>0.31629724402641868</v>
      </c>
      <c r="BL256" s="135">
        <f>BL250/BF139-1</f>
        <v>0.31442707904389677</v>
      </c>
      <c r="BM256" s="135">
        <f>BM250/BG139-1</f>
        <v>0.32525827741655289</v>
      </c>
      <c r="BN256" s="135">
        <f>BN250/BH139-1</f>
        <v>0.37135109423310109</v>
      </c>
      <c r="BO256" s="136">
        <f>BO250/BI139-1</f>
        <v>0.33789484464000052</v>
      </c>
      <c r="BP256" s="137"/>
      <c r="BQ256" s="135">
        <f>BQ250/(BK139-BK130)-1</f>
        <v>0.37081372368647547</v>
      </c>
      <c r="BR256" s="135">
        <f>BR250/(BL139-BL130)-1</f>
        <v>0.33200682068100185</v>
      </c>
      <c r="BS256" s="135">
        <f>BS250/(BM139-BM130)-1</f>
        <v>0.26755177304964572</v>
      </c>
      <c r="BT256" s="135">
        <f>BT250/(BN139-BN130)-1</f>
        <v>0.36161439711094001</v>
      </c>
      <c r="BU256" s="136">
        <f>BU250/(BO139-BO130)-1</f>
        <v>0.33482560024410279</v>
      </c>
      <c r="BV256" s="137"/>
      <c r="BW256" s="135">
        <f>BW250/(BQ139-BQ130)-1</f>
        <v>0.37463368527063934</v>
      </c>
      <c r="BX256" s="135">
        <f>BX250/(BR139-BR130)-1</f>
        <v>0.39598858929407355</v>
      </c>
      <c r="BY256" s="135">
        <f>BY250/(BS139-BS130)-1</f>
        <v>0.32818644531284469</v>
      </c>
      <c r="BZ256" s="135">
        <f>BZ250/(BT139-BT130)-1</f>
        <v>0.32841894197198873</v>
      </c>
      <c r="CA256" s="136">
        <f>CA250/(BU139-BU130)-1</f>
        <v>0.3513684476389447</v>
      </c>
      <c r="CB256" s="137"/>
      <c r="CC256" s="135">
        <f>CC250/(BW139-BW130)-1</f>
        <v>0.29837648698927666</v>
      </c>
      <c r="CD256" s="135">
        <f>CD250/(BX139-BX130)-1</f>
        <v>0.34160312102414059</v>
      </c>
      <c r="CE256" s="135">
        <f>CE250/(BY139-BY130)-1</f>
        <v>0.40226296989329891</v>
      </c>
      <c r="CF256" s="135">
        <f>CF250/(BZ139-BZ130)-1</f>
        <v>0.37679599821618193</v>
      </c>
      <c r="CG256" s="136">
        <f>CG250/(CA139-CA130)-1</f>
        <v>0.36037401653551915</v>
      </c>
      <c r="CH256" s="137"/>
      <c r="CI256" s="135">
        <f>CI250/(CC139-CC130)-1</f>
        <v>0.37869881672474226</v>
      </c>
      <c r="CJ256" s="135">
        <f>CJ250/(CD139-CD130)-1</f>
        <v>0.39155610485109538</v>
      </c>
      <c r="CK256" s="135">
        <f>CK250/(CE139-CE130)-1</f>
        <v>0.27148324787078248</v>
      </c>
      <c r="CL256" s="135">
        <f>CL250/(CF139-CF130)-1</f>
        <v>0.34230448203533026</v>
      </c>
      <c r="CM256" s="136">
        <f>CM250/(CG139-CG130)-1</f>
        <v>0.34296217704179899</v>
      </c>
      <c r="CN256" s="137"/>
      <c r="CO256" s="135">
        <f>CO250/(CI139-CI130)-1</f>
        <v>0.2208505817704165</v>
      </c>
      <c r="CP256" s="135">
        <f>CP250/(CJ139-CJ130)-1</f>
        <v>0.26314978765109442</v>
      </c>
      <c r="CQ256" s="135">
        <f>CQ250/(CK139-CK130)-1</f>
        <v>0.22968558247968462</v>
      </c>
      <c r="CR256" s="135">
        <f>CR250/(CL139-CL130)-1</f>
        <v>0.29813429160372618</v>
      </c>
      <c r="CS256" s="136">
        <f>CS250/(CM139-CM130)-1</f>
        <v>0.26370458018383736</v>
      </c>
      <c r="CT256" s="137"/>
      <c r="CU256" s="135">
        <f>CU250/(CO139-CO130)-1</f>
        <v>0.2777067927331538</v>
      </c>
      <c r="CV256" s="135">
        <f>CV250/(CP139-CP130)-1</f>
        <v>0.19011954584853918</v>
      </c>
      <c r="CW256" s="135">
        <f>CW250/(CQ139-CQ130)-1</f>
        <v>0.2418030207429871</v>
      </c>
      <c r="CX256" s="135">
        <f>CX250/(CR139-CR130)-1</f>
        <v>0.31859505826038936</v>
      </c>
      <c r="CY256" s="136">
        <f>CY250/(CS139-CS130)-1</f>
        <v>0.26947296757245276</v>
      </c>
      <c r="CZ256" s="137"/>
      <c r="DA256" s="135">
        <f>DA250/(CU139-CU130)-1</f>
        <v>0.13247339983221251</v>
      </c>
      <c r="DB256" s="135">
        <f>DB250/(CV139-CV130)-1</f>
        <v>0.24837570449989621</v>
      </c>
      <c r="DC256" s="135">
        <f>DC250/(CW139-CW130)-1</f>
        <v>0.21688697148727609</v>
      </c>
      <c r="DD256" s="135">
        <f>DD250/(CX139-CX130)-1</f>
        <v>0.25353130675190849</v>
      </c>
      <c r="DE256" s="136">
        <f>DE250/(CY139-CY130)-1</f>
        <v>0.22521220525576369</v>
      </c>
      <c r="DF256" s="137"/>
      <c r="DG256" s="135">
        <f>DG250/(DA139-DA130)-1</f>
        <v>0.1053967047237272</v>
      </c>
      <c r="DH256" s="135">
        <f>DH250/(DB139-DB130)-1</f>
        <v>0.20772379910599503</v>
      </c>
      <c r="DI256" s="135">
        <f>DI250/(DC139-DC130)-1</f>
        <v>0.21460837779796527</v>
      </c>
      <c r="DJ256" s="135">
        <f>DJ250/(DD139-DD130)-1</f>
        <v>0.2407710130694769</v>
      </c>
      <c r="DK256" s="136">
        <f>DK250/(DE139-DE130)-1</f>
        <v>0.20821496940304418</v>
      </c>
      <c r="DL256" s="137"/>
      <c r="DM256" s="135">
        <f>DM250/(DG139-DG130)-1</f>
        <v>0.13392423816981047</v>
      </c>
      <c r="DN256" s="135">
        <f>DN250/(DH139-DH130)-1</f>
        <v>0.19401273220201798</v>
      </c>
      <c r="DO256" s="135">
        <f>DO250/(DI139-DI130)-1</f>
        <v>0.19581235080719273</v>
      </c>
      <c r="DP256" s="135">
        <f>DP250/(DJ139-DJ130)-1</f>
        <v>0.22560386292033385</v>
      </c>
      <c r="DQ256" s="136">
        <f>DQ250/(DK139-DK130)-1</f>
        <v>0.20070226801885593</v>
      </c>
      <c r="DR256" s="137"/>
      <c r="DS256" s="135">
        <f>DS250/(DM139-DM130)-1</f>
        <v>0.13220571989650476</v>
      </c>
      <c r="DT256" s="135">
        <f>DT250/(DN139-DN130)-1</f>
        <v>0.19518973193956679</v>
      </c>
      <c r="DU256" s="135">
        <f>DU250/(DO139-DO130)-1</f>
        <v>0.19741743849303095</v>
      </c>
      <c r="DV256" s="135">
        <f>DV250/(DP139-DP130)-1</f>
        <v>0.21090330345486175</v>
      </c>
      <c r="DW256" s="136">
        <f>DW250/(DQ139-DQ130)-1</f>
        <v>0.1946736469963517</v>
      </c>
      <c r="DX256" s="500"/>
      <c r="DY256" s="500"/>
      <c r="DZ256" s="500"/>
      <c r="EA256" s="500"/>
      <c r="EB256" s="500"/>
      <c r="EC256" s="500"/>
      <c r="ED256" s="500"/>
      <c r="EE256" s="500"/>
      <c r="EF256" s="500"/>
      <c r="EG256" s="500"/>
      <c r="EH256" s="500"/>
      <c r="EI256" s="500"/>
    </row>
    <row r="257" spans="1:142" s="923" customFormat="1">
      <c r="A257" s="305" t="s">
        <v>744</v>
      </c>
      <c r="B257" s="260"/>
      <c r="C257" s="260"/>
      <c r="D257" s="260"/>
      <c r="E257" s="260"/>
      <c r="F257" s="260"/>
      <c r="G257" s="260"/>
      <c r="H257" s="260"/>
      <c r="I257" s="260"/>
      <c r="J257" s="260"/>
      <c r="K257" s="260"/>
      <c r="L257" s="260"/>
      <c r="M257" s="260"/>
      <c r="N257" s="260"/>
      <c r="O257" s="260"/>
      <c r="P257" s="260"/>
      <c r="Q257" s="260"/>
      <c r="R257" s="260"/>
      <c r="S257" s="260"/>
      <c r="T257" s="260"/>
      <c r="U257" s="260"/>
      <c r="V257" s="260"/>
      <c r="W257" s="260"/>
      <c r="X257" s="260"/>
      <c r="Y257" s="260"/>
      <c r="Z257" s="260"/>
      <c r="AA257" s="260"/>
      <c r="AB257" s="260"/>
      <c r="AC257" s="260"/>
      <c r="AD257" s="260"/>
      <c r="AE257" s="260"/>
      <c r="AF257" s="260"/>
      <c r="AG257" s="260"/>
      <c r="AH257" s="260"/>
      <c r="AI257" s="260"/>
      <c r="AJ257" s="260"/>
      <c r="AK257" s="260"/>
      <c r="AL257" s="260"/>
      <c r="AM257" s="260"/>
      <c r="AN257" s="1546"/>
      <c r="AO257" s="260"/>
      <c r="AP257" s="260"/>
      <c r="AQ257" s="262"/>
      <c r="AR257" s="260"/>
      <c r="AS257" s="260"/>
      <c r="AT257" s="260"/>
      <c r="AU257" s="260"/>
      <c r="AV257" s="260"/>
      <c r="AW257" s="262"/>
      <c r="AX257" s="260"/>
      <c r="AY257" s="260"/>
      <c r="AZ257" s="260"/>
      <c r="BA257" s="260"/>
      <c r="BB257" s="260"/>
      <c r="BC257" s="262"/>
      <c r="BD257" s="260"/>
      <c r="BE257" s="260"/>
      <c r="BF257" s="260"/>
      <c r="BG257" s="260"/>
      <c r="BH257" s="274">
        <f>BH251/BB139-1</f>
        <v>0.2248272414417678</v>
      </c>
      <c r="BI257" s="262"/>
      <c r="BJ257" s="260"/>
      <c r="BK257" s="275">
        <f>BK251/BE139-1</f>
        <v>0.31245509488187317</v>
      </c>
      <c r="BL257" s="275">
        <f>BL251/BF139-1</f>
        <v>0.28908640536208696</v>
      </c>
      <c r="BM257" s="275">
        <f>BM251/BG139-1</f>
        <v>0.29467480594787343</v>
      </c>
      <c r="BN257" s="275">
        <f>BN251/BH139-1</f>
        <v>0.34600808636897074</v>
      </c>
      <c r="BO257" s="277">
        <f>BO251/BI139-1</f>
        <v>0.31529445831464686</v>
      </c>
      <c r="BP257" s="269"/>
      <c r="BQ257" s="275">
        <f>BQ251/BK139-1</f>
        <v>0.34707442862484239</v>
      </c>
      <c r="BR257" s="275">
        <f>BR251/BL139-1</f>
        <v>0.30475800630719174</v>
      </c>
      <c r="BS257" s="275">
        <f>BS251/BM139-1</f>
        <v>0.22919716312056782</v>
      </c>
      <c r="BT257" s="275">
        <f>BT251/BN139-1</f>
        <v>0.55379769982402327</v>
      </c>
      <c r="BU257" s="277">
        <f>BU251/BO139-1</f>
        <v>0.38666028864266777</v>
      </c>
      <c r="BV257" s="269"/>
      <c r="BW257" s="275">
        <f>BW251/BQ139-1</f>
        <v>0.29363169582050364</v>
      </c>
      <c r="BX257" s="275">
        <f>BX251/BR139-1</f>
        <v>0.33239951601649831</v>
      </c>
      <c r="BY257" s="275">
        <f>BY251/BS139-1</f>
        <v>0.27349487928159988</v>
      </c>
      <c r="BZ257" s="275">
        <f>BZ251/BT139-1</f>
        <v>0.25588388750962854</v>
      </c>
      <c r="CA257" s="277">
        <f>CA251/BU139-1</f>
        <v>0.28228289242975291</v>
      </c>
      <c r="CB257" s="269"/>
      <c r="CC257" s="275">
        <f>CC251/BW139-1</f>
        <v>0.19258886544891651</v>
      </c>
      <c r="CD257" s="275">
        <f>CD251/BX139-1</f>
        <v>0.2786023500309216</v>
      </c>
      <c r="CE257" s="275">
        <f>CE251/BY139-1</f>
        <v>0.23190890383918594</v>
      </c>
      <c r="CF257" s="275">
        <f>CF251/BZ139-1</f>
        <v>0.29002335037728311</v>
      </c>
      <c r="CG257" s="277">
        <f>CG251/CA139-1</f>
        <v>0.25752990950285226</v>
      </c>
      <c r="CH257" s="269"/>
      <c r="CI257" s="275">
        <f>CI251/CC139-1</f>
        <v>0.21824126439765168</v>
      </c>
      <c r="CJ257" s="275">
        <f>CJ251/CD139-1</f>
        <v>0.27918750226239641</v>
      </c>
      <c r="CK257" s="275">
        <f>CK251/CE139-1</f>
        <v>0.2696688754695542</v>
      </c>
      <c r="CL257" s="275">
        <f>CL251/CF139-1</f>
        <v>0.35563123403172092</v>
      </c>
      <c r="CM257" s="277">
        <f>CM251/CG139-1</f>
        <v>0.29873299986804325</v>
      </c>
      <c r="CN257" s="269"/>
      <c r="CO257" s="275">
        <f>CO251/CI139-1</f>
        <v>0.24412011596545913</v>
      </c>
      <c r="CP257" s="275">
        <f>CP251/CJ139-1</f>
        <v>0.24354340530426777</v>
      </c>
      <c r="CQ257" s="275">
        <f>CQ251/CK139-1</f>
        <v>0.2518250328489966</v>
      </c>
      <c r="CR257" s="275">
        <f>CR251/CL139-1</f>
        <v>0.30658397847432028</v>
      </c>
      <c r="CS257" s="277">
        <f>CS251/CM139-1</f>
        <v>0.27128534434490481</v>
      </c>
      <c r="CT257" s="269"/>
      <c r="CU257" s="275">
        <f>CU251/CO139-1</f>
        <v>0.27752703888690133</v>
      </c>
      <c r="CV257" s="275">
        <f>CV251/CP139-1</f>
        <v>0.17014001267318668</v>
      </c>
      <c r="CW257" s="275">
        <f>CW251/CQ139-1</f>
        <v>0.19846638596150323</v>
      </c>
      <c r="CX257" s="275">
        <f>CX251/CR139-1</f>
        <v>0.30887485746400056</v>
      </c>
      <c r="CY257" s="277">
        <f>CY251/CS139-1</f>
        <v>0.25243901257342327</v>
      </c>
      <c r="CZ257" s="269"/>
      <c r="DA257" s="275">
        <f>DA251/CU139-1</f>
        <v>0.10837358622125448</v>
      </c>
      <c r="DB257" s="275">
        <f>DB251/CV139-1</f>
        <v>0.21222329240556537</v>
      </c>
      <c r="DC257" s="275">
        <f>DC251/CW139-1</f>
        <v>0.21688697148727609</v>
      </c>
      <c r="DD257" s="275">
        <f>DD251/CX139-1</f>
        <v>0.25353130675190849</v>
      </c>
      <c r="DE257" s="277">
        <f>DE251/CY139-1</f>
        <v>0.21418931144273112</v>
      </c>
      <c r="DF257" s="269"/>
      <c r="DG257" s="275">
        <f>DG251/DA139-1</f>
        <v>0.1053967047237272</v>
      </c>
      <c r="DH257" s="275">
        <f>DH251/DB139-1</f>
        <v>0.20772379910599503</v>
      </c>
      <c r="DI257" s="275">
        <f>DI251/DC139-1</f>
        <v>0.21460837779796527</v>
      </c>
      <c r="DJ257" s="275">
        <f>DJ251/DD139-1</f>
        <v>0.2407710130694769</v>
      </c>
      <c r="DK257" s="277">
        <f>DK251/DE139-1</f>
        <v>0.20821496940304418</v>
      </c>
      <c r="DL257" s="269"/>
      <c r="DM257" s="275">
        <f>DM251/DG139-1</f>
        <v>0.13392423816981047</v>
      </c>
      <c r="DN257" s="275">
        <f>DN251/DH139-1</f>
        <v>0.19401273220201798</v>
      </c>
      <c r="DO257" s="275">
        <f>DO251/DI139-1</f>
        <v>0.19581235080719273</v>
      </c>
      <c r="DP257" s="275">
        <f>DP251/DJ139-1</f>
        <v>0.22560386292033385</v>
      </c>
      <c r="DQ257" s="277">
        <f>DQ251/DK139-1</f>
        <v>0.20070226801885593</v>
      </c>
      <c r="DR257" s="269"/>
      <c r="DS257" s="275">
        <f>DS251/DM139-1</f>
        <v>0.13220571989650476</v>
      </c>
      <c r="DT257" s="275">
        <f>DT251/DN139-1</f>
        <v>0.19518973193956679</v>
      </c>
      <c r="DU257" s="275">
        <f>DU251/DO139-1</f>
        <v>0.19741743849303095</v>
      </c>
      <c r="DV257" s="275">
        <f>DV251/DP139-1</f>
        <v>0.21090330345486175</v>
      </c>
      <c r="DW257" s="277">
        <f>DW251/DQ139-1</f>
        <v>0.1946736469963517</v>
      </c>
      <c r="DX257" s="500"/>
      <c r="DY257" s="500"/>
      <c r="DZ257" s="500"/>
      <c r="EA257" s="500"/>
      <c r="EB257" s="500"/>
      <c r="EC257" s="500"/>
      <c r="ED257" s="500"/>
      <c r="EE257" s="500"/>
      <c r="EF257" s="500"/>
      <c r="EG257" s="500"/>
      <c r="EH257" s="500"/>
      <c r="EI257" s="500"/>
      <c r="EJ257" s="656"/>
      <c r="EK257" s="656"/>
      <c r="EL257" s="656"/>
    </row>
    <row r="258" spans="1:142" s="923" customFormat="1">
      <c r="A258" s="129" t="s">
        <v>345</v>
      </c>
      <c r="B258" s="130"/>
      <c r="C258" s="130"/>
      <c r="D258" s="130"/>
      <c r="E258" s="130"/>
      <c r="F258" s="130"/>
      <c r="G258" s="130"/>
      <c r="H258" s="130"/>
      <c r="I258" s="130"/>
      <c r="J258" s="130"/>
      <c r="K258" s="130"/>
      <c r="L258" s="130"/>
      <c r="M258" s="130"/>
      <c r="N258" s="130"/>
      <c r="O258" s="130"/>
      <c r="P258" s="130"/>
      <c r="Q258" s="130"/>
      <c r="R258" s="130"/>
      <c r="S258" s="130"/>
      <c r="T258" s="130"/>
      <c r="U258" s="130"/>
      <c r="V258" s="130"/>
      <c r="W258" s="130"/>
      <c r="X258" s="130"/>
      <c r="Y258" s="130"/>
      <c r="Z258" s="130"/>
      <c r="AA258" s="130"/>
      <c r="AB258" s="130"/>
      <c r="AC258" s="130"/>
      <c r="AD258" s="130"/>
      <c r="AE258" s="130"/>
      <c r="AF258" s="130"/>
      <c r="AG258" s="130"/>
      <c r="AH258" s="130"/>
      <c r="AI258" s="130"/>
      <c r="AJ258" s="130"/>
      <c r="AK258" s="130"/>
      <c r="AL258" s="130"/>
      <c r="AM258" s="130"/>
      <c r="AN258" s="132"/>
      <c r="AO258" s="130"/>
      <c r="AP258" s="130"/>
      <c r="AQ258" s="138"/>
      <c r="AR258" s="130"/>
      <c r="AS258" s="130"/>
      <c r="AT258" s="130"/>
      <c r="AU258" s="130"/>
      <c r="AV258" s="130"/>
      <c r="AW258" s="138"/>
      <c r="AX258" s="130"/>
      <c r="AY258" s="130"/>
      <c r="AZ258" s="130"/>
      <c r="BA258" s="130"/>
      <c r="BB258" s="130"/>
      <c r="BC258" s="138"/>
      <c r="BD258" s="130"/>
      <c r="BE258" s="130"/>
      <c r="BF258" s="130"/>
      <c r="BG258" s="130"/>
      <c r="BH258" s="139"/>
      <c r="BI258" s="138"/>
      <c r="BJ258" s="130"/>
      <c r="BK258" s="135">
        <f>BK252/BE146-1</f>
        <v>0.31054168217271361</v>
      </c>
      <c r="BL258" s="135">
        <f>BL252/BF146-1</f>
        <v>0.29027573896584435</v>
      </c>
      <c r="BM258" s="135">
        <f>BM252/BG146-1</f>
        <v>0.30167735190566236</v>
      </c>
      <c r="BN258" s="135">
        <f>BN252/BH146-1</f>
        <v>0.35190631339040279</v>
      </c>
      <c r="BO258" s="136">
        <f>BO252/BI139-1</f>
        <v>0.31529445831464686</v>
      </c>
      <c r="BP258" s="137"/>
      <c r="BQ258" s="135">
        <f>BQ252/((BK139-BK130))-1</f>
        <v>0.34707442862484239</v>
      </c>
      <c r="BR258" s="135">
        <f>BR252/((BL139-BL130))-1</f>
        <v>0.30475800630719174</v>
      </c>
      <c r="BS258" s="135">
        <f>BS252/((BM139-BM130))-1</f>
        <v>0.22919716312056782</v>
      </c>
      <c r="BT258" s="135">
        <f>BT252/((BN139-BN130))-1</f>
        <v>0.33149611832754644</v>
      </c>
      <c r="BU258" s="136">
        <f>BU252/((BO139-BO130))-1</f>
        <v>0.30455117569655044</v>
      </c>
      <c r="BV258" s="137"/>
      <c r="BW258" s="135">
        <f>BW252/((BQ139-BQ130))-1</f>
        <v>0.31426914536193951</v>
      </c>
      <c r="BX258" s="135">
        <f>BX252/((BR139-BR130))-1</f>
        <v>0.37655859468148112</v>
      </c>
      <c r="BY258" s="135">
        <f>BY252/((BS139-BS130))-1</f>
        <v>0.29113731993684011</v>
      </c>
      <c r="BZ258" s="135">
        <f>BZ252/((BT139-BT130))-1</f>
        <v>0.30413964470804489</v>
      </c>
      <c r="CA258" s="136">
        <f>CA252/((BU139-BU130))-1</f>
        <v>0.31875430667835203</v>
      </c>
      <c r="CB258" s="137"/>
      <c r="CC258" s="135">
        <f>CC252/((BW139-BW130))-1</f>
        <v>0.27721896268120472</v>
      </c>
      <c r="CD258" s="135">
        <f>CD252/((BX139-BX130))-1</f>
        <v>0.29903503251520869</v>
      </c>
      <c r="CE258" s="135">
        <f>CE252/((BY139-BY130))-1</f>
        <v>0.25624519898977338</v>
      </c>
      <c r="CF258" s="135">
        <f>CF252/((BZ139-BZ130))-1</f>
        <v>0.28433334068292915</v>
      </c>
      <c r="CG258" s="136">
        <f>CG252/((CA139-CA130))-1</f>
        <v>0.2801952774439358</v>
      </c>
      <c r="CH258" s="137"/>
      <c r="CI258" s="135">
        <f>CI252/((CC139-CC130))-1</f>
        <v>0.26726695665169542</v>
      </c>
      <c r="CJ258" s="135">
        <f>CJ252/((CD139-CD130))-1</f>
        <v>0.27261868144938162</v>
      </c>
      <c r="CK258" s="135">
        <f>CK252/((CE139-CE130))-1</f>
        <v>0.27148324787078248</v>
      </c>
      <c r="CL258" s="135">
        <f>CL252/((CF139-CF130))-1</f>
        <v>0.34230448203533026</v>
      </c>
      <c r="CM258" s="136">
        <f>CM252/((CG139-CG130))-1</f>
        <v>0.30025766620702377</v>
      </c>
      <c r="CN258" s="137"/>
      <c r="CO258" s="135">
        <f>CO252/((CI139-CI130))-1</f>
        <v>0.2208505817704165</v>
      </c>
      <c r="CP258" s="135">
        <f>CP252/((CJ139-CJ130))-1</f>
        <v>0.26314978765109442</v>
      </c>
      <c r="CQ258" s="135">
        <f>CQ252/((CK139-CK130))-1</f>
        <v>0.22968558247968462</v>
      </c>
      <c r="CR258" s="135">
        <f>CR252/((CL139-CL130))-1</f>
        <v>0.29813429160372618</v>
      </c>
      <c r="CS258" s="136">
        <f>CS252/((CM139-CM130))-1</f>
        <v>0.26370458018383736</v>
      </c>
      <c r="CT258" s="137"/>
      <c r="CU258" s="135">
        <f>CU252/((CO139-CO130))-1</f>
        <v>0.2777067927331538</v>
      </c>
      <c r="CV258" s="135">
        <f>CV252/((CP139-CP130))-1</f>
        <v>0.1702789403132583</v>
      </c>
      <c r="CW258" s="135">
        <f>CW252/((CQ139-CQ130))-1</f>
        <v>0.20503515270811801</v>
      </c>
      <c r="CX258" s="135">
        <f>CX252/((CR139-CR130))-1</f>
        <v>0.29339871885832292</v>
      </c>
      <c r="CY258" s="136">
        <f>CY252/((CS139-CS130))-1</f>
        <v>0.24721263216419431</v>
      </c>
      <c r="CZ258" s="137"/>
      <c r="DA258" s="135">
        <f>DA252/((CU139-CU130))-1</f>
        <v>9.6747806879763365E-2</v>
      </c>
      <c r="DB258" s="135">
        <f>DB252/((CV139-CV130))-1</f>
        <v>0.21222329240556537</v>
      </c>
      <c r="DC258" s="135">
        <f>DC252/((CW139-CW130))-1</f>
        <v>0.21688697148727609</v>
      </c>
      <c r="DD258" s="135">
        <f>DD252/((CX139-CX130))-1</f>
        <v>0.25353130675190849</v>
      </c>
      <c r="DE258" s="136">
        <f>DE252/((CY139-CY130))-1</f>
        <v>0.21222890717814358</v>
      </c>
      <c r="DF258" s="137"/>
      <c r="DG258" s="135">
        <f>DG252/((DA139-DA130))-1</f>
        <v>0.1053967047237272</v>
      </c>
      <c r="DH258" s="135">
        <f>DH252/((DB139-DB130))-1</f>
        <v>0.20772379910599503</v>
      </c>
      <c r="DI258" s="135">
        <f>DI252/((DC139-DC130))-1</f>
        <v>0.21460837779796527</v>
      </c>
      <c r="DJ258" s="135">
        <f>DJ252/((DD139-DD130))-1</f>
        <v>0.2407710130694769</v>
      </c>
      <c r="DK258" s="136">
        <f>DK252/((DE139-DE130))-1</f>
        <v>0.20821496940304418</v>
      </c>
      <c r="DL258" s="137"/>
      <c r="DM258" s="135">
        <f>DM252/((DG139-DG130))-1</f>
        <v>0.13392423816981047</v>
      </c>
      <c r="DN258" s="135">
        <f>DN252/((DH139-DH130))-1</f>
        <v>0.19401273220201798</v>
      </c>
      <c r="DO258" s="135">
        <f>DO252/((DI139-DI130))-1</f>
        <v>0.19581235080719273</v>
      </c>
      <c r="DP258" s="135">
        <f>DP252/((DJ139-DJ130))-1</f>
        <v>0.22560386292033385</v>
      </c>
      <c r="DQ258" s="136">
        <f>DQ252/((DK139-DK130))-1</f>
        <v>0.20070226801885593</v>
      </c>
      <c r="DR258" s="137"/>
      <c r="DS258" s="135">
        <f>DS252/((DM139-DM130))-1</f>
        <v>0.13220571989650476</v>
      </c>
      <c r="DT258" s="135">
        <f>DT252/((DN139-DN130))-1</f>
        <v>0.19518973193956679</v>
      </c>
      <c r="DU258" s="135">
        <f>DU252/((DO139-DO130))-1</f>
        <v>0.19741743849303095</v>
      </c>
      <c r="DV258" s="135">
        <f>DV252/((DP139-DP130))-1</f>
        <v>0.21090330345486175</v>
      </c>
      <c r="DW258" s="136">
        <f>DW252/((DQ139-DQ130))-1</f>
        <v>0.1946736469963517</v>
      </c>
      <c r="DX258" s="500"/>
      <c r="DY258" s="500"/>
      <c r="DZ258" s="500"/>
      <c r="EA258" s="500"/>
      <c r="EB258" s="500"/>
      <c r="EC258" s="500"/>
      <c r="ED258" s="500"/>
      <c r="EE258" s="500"/>
      <c r="EF258" s="500"/>
      <c r="EG258" s="500"/>
      <c r="EH258" s="500"/>
      <c r="EI258" s="500"/>
      <c r="EJ258" s="656"/>
      <c r="EK258" s="656"/>
      <c r="EL258" s="656"/>
    </row>
    <row r="259" spans="1:142" s="923" customFormat="1">
      <c r="A259" s="1576" t="s">
        <v>1043</v>
      </c>
      <c r="B259" s="260"/>
      <c r="C259" s="260"/>
      <c r="D259" s="260"/>
      <c r="E259" s="260"/>
      <c r="F259" s="260"/>
      <c r="G259" s="260"/>
      <c r="H259" s="260"/>
      <c r="I259" s="260"/>
      <c r="J259" s="260"/>
      <c r="K259" s="260"/>
      <c r="L259" s="260"/>
      <c r="M259" s="260"/>
      <c r="N259" s="260"/>
      <c r="O259" s="260"/>
      <c r="P259" s="260"/>
      <c r="Q259" s="260"/>
      <c r="R259" s="260"/>
      <c r="S259" s="260"/>
      <c r="T259" s="260"/>
      <c r="U259" s="260"/>
      <c r="V259" s="260"/>
      <c r="W259" s="260"/>
      <c r="X259" s="260"/>
      <c r="Y259" s="260"/>
      <c r="Z259" s="260"/>
      <c r="AA259" s="260"/>
      <c r="AB259" s="260"/>
      <c r="AC259" s="260"/>
      <c r="AD259" s="260"/>
      <c r="AE259" s="260"/>
      <c r="AF259" s="260"/>
      <c r="AG259" s="260"/>
      <c r="AH259" s="260"/>
      <c r="AI259" s="260"/>
      <c r="AJ259" s="260"/>
      <c r="AK259" s="260"/>
      <c r="AL259" s="260"/>
      <c r="AM259" s="260"/>
      <c r="AN259" s="1546"/>
      <c r="AO259" s="260"/>
      <c r="AP259" s="260"/>
      <c r="AQ259" s="262"/>
      <c r="AR259" s="260"/>
      <c r="AS259" s="260"/>
      <c r="AT259" s="260"/>
      <c r="AU259" s="260"/>
      <c r="AV259" s="260"/>
      <c r="AW259" s="262"/>
      <c r="AX259" s="260"/>
      <c r="AY259" s="260"/>
      <c r="AZ259" s="260"/>
      <c r="BA259" s="260"/>
      <c r="BB259" s="260"/>
      <c r="BC259" s="262"/>
      <c r="BD259" s="260"/>
      <c r="BE259" s="260"/>
      <c r="BF259" s="260"/>
      <c r="BG259" s="260"/>
      <c r="BH259" s="274"/>
      <c r="BI259" s="262"/>
      <c r="BJ259" s="260"/>
      <c r="BK259" s="275"/>
      <c r="BL259" s="275"/>
      <c r="BM259" s="275"/>
      <c r="BN259" s="275"/>
      <c r="BO259" s="277"/>
      <c r="BP259" s="269"/>
      <c r="BQ259" s="275"/>
      <c r="BR259" s="275"/>
      <c r="BS259" s="275"/>
      <c r="BT259" s="275"/>
      <c r="BU259" s="277"/>
      <c r="BV259" s="269"/>
      <c r="BW259" s="275"/>
      <c r="BX259" s="275"/>
      <c r="BY259" s="275"/>
      <c r="BZ259" s="275"/>
      <c r="CA259" s="277"/>
      <c r="CB259" s="269"/>
      <c r="CC259" s="275"/>
      <c r="CD259" s="275"/>
      <c r="CE259" s="275"/>
      <c r="CF259" s="275"/>
      <c r="CG259" s="277"/>
      <c r="CH259" s="269"/>
      <c r="CI259" s="275"/>
      <c r="CJ259" s="275"/>
      <c r="CK259" s="275"/>
      <c r="CL259" s="275"/>
      <c r="CM259" s="277"/>
      <c r="CN259" s="269"/>
      <c r="CO259" s="275"/>
      <c r="CP259" s="275"/>
      <c r="CQ259" s="275"/>
      <c r="CR259" s="275"/>
      <c r="CS259" s="277"/>
      <c r="CT259" s="269"/>
      <c r="CU259" s="275"/>
      <c r="CV259" s="275"/>
      <c r="CW259" s="275"/>
      <c r="CX259" s="275"/>
      <c r="CY259" s="277"/>
      <c r="CZ259" s="269"/>
      <c r="DA259" s="275"/>
      <c r="DB259" s="275"/>
      <c r="DC259" s="275"/>
      <c r="DD259" s="275"/>
      <c r="DE259" s="277"/>
      <c r="DF259" s="269"/>
      <c r="DG259" s="275"/>
      <c r="DH259" s="275"/>
      <c r="DI259" s="275"/>
      <c r="DJ259" s="275"/>
      <c r="DK259" s="277"/>
      <c r="DL259" s="269"/>
      <c r="DM259" s="275"/>
      <c r="DN259" s="275"/>
      <c r="DO259" s="275"/>
      <c r="DP259" s="275"/>
      <c r="DQ259" s="277"/>
      <c r="DR259" s="269"/>
      <c r="DS259" s="275"/>
      <c r="DT259" s="275"/>
      <c r="DU259" s="275"/>
      <c r="DV259" s="275"/>
      <c r="DW259" s="277"/>
      <c r="DX259" s="500"/>
      <c r="DY259" s="500"/>
      <c r="DZ259" s="500"/>
      <c r="EA259" s="500"/>
      <c r="EB259" s="500"/>
      <c r="EC259" s="500"/>
      <c r="ED259" s="500"/>
      <c r="EE259" s="500"/>
      <c r="EF259" s="500"/>
      <c r="EG259" s="500"/>
      <c r="EH259" s="500"/>
      <c r="EI259" s="500"/>
      <c r="EJ259" s="656"/>
      <c r="EK259" s="656"/>
      <c r="EL259" s="656"/>
    </row>
    <row r="260" spans="1:142" s="655" customFormat="1">
      <c r="A260" s="1588" t="s">
        <v>661</v>
      </c>
      <c r="B260" s="260"/>
      <c r="C260" s="260"/>
      <c r="D260" s="260"/>
      <c r="E260" s="260"/>
      <c r="F260" s="260"/>
      <c r="G260" s="260"/>
      <c r="H260" s="260"/>
      <c r="I260" s="260"/>
      <c r="J260" s="260"/>
      <c r="K260" s="260"/>
      <c r="L260" s="260"/>
      <c r="M260" s="260"/>
      <c r="N260" s="260"/>
      <c r="O260" s="260"/>
      <c r="P260" s="260"/>
      <c r="Q260" s="260"/>
      <c r="R260" s="260"/>
      <c r="S260" s="260"/>
      <c r="T260" s="260"/>
      <c r="U260" s="260"/>
      <c r="V260" s="260"/>
      <c r="W260" s="260"/>
      <c r="X260" s="260"/>
      <c r="Y260" s="260"/>
      <c r="Z260" s="260"/>
      <c r="AA260" s="260"/>
      <c r="AB260" s="260"/>
      <c r="AC260" s="260"/>
      <c r="AD260" s="260"/>
      <c r="AE260" s="260"/>
      <c r="AF260" s="260"/>
      <c r="AG260" s="260"/>
      <c r="AH260" s="260"/>
      <c r="AI260" s="260"/>
      <c r="AJ260" s="260"/>
      <c r="AK260" s="260"/>
      <c r="AL260" s="260"/>
      <c r="AM260" s="260"/>
      <c r="AN260" s="1546"/>
      <c r="AO260" s="260"/>
      <c r="AP260" s="260"/>
      <c r="AQ260" s="262"/>
      <c r="AR260" s="260"/>
      <c r="AS260" s="260"/>
      <c r="AT260" s="260"/>
      <c r="AU260" s="260"/>
      <c r="AV260" s="260"/>
      <c r="AW260" s="262"/>
      <c r="AX260" s="260"/>
      <c r="AY260" s="260"/>
      <c r="AZ260" s="260">
        <f>AZ248/AV248-1</f>
        <v>-0.23716497848691298</v>
      </c>
      <c r="BA260" s="260"/>
      <c r="BB260" s="260"/>
      <c r="BC260" s="262"/>
      <c r="BD260" s="260"/>
      <c r="BE260" s="260"/>
      <c r="BF260" s="260">
        <f>BF248/BB248-1</f>
        <v>-0.23758256354525187</v>
      </c>
      <c r="BG260" s="260"/>
      <c r="BH260" s="279"/>
      <c r="BI260" s="262"/>
      <c r="BJ260" s="260"/>
      <c r="BK260" s="280"/>
      <c r="BL260" s="280">
        <f>BL248/BH248-1</f>
        <v>-0.19514116055380337</v>
      </c>
      <c r="BM260" s="280"/>
      <c r="BN260" s="280"/>
      <c r="BO260" s="281"/>
      <c r="BP260" s="269"/>
      <c r="BQ260" s="280"/>
      <c r="BR260" s="280">
        <f>BR248/BN248-1</f>
        <v>-0.1880470590934975</v>
      </c>
      <c r="BS260" s="280"/>
      <c r="BT260" s="280"/>
      <c r="BU260" s="281"/>
      <c r="BV260" s="269"/>
      <c r="BW260" s="280"/>
      <c r="BX260" s="280">
        <f>BX248/BT248-1</f>
        <v>-0.32919707562315714</v>
      </c>
      <c r="BY260" s="280"/>
      <c r="BZ260" s="280"/>
      <c r="CA260" s="281"/>
      <c r="CB260" s="269"/>
      <c r="CC260" s="280"/>
      <c r="CD260" s="280">
        <f>CD248/BZ248-1</f>
        <v>-0.31229475957219655</v>
      </c>
      <c r="CE260" s="280"/>
      <c r="CF260" s="280"/>
      <c r="CG260" s="281"/>
      <c r="CH260" s="269"/>
      <c r="CI260" s="280"/>
      <c r="CJ260" s="280">
        <f>CJ248/CF248-1</f>
        <v>-0.30314403711211757</v>
      </c>
      <c r="CK260" s="280"/>
      <c r="CL260" s="280"/>
      <c r="CM260" s="281"/>
      <c r="CN260" s="269"/>
      <c r="CO260" s="280"/>
      <c r="CP260" s="280">
        <f>CP248/CL248-1</f>
        <v>-0.36553766993957704</v>
      </c>
      <c r="CQ260" s="280"/>
      <c r="CR260" s="280"/>
      <c r="CS260" s="281"/>
      <c r="CT260" s="269"/>
      <c r="CU260" s="280"/>
      <c r="CV260" s="280">
        <f>CV248/CR248-1</f>
        <v>-0.43054275680523946</v>
      </c>
      <c r="CW260" s="280"/>
      <c r="CX260" s="280"/>
      <c r="CY260" s="281"/>
      <c r="CZ260" s="269"/>
      <c r="DA260" s="280"/>
      <c r="DB260" s="280">
        <f>DB248/CX248-1</f>
        <v>-0.4607251417413516</v>
      </c>
      <c r="DC260" s="280"/>
      <c r="DD260" s="280"/>
      <c r="DE260" s="281"/>
      <c r="DF260" s="269"/>
      <c r="DG260" s="280"/>
      <c r="DH260" s="280">
        <f>DH248/DD248-1</f>
        <v>-0.49165831108210911</v>
      </c>
      <c r="DI260" s="280"/>
      <c r="DJ260" s="280"/>
      <c r="DK260" s="281"/>
      <c r="DL260" s="269"/>
      <c r="DM260" s="280"/>
      <c r="DN260" s="280">
        <f>DN248/DJ248-1</f>
        <v>-0.51081509603009079</v>
      </c>
      <c r="DO260" s="280"/>
      <c r="DP260" s="280"/>
      <c r="DQ260" s="281"/>
      <c r="DR260" s="269"/>
      <c r="DS260" s="280"/>
      <c r="DT260" s="280">
        <f>DT248/DP248-1</f>
        <v>-0.5229545272062488</v>
      </c>
      <c r="DU260" s="280"/>
      <c r="DV260" s="280"/>
      <c r="DW260" s="281"/>
      <c r="DX260" s="500"/>
      <c r="DY260" s="500"/>
      <c r="DZ260" s="500"/>
      <c r="EA260" s="500"/>
      <c r="EB260" s="500"/>
      <c r="EC260" s="500"/>
      <c r="ED260" s="500"/>
      <c r="EE260" s="500"/>
      <c r="EF260" s="500"/>
      <c r="EG260" s="500"/>
      <c r="EH260" s="500"/>
      <c r="EI260" s="500"/>
    </row>
    <row r="261" spans="1:142" s="923" customFormat="1">
      <c r="A261" s="1589" t="s">
        <v>1044</v>
      </c>
      <c r="B261" s="260"/>
      <c r="C261" s="260"/>
      <c r="D261" s="260"/>
      <c r="E261" s="260"/>
      <c r="F261" s="260"/>
      <c r="G261" s="260"/>
      <c r="H261" s="260"/>
      <c r="I261" s="260"/>
      <c r="J261" s="260"/>
      <c r="K261" s="260"/>
      <c r="L261" s="260"/>
      <c r="M261" s="260"/>
      <c r="N261" s="260"/>
      <c r="O261" s="260"/>
      <c r="P261" s="260"/>
      <c r="Q261" s="260"/>
      <c r="R261" s="260"/>
      <c r="S261" s="260"/>
      <c r="T261" s="260"/>
      <c r="U261" s="260"/>
      <c r="V261" s="260"/>
      <c r="W261" s="260"/>
      <c r="X261" s="260"/>
      <c r="Y261" s="260"/>
      <c r="Z261" s="260"/>
      <c r="AA261" s="260"/>
      <c r="AB261" s="260"/>
      <c r="AC261" s="260"/>
      <c r="AD261" s="260"/>
      <c r="AE261" s="260"/>
      <c r="AF261" s="260"/>
      <c r="AG261" s="260"/>
      <c r="AH261" s="260"/>
      <c r="AI261" s="260"/>
      <c r="AJ261" s="260"/>
      <c r="AK261" s="260"/>
      <c r="AL261" s="260"/>
      <c r="AM261" s="260"/>
      <c r="AN261" s="1546"/>
      <c r="AO261" s="260"/>
      <c r="AP261" s="260"/>
      <c r="AQ261" s="262"/>
      <c r="AR261" s="260"/>
      <c r="AS261" s="260"/>
      <c r="AT261" s="260"/>
      <c r="AU261" s="260"/>
      <c r="AV261" s="260"/>
      <c r="AW261" s="262"/>
      <c r="AX261" s="260"/>
      <c r="AY261" s="260"/>
      <c r="AZ261" s="260">
        <f>AZ252/AV252-1</f>
        <v>-0.23716497848691298</v>
      </c>
      <c r="BA261" s="260"/>
      <c r="BB261" s="260"/>
      <c r="BC261" s="262"/>
      <c r="BD261" s="260"/>
      <c r="BE261" s="260"/>
      <c r="BF261" s="260">
        <f>BF252/BB252-1</f>
        <v>-0.23758256354525187</v>
      </c>
      <c r="BG261" s="260"/>
      <c r="BH261" s="274"/>
      <c r="BI261" s="262"/>
      <c r="BJ261" s="260"/>
      <c r="BK261" s="275"/>
      <c r="BL261" s="280">
        <f>BL252/BH252-1</f>
        <v>-0.19758320251929573</v>
      </c>
      <c r="BM261" s="275"/>
      <c r="BN261" s="275"/>
      <c r="BO261" s="277"/>
      <c r="BP261" s="269"/>
      <c r="BQ261" s="275"/>
      <c r="BR261" s="280">
        <f>BR252/BN252-1</f>
        <v>-0.21980705365044051</v>
      </c>
      <c r="BS261" s="275"/>
      <c r="BT261" s="275"/>
      <c r="BU261" s="277"/>
      <c r="BV261" s="269"/>
      <c r="BW261" s="275"/>
      <c r="BX261" s="280">
        <f>BX252/BT252-1</f>
        <v>-0.16056773737676211</v>
      </c>
      <c r="BY261" s="275"/>
      <c r="BZ261" s="275"/>
      <c r="CA261" s="277"/>
      <c r="CB261" s="269"/>
      <c r="CC261" s="275"/>
      <c r="CD261" s="280">
        <f>CD252/BZ252-1</f>
        <v>-0.28266247838347913</v>
      </c>
      <c r="CE261" s="275"/>
      <c r="CF261" s="275"/>
      <c r="CG261" s="277"/>
      <c r="CH261" s="269"/>
      <c r="CI261" s="275"/>
      <c r="CJ261" s="280">
        <f>CJ252/CF252-1</f>
        <v>-0.31856745552234034</v>
      </c>
      <c r="CK261" s="280"/>
      <c r="CL261" s="275"/>
      <c r="CM261" s="277"/>
      <c r="CN261" s="269"/>
      <c r="CO261" s="275"/>
      <c r="CP261" s="280">
        <f>CP252/CL252-1</f>
        <v>-0.34423711361632825</v>
      </c>
      <c r="CQ261" s="275"/>
      <c r="CR261" s="275"/>
      <c r="CS261" s="277"/>
      <c r="CT261" s="269"/>
      <c r="CU261" s="275"/>
      <c r="CV261" s="280">
        <f>CV252/CR252-1</f>
        <v>-0.42802689360088908</v>
      </c>
      <c r="CW261" s="275"/>
      <c r="CX261" s="275"/>
      <c r="CY261" s="277"/>
      <c r="CZ261" s="269"/>
      <c r="DA261" s="275"/>
      <c r="DB261" s="280">
        <f>DB252/CX252-1</f>
        <v>-0.46628265192725549</v>
      </c>
      <c r="DC261" s="275"/>
      <c r="DD261" s="275"/>
      <c r="DE261" s="277"/>
      <c r="DF261" s="269"/>
      <c r="DG261" s="275"/>
      <c r="DH261" s="280">
        <f>DH252/DD252-1</f>
        <v>-0.48043173946242546</v>
      </c>
      <c r="DI261" s="275"/>
      <c r="DJ261" s="275"/>
      <c r="DK261" s="277"/>
      <c r="DL261" s="269"/>
      <c r="DM261" s="275"/>
      <c r="DN261" s="280">
        <f>DN252/DJ252-1</f>
        <v>-0.51081509603009079</v>
      </c>
      <c r="DO261" s="275"/>
      <c r="DP261" s="275"/>
      <c r="DQ261" s="277"/>
      <c r="DR261" s="269"/>
      <c r="DS261" s="275"/>
      <c r="DT261" s="280">
        <f>DT252/DP252-1</f>
        <v>-0.5229545272062488</v>
      </c>
      <c r="DU261" s="275"/>
      <c r="DV261" s="275"/>
      <c r="DW261" s="277"/>
      <c r="DX261" s="500"/>
      <c r="DY261" s="500"/>
      <c r="DZ261" s="500"/>
      <c r="EA261" s="500"/>
      <c r="EB261" s="500"/>
      <c r="EC261" s="500"/>
      <c r="ED261" s="500"/>
      <c r="EE261" s="500"/>
      <c r="EF261" s="500"/>
      <c r="EG261" s="500"/>
      <c r="EH261" s="500"/>
      <c r="EI261" s="500"/>
      <c r="EJ261" s="656"/>
      <c r="EK261" s="656"/>
      <c r="EL261" s="656"/>
    </row>
    <row r="262" spans="1:142">
      <c r="A262" s="260"/>
      <c r="B262" s="260"/>
      <c r="C262" s="260"/>
      <c r="D262" s="260"/>
      <c r="E262" s="260"/>
      <c r="F262" s="260"/>
      <c r="G262" s="316"/>
      <c r="H262" s="260"/>
      <c r="I262" s="260"/>
      <c r="J262" s="260"/>
      <c r="K262" s="260"/>
      <c r="L262" s="260"/>
      <c r="M262" s="316"/>
      <c r="N262" s="260"/>
      <c r="O262" s="260"/>
      <c r="P262" s="260"/>
      <c r="Q262" s="260"/>
      <c r="R262" s="260"/>
      <c r="S262" s="316"/>
      <c r="T262" s="260"/>
      <c r="U262" s="260"/>
      <c r="V262" s="260"/>
      <c r="W262" s="260"/>
      <c r="X262" s="260"/>
      <c r="Y262" s="316"/>
      <c r="Z262" s="260"/>
      <c r="AA262" s="260"/>
      <c r="AB262" s="260"/>
      <c r="AC262" s="260"/>
      <c r="AD262" s="260"/>
      <c r="AE262" s="316"/>
      <c r="AF262" s="260"/>
      <c r="AG262" s="260"/>
      <c r="AH262" s="260"/>
      <c r="AI262" s="260"/>
      <c r="AJ262" s="260"/>
      <c r="AK262" s="316"/>
      <c r="AL262" s="260"/>
      <c r="AM262" s="260"/>
      <c r="AN262" s="1546"/>
      <c r="AO262" s="260"/>
      <c r="AP262" s="260"/>
      <c r="AQ262" s="507"/>
      <c r="AR262" s="260"/>
      <c r="AS262" s="260"/>
      <c r="AT262" s="260"/>
      <c r="AU262" s="260"/>
      <c r="AV262" s="260"/>
      <c r="AW262" s="507"/>
      <c r="AX262" s="260"/>
      <c r="AY262" s="260"/>
      <c r="AZ262" s="260"/>
      <c r="BA262" s="260"/>
      <c r="BB262" s="260"/>
      <c r="BC262" s="507"/>
      <c r="BD262" s="260"/>
      <c r="BE262" s="260"/>
      <c r="BF262" s="260"/>
      <c r="BG262" s="260"/>
      <c r="BH262" s="260"/>
      <c r="BI262" s="507"/>
      <c r="BJ262" s="260"/>
      <c r="BK262" s="260"/>
      <c r="BL262" s="260"/>
      <c r="BM262" s="260"/>
      <c r="BN262" s="260"/>
      <c r="BO262" s="262"/>
      <c r="BP262" s="260"/>
      <c r="BR262" s="260"/>
      <c r="BS262" s="260"/>
      <c r="BT262" s="260"/>
      <c r="BU262" s="262"/>
      <c r="BV262" s="260"/>
      <c r="BW262" s="275"/>
      <c r="BX262" s="260"/>
      <c r="BY262" s="260"/>
      <c r="BZ262" s="260"/>
      <c r="CA262" s="262"/>
      <c r="CB262" s="260"/>
      <c r="CC262" s="260"/>
      <c r="CD262" s="260"/>
      <c r="CE262" s="260"/>
      <c r="CF262" s="260"/>
      <c r="CG262" s="262"/>
      <c r="CH262" s="260"/>
      <c r="CI262" s="260"/>
      <c r="CJ262" s="260"/>
      <c r="CK262" s="260"/>
      <c r="CL262" s="260"/>
      <c r="CM262" s="262"/>
      <c r="CN262" s="260"/>
      <c r="CO262" s="260"/>
      <c r="CP262" s="260"/>
      <c r="CQ262" s="260"/>
      <c r="CR262" s="260"/>
      <c r="CS262" s="262"/>
      <c r="CT262" s="260"/>
      <c r="CU262" s="260"/>
      <c r="CV262" s="260"/>
      <c r="CW262" s="260"/>
      <c r="CX262" s="260"/>
      <c r="CY262" s="262"/>
      <c r="CZ262" s="260"/>
      <c r="DA262" s="260"/>
      <c r="DB262" s="260"/>
      <c r="DC262" s="260"/>
      <c r="DD262" s="260"/>
      <c r="DE262" s="262"/>
      <c r="DF262" s="260"/>
      <c r="DG262" s="260"/>
      <c r="DH262" s="260"/>
      <c r="DI262" s="260"/>
      <c r="DJ262" s="260"/>
      <c r="DK262" s="262"/>
      <c r="DL262" s="260"/>
      <c r="DM262" s="260"/>
      <c r="DN262" s="260"/>
      <c r="DO262" s="260"/>
      <c r="DP262" s="260"/>
      <c r="DQ262" s="262"/>
      <c r="DR262" s="260"/>
      <c r="DS262" s="260"/>
      <c r="DT262" s="260"/>
      <c r="DU262" s="260"/>
      <c r="DV262" s="260"/>
      <c r="DW262" s="262"/>
      <c r="DX262" s="500"/>
      <c r="DY262" s="500"/>
      <c r="DZ262" s="500"/>
      <c r="EA262" s="500"/>
      <c r="EB262" s="500"/>
      <c r="EC262" s="500"/>
      <c r="ED262" s="500"/>
      <c r="EE262" s="500"/>
      <c r="EF262" s="500"/>
      <c r="EG262" s="500"/>
      <c r="EH262" s="500"/>
      <c r="EI262" s="500"/>
    </row>
    <row r="263" spans="1:142" hidden="1" outlineLevel="1">
      <c r="A263" s="260" t="s">
        <v>490</v>
      </c>
      <c r="B263" s="260"/>
      <c r="C263" s="260"/>
      <c r="D263" s="260"/>
      <c r="E263" s="260"/>
      <c r="F263" s="260"/>
      <c r="G263" s="316"/>
      <c r="H263" s="260"/>
      <c r="I263" s="260"/>
      <c r="J263" s="260"/>
      <c r="K263" s="260"/>
      <c r="L263" s="260"/>
      <c r="M263" s="316"/>
      <c r="N263" s="260"/>
      <c r="O263" s="260"/>
      <c r="P263" s="260"/>
      <c r="Q263" s="260"/>
      <c r="R263" s="260"/>
      <c r="S263" s="316"/>
      <c r="T263" s="260"/>
      <c r="U263" s="260"/>
      <c r="V263" s="260"/>
      <c r="W263" s="260"/>
      <c r="X263" s="260"/>
      <c r="Y263" s="316"/>
      <c r="Z263" s="260"/>
      <c r="AA263" s="260"/>
      <c r="AB263" s="260"/>
      <c r="AC263" s="260"/>
      <c r="AD263" s="260"/>
      <c r="AE263" s="316"/>
      <c r="AF263" s="260"/>
      <c r="AG263" s="260"/>
      <c r="AH263" s="717"/>
      <c r="AI263" s="717">
        <v>85</v>
      </c>
      <c r="AJ263" s="717" t="s">
        <v>700</v>
      </c>
      <c r="AK263" s="741"/>
      <c r="AL263" s="717"/>
      <c r="AM263" s="717">
        <v>214</v>
      </c>
      <c r="AN263" s="260">
        <v>300</v>
      </c>
      <c r="AO263" s="260">
        <v>430</v>
      </c>
      <c r="AP263" s="260">
        <v>520</v>
      </c>
      <c r="AQ263" s="507"/>
      <c r="AR263" s="260"/>
      <c r="AS263" s="260" t="s">
        <v>458</v>
      </c>
      <c r="AT263" s="260">
        <v>642</v>
      </c>
      <c r="AU263" s="260">
        <v>750</v>
      </c>
      <c r="AV263" s="260">
        <v>800</v>
      </c>
      <c r="AW263" s="507"/>
      <c r="AX263" s="260"/>
      <c r="AY263" s="260"/>
      <c r="AZ263" s="876" t="s">
        <v>559</v>
      </c>
      <c r="BA263" s="260"/>
      <c r="BB263" s="260">
        <v>800</v>
      </c>
      <c r="BC263" s="507"/>
      <c r="BD263" s="260"/>
      <c r="BE263" s="260"/>
      <c r="BF263" s="260"/>
      <c r="BG263" s="260"/>
      <c r="BH263" s="260"/>
      <c r="BI263" s="507"/>
      <c r="BJ263" s="260"/>
      <c r="BK263" s="260"/>
      <c r="BL263" s="260"/>
      <c r="BM263" s="260"/>
      <c r="BN263" s="260"/>
      <c r="BO263" s="262"/>
      <c r="BP263" s="260"/>
      <c r="BQ263" s="260"/>
      <c r="BR263" s="260"/>
      <c r="BS263" s="260"/>
      <c r="BT263" s="260"/>
      <c r="BU263" s="262"/>
      <c r="BV263" s="260"/>
      <c r="BW263" s="260"/>
      <c r="BX263" s="260"/>
      <c r="BY263" s="260"/>
      <c r="BZ263" s="260"/>
      <c r="CA263" s="262"/>
      <c r="CB263" s="260"/>
      <c r="CC263" s="260"/>
      <c r="CD263" s="280"/>
      <c r="CE263" s="260"/>
      <c r="CF263" s="260"/>
      <c r="CG263" s="262"/>
      <c r="CH263" s="260"/>
      <c r="CI263" s="260"/>
      <c r="CJ263" s="280"/>
      <c r="CK263" s="280"/>
      <c r="CL263" s="260"/>
      <c r="CM263" s="262"/>
      <c r="CN263" s="260"/>
      <c r="CO263" s="260"/>
      <c r="CP263" s="280"/>
      <c r="CQ263" s="260"/>
      <c r="CR263" s="260"/>
      <c r="CS263" s="262"/>
      <c r="CT263" s="260"/>
      <c r="CU263" s="260"/>
      <c r="CV263" s="280"/>
      <c r="CW263" s="260"/>
      <c r="CX263" s="260"/>
      <c r="CY263" s="262"/>
      <c r="CZ263" s="260"/>
      <c r="DA263" s="260"/>
      <c r="DB263" s="260"/>
      <c r="DC263" s="260"/>
      <c r="DD263" s="260"/>
      <c r="DE263" s="262"/>
      <c r="DF263" s="260"/>
      <c r="DG263" s="260"/>
      <c r="DH263" s="260"/>
      <c r="DI263" s="260"/>
      <c r="DJ263" s="260"/>
      <c r="DK263" s="262"/>
      <c r="DL263" s="260"/>
      <c r="DM263" s="260"/>
      <c r="DN263" s="260"/>
      <c r="DO263" s="260"/>
      <c r="DP263" s="260"/>
      <c r="DQ263" s="262"/>
      <c r="DR263" s="260"/>
      <c r="DS263" s="260"/>
      <c r="DT263" s="260"/>
      <c r="DU263" s="260"/>
      <c r="DV263" s="260"/>
      <c r="DW263" s="262"/>
      <c r="DX263" s="500"/>
      <c r="DY263" s="500"/>
      <c r="DZ263" s="500"/>
      <c r="EA263" s="500"/>
      <c r="EB263" s="500"/>
      <c r="EC263" s="500"/>
      <c r="ED263" s="500"/>
      <c r="EE263" s="500"/>
      <c r="EF263" s="500"/>
      <c r="EG263" s="500"/>
      <c r="EH263" s="500"/>
      <c r="EI263" s="500"/>
    </row>
    <row r="264" spans="1:142" hidden="1" outlineLevel="1">
      <c r="A264" s="260" t="s">
        <v>456</v>
      </c>
      <c r="B264" s="260"/>
      <c r="C264" s="260"/>
      <c r="D264" s="260"/>
      <c r="E264" s="260"/>
      <c r="F264" s="260"/>
      <c r="G264" s="316"/>
      <c r="H264" s="260"/>
      <c r="I264" s="260"/>
      <c r="J264" s="260"/>
      <c r="K264" s="260"/>
      <c r="L264" s="260"/>
      <c r="M264" s="316"/>
      <c r="N264" s="260"/>
      <c r="O264" s="260"/>
      <c r="P264" s="260"/>
      <c r="Q264" s="260"/>
      <c r="R264" s="260"/>
      <c r="S264" s="316"/>
      <c r="T264" s="260"/>
      <c r="U264" s="260"/>
      <c r="V264" s="260"/>
      <c r="W264" s="260"/>
      <c r="X264" s="260"/>
      <c r="Y264" s="316"/>
      <c r="Z264" s="260"/>
      <c r="AA264" s="260"/>
      <c r="AB264" s="260"/>
      <c r="AC264" s="260"/>
      <c r="AD264" s="260"/>
      <c r="AE264" s="316"/>
      <c r="AF264" s="260"/>
      <c r="AG264" s="260"/>
      <c r="AH264" s="260"/>
      <c r="AI264" s="260"/>
      <c r="AJ264" s="260" t="s">
        <v>701</v>
      </c>
      <c r="AK264" s="316"/>
      <c r="AL264" s="260"/>
      <c r="AM264" s="260" t="s">
        <v>455</v>
      </c>
      <c r="AN264" s="260"/>
      <c r="AO264" s="1564">
        <v>15000</v>
      </c>
      <c r="AP264" s="1564">
        <v>20000</v>
      </c>
      <c r="AQ264" s="507"/>
      <c r="AR264" s="260"/>
      <c r="AS264" s="1564">
        <v>26000</v>
      </c>
      <c r="AT264" s="1564">
        <v>32000</v>
      </c>
      <c r="AU264" s="1565">
        <v>38000</v>
      </c>
      <c r="AV264" s="260"/>
      <c r="AW264" s="507"/>
      <c r="AX264" s="260"/>
      <c r="AY264" s="260"/>
      <c r="AZ264" s="876" t="s">
        <v>560</v>
      </c>
      <c r="BA264" s="260"/>
      <c r="BB264" s="260"/>
      <c r="BC264" s="507"/>
      <c r="BD264" s="260"/>
      <c r="BE264" s="260"/>
      <c r="BF264" s="260"/>
      <c r="BG264" s="260"/>
      <c r="BH264" s="260"/>
      <c r="BI264" s="507"/>
      <c r="BJ264" s="260"/>
      <c r="BK264" s="260"/>
      <c r="BL264" s="260"/>
      <c r="BM264" s="260"/>
      <c r="BN264" s="260"/>
      <c r="BO264" s="262"/>
      <c r="BP264" s="260"/>
      <c r="BT264" s="260"/>
      <c r="BU264" s="262"/>
      <c r="BV264" s="260"/>
      <c r="BW264" s="260"/>
      <c r="BX264" s="260"/>
      <c r="BY264" s="260"/>
      <c r="BZ264" s="260"/>
      <c r="CA264" s="262"/>
      <c r="CB264" s="260"/>
      <c r="CC264" s="260"/>
      <c r="CD264" s="260"/>
      <c r="CE264" s="260"/>
      <c r="CF264" s="260"/>
      <c r="CG264" s="262"/>
      <c r="CH264" s="260"/>
      <c r="CI264" s="260"/>
      <c r="CJ264" s="260"/>
      <c r="CK264" s="260"/>
      <c r="CL264" s="260"/>
      <c r="CM264" s="262"/>
      <c r="CN264" s="260"/>
      <c r="CR264" s="260"/>
      <c r="CS264" s="262"/>
      <c r="CT264" s="260"/>
      <c r="CU264" s="260"/>
      <c r="CV264" s="260"/>
      <c r="CW264" s="260"/>
      <c r="CX264" s="260"/>
      <c r="CY264" s="262"/>
      <c r="CZ264" s="260"/>
      <c r="DA264" s="260"/>
      <c r="DB264" s="260"/>
      <c r="DC264" s="260"/>
      <c r="DD264" s="260"/>
      <c r="DE264" s="262"/>
      <c r="DF264" s="260"/>
      <c r="DG264" s="260"/>
      <c r="DH264" s="260"/>
      <c r="DI264" s="260"/>
      <c r="DJ264" s="260"/>
      <c r="DK264" s="262"/>
      <c r="DL264" s="260"/>
      <c r="DM264" s="260"/>
      <c r="DN264" s="260"/>
      <c r="DO264" s="260"/>
      <c r="DP264" s="260"/>
      <c r="DQ264" s="262"/>
      <c r="DR264" s="260"/>
      <c r="DS264" s="260"/>
      <c r="DT264" s="260"/>
      <c r="DU264" s="260"/>
      <c r="DV264" s="260"/>
      <c r="DW264" s="262"/>
      <c r="DX264" s="500"/>
      <c r="DY264" s="500"/>
      <c r="DZ264" s="500"/>
      <c r="EA264" s="500"/>
      <c r="EB264" s="500"/>
      <c r="EC264" s="500"/>
      <c r="ED264" s="500"/>
      <c r="EE264" s="500"/>
      <c r="EF264" s="500"/>
      <c r="EG264" s="500"/>
      <c r="EH264" s="500"/>
      <c r="EI264" s="500"/>
    </row>
    <row r="265" spans="1:142" hidden="1" outlineLevel="1">
      <c r="A265" s="260" t="s">
        <v>457</v>
      </c>
      <c r="B265" s="260"/>
      <c r="C265" s="260"/>
      <c r="D265" s="260"/>
      <c r="E265" s="260"/>
      <c r="F265" s="260"/>
      <c r="G265" s="316"/>
      <c r="H265" s="260"/>
      <c r="I265" s="260"/>
      <c r="J265" s="260"/>
      <c r="K265" s="260"/>
      <c r="L265" s="260"/>
      <c r="M265" s="316"/>
      <c r="N265" s="260"/>
      <c r="O265" s="260"/>
      <c r="P265" s="260"/>
      <c r="Q265" s="260"/>
      <c r="R265" s="260"/>
      <c r="S265" s="316"/>
      <c r="T265" s="260"/>
      <c r="U265" s="260"/>
      <c r="V265" s="260"/>
      <c r="W265" s="260"/>
      <c r="X265" s="260"/>
      <c r="Y265" s="316"/>
      <c r="Z265" s="260"/>
      <c r="AA265" s="260"/>
      <c r="AB265" s="260"/>
      <c r="AC265" s="260"/>
      <c r="AD265" s="260"/>
      <c r="AE265" s="316"/>
      <c r="AF265" s="260"/>
      <c r="AG265" s="260"/>
      <c r="AH265" s="260"/>
      <c r="AI265" s="260"/>
      <c r="AJ265" s="260" t="s">
        <v>284</v>
      </c>
      <c r="AK265" s="316"/>
      <c r="AL265" s="260"/>
      <c r="AM265" s="260"/>
      <c r="AN265" s="260"/>
      <c r="AO265" s="1564">
        <v>7000</v>
      </c>
      <c r="AP265" s="1564">
        <v>8000</v>
      </c>
      <c r="AQ265" s="507"/>
      <c r="AR265" s="260"/>
      <c r="AS265" s="1564">
        <v>10000</v>
      </c>
      <c r="AT265" s="260"/>
      <c r="AU265" s="1564">
        <v>13000</v>
      </c>
      <c r="AV265" s="260"/>
      <c r="AW265" s="507"/>
      <c r="AX265" s="260"/>
      <c r="AY265" s="260"/>
      <c r="AZ265" s="260"/>
      <c r="BA265" s="260"/>
      <c r="BB265" s="260"/>
      <c r="BC265" s="507"/>
      <c r="BD265" s="260"/>
      <c r="BE265" s="260"/>
      <c r="BF265" s="260"/>
      <c r="BG265" s="260"/>
      <c r="BH265" s="260"/>
      <c r="BI265" s="507"/>
      <c r="BJ265" s="260"/>
      <c r="BK265" s="260"/>
      <c r="BL265" s="260"/>
      <c r="BM265" s="260"/>
      <c r="BN265" s="260"/>
      <c r="BO265" s="262"/>
      <c r="BP265" s="260"/>
      <c r="BQ265" s="260"/>
      <c r="BR265" s="260"/>
      <c r="BS265" s="260"/>
      <c r="BT265" s="260"/>
      <c r="BU265" s="262"/>
      <c r="BV265" s="260"/>
      <c r="BW265" s="260"/>
      <c r="BX265" s="260"/>
      <c r="BY265" s="260"/>
      <c r="BZ265" s="260"/>
      <c r="CA265" s="262"/>
      <c r="CB265" s="260"/>
      <c r="CC265" s="260"/>
      <c r="CD265" s="260"/>
      <c r="CE265" s="260"/>
      <c r="CF265" s="260"/>
      <c r="CG265" s="262"/>
      <c r="CH265" s="260"/>
      <c r="CI265" s="260"/>
      <c r="CJ265" s="260"/>
      <c r="CK265" s="260"/>
      <c r="CL265" s="260"/>
      <c r="CM265" s="262"/>
      <c r="CN265" s="260"/>
      <c r="CR265" s="260"/>
      <c r="CS265" s="262"/>
      <c r="CT265" s="260"/>
      <c r="CU265" s="260"/>
      <c r="CV265" s="260"/>
      <c r="CW265" s="260"/>
      <c r="CX265" s="260"/>
      <c r="CY265" s="262"/>
      <c r="CZ265" s="260"/>
      <c r="DA265" s="260"/>
      <c r="DB265" s="260"/>
      <c r="DC265" s="260"/>
      <c r="DD265" s="260"/>
      <c r="DE265" s="262"/>
      <c r="DF265" s="260"/>
      <c r="DG265" s="260"/>
      <c r="DH265" s="260"/>
      <c r="DI265" s="260"/>
      <c r="DJ265" s="260"/>
      <c r="DK265" s="262"/>
      <c r="DL265" s="260"/>
      <c r="DM265" s="260"/>
      <c r="DN265" s="260"/>
      <c r="DO265" s="260"/>
      <c r="DP265" s="260"/>
      <c r="DQ265" s="262"/>
      <c r="DR265" s="260"/>
      <c r="DS265" s="260"/>
      <c r="DT265" s="260"/>
      <c r="DU265" s="260"/>
      <c r="DV265" s="260"/>
      <c r="DW265" s="262"/>
      <c r="DX265" s="500"/>
      <c r="DY265" s="500"/>
      <c r="DZ265" s="500"/>
      <c r="EA265" s="500"/>
      <c r="EB265" s="500"/>
      <c r="EC265" s="500"/>
      <c r="ED265" s="500"/>
      <c r="EE265" s="500"/>
      <c r="EF265" s="500"/>
      <c r="EG265" s="500"/>
      <c r="EH265" s="500"/>
      <c r="EI265" s="500"/>
    </row>
    <row r="266" spans="1:142" hidden="1" outlineLevel="1">
      <c r="A266" s="260"/>
      <c r="B266" s="260"/>
      <c r="C266" s="260"/>
      <c r="D266" s="260"/>
      <c r="E266" s="260"/>
      <c r="F266" s="260"/>
      <c r="G266" s="316"/>
      <c r="H266" s="260"/>
      <c r="I266" s="260"/>
      <c r="J266" s="260"/>
      <c r="K266" s="260"/>
      <c r="L266" s="260"/>
      <c r="M266" s="316"/>
      <c r="N266" s="260"/>
      <c r="O266" s="260"/>
      <c r="P266" s="260"/>
      <c r="Q266" s="260"/>
      <c r="R266" s="260"/>
      <c r="S266" s="316"/>
      <c r="T266" s="260"/>
      <c r="U266" s="260"/>
      <c r="V266" s="260"/>
      <c r="W266" s="260"/>
      <c r="X266" s="260"/>
      <c r="Y266" s="316"/>
      <c r="Z266" s="260"/>
      <c r="AA266" s="260"/>
      <c r="AB266" s="260"/>
      <c r="AC266" s="260"/>
      <c r="AD266" s="260"/>
      <c r="AE266" s="316"/>
      <c r="AF266" s="260"/>
      <c r="AG266" s="260"/>
      <c r="AH266" s="260"/>
      <c r="AI266" s="260"/>
      <c r="AJ266" s="260"/>
      <c r="AK266" s="316"/>
      <c r="AL266" s="260"/>
      <c r="AM266" s="260"/>
      <c r="AN266" s="260"/>
      <c r="AO266" s="260"/>
      <c r="AP266" s="260"/>
      <c r="AQ266" s="507"/>
      <c r="AR266" s="260"/>
      <c r="AS266" s="260"/>
      <c r="AT266" s="260"/>
      <c r="AU266" s="260"/>
      <c r="AV266" s="260"/>
      <c r="AW266" s="507"/>
      <c r="AX266" s="260"/>
      <c r="AY266" s="260"/>
      <c r="AZ266" s="260"/>
      <c r="BA266" s="260"/>
      <c r="BB266" s="260"/>
      <c r="BC266" s="507"/>
      <c r="BD266" s="260"/>
      <c r="BE266" s="260"/>
      <c r="BF266" s="260"/>
      <c r="BG266" s="260"/>
      <c r="BH266" s="260"/>
      <c r="BI266" s="507"/>
      <c r="BJ266" s="260"/>
      <c r="BK266" s="260"/>
      <c r="BL266" s="260"/>
      <c r="BM266" s="260"/>
      <c r="BN266" s="260"/>
      <c r="BO266" s="262"/>
      <c r="BP266" s="260"/>
      <c r="BQ266" s="260"/>
      <c r="BR266" s="260"/>
      <c r="BS266" s="260"/>
      <c r="BT266" s="260"/>
      <c r="BU266" s="262"/>
      <c r="BV266" s="260"/>
      <c r="BW266" s="260"/>
      <c r="BX266" s="260"/>
      <c r="BY266" s="260"/>
      <c r="BZ266" s="260"/>
      <c r="CA266" s="262"/>
      <c r="CB266" s="260"/>
      <c r="CC266" s="260"/>
      <c r="CD266" s="260"/>
      <c r="CE266" s="260"/>
      <c r="CF266" s="260"/>
      <c r="CG266" s="262"/>
      <c r="CH266" s="260"/>
      <c r="CI266" s="260"/>
      <c r="CJ266" s="260"/>
      <c r="CK266" s="260"/>
      <c r="CL266" s="260"/>
      <c r="CM266" s="262"/>
      <c r="CN266" s="260"/>
      <c r="CR266" s="260"/>
      <c r="CS266" s="262"/>
      <c r="CT266" s="260"/>
      <c r="CU266" s="260"/>
      <c r="CV266" s="260"/>
      <c r="CW266" s="260"/>
      <c r="CX266" s="260"/>
      <c r="CY266" s="262"/>
      <c r="CZ266" s="260"/>
      <c r="DA266" s="260"/>
      <c r="DB266" s="260"/>
      <c r="DC266" s="260"/>
      <c r="DD266" s="260"/>
      <c r="DE266" s="262"/>
      <c r="DF266" s="260"/>
      <c r="DG266" s="260"/>
      <c r="DH266" s="260"/>
      <c r="DI266" s="260"/>
      <c r="DJ266" s="260"/>
      <c r="DK266" s="262"/>
      <c r="DL266" s="260"/>
      <c r="DM266" s="260"/>
      <c r="DN266" s="260"/>
      <c r="DO266" s="260"/>
      <c r="DP266" s="260"/>
      <c r="DQ266" s="262"/>
      <c r="DR266" s="260"/>
      <c r="DS266" s="260"/>
      <c r="DT266" s="260"/>
      <c r="DU266" s="260"/>
      <c r="DV266" s="260"/>
      <c r="DW266" s="262"/>
      <c r="DX266" s="500"/>
      <c r="DY266" s="500"/>
      <c r="DZ266" s="500"/>
      <c r="EA266" s="500"/>
      <c r="EB266" s="500"/>
      <c r="EC266" s="500"/>
      <c r="ED266" s="500"/>
      <c r="EE266" s="500"/>
      <c r="EF266" s="500"/>
      <c r="EG266" s="500"/>
      <c r="EH266" s="500"/>
      <c r="EI266" s="500"/>
    </row>
    <row r="267" spans="1:142" hidden="1" outlineLevel="1">
      <c r="A267" s="260" t="s">
        <v>564</v>
      </c>
      <c r="B267" s="260"/>
      <c r="C267" s="260"/>
      <c r="D267" s="260"/>
      <c r="E267" s="260"/>
      <c r="F267" s="260"/>
      <c r="G267" s="316"/>
      <c r="H267" s="260"/>
      <c r="I267" s="260"/>
      <c r="J267" s="260"/>
      <c r="K267" s="260"/>
      <c r="L267" s="260"/>
      <c r="M267" s="316"/>
      <c r="N267" s="260"/>
      <c r="O267" s="260"/>
      <c r="P267" s="260"/>
      <c r="Q267" s="260"/>
      <c r="R267" s="260"/>
      <c r="S267" s="316"/>
      <c r="T267" s="260"/>
      <c r="U267" s="260"/>
      <c r="V267" s="260"/>
      <c r="W267" s="260"/>
      <c r="X267" s="260"/>
      <c r="Y267" s="316"/>
      <c r="Z267" s="260"/>
      <c r="AA267" s="260"/>
      <c r="AB267" s="260"/>
      <c r="AC267" s="260"/>
      <c r="AD267" s="260"/>
      <c r="AE267" s="316"/>
      <c r="AF267" s="260"/>
      <c r="AG267" s="260"/>
      <c r="AH267" s="260"/>
      <c r="AI267" s="260"/>
      <c r="AJ267" s="260"/>
      <c r="AK267" s="316"/>
      <c r="AL267" s="260"/>
      <c r="AM267" s="260"/>
      <c r="AN267" s="260"/>
      <c r="AO267" s="260"/>
      <c r="AP267" s="260"/>
      <c r="AQ267" s="507"/>
      <c r="AR267" s="260"/>
      <c r="AS267" s="260"/>
      <c r="AT267" s="260"/>
      <c r="AU267" s="260"/>
      <c r="AV267" s="260"/>
      <c r="AW267" s="507"/>
      <c r="AX267" s="260"/>
      <c r="AY267" s="260"/>
      <c r="AZ267" s="260"/>
      <c r="BA267" s="260"/>
      <c r="BB267" s="260"/>
      <c r="BC267" s="507"/>
      <c r="BD267" s="260"/>
      <c r="BE267" s="260"/>
      <c r="BF267" s="260"/>
      <c r="BG267" s="260"/>
      <c r="BH267" s="260"/>
      <c r="BI267" s="507"/>
      <c r="BJ267" s="260"/>
      <c r="BK267" s="260"/>
      <c r="BL267" s="260"/>
      <c r="BM267" s="260"/>
      <c r="BN267" s="260" t="s">
        <v>759</v>
      </c>
      <c r="BO267" s="262"/>
      <c r="BP267" s="260"/>
      <c r="BQ267" s="260"/>
      <c r="BR267" s="260"/>
      <c r="BS267" s="260"/>
      <c r="BT267" s="260"/>
      <c r="BU267" s="262"/>
      <c r="BV267" s="260"/>
      <c r="BW267" s="260"/>
      <c r="BX267" s="260"/>
      <c r="BY267" s="260"/>
      <c r="BZ267" s="260"/>
      <c r="CA267" s="262"/>
      <c r="CB267" s="260"/>
      <c r="CC267" s="260"/>
      <c r="CD267" s="260"/>
      <c r="CE267" s="260"/>
      <c r="CF267" s="260"/>
      <c r="CG267" s="262"/>
      <c r="CH267" s="260"/>
      <c r="CI267" s="260"/>
      <c r="CJ267" s="260"/>
      <c r="CK267" s="260"/>
      <c r="CL267" s="260"/>
      <c r="CM267" s="262"/>
      <c r="CN267" s="260"/>
      <c r="CR267" s="260"/>
      <c r="CS267" s="262"/>
      <c r="CT267" s="260"/>
      <c r="CU267" s="260"/>
      <c r="CV267" s="260"/>
      <c r="CW267" s="260"/>
      <c r="CX267" s="260"/>
      <c r="CY267" s="262"/>
      <c r="CZ267" s="260"/>
      <c r="DA267" s="260"/>
      <c r="DB267" s="260"/>
      <c r="DC267" s="260"/>
      <c r="DD267" s="260"/>
      <c r="DE267" s="262"/>
      <c r="DF267" s="260"/>
      <c r="DG267" s="260"/>
      <c r="DH267" s="260"/>
      <c r="DI267" s="260"/>
      <c r="DJ267" s="260"/>
      <c r="DK267" s="262"/>
      <c r="DL267" s="260"/>
      <c r="DM267" s="260"/>
      <c r="DN267" s="260"/>
      <c r="DO267" s="260"/>
      <c r="DP267" s="260"/>
      <c r="DQ267" s="262"/>
      <c r="DR267" s="260"/>
      <c r="DS267" s="260"/>
      <c r="DT267" s="260"/>
      <c r="DU267" s="260"/>
      <c r="DV267" s="260"/>
      <c r="DW267" s="262"/>
      <c r="DX267" s="500"/>
      <c r="DY267" s="500"/>
      <c r="DZ267" s="500"/>
      <c r="EA267" s="500"/>
      <c r="EB267" s="500"/>
      <c r="EC267" s="500"/>
      <c r="ED267" s="500"/>
      <c r="EE267" s="500"/>
      <c r="EF267" s="500"/>
      <c r="EG267" s="500"/>
      <c r="EH267" s="500"/>
      <c r="EI267" s="500"/>
    </row>
    <row r="268" spans="1:142" hidden="1" outlineLevel="1">
      <c r="A268" s="260" t="s">
        <v>561</v>
      </c>
      <c r="B268" s="260"/>
      <c r="C268" s="260"/>
      <c r="D268" s="260"/>
      <c r="E268" s="260"/>
      <c r="F268" s="260"/>
      <c r="G268" s="316"/>
      <c r="H268" s="260"/>
      <c r="I268" s="260"/>
      <c r="J268" s="260"/>
      <c r="K268" s="260"/>
      <c r="L268" s="260"/>
      <c r="M268" s="316"/>
      <c r="N268" s="260"/>
      <c r="O268" s="260"/>
      <c r="P268" s="260"/>
      <c r="Q268" s="260"/>
      <c r="R268" s="260"/>
      <c r="S268" s="316"/>
      <c r="T268" s="260"/>
      <c r="U268" s="260"/>
      <c r="V268" s="260"/>
      <c r="W268" s="260"/>
      <c r="X268" s="260"/>
      <c r="Y268" s="316"/>
      <c r="Z268" s="260"/>
      <c r="AA268" s="260"/>
      <c r="AB268" s="260"/>
      <c r="AC268" s="260"/>
      <c r="AD268" s="260"/>
      <c r="AE268" s="316"/>
      <c r="AF268" s="260"/>
      <c r="AG268" s="260"/>
      <c r="AH268" s="260"/>
      <c r="AI268" s="260"/>
      <c r="AJ268" s="260"/>
      <c r="AK268" s="316"/>
      <c r="AL268" s="260"/>
      <c r="AM268" s="260"/>
      <c r="AN268" s="260"/>
      <c r="AO268" s="260"/>
      <c r="AP268" s="260"/>
      <c r="AQ268" s="507"/>
      <c r="AR268" s="260"/>
      <c r="AS268" s="260"/>
      <c r="AT268" s="260"/>
      <c r="AU268" s="260"/>
      <c r="AV268" s="260"/>
      <c r="AW268" s="507"/>
      <c r="AX268" s="260"/>
      <c r="AY268" s="260"/>
      <c r="AZ268" s="876" t="s">
        <v>562</v>
      </c>
      <c r="BA268" s="260"/>
      <c r="BB268" s="876" t="s">
        <v>763</v>
      </c>
      <c r="BC268" s="507"/>
      <c r="BD268" s="260"/>
      <c r="BE268" s="260"/>
      <c r="BF268" s="260"/>
      <c r="BG268" s="260"/>
      <c r="BH268" s="260" t="s">
        <v>574</v>
      </c>
      <c r="BI268" s="507"/>
      <c r="BJ268" s="260"/>
      <c r="BK268" s="260"/>
      <c r="BL268" s="260"/>
      <c r="BM268" s="260"/>
      <c r="BN268" s="260"/>
      <c r="BO268" s="262"/>
      <c r="BP268" s="260"/>
      <c r="BQ268" s="260"/>
      <c r="BR268" s="260"/>
      <c r="BS268" s="260"/>
      <c r="BT268" s="260"/>
      <c r="BU268" s="262"/>
      <c r="BV268" s="260"/>
      <c r="BW268" s="260"/>
      <c r="BX268" s="260"/>
      <c r="BY268" s="260"/>
      <c r="BZ268" s="260"/>
      <c r="CA268" s="262"/>
      <c r="CB268" s="260"/>
      <c r="CC268" s="260"/>
      <c r="CD268" s="260"/>
      <c r="CE268" s="260"/>
      <c r="CF268" s="260"/>
      <c r="CG268" s="262"/>
      <c r="CH268" s="260"/>
      <c r="CI268" s="260"/>
      <c r="CJ268" s="260"/>
      <c r="CK268" s="260"/>
      <c r="CL268" s="260"/>
      <c r="CM268" s="262"/>
      <c r="CN268" s="260"/>
      <c r="CR268" s="260"/>
      <c r="CS268" s="262"/>
      <c r="CT268" s="260"/>
      <c r="CU268" s="260"/>
      <c r="CV268" s="260"/>
      <c r="CW268" s="260"/>
      <c r="CX268" s="260"/>
      <c r="CY268" s="262"/>
      <c r="CZ268" s="260"/>
      <c r="DA268" s="260"/>
      <c r="DB268" s="260"/>
      <c r="DC268" s="260"/>
      <c r="DD268" s="260"/>
      <c r="DE268" s="262"/>
      <c r="DF268" s="260"/>
      <c r="DG268" s="260"/>
      <c r="DH268" s="260"/>
      <c r="DI268" s="260"/>
      <c r="DJ268" s="260"/>
      <c r="DK268" s="262"/>
      <c r="DL268" s="260"/>
      <c r="DM268" s="260"/>
      <c r="DN268" s="260"/>
      <c r="DO268" s="260"/>
      <c r="DP268" s="260"/>
      <c r="DQ268" s="262"/>
      <c r="DR268" s="260"/>
      <c r="DS268" s="260"/>
      <c r="DT268" s="260"/>
      <c r="DU268" s="260"/>
      <c r="DV268" s="260"/>
      <c r="DW268" s="262"/>
      <c r="DX268" s="500"/>
      <c r="DY268" s="500"/>
      <c r="DZ268" s="500"/>
      <c r="EA268" s="500"/>
      <c r="EB268" s="500"/>
      <c r="EC268" s="500"/>
      <c r="ED268" s="500"/>
      <c r="EE268" s="500"/>
      <c r="EF268" s="500"/>
      <c r="EG268" s="500"/>
      <c r="EH268" s="500"/>
      <c r="EI268" s="500"/>
    </row>
    <row r="269" spans="1:142" hidden="1" outlineLevel="1">
      <c r="A269" s="260" t="s">
        <v>563</v>
      </c>
      <c r="B269" s="260"/>
      <c r="C269" s="260"/>
      <c r="D269" s="260"/>
      <c r="E269" s="260"/>
      <c r="F269" s="260"/>
      <c r="G269" s="316"/>
      <c r="H269" s="260"/>
      <c r="I269" s="260"/>
      <c r="J269" s="260"/>
      <c r="K269" s="260"/>
      <c r="L269" s="260"/>
      <c r="M269" s="316"/>
      <c r="N269" s="260"/>
      <c r="O269" s="260"/>
      <c r="P269" s="260"/>
      <c r="Q269" s="260"/>
      <c r="R269" s="260"/>
      <c r="S269" s="316"/>
      <c r="T269" s="260"/>
      <c r="U269" s="260"/>
      <c r="V269" s="260"/>
      <c r="W269" s="260"/>
      <c r="X269" s="260"/>
      <c r="Y269" s="316"/>
      <c r="Z269" s="260"/>
      <c r="AA269" s="260"/>
      <c r="AB269" s="260"/>
      <c r="AC269" s="260"/>
      <c r="AD269" s="260"/>
      <c r="AE269" s="316"/>
      <c r="AF269" s="260"/>
      <c r="AG269" s="260"/>
      <c r="AH269" s="260"/>
      <c r="AI269" s="260"/>
      <c r="AJ269" s="260"/>
      <c r="AK269" s="316"/>
      <c r="AL269" s="260"/>
      <c r="AM269" s="260"/>
      <c r="AN269" s="260"/>
      <c r="AO269" s="260"/>
      <c r="AP269" s="260"/>
      <c r="AQ269" s="507"/>
      <c r="AR269" s="260"/>
      <c r="AS269" s="260"/>
      <c r="AT269" s="260"/>
      <c r="AU269" s="260"/>
      <c r="AV269" s="260"/>
      <c r="AW269" s="507"/>
      <c r="AX269" s="260"/>
      <c r="AY269" s="260"/>
      <c r="AZ269" s="876" t="s">
        <v>568</v>
      </c>
      <c r="BA269" s="876" t="s">
        <v>764</v>
      </c>
      <c r="BB269" s="876" t="s">
        <v>765</v>
      </c>
      <c r="BC269" s="507"/>
      <c r="BD269" s="260"/>
      <c r="BE269" s="260"/>
      <c r="BF269" s="260"/>
      <c r="BG269" s="260"/>
      <c r="BH269" s="260"/>
      <c r="BI269" s="507"/>
      <c r="BJ269" s="260"/>
      <c r="BK269" s="260"/>
      <c r="BL269" s="260"/>
      <c r="BM269" s="260"/>
      <c r="BN269" s="260"/>
      <c r="BO269" s="262"/>
      <c r="BP269" s="260"/>
      <c r="BQ269" s="260"/>
      <c r="BR269" s="260"/>
      <c r="BS269" s="260"/>
      <c r="BT269" s="260"/>
      <c r="BU269" s="262"/>
      <c r="BV269" s="260"/>
      <c r="BW269" s="260"/>
      <c r="BX269" s="260"/>
      <c r="BY269" s="260"/>
      <c r="BZ269" s="260"/>
      <c r="CA269" s="262"/>
      <c r="CB269" s="260"/>
      <c r="CC269" s="260"/>
      <c r="CD269" s="260"/>
      <c r="CE269" s="260"/>
      <c r="CF269" s="260"/>
      <c r="CG269" s="262"/>
      <c r="CH269" s="260"/>
      <c r="CI269" s="260"/>
      <c r="CJ269" s="260"/>
      <c r="CK269" s="260"/>
      <c r="CL269" s="260"/>
      <c r="CM269" s="262"/>
      <c r="CN269" s="260"/>
      <c r="CR269" s="260"/>
      <c r="CS269" s="262"/>
      <c r="CT269" s="260"/>
      <c r="CU269" s="260"/>
      <c r="CV269" s="260"/>
      <c r="CW269" s="260"/>
      <c r="CX269" s="260"/>
      <c r="CY269" s="262"/>
      <c r="CZ269" s="260"/>
      <c r="DA269" s="260"/>
      <c r="DB269" s="260"/>
      <c r="DC269" s="260"/>
      <c r="DD269" s="260"/>
      <c r="DE269" s="262"/>
      <c r="DF269" s="260"/>
      <c r="DG269" s="260"/>
      <c r="DH269" s="260"/>
      <c r="DI269" s="260"/>
      <c r="DJ269" s="260"/>
      <c r="DK269" s="262"/>
      <c r="DL269" s="260"/>
      <c r="DM269" s="260"/>
      <c r="DN269" s="260"/>
      <c r="DO269" s="260"/>
      <c r="DP269" s="260"/>
      <c r="DQ269" s="262"/>
      <c r="DR269" s="260"/>
      <c r="DS269" s="260"/>
      <c r="DT269" s="260"/>
      <c r="DU269" s="260"/>
      <c r="DV269" s="260"/>
      <c r="DW269" s="262"/>
      <c r="DX269" s="500"/>
      <c r="DY269" s="500"/>
      <c r="DZ269" s="500"/>
      <c r="EA269" s="500"/>
      <c r="EB269" s="500"/>
      <c r="EC269" s="500"/>
      <c r="ED269" s="500"/>
      <c r="EE269" s="500"/>
      <c r="EF269" s="500"/>
      <c r="EG269" s="500"/>
      <c r="EH269" s="500"/>
      <c r="EI269" s="500"/>
    </row>
    <row r="270" spans="1:142" hidden="1" outlineLevel="1">
      <c r="A270" s="260" t="s">
        <v>565</v>
      </c>
      <c r="B270" s="260"/>
      <c r="C270" s="260"/>
      <c r="D270" s="260"/>
      <c r="E270" s="260"/>
      <c r="F270" s="260"/>
      <c r="G270" s="316"/>
      <c r="H270" s="260"/>
      <c r="I270" s="260"/>
      <c r="J270" s="260"/>
      <c r="K270" s="260"/>
      <c r="L270" s="260"/>
      <c r="M270" s="316"/>
      <c r="N270" s="260"/>
      <c r="O270" s="260"/>
      <c r="P270" s="260"/>
      <c r="Q270" s="260"/>
      <c r="R270" s="260"/>
      <c r="S270" s="316"/>
      <c r="T270" s="260"/>
      <c r="U270" s="260"/>
      <c r="V270" s="260"/>
      <c r="W270" s="260"/>
      <c r="X270" s="260"/>
      <c r="Y270" s="316"/>
      <c r="Z270" s="260"/>
      <c r="AA270" s="260"/>
      <c r="AB270" s="260"/>
      <c r="AC270" s="260"/>
      <c r="AD270" s="260"/>
      <c r="AE270" s="316"/>
      <c r="AF270" s="260"/>
      <c r="AG270" s="260"/>
      <c r="AH270" s="260"/>
      <c r="AI270" s="260"/>
      <c r="AJ270" s="260"/>
      <c r="AK270" s="316"/>
      <c r="AL270" s="260"/>
      <c r="AM270" s="260"/>
      <c r="AN270" s="260"/>
      <c r="AO270" s="260"/>
      <c r="AP270" s="260"/>
      <c r="AQ270" s="507"/>
      <c r="AR270" s="260"/>
      <c r="AS270" s="260"/>
      <c r="AT270" s="260"/>
      <c r="AU270" s="260"/>
      <c r="AV270" s="260"/>
      <c r="AW270" s="507"/>
      <c r="AX270" s="260"/>
      <c r="AY270" s="260"/>
      <c r="AZ270" s="876" t="s">
        <v>569</v>
      </c>
      <c r="BA270" s="260"/>
      <c r="BB270" s="260"/>
      <c r="BC270" s="507"/>
      <c r="BD270" s="260"/>
      <c r="BE270" s="260"/>
      <c r="BF270" s="260"/>
      <c r="BG270" s="260"/>
      <c r="BH270" s="260"/>
      <c r="BI270" s="507"/>
      <c r="BJ270" s="260"/>
      <c r="BK270" s="260"/>
      <c r="BL270" s="260"/>
      <c r="BM270" s="260"/>
      <c r="BN270" s="260"/>
      <c r="BO270" s="262"/>
      <c r="BP270" s="260"/>
      <c r="BQ270" s="260"/>
      <c r="BR270" s="260"/>
      <c r="BS270" s="260"/>
      <c r="BT270" s="260"/>
      <c r="BU270" s="262"/>
      <c r="BV270" s="260"/>
      <c r="BW270" s="260"/>
      <c r="BX270" s="260"/>
      <c r="BY270" s="260"/>
      <c r="BZ270" s="260"/>
      <c r="CA270" s="262"/>
      <c r="CB270" s="260"/>
      <c r="CC270" s="260"/>
      <c r="CD270" s="260"/>
      <c r="CE270" s="260"/>
      <c r="CF270" s="260"/>
      <c r="CG270" s="262"/>
      <c r="CH270" s="260"/>
      <c r="CI270" s="260"/>
      <c r="CJ270" s="260"/>
      <c r="CK270" s="260"/>
      <c r="CL270" s="260"/>
      <c r="CM270" s="262"/>
      <c r="CN270" s="260"/>
      <c r="CR270" s="260"/>
      <c r="CS270" s="262"/>
      <c r="CT270" s="260"/>
      <c r="CU270" s="260"/>
      <c r="CV270" s="260"/>
      <c r="CW270" s="260"/>
      <c r="CX270" s="260"/>
      <c r="CY270" s="262"/>
      <c r="CZ270" s="260"/>
      <c r="DA270" s="260"/>
      <c r="DB270" s="260"/>
      <c r="DC270" s="260"/>
      <c r="DD270" s="260"/>
      <c r="DE270" s="262"/>
      <c r="DF270" s="260"/>
      <c r="DG270" s="260"/>
      <c r="DH270" s="260"/>
      <c r="DI270" s="260"/>
      <c r="DJ270" s="260"/>
      <c r="DK270" s="262"/>
      <c r="DL270" s="260"/>
      <c r="DM270" s="260"/>
      <c r="DN270" s="260"/>
      <c r="DO270" s="260"/>
      <c r="DP270" s="260"/>
      <c r="DQ270" s="262"/>
      <c r="DR270" s="260"/>
      <c r="DS270" s="260"/>
      <c r="DT270" s="260"/>
      <c r="DU270" s="260"/>
      <c r="DV270" s="260"/>
      <c r="DW270" s="262"/>
      <c r="DX270" s="500"/>
      <c r="DY270" s="500"/>
      <c r="DZ270" s="500"/>
      <c r="EA270" s="500"/>
      <c r="EB270" s="500"/>
      <c r="EC270" s="500"/>
      <c r="ED270" s="500"/>
      <c r="EE270" s="500"/>
      <c r="EF270" s="500"/>
      <c r="EG270" s="500"/>
      <c r="EH270" s="500"/>
      <c r="EI270" s="500"/>
    </row>
    <row r="271" spans="1:142" hidden="1" outlineLevel="1">
      <c r="A271" s="260" t="s">
        <v>566</v>
      </c>
      <c r="B271" s="260"/>
      <c r="C271" s="260"/>
      <c r="D271" s="260"/>
      <c r="E271" s="260"/>
      <c r="F271" s="260"/>
      <c r="G271" s="316"/>
      <c r="H271" s="260"/>
      <c r="I271" s="260"/>
      <c r="J271" s="260"/>
      <c r="K271" s="260"/>
      <c r="L271" s="260"/>
      <c r="M271" s="316"/>
      <c r="N271" s="260"/>
      <c r="O271" s="260"/>
      <c r="P271" s="260"/>
      <c r="Q271" s="260"/>
      <c r="R271" s="260"/>
      <c r="S271" s="316"/>
      <c r="T271" s="260"/>
      <c r="U271" s="260"/>
      <c r="V271" s="260"/>
      <c r="W271" s="260"/>
      <c r="X271" s="260"/>
      <c r="Y271" s="316"/>
      <c r="Z271" s="260"/>
      <c r="AA271" s="260"/>
      <c r="AB271" s="260"/>
      <c r="AC271" s="260"/>
      <c r="AD271" s="260"/>
      <c r="AE271" s="316"/>
      <c r="AF271" s="260"/>
      <c r="AG271" s="260"/>
      <c r="AH271" s="260"/>
      <c r="AI271" s="260"/>
      <c r="AJ271" s="260"/>
      <c r="AK271" s="316"/>
      <c r="AL271" s="260"/>
      <c r="AM271" s="260"/>
      <c r="AN271" s="260"/>
      <c r="AO271" s="260"/>
      <c r="AP271" s="260"/>
      <c r="AQ271" s="507"/>
      <c r="AR271" s="260"/>
      <c r="AS271" s="260"/>
      <c r="AT271" s="260"/>
      <c r="AU271" s="260"/>
      <c r="AV271" s="260"/>
      <c r="AW271" s="507"/>
      <c r="AX271" s="260"/>
      <c r="AY271" s="260"/>
      <c r="AZ271" s="876" t="s">
        <v>570</v>
      </c>
      <c r="BA271" s="260"/>
      <c r="BB271" s="260"/>
      <c r="BC271" s="507"/>
      <c r="BD271" s="260"/>
      <c r="BE271" s="260"/>
      <c r="BF271" s="260"/>
      <c r="BG271" s="260"/>
      <c r="BH271" s="260"/>
      <c r="BI271" s="507"/>
      <c r="BJ271" s="260"/>
      <c r="BK271" s="260"/>
      <c r="BL271" s="260"/>
      <c r="BM271" s="260"/>
      <c r="BN271" s="260"/>
      <c r="BO271" s="262"/>
      <c r="BP271" s="260"/>
      <c r="BQ271" s="260"/>
      <c r="BR271" s="260"/>
      <c r="BS271" s="260"/>
      <c r="BT271" s="260"/>
      <c r="BU271" s="262"/>
      <c r="BV271" s="260"/>
      <c r="BW271" s="260"/>
      <c r="BX271" s="260"/>
      <c r="BY271" s="260"/>
      <c r="BZ271" s="260"/>
      <c r="CA271" s="262"/>
      <c r="CB271" s="260"/>
      <c r="CC271" s="260"/>
      <c r="CD271" s="260"/>
      <c r="CE271" s="260"/>
      <c r="CF271" s="260"/>
      <c r="CG271" s="262"/>
      <c r="CH271" s="260"/>
      <c r="CI271" s="260"/>
      <c r="CJ271" s="260"/>
      <c r="CK271" s="260"/>
      <c r="CL271" s="260"/>
      <c r="CM271" s="262"/>
      <c r="CN271" s="260"/>
      <c r="CR271" s="260"/>
      <c r="CS271" s="262"/>
      <c r="CT271" s="260"/>
      <c r="CU271" s="260"/>
      <c r="CV271" s="260"/>
      <c r="CW271" s="260"/>
      <c r="CX271" s="260"/>
      <c r="CY271" s="262"/>
      <c r="CZ271" s="260"/>
      <c r="DA271" s="260"/>
      <c r="DB271" s="260"/>
      <c r="DC271" s="260"/>
      <c r="DD271" s="260"/>
      <c r="DE271" s="262"/>
      <c r="DF271" s="260"/>
      <c r="DG271" s="260"/>
      <c r="DH271" s="260"/>
      <c r="DI271" s="260"/>
      <c r="DJ271" s="260"/>
      <c r="DK271" s="262"/>
      <c r="DL271" s="260"/>
      <c r="DM271" s="260"/>
      <c r="DN271" s="260"/>
      <c r="DO271" s="260"/>
      <c r="DP271" s="260"/>
      <c r="DQ271" s="262"/>
      <c r="DR271" s="260"/>
      <c r="DS271" s="260"/>
      <c r="DT271" s="260"/>
      <c r="DU271" s="260"/>
      <c r="DV271" s="260"/>
      <c r="DW271" s="262"/>
      <c r="DX271" s="500"/>
      <c r="DY271" s="500"/>
      <c r="DZ271" s="500"/>
      <c r="EA271" s="500"/>
      <c r="EB271" s="500"/>
      <c r="EC271" s="500"/>
      <c r="ED271" s="500"/>
      <c r="EE271" s="500"/>
      <c r="EF271" s="500"/>
      <c r="EG271" s="500"/>
      <c r="EH271" s="500"/>
      <c r="EI271" s="500"/>
    </row>
    <row r="272" spans="1:142" hidden="1" outlineLevel="1">
      <c r="A272" s="260" t="s">
        <v>567</v>
      </c>
      <c r="B272" s="260"/>
      <c r="C272" s="260"/>
      <c r="D272" s="260"/>
      <c r="E272" s="260"/>
      <c r="F272" s="260"/>
      <c r="G272" s="316"/>
      <c r="H272" s="260"/>
      <c r="I272" s="260"/>
      <c r="J272" s="260"/>
      <c r="K272" s="260"/>
      <c r="L272" s="260"/>
      <c r="M272" s="316"/>
      <c r="N272" s="260"/>
      <c r="O272" s="260"/>
      <c r="P272" s="260"/>
      <c r="Q272" s="260"/>
      <c r="R272" s="260"/>
      <c r="S272" s="316"/>
      <c r="T272" s="260"/>
      <c r="U272" s="260"/>
      <c r="V272" s="260"/>
      <c r="W272" s="260"/>
      <c r="X272" s="260"/>
      <c r="Y272" s="316"/>
      <c r="Z272" s="260"/>
      <c r="AA272" s="260"/>
      <c r="AB272" s="260"/>
      <c r="AC272" s="260"/>
      <c r="AD272" s="260"/>
      <c r="AE272" s="316"/>
      <c r="AF272" s="260"/>
      <c r="AG272" s="260"/>
      <c r="AH272" s="260"/>
      <c r="AI272" s="260"/>
      <c r="AJ272" s="260"/>
      <c r="AK272" s="316"/>
      <c r="AL272" s="260"/>
      <c r="AM272" s="260"/>
      <c r="AN272" s="260"/>
      <c r="AO272" s="260"/>
      <c r="AP272" s="260"/>
      <c r="AQ272" s="507"/>
      <c r="AR272" s="260"/>
      <c r="AS272" s="260"/>
      <c r="AT272" s="260"/>
      <c r="AU272" s="260"/>
      <c r="AV272" s="260"/>
      <c r="AW272" s="507"/>
      <c r="AX272" s="260"/>
      <c r="AY272" s="876" t="s">
        <v>572</v>
      </c>
      <c r="AZ272" s="876" t="s">
        <v>571</v>
      </c>
      <c r="BA272" s="260"/>
      <c r="BB272" s="876" t="s">
        <v>766</v>
      </c>
      <c r="BC272" s="507"/>
      <c r="BD272" s="260"/>
      <c r="BE272" s="260"/>
      <c r="BF272" s="260"/>
      <c r="BG272" s="260"/>
      <c r="BH272" s="260"/>
      <c r="BI272" s="507"/>
      <c r="BJ272" s="260"/>
      <c r="BK272" s="260"/>
      <c r="BL272" s="260"/>
      <c r="BM272" s="260"/>
      <c r="BN272" s="260"/>
      <c r="BO272" s="262"/>
      <c r="BP272" s="260"/>
      <c r="BQ272" s="260"/>
      <c r="BR272" s="260"/>
      <c r="BS272" s="260"/>
      <c r="BT272" s="260"/>
      <c r="BU272" s="262"/>
      <c r="BV272" s="260"/>
      <c r="BW272" s="260"/>
      <c r="BX272" s="260"/>
      <c r="BY272" s="260"/>
      <c r="BZ272" s="260"/>
      <c r="CA272" s="262"/>
      <c r="CB272" s="260"/>
      <c r="CC272" s="260"/>
      <c r="CD272" s="260"/>
      <c r="CE272" s="260"/>
      <c r="CF272" s="260"/>
      <c r="CG272" s="262"/>
      <c r="CH272" s="260"/>
      <c r="CI272" s="260"/>
      <c r="CJ272" s="260"/>
      <c r="CK272" s="260"/>
      <c r="CL272" s="260"/>
      <c r="CM272" s="262"/>
      <c r="CN272" s="260"/>
      <c r="CR272" s="260"/>
      <c r="CS272" s="262"/>
      <c r="CT272" s="260"/>
      <c r="CU272" s="260"/>
      <c r="CV272" s="260"/>
      <c r="CW272" s="260"/>
      <c r="CX272" s="260"/>
      <c r="CY272" s="262"/>
      <c r="CZ272" s="260"/>
      <c r="DA272" s="260"/>
      <c r="DB272" s="260"/>
      <c r="DC272" s="260"/>
      <c r="DD272" s="260"/>
      <c r="DE272" s="262"/>
      <c r="DF272" s="260"/>
      <c r="DG272" s="260"/>
      <c r="DH272" s="260"/>
      <c r="DI272" s="260"/>
      <c r="DJ272" s="260"/>
      <c r="DK272" s="262"/>
      <c r="DL272" s="260"/>
      <c r="DM272" s="260"/>
      <c r="DN272" s="260"/>
      <c r="DO272" s="260"/>
      <c r="DP272" s="260"/>
      <c r="DQ272" s="262"/>
      <c r="DR272" s="260"/>
      <c r="DS272" s="260"/>
      <c r="DT272" s="260"/>
      <c r="DU272" s="260"/>
      <c r="DV272" s="260"/>
      <c r="DW272" s="262"/>
      <c r="DX272" s="500"/>
      <c r="DY272" s="500"/>
      <c r="DZ272" s="500"/>
      <c r="EA272" s="500"/>
      <c r="EB272" s="500"/>
      <c r="EC272" s="500"/>
      <c r="ED272" s="500"/>
      <c r="EE272" s="500"/>
      <c r="EF272" s="500"/>
      <c r="EG272" s="500"/>
      <c r="EH272" s="500"/>
      <c r="EI272" s="500"/>
    </row>
    <row r="273" spans="1:139" hidden="1" outlineLevel="1">
      <c r="A273" s="260" t="s">
        <v>695</v>
      </c>
      <c r="B273" s="260"/>
      <c r="C273" s="260"/>
      <c r="D273" s="260"/>
      <c r="E273" s="260"/>
      <c r="F273" s="260"/>
      <c r="G273" s="316"/>
      <c r="H273" s="260"/>
      <c r="I273" s="260"/>
      <c r="J273" s="260"/>
      <c r="K273" s="260"/>
      <c r="L273" s="260"/>
      <c r="M273" s="316"/>
      <c r="N273" s="260"/>
      <c r="O273" s="260"/>
      <c r="P273" s="260"/>
      <c r="Q273" s="260"/>
      <c r="R273" s="260"/>
      <c r="S273" s="316"/>
      <c r="T273" s="260"/>
      <c r="U273" s="260"/>
      <c r="V273" s="260"/>
      <c r="W273" s="260"/>
      <c r="X273" s="260"/>
      <c r="Y273" s="316"/>
      <c r="Z273" s="260"/>
      <c r="AA273" s="260"/>
      <c r="AB273" s="260"/>
      <c r="AC273" s="260"/>
      <c r="AD273" s="260"/>
      <c r="AE273" s="316"/>
      <c r="AF273" s="260"/>
      <c r="AG273" s="260"/>
      <c r="AH273" s="260"/>
      <c r="AI273" s="260"/>
      <c r="AJ273" s="260"/>
      <c r="AK273" s="316"/>
      <c r="AL273" s="260"/>
      <c r="AM273" s="260"/>
      <c r="AN273" s="260"/>
      <c r="AO273" s="260"/>
      <c r="AP273" s="260"/>
      <c r="AQ273" s="507"/>
      <c r="AR273" s="260"/>
      <c r="AS273" s="260"/>
      <c r="AT273" s="260"/>
      <c r="AU273" s="260"/>
      <c r="AV273" s="260"/>
      <c r="AW273" s="507"/>
      <c r="AX273" s="260"/>
      <c r="AY273" s="876"/>
      <c r="AZ273" s="876"/>
      <c r="BA273" s="260">
        <v>50</v>
      </c>
      <c r="BB273" s="260">
        <v>166</v>
      </c>
      <c r="BC273" s="507"/>
      <c r="BD273" s="260"/>
      <c r="BE273" s="260"/>
      <c r="BF273" s="260"/>
      <c r="BG273" s="260"/>
      <c r="BH273" s="260"/>
      <c r="BI273" s="507"/>
      <c r="BJ273" s="260"/>
      <c r="BK273" s="260"/>
      <c r="BL273" s="260"/>
      <c r="BM273" s="260"/>
      <c r="BN273" s="260"/>
      <c r="BO273" s="262"/>
      <c r="BP273" s="260"/>
      <c r="BQ273" s="260"/>
      <c r="BR273" s="260"/>
      <c r="BS273" s="260"/>
      <c r="BT273" s="260"/>
      <c r="BU273" s="262"/>
      <c r="BV273" s="260"/>
      <c r="BW273" s="260"/>
      <c r="BX273" s="260"/>
      <c r="BY273" s="260"/>
      <c r="BZ273" s="260"/>
      <c r="CA273" s="262"/>
      <c r="CB273" s="260"/>
      <c r="CC273" s="260"/>
      <c r="CD273" s="260"/>
      <c r="CE273" s="260"/>
      <c r="CF273" s="260"/>
      <c r="CG273" s="262"/>
      <c r="CH273" s="260"/>
      <c r="CI273" s="260"/>
      <c r="CJ273" s="260"/>
      <c r="CK273" s="260"/>
      <c r="CL273" s="260"/>
      <c r="CM273" s="262"/>
      <c r="CN273" s="260"/>
      <c r="CR273" s="260"/>
      <c r="CS273" s="262"/>
      <c r="CT273" s="260"/>
      <c r="CU273" s="260"/>
      <c r="CV273" s="260"/>
      <c r="CW273" s="260"/>
      <c r="CX273" s="260"/>
      <c r="CY273" s="262"/>
      <c r="CZ273" s="260"/>
      <c r="DA273" s="260"/>
      <c r="DB273" s="260"/>
      <c r="DC273" s="260"/>
      <c r="DD273" s="260"/>
      <c r="DE273" s="262"/>
      <c r="DF273" s="260"/>
      <c r="DG273" s="260"/>
      <c r="DH273" s="260"/>
      <c r="DI273" s="260"/>
      <c r="DJ273" s="260"/>
      <c r="DK273" s="262"/>
      <c r="DL273" s="260"/>
      <c r="DM273" s="260"/>
      <c r="DN273" s="260"/>
      <c r="DO273" s="260"/>
      <c r="DP273" s="260"/>
      <c r="DQ273" s="262"/>
      <c r="DR273" s="260"/>
      <c r="DS273" s="260"/>
      <c r="DT273" s="260"/>
      <c r="DU273" s="260"/>
      <c r="DV273" s="260"/>
      <c r="DW273" s="262"/>
      <c r="DX273" s="500"/>
      <c r="DY273" s="500"/>
      <c r="DZ273" s="500"/>
      <c r="EA273" s="500"/>
      <c r="EB273" s="500"/>
      <c r="EC273" s="500"/>
      <c r="ED273" s="500"/>
      <c r="EE273" s="500"/>
      <c r="EF273" s="500"/>
      <c r="EG273" s="500"/>
      <c r="EH273" s="500"/>
      <c r="EI273" s="500"/>
    </row>
    <row r="274" spans="1:139" hidden="1" outlineLevel="1">
      <c r="A274" s="260"/>
      <c r="B274" s="260"/>
      <c r="C274" s="260"/>
      <c r="D274" s="260"/>
      <c r="E274" s="260"/>
      <c r="F274" s="260"/>
      <c r="G274" s="316"/>
      <c r="H274" s="260"/>
      <c r="I274" s="260"/>
      <c r="J274" s="260"/>
      <c r="K274" s="260"/>
      <c r="L274" s="260"/>
      <c r="M274" s="316"/>
      <c r="N274" s="260"/>
      <c r="O274" s="260"/>
      <c r="P274" s="260"/>
      <c r="Q274" s="260"/>
      <c r="R274" s="260"/>
      <c r="S274" s="316"/>
      <c r="T274" s="260"/>
      <c r="U274" s="260"/>
      <c r="V274" s="260"/>
      <c r="W274" s="260"/>
      <c r="X274" s="260"/>
      <c r="Y274" s="316"/>
      <c r="Z274" s="260"/>
      <c r="AA274" s="260"/>
      <c r="AB274" s="260"/>
      <c r="AC274" s="260"/>
      <c r="AD274" s="260"/>
      <c r="AE274" s="316"/>
      <c r="AF274" s="260"/>
      <c r="AG274" s="260"/>
      <c r="AH274" s="260"/>
      <c r="AI274" s="260"/>
      <c r="AJ274" s="260"/>
      <c r="AK274" s="316"/>
      <c r="AL274" s="260"/>
      <c r="AM274" s="260"/>
      <c r="AN274" s="260"/>
      <c r="AO274" s="260"/>
      <c r="AP274" s="260"/>
      <c r="AQ274" s="507"/>
      <c r="AR274" s="260"/>
      <c r="AS274" s="260"/>
      <c r="AT274" s="260"/>
      <c r="AU274" s="260"/>
      <c r="AV274" s="260"/>
      <c r="AW274" s="507"/>
      <c r="AX274" s="260"/>
      <c r="AY274" s="260"/>
      <c r="AZ274" s="260"/>
      <c r="BA274" s="260"/>
      <c r="BB274" s="260"/>
      <c r="BC274" s="507"/>
      <c r="BD274" s="260"/>
      <c r="BE274" s="260"/>
      <c r="BF274" s="260"/>
      <c r="BG274" s="260"/>
      <c r="BH274" s="260"/>
      <c r="BI274" s="507"/>
      <c r="BJ274" s="260"/>
      <c r="BK274" s="260"/>
      <c r="BL274" s="260"/>
      <c r="BM274" s="260"/>
      <c r="BN274" s="260"/>
      <c r="BO274" s="262"/>
      <c r="BP274" s="260"/>
      <c r="BQ274" s="260"/>
      <c r="BR274" s="260"/>
      <c r="BS274" s="260"/>
      <c r="BT274" s="260"/>
      <c r="BU274" s="262"/>
      <c r="BV274" s="260"/>
      <c r="BW274" s="260"/>
      <c r="BX274" s="260"/>
      <c r="BY274" s="260"/>
      <c r="BZ274" s="260"/>
      <c r="CA274" s="262"/>
      <c r="CB274" s="260"/>
      <c r="CC274" s="260"/>
      <c r="CD274" s="260"/>
      <c r="CE274" s="260"/>
      <c r="CF274" s="260"/>
      <c r="CG274" s="262"/>
      <c r="CH274" s="260"/>
      <c r="CI274" s="260"/>
      <c r="CJ274" s="260"/>
      <c r="CK274" s="260"/>
      <c r="CL274" s="260"/>
      <c r="CM274" s="262"/>
      <c r="CN274" s="260"/>
      <c r="CR274" s="260"/>
      <c r="CS274" s="262"/>
      <c r="CT274" s="260"/>
      <c r="CU274" s="260"/>
      <c r="CV274" s="260"/>
      <c r="CW274" s="260"/>
      <c r="CX274" s="260"/>
      <c r="CY274" s="262"/>
      <c r="CZ274" s="260"/>
      <c r="DA274" s="260"/>
      <c r="DB274" s="260"/>
      <c r="DC274" s="260"/>
      <c r="DD274" s="260"/>
      <c r="DE274" s="262"/>
      <c r="DF274" s="260"/>
      <c r="DG274" s="260"/>
      <c r="DH274" s="260"/>
      <c r="DI274" s="260"/>
      <c r="DJ274" s="260"/>
      <c r="DK274" s="262"/>
      <c r="DL274" s="260"/>
      <c r="DM274" s="260"/>
      <c r="DN274" s="260"/>
      <c r="DO274" s="260"/>
      <c r="DP274" s="260"/>
      <c r="DQ274" s="262"/>
      <c r="DR274" s="260"/>
      <c r="DS274" s="260"/>
      <c r="DT274" s="260"/>
      <c r="DU274" s="260"/>
      <c r="DV274" s="260"/>
      <c r="DW274" s="262"/>
      <c r="DX274" s="500"/>
      <c r="DY274" s="500"/>
      <c r="DZ274" s="500"/>
      <c r="EA274" s="500"/>
      <c r="EB274" s="500"/>
      <c r="EC274" s="500"/>
      <c r="ED274" s="500"/>
      <c r="EE274" s="500"/>
      <c r="EF274" s="500"/>
      <c r="EG274" s="500"/>
      <c r="EH274" s="500"/>
      <c r="EI274" s="500"/>
    </row>
    <row r="275" spans="1:139" hidden="1" outlineLevel="1">
      <c r="A275" s="260" t="s">
        <v>443</v>
      </c>
      <c r="B275" s="260"/>
      <c r="C275" s="260"/>
      <c r="D275" s="260"/>
      <c r="E275" s="260"/>
      <c r="F275" s="260"/>
      <c r="G275" s="316"/>
      <c r="H275" s="260"/>
      <c r="I275" s="260"/>
      <c r="J275" s="260"/>
      <c r="K275" s="260"/>
      <c r="L275" s="260"/>
      <c r="M275" s="316"/>
      <c r="N275" s="260"/>
      <c r="O275" s="260"/>
      <c r="P275" s="260"/>
      <c r="Q275" s="260"/>
      <c r="R275" s="260"/>
      <c r="S275" s="316"/>
      <c r="T275" s="260"/>
      <c r="U275" s="260"/>
      <c r="V275" s="260"/>
      <c r="W275" s="260"/>
      <c r="X275" s="260"/>
      <c r="Y275" s="316"/>
      <c r="Z275" s="260"/>
      <c r="AA275" s="260"/>
      <c r="AB275" s="260"/>
      <c r="AC275" s="260"/>
      <c r="AD275" s="260"/>
      <c r="AE275" s="316"/>
      <c r="AF275" s="260"/>
      <c r="AG275" s="260"/>
      <c r="AH275" s="260"/>
      <c r="AI275" s="260"/>
      <c r="AJ275" s="260" t="s">
        <v>702</v>
      </c>
      <c r="AK275" s="316"/>
      <c r="AL275" s="260"/>
      <c r="AM275" s="260"/>
      <c r="AN275" s="876" t="s">
        <v>459</v>
      </c>
      <c r="AO275" s="876" t="s">
        <v>460</v>
      </c>
      <c r="AP275" s="260"/>
      <c r="AQ275" s="507"/>
      <c r="AR275" s="260"/>
      <c r="AS275" s="260"/>
      <c r="AT275" s="260">
        <v>343</v>
      </c>
      <c r="AU275" s="260"/>
      <c r="AV275" s="260">
        <v>700</v>
      </c>
      <c r="AW275" s="507"/>
      <c r="AX275" s="260"/>
      <c r="AY275" s="260"/>
      <c r="AZ275" s="260"/>
      <c r="BA275" s="260"/>
      <c r="BB275" s="260"/>
      <c r="BC275" s="507"/>
      <c r="BD275" s="260"/>
      <c r="BE275" s="260"/>
      <c r="BF275" s="260"/>
      <c r="BG275" s="260"/>
      <c r="BH275" s="260"/>
      <c r="BI275" s="507"/>
      <c r="BJ275" s="260"/>
      <c r="BK275" s="260"/>
      <c r="BL275" s="260"/>
      <c r="BM275" s="260"/>
      <c r="BN275" s="260"/>
      <c r="BO275" s="262"/>
      <c r="BP275" s="260"/>
      <c r="BQ275" s="260"/>
      <c r="BR275" s="260"/>
      <c r="BS275" s="260"/>
      <c r="BT275" s="260"/>
      <c r="BU275" s="262"/>
      <c r="BV275" s="260"/>
      <c r="BW275" s="260"/>
      <c r="BX275" s="260"/>
      <c r="BY275" s="260"/>
      <c r="BZ275" s="260"/>
      <c r="CA275" s="262"/>
      <c r="CB275" s="260"/>
      <c r="CC275" s="260"/>
      <c r="CD275" s="260"/>
      <c r="CE275" s="1546" t="s">
        <v>1018</v>
      </c>
      <c r="CF275" s="260"/>
      <c r="CG275" s="262"/>
      <c r="CH275" s="260"/>
      <c r="CI275" s="260"/>
      <c r="CJ275" s="260"/>
      <c r="CK275" s="260"/>
      <c r="CL275" s="260"/>
      <c r="CM275" s="262"/>
      <c r="CN275" s="260"/>
      <c r="CR275" s="260"/>
      <c r="CS275" s="262"/>
      <c r="CT275" s="260"/>
      <c r="CU275" s="260"/>
      <c r="CV275" s="260"/>
      <c r="CW275" s="260"/>
      <c r="CX275" s="260"/>
      <c r="CY275" s="262"/>
      <c r="CZ275" s="260"/>
      <c r="DA275" s="260"/>
      <c r="DB275" s="260"/>
      <c r="DC275" s="260"/>
      <c r="DD275" s="260"/>
      <c r="DE275" s="262"/>
      <c r="DF275" s="260"/>
      <c r="DG275" s="260"/>
      <c r="DH275" s="260"/>
      <c r="DI275" s="260"/>
      <c r="DJ275" s="260"/>
      <c r="DK275" s="262"/>
      <c r="DL275" s="260"/>
      <c r="DM275" s="260"/>
      <c r="DN275" s="260"/>
      <c r="DO275" s="260"/>
      <c r="DP275" s="260"/>
      <c r="DQ275" s="262"/>
      <c r="DR275" s="260"/>
      <c r="DS275" s="260"/>
      <c r="DT275" s="260"/>
      <c r="DU275" s="260"/>
      <c r="DV275" s="260"/>
      <c r="DW275" s="262"/>
      <c r="DX275" s="500"/>
      <c r="DY275" s="500"/>
      <c r="DZ275" s="500"/>
      <c r="EA275" s="500"/>
      <c r="EB275" s="500"/>
      <c r="EC275" s="500"/>
      <c r="ED275" s="500"/>
      <c r="EE275" s="500"/>
      <c r="EF275" s="500"/>
      <c r="EG275" s="500"/>
      <c r="EH275" s="500"/>
      <c r="EI275" s="500"/>
    </row>
    <row r="276" spans="1:139" hidden="1" outlineLevel="1">
      <c r="A276" s="260" t="s">
        <v>787</v>
      </c>
      <c r="B276" s="260"/>
      <c r="C276" s="260"/>
      <c r="D276" s="260"/>
      <c r="E276" s="260"/>
      <c r="F276" s="260"/>
      <c r="G276" s="316"/>
      <c r="H276" s="260"/>
      <c r="I276" s="260"/>
      <c r="J276" s="260"/>
      <c r="K276" s="260"/>
      <c r="L276" s="260"/>
      <c r="M276" s="316"/>
      <c r="N276" s="260"/>
      <c r="O276" s="260"/>
      <c r="P276" s="260"/>
      <c r="Q276" s="260"/>
      <c r="R276" s="260"/>
      <c r="S276" s="316"/>
      <c r="T276" s="260"/>
      <c r="U276" s="260"/>
      <c r="V276" s="260"/>
      <c r="W276" s="260"/>
      <c r="X276" s="260"/>
      <c r="Y276" s="316"/>
      <c r="Z276" s="260"/>
      <c r="AA276" s="260"/>
      <c r="AB276" s="260"/>
      <c r="AC276" s="260"/>
      <c r="AD276" s="260"/>
      <c r="AE276" s="316"/>
      <c r="AF276" s="260"/>
      <c r="AG276" s="260"/>
      <c r="AH276" s="260"/>
      <c r="AI276" s="260"/>
      <c r="AJ276" s="260" t="s">
        <v>703</v>
      </c>
      <c r="AK276" s="316"/>
      <c r="AL276" s="260"/>
      <c r="AM276" s="260"/>
      <c r="AN276" s="260"/>
      <c r="AO276" s="1565">
        <v>23000</v>
      </c>
      <c r="AP276" s="260"/>
      <c r="AQ276" s="507"/>
      <c r="AR276" s="260"/>
      <c r="AS276" s="1565">
        <v>40000</v>
      </c>
      <c r="AT276" s="1565">
        <v>50000</v>
      </c>
      <c r="AU276" s="1565">
        <v>62000</v>
      </c>
      <c r="AV276" s="1565">
        <v>63000</v>
      </c>
      <c r="AW276" s="1538"/>
      <c r="AX276" s="1565"/>
      <c r="AY276" s="1565"/>
      <c r="AZ276" s="1565">
        <v>100000</v>
      </c>
      <c r="BA276" s="260"/>
      <c r="BB276" s="260">
        <v>124000</v>
      </c>
      <c r="BC276" s="507"/>
      <c r="BD276" s="260"/>
      <c r="BE276" s="260"/>
      <c r="BF276" s="260"/>
      <c r="BG276" s="260"/>
      <c r="BH276" s="260">
        <v>230000</v>
      </c>
      <c r="BI276" s="507"/>
      <c r="BJ276" s="260"/>
      <c r="BK276" s="260"/>
      <c r="BL276" s="260"/>
      <c r="BM276" s="260"/>
      <c r="BN276" s="260">
        <v>340000</v>
      </c>
      <c r="BO276" s="262"/>
      <c r="BP276" s="260"/>
      <c r="BQ276" s="260"/>
      <c r="BR276" s="260"/>
      <c r="BS276" s="260"/>
      <c r="BT276" s="260"/>
      <c r="BU276" s="262"/>
      <c r="BV276" s="260"/>
      <c r="BW276" s="260"/>
      <c r="BX276" s="260"/>
      <c r="BY276" s="260"/>
      <c r="BZ276" s="260" t="s">
        <v>20</v>
      </c>
      <c r="CA276" s="262"/>
      <c r="CB276" s="260"/>
      <c r="CC276" s="260"/>
      <c r="CD276" s="260"/>
      <c r="CE276" s="260" t="s">
        <v>1017</v>
      </c>
      <c r="CF276" s="260" t="s">
        <v>1024</v>
      </c>
      <c r="CG276" s="262"/>
      <c r="CH276" s="260"/>
      <c r="CI276" s="260"/>
      <c r="CJ276" s="260"/>
      <c r="CK276" s="260"/>
      <c r="CL276" s="260"/>
      <c r="CM276" s="262"/>
      <c r="CN276" s="260"/>
      <c r="CR276" s="260"/>
      <c r="CS276" s="262"/>
      <c r="CT276" s="260"/>
      <c r="CU276" s="260"/>
      <c r="CV276" s="260"/>
      <c r="CW276" s="260"/>
      <c r="CX276" s="260"/>
      <c r="CY276" s="262"/>
      <c r="CZ276" s="260"/>
      <c r="DA276" s="260"/>
      <c r="DB276" s="260"/>
      <c r="DC276" s="260"/>
      <c r="DD276" s="260"/>
      <c r="DE276" s="262"/>
      <c r="DF276" s="260"/>
      <c r="DG276" s="260"/>
      <c r="DH276" s="260"/>
      <c r="DI276" s="260"/>
      <c r="DJ276" s="260"/>
      <c r="DK276" s="262"/>
      <c r="DL276" s="260"/>
      <c r="DM276" s="260"/>
      <c r="DN276" s="260"/>
      <c r="DO276" s="260"/>
      <c r="DP276" s="260"/>
      <c r="DQ276" s="262"/>
      <c r="DR276" s="260"/>
      <c r="DS276" s="260"/>
      <c r="DT276" s="260"/>
      <c r="DU276" s="260"/>
      <c r="DV276" s="260"/>
      <c r="DW276" s="262"/>
      <c r="DX276" s="500"/>
      <c r="DY276" s="500"/>
      <c r="DZ276" s="500"/>
      <c r="EA276" s="500"/>
      <c r="EB276" s="500"/>
      <c r="EC276" s="500"/>
      <c r="ED276" s="500"/>
      <c r="EE276" s="500"/>
      <c r="EF276" s="500"/>
      <c r="EG276" s="500"/>
      <c r="EH276" s="500"/>
      <c r="EI276" s="500"/>
    </row>
    <row r="277" spans="1:139" hidden="1" outlineLevel="1">
      <c r="A277" s="260"/>
      <c r="B277" s="260"/>
      <c r="C277" s="260"/>
      <c r="D277" s="260"/>
      <c r="E277" s="260"/>
      <c r="F277" s="260"/>
      <c r="G277" s="316"/>
      <c r="H277" s="260"/>
      <c r="I277" s="260"/>
      <c r="J277" s="260"/>
      <c r="K277" s="260"/>
      <c r="L277" s="260"/>
      <c r="M277" s="316"/>
      <c r="N277" s="260"/>
      <c r="O277" s="260"/>
      <c r="P277" s="260"/>
      <c r="Q277" s="260"/>
      <c r="R277" s="260"/>
      <c r="S277" s="316"/>
      <c r="T277" s="260"/>
      <c r="U277" s="260"/>
      <c r="V277" s="260"/>
      <c r="W277" s="260"/>
      <c r="X277" s="260"/>
      <c r="Y277" s="316"/>
      <c r="Z277" s="260"/>
      <c r="AA277" s="260"/>
      <c r="AB277" s="260"/>
      <c r="AC277" s="260"/>
      <c r="AD277" s="260"/>
      <c r="AE277" s="316"/>
      <c r="AF277" s="260"/>
      <c r="AG277" s="260"/>
      <c r="AH277" s="260"/>
      <c r="AI277" s="260"/>
      <c r="AJ277" s="260"/>
      <c r="AK277" s="316"/>
      <c r="AL277" s="260"/>
      <c r="AM277" s="260"/>
      <c r="AN277" s="260"/>
      <c r="AO277" s="260"/>
      <c r="AP277" s="260"/>
      <c r="AQ277" s="507"/>
      <c r="AR277" s="260"/>
      <c r="AS277" s="260"/>
      <c r="AT277" s="260"/>
      <c r="AU277" s="260"/>
      <c r="AV277" s="260"/>
      <c r="AW277" s="507"/>
      <c r="AX277" s="260"/>
      <c r="AY277" s="260"/>
      <c r="AZ277" s="260"/>
      <c r="BA277" s="260"/>
      <c r="BB277" s="260"/>
      <c r="BC277" s="507"/>
      <c r="BD277" s="260"/>
      <c r="BE277" s="260"/>
      <c r="BF277" s="260"/>
      <c r="BG277" s="260"/>
      <c r="BH277" s="260"/>
      <c r="BI277" s="507"/>
      <c r="BJ277" s="260"/>
      <c r="BK277" s="260"/>
      <c r="BL277" s="260"/>
      <c r="BM277" s="260"/>
      <c r="BN277" s="260"/>
      <c r="BO277" s="262"/>
      <c r="BP277" s="260"/>
      <c r="BQ277" s="260"/>
      <c r="BR277" s="260"/>
      <c r="BS277" s="260"/>
      <c r="BT277" s="260"/>
      <c r="BU277" s="262"/>
      <c r="BV277" s="260"/>
      <c r="BW277" s="260"/>
      <c r="BX277" s="260"/>
      <c r="BY277" s="260"/>
      <c r="BZ277" s="260"/>
      <c r="CA277" s="262"/>
      <c r="CB277" s="260"/>
      <c r="CC277" s="260"/>
      <c r="CD277" s="260"/>
      <c r="CE277" s="260"/>
      <c r="CF277" s="260"/>
      <c r="CG277" s="262"/>
      <c r="CH277" s="260"/>
      <c r="CI277" s="260"/>
      <c r="CJ277" s="260"/>
      <c r="CK277" s="260"/>
      <c r="CL277" s="260"/>
      <c r="CM277" s="262"/>
      <c r="CN277" s="260"/>
      <c r="CR277" s="260"/>
      <c r="CS277" s="262"/>
      <c r="CT277" s="260"/>
      <c r="CU277" s="260"/>
      <c r="CV277" s="260"/>
      <c r="CW277" s="260"/>
      <c r="CX277" s="260"/>
      <c r="CY277" s="262"/>
      <c r="CZ277" s="260"/>
      <c r="DA277" s="260"/>
      <c r="DB277" s="260"/>
      <c r="DC277" s="260"/>
      <c r="DD277" s="260"/>
      <c r="DE277" s="262"/>
      <c r="DF277" s="260"/>
      <c r="DG277" s="260"/>
      <c r="DH277" s="260"/>
      <c r="DI277" s="260"/>
      <c r="DJ277" s="260"/>
      <c r="DK277" s="262"/>
      <c r="DL277" s="260"/>
      <c r="DM277" s="260"/>
      <c r="DN277" s="260"/>
      <c r="DO277" s="260"/>
      <c r="DP277" s="260"/>
      <c r="DQ277" s="262"/>
      <c r="DR277" s="260"/>
      <c r="DS277" s="260"/>
      <c r="DT277" s="260"/>
      <c r="DU277" s="260"/>
      <c r="DV277" s="260"/>
      <c r="DW277" s="262"/>
      <c r="DX277" s="500"/>
      <c r="DY277" s="500"/>
      <c r="DZ277" s="500"/>
      <c r="EA277" s="500"/>
      <c r="EB277" s="500"/>
      <c r="EC277" s="500"/>
      <c r="ED277" s="500"/>
      <c r="EE277" s="500"/>
      <c r="EF277" s="500"/>
      <c r="EG277" s="500"/>
      <c r="EH277" s="500"/>
      <c r="EI277" s="500"/>
    </row>
    <row r="278" spans="1:139" collapsed="1">
      <c r="A278" s="260" t="s">
        <v>812</v>
      </c>
      <c r="B278" s="260"/>
      <c r="C278" s="260"/>
      <c r="D278" s="260"/>
      <c r="E278" s="260"/>
      <c r="F278" s="260"/>
      <c r="G278" s="316"/>
      <c r="H278" s="260"/>
      <c r="I278" s="260"/>
      <c r="J278" s="260"/>
      <c r="K278" s="260"/>
      <c r="L278" s="260"/>
      <c r="M278" s="316"/>
      <c r="N278" s="260"/>
      <c r="O278" s="260"/>
      <c r="P278" s="260"/>
      <c r="Q278" s="260"/>
      <c r="R278" s="260"/>
      <c r="S278" s="316"/>
      <c r="T278" s="260"/>
      <c r="U278" s="260"/>
      <c r="V278" s="260"/>
      <c r="W278" s="260"/>
      <c r="X278" s="260"/>
      <c r="Y278" s="316"/>
      <c r="Z278" s="260"/>
      <c r="AA278" s="260"/>
      <c r="AB278" s="260"/>
      <c r="AC278" s="260"/>
      <c r="AD278" s="260"/>
      <c r="AE278" s="316"/>
      <c r="AF278" s="260"/>
      <c r="AG278" s="260"/>
      <c r="AH278" s="260"/>
      <c r="AI278" s="260"/>
      <c r="AJ278" s="260"/>
      <c r="AK278" s="316"/>
      <c r="AL278" s="260"/>
      <c r="AM278" s="260"/>
      <c r="AN278" s="260"/>
      <c r="AO278" s="260"/>
      <c r="AP278" s="260"/>
      <c r="AQ278" s="507"/>
      <c r="AR278" s="260"/>
      <c r="AS278" s="260"/>
      <c r="AT278" s="260"/>
      <c r="AU278" s="260"/>
      <c r="AV278" s="260"/>
      <c r="AW278" s="507"/>
      <c r="AX278" s="260"/>
      <c r="AY278" s="260"/>
      <c r="AZ278" s="260"/>
      <c r="BA278" s="260"/>
      <c r="BB278" s="260"/>
      <c r="BC278" s="507"/>
      <c r="BD278" s="260"/>
      <c r="BE278" s="260"/>
      <c r="BF278" s="260"/>
      <c r="BG278" s="260"/>
      <c r="BH278" s="260"/>
      <c r="BI278" s="507"/>
      <c r="BJ278" s="260"/>
      <c r="BK278" s="260"/>
      <c r="BL278" s="260">
        <v>20000</v>
      </c>
      <c r="BM278" s="260">
        <v>60000</v>
      </c>
      <c r="BN278" s="260">
        <v>80000</v>
      </c>
      <c r="BO278" s="262"/>
      <c r="BP278" s="260"/>
      <c r="BQ278" s="260"/>
      <c r="BR278" s="260"/>
      <c r="BS278" s="260"/>
      <c r="BT278" s="260"/>
      <c r="BU278" s="262"/>
      <c r="BV278" s="260"/>
      <c r="BW278" s="260"/>
      <c r="BX278" s="260"/>
      <c r="BY278" s="260"/>
      <c r="BZ278" s="260"/>
      <c r="CA278" s="262"/>
      <c r="CB278" s="260"/>
      <c r="CC278" s="260"/>
      <c r="CD278" s="260"/>
      <c r="CE278" s="260"/>
      <c r="CF278" s="260"/>
      <c r="CG278" s="262"/>
      <c r="CH278" s="260"/>
      <c r="CI278" s="260"/>
      <c r="CJ278" s="260"/>
      <c r="CK278" s="260"/>
      <c r="CL278" s="260"/>
      <c r="CM278" s="262"/>
      <c r="CN278" s="260"/>
      <c r="CR278" s="260"/>
      <c r="CS278" s="262"/>
      <c r="CT278" s="260"/>
      <c r="CU278" s="260"/>
      <c r="CV278" s="260"/>
      <c r="CW278" s="260"/>
      <c r="CX278" s="260"/>
      <c r="CY278" s="262"/>
      <c r="CZ278" s="260"/>
      <c r="DA278" s="260"/>
      <c r="DB278" s="260"/>
      <c r="DC278" s="260"/>
      <c r="DD278" s="260"/>
      <c r="DE278" s="262"/>
      <c r="DF278" s="260"/>
      <c r="DG278" s="260"/>
      <c r="DH278" s="260"/>
      <c r="DI278" s="260"/>
      <c r="DJ278" s="260"/>
      <c r="DK278" s="262"/>
      <c r="DL278" s="260"/>
      <c r="DM278" s="260"/>
      <c r="DN278" s="260"/>
      <c r="DO278" s="260"/>
      <c r="DP278" s="260"/>
      <c r="DQ278" s="262"/>
      <c r="DR278" s="260"/>
      <c r="DS278" s="260"/>
      <c r="DT278" s="260"/>
      <c r="DU278" s="260"/>
      <c r="DV278" s="260"/>
      <c r="DW278" s="262"/>
      <c r="DX278" s="500"/>
      <c r="DY278" s="500"/>
      <c r="DZ278" s="500"/>
      <c r="EA278" s="500"/>
      <c r="EB278" s="500"/>
      <c r="EC278" s="500"/>
      <c r="ED278" s="500"/>
      <c r="EE278" s="500"/>
      <c r="EF278" s="500"/>
      <c r="EG278" s="500"/>
      <c r="EH278" s="500"/>
      <c r="EI278" s="500"/>
    </row>
    <row r="279" spans="1:139">
      <c r="A279" s="260" t="s">
        <v>18</v>
      </c>
      <c r="B279" s="260"/>
      <c r="C279" s="260"/>
      <c r="D279" s="260"/>
      <c r="E279" s="260"/>
      <c r="F279" s="260"/>
      <c r="G279" s="316"/>
      <c r="H279" s="260"/>
      <c r="I279" s="260"/>
      <c r="J279" s="260"/>
      <c r="K279" s="260"/>
      <c r="L279" s="260"/>
      <c r="M279" s="316"/>
      <c r="N279" s="260"/>
      <c r="O279" s="260"/>
      <c r="P279" s="260"/>
      <c r="Q279" s="260"/>
      <c r="R279" s="260"/>
      <c r="S279" s="316"/>
      <c r="T279" s="260"/>
      <c r="U279" s="260"/>
      <c r="V279" s="260"/>
      <c r="W279" s="260"/>
      <c r="X279" s="260"/>
      <c r="Y279" s="316"/>
      <c r="Z279" s="260"/>
      <c r="AA279" s="260"/>
      <c r="AB279" s="260"/>
      <c r="AC279" s="260"/>
      <c r="AD279" s="260"/>
      <c r="AE279" s="316"/>
      <c r="AF279" s="260"/>
      <c r="AG279" s="260"/>
      <c r="AH279" s="260"/>
      <c r="AI279" s="260"/>
      <c r="AJ279" s="260"/>
      <c r="AK279" s="316"/>
      <c r="AL279" s="260"/>
      <c r="AM279" s="260"/>
      <c r="AN279" s="260"/>
      <c r="AO279" s="260"/>
      <c r="AP279" s="260"/>
      <c r="AQ279" s="507"/>
      <c r="AR279" s="260"/>
      <c r="AS279" s="260"/>
      <c r="AT279" s="260"/>
      <c r="AU279" s="260"/>
      <c r="AV279" s="260"/>
      <c r="AW279" s="507"/>
      <c r="AX279" s="260"/>
      <c r="AY279" s="260"/>
      <c r="AZ279" s="260"/>
      <c r="BA279" s="260"/>
      <c r="BB279" s="260"/>
      <c r="BC279" s="507"/>
      <c r="BD279" s="260"/>
      <c r="BE279" s="260"/>
      <c r="BF279" s="260"/>
      <c r="BG279" s="260"/>
      <c r="BH279" s="260"/>
      <c r="BI279" s="507"/>
      <c r="BJ279" s="260"/>
      <c r="BK279" s="260"/>
      <c r="BL279" s="260" t="s">
        <v>507</v>
      </c>
      <c r="BM279" s="260">
        <v>13000</v>
      </c>
      <c r="BN279" s="260" t="s">
        <v>424</v>
      </c>
      <c r="BO279" s="262"/>
      <c r="BP279" s="260"/>
      <c r="BQ279" s="260"/>
      <c r="BR279" s="260"/>
      <c r="BS279" s="260"/>
      <c r="BT279" s="260"/>
      <c r="BU279" s="262"/>
      <c r="BV279" s="260"/>
      <c r="BW279" s="260"/>
      <c r="BX279" s="260"/>
      <c r="BY279" s="260">
        <v>20000</v>
      </c>
      <c r="BZ279" s="260">
        <v>23000</v>
      </c>
      <c r="CA279" s="262"/>
      <c r="CB279" s="260"/>
      <c r="CC279" s="260"/>
      <c r="CD279" s="260"/>
      <c r="CE279" s="260"/>
      <c r="CF279" s="260"/>
      <c r="CG279" s="262"/>
      <c r="CH279" s="260"/>
      <c r="CI279" s="260"/>
      <c r="CJ279" s="260"/>
      <c r="CK279" s="260"/>
      <c r="CL279" s="260"/>
      <c r="CM279" s="262"/>
      <c r="CN279" s="260"/>
      <c r="CO279" s="260"/>
      <c r="CP279" s="260"/>
      <c r="CQ279" s="260"/>
      <c r="CR279" s="260"/>
      <c r="CS279" s="262"/>
      <c r="CT279" s="260"/>
      <c r="CU279" s="260"/>
      <c r="CV279" s="260"/>
      <c r="CW279" s="260"/>
      <c r="CX279" s="260"/>
      <c r="CY279" s="262"/>
      <c r="CZ279" s="260"/>
      <c r="DA279" s="260"/>
      <c r="DB279" s="260"/>
      <c r="DC279" s="260"/>
      <c r="DD279" s="260"/>
      <c r="DE279" s="262"/>
      <c r="DF279" s="260"/>
      <c r="DG279" s="260"/>
      <c r="DH279" s="260"/>
      <c r="DI279" s="260"/>
      <c r="DJ279" s="260"/>
      <c r="DK279" s="262"/>
      <c r="DL279" s="260"/>
      <c r="DM279" s="260"/>
      <c r="DN279" s="260"/>
      <c r="DO279" s="260"/>
      <c r="DP279" s="260"/>
      <c r="DQ279" s="262"/>
      <c r="DR279" s="260"/>
      <c r="DS279" s="260"/>
      <c r="DT279" s="260"/>
      <c r="DU279" s="260"/>
      <c r="DV279" s="260"/>
      <c r="DW279" s="262"/>
      <c r="DX279" s="500"/>
      <c r="DY279" s="500"/>
      <c r="DZ279" s="500"/>
      <c r="EA279" s="500"/>
      <c r="EB279" s="500"/>
      <c r="EC279" s="500"/>
      <c r="ED279" s="500"/>
      <c r="EE279" s="500"/>
      <c r="EF279" s="500"/>
      <c r="EG279" s="500"/>
      <c r="EH279" s="500"/>
      <c r="EI279" s="500"/>
    </row>
    <row r="280" spans="1:139">
      <c r="A280" s="260" t="s">
        <v>893</v>
      </c>
      <c r="B280" s="260"/>
      <c r="C280" s="260"/>
      <c r="D280" s="260"/>
      <c r="E280" s="260"/>
      <c r="F280" s="260"/>
      <c r="G280" s="316"/>
      <c r="H280" s="260"/>
      <c r="I280" s="260"/>
      <c r="J280" s="260"/>
      <c r="K280" s="260"/>
      <c r="L280" s="260"/>
      <c r="M280" s="316"/>
      <c r="N280" s="260"/>
      <c r="O280" s="260"/>
      <c r="P280" s="260"/>
      <c r="Q280" s="260"/>
      <c r="R280" s="260"/>
      <c r="S280" s="316"/>
      <c r="T280" s="260"/>
      <c r="U280" s="260"/>
      <c r="V280" s="260"/>
      <c r="W280" s="260"/>
      <c r="X280" s="260"/>
      <c r="Y280" s="316"/>
      <c r="Z280" s="260"/>
      <c r="AA280" s="260"/>
      <c r="AB280" s="260"/>
      <c r="AC280" s="260"/>
      <c r="AD280" s="260"/>
      <c r="AE280" s="316"/>
      <c r="AF280" s="260"/>
      <c r="AG280" s="260"/>
      <c r="AH280" s="260"/>
      <c r="AI280" s="260"/>
      <c r="AJ280" s="260"/>
      <c r="AK280" s="316"/>
      <c r="AL280" s="260"/>
      <c r="AM280" s="260"/>
      <c r="AN280" s="260"/>
      <c r="AO280" s="260"/>
      <c r="AP280" s="260"/>
      <c r="AQ280" s="507"/>
      <c r="AR280" s="260"/>
      <c r="AS280" s="260"/>
      <c r="AT280" s="260"/>
      <c r="AU280" s="260"/>
      <c r="AV280" s="260"/>
      <c r="AW280" s="507"/>
      <c r="AX280" s="260"/>
      <c r="AY280" s="260"/>
      <c r="AZ280" s="260"/>
      <c r="BA280" s="260"/>
      <c r="BB280" s="260"/>
      <c r="BC280" s="507"/>
      <c r="BD280" s="260"/>
      <c r="BE280" s="260"/>
      <c r="BF280" s="260"/>
      <c r="BG280" s="260"/>
      <c r="BH280" s="260"/>
      <c r="BI280" s="507"/>
      <c r="BJ280" s="260"/>
      <c r="BK280" s="883">
        <v>0.3</v>
      </c>
      <c r="BL280" s="883">
        <v>0.33</v>
      </c>
      <c r="BM280" s="883">
        <v>0.33</v>
      </c>
      <c r="BN280" s="883">
        <v>0.35</v>
      </c>
      <c r="BO280" s="262"/>
      <c r="BP280" s="260"/>
      <c r="BQ280" s="883">
        <f>BN280+1.25%</f>
        <v>0.36249999999999999</v>
      </c>
      <c r="BR280" s="883">
        <v>0.4</v>
      </c>
      <c r="BS280" s="883">
        <f>BR280+1.25%</f>
        <v>0.41250000000000003</v>
      </c>
      <c r="BT280" s="883">
        <f>BS280+1.25%</f>
        <v>0.42500000000000004</v>
      </c>
      <c r="BU280" s="262"/>
      <c r="BV280" s="260"/>
      <c r="BW280" s="883">
        <f>BT280+1.25%</f>
        <v>0.43750000000000006</v>
      </c>
      <c r="BX280" s="883">
        <f>BW280+1.25%</f>
        <v>0.45000000000000007</v>
      </c>
      <c r="BY280" s="883">
        <f>BX280+1.25%</f>
        <v>0.46250000000000008</v>
      </c>
      <c r="BZ280" s="883">
        <f>BY280+1.25%</f>
        <v>0.47500000000000009</v>
      </c>
      <c r="CA280" s="262"/>
      <c r="CB280" s="260"/>
      <c r="CC280" s="883">
        <f>BZ280+1.25%</f>
        <v>0.4875000000000001</v>
      </c>
      <c r="CD280" s="883">
        <f>CC280+1.25%</f>
        <v>0.50000000000000011</v>
      </c>
      <c r="CE280" s="883">
        <f>CD280+1.25%</f>
        <v>0.51250000000000007</v>
      </c>
      <c r="CF280" s="883">
        <f>CE280+1.25%</f>
        <v>0.52500000000000002</v>
      </c>
      <c r="CG280" s="262"/>
      <c r="CH280" s="260"/>
      <c r="CI280" s="883">
        <f>CF280+1.25%</f>
        <v>0.53749999999999998</v>
      </c>
      <c r="CJ280" s="883">
        <f>CI280+1.25%</f>
        <v>0.54999999999999993</v>
      </c>
      <c r="CK280" s="883">
        <f>CJ280+1.25%</f>
        <v>0.56249999999999989</v>
      </c>
      <c r="CL280" s="883">
        <f>CK280+1.25%</f>
        <v>0.57499999999999984</v>
      </c>
      <c r="CM280" s="262"/>
      <c r="CN280" s="260"/>
      <c r="CO280" s="883">
        <f>CL280+1.25%</f>
        <v>0.5874999999999998</v>
      </c>
      <c r="CP280" s="883">
        <f>CO280+1.25%</f>
        <v>0.59999999999999976</v>
      </c>
      <c r="CQ280" s="883">
        <f>CP280+1.25%</f>
        <v>0.61249999999999971</v>
      </c>
      <c r="CR280" s="883">
        <f>CQ280+1.25%</f>
        <v>0.62499999999999967</v>
      </c>
      <c r="CS280" s="262"/>
      <c r="CT280" s="260"/>
      <c r="CU280" s="883">
        <f>CR280+1.25%</f>
        <v>0.63749999999999962</v>
      </c>
      <c r="CV280" s="883">
        <f>CU280+1.25%</f>
        <v>0.64999999999999958</v>
      </c>
      <c r="CW280" s="883">
        <f>CV280+1.25%</f>
        <v>0.66249999999999953</v>
      </c>
      <c r="CX280" s="883">
        <f>CW280+1.25%</f>
        <v>0.67499999999999949</v>
      </c>
      <c r="CY280" s="262"/>
      <c r="CZ280" s="260"/>
      <c r="DA280" s="883">
        <f>CX280+1.25%</f>
        <v>0.68749999999999944</v>
      </c>
      <c r="DB280" s="883">
        <f>DA280+1.25%</f>
        <v>0.6999999999999994</v>
      </c>
      <c r="DC280" s="883">
        <f>DB280+1.25%</f>
        <v>0.71249999999999936</v>
      </c>
      <c r="DD280" s="883">
        <f>DC280+1.25%</f>
        <v>0.72499999999999931</v>
      </c>
      <c r="DE280" s="262"/>
      <c r="DF280" s="260"/>
      <c r="DG280" s="883">
        <f>DD280+1.25%</f>
        <v>0.73749999999999927</v>
      </c>
      <c r="DH280" s="883">
        <f>DG280+1.25%</f>
        <v>0.74999999999999922</v>
      </c>
      <c r="DI280" s="883">
        <f>DH280+1.25%</f>
        <v>0.76249999999999918</v>
      </c>
      <c r="DJ280" s="883">
        <f>DI280+1.25%</f>
        <v>0.77499999999999913</v>
      </c>
      <c r="DK280" s="262"/>
      <c r="DL280" s="260"/>
      <c r="DM280" s="883">
        <f>DJ280+1.25%</f>
        <v>0.78749999999999909</v>
      </c>
      <c r="DN280" s="883">
        <f>DM280+1.25%</f>
        <v>0.79999999999999905</v>
      </c>
      <c r="DO280" s="883">
        <f>DN280+1.25%</f>
        <v>0.812499999999999</v>
      </c>
      <c r="DP280" s="883">
        <f>DO280+1.25%</f>
        <v>0.82499999999999896</v>
      </c>
      <c r="DQ280" s="262"/>
      <c r="DR280" s="260"/>
      <c r="DS280" s="883">
        <f>DP280+1.25%</f>
        <v>0.83749999999999891</v>
      </c>
      <c r="DT280" s="883">
        <f>DS280+1.25%</f>
        <v>0.84999999999999887</v>
      </c>
      <c r="DU280" s="883">
        <f>DT280+1.25%</f>
        <v>0.86249999999999882</v>
      </c>
      <c r="DV280" s="883">
        <f>DU280+1.25%</f>
        <v>0.87499999999999878</v>
      </c>
      <c r="DW280" s="262"/>
      <c r="DX280" s="500"/>
      <c r="DY280" s="500"/>
      <c r="DZ280" s="500"/>
      <c r="EA280" s="500"/>
      <c r="EB280" s="500"/>
      <c r="EC280" s="500"/>
      <c r="ED280" s="500"/>
      <c r="EE280" s="500"/>
      <c r="EF280" s="500"/>
      <c r="EG280" s="500"/>
      <c r="EH280" s="500"/>
      <c r="EI280" s="500"/>
    </row>
    <row r="281" spans="1:139">
      <c r="A281" s="260" t="s">
        <v>894</v>
      </c>
      <c r="B281" s="260"/>
      <c r="C281" s="260"/>
      <c r="D281" s="260"/>
      <c r="E281" s="260"/>
      <c r="F281" s="260"/>
      <c r="G281" s="316"/>
      <c r="H281" s="260"/>
      <c r="I281" s="260"/>
      <c r="J281" s="260"/>
      <c r="K281" s="260"/>
      <c r="L281" s="260"/>
      <c r="M281" s="316"/>
      <c r="N281" s="260"/>
      <c r="O281" s="260"/>
      <c r="P281" s="260"/>
      <c r="Q281" s="260"/>
      <c r="R281" s="260"/>
      <c r="S281" s="316"/>
      <c r="T281" s="260"/>
      <c r="U281" s="260"/>
      <c r="V281" s="260"/>
      <c r="W281" s="260"/>
      <c r="X281" s="260"/>
      <c r="Y281" s="316"/>
      <c r="Z281" s="260"/>
      <c r="AA281" s="260"/>
      <c r="AB281" s="260"/>
      <c r="AC281" s="260"/>
      <c r="AD281" s="260"/>
      <c r="AE281" s="316"/>
      <c r="AF281" s="260"/>
      <c r="AG281" s="260"/>
      <c r="AH281" s="260"/>
      <c r="AI281" s="260"/>
      <c r="AJ281" s="260"/>
      <c r="AK281" s="316"/>
      <c r="AL281" s="260"/>
      <c r="AM281" s="260"/>
      <c r="AN281" s="260"/>
      <c r="AO281" s="260"/>
      <c r="AP281" s="260"/>
      <c r="AQ281" s="507"/>
      <c r="AR281" s="260"/>
      <c r="AS281" s="260"/>
      <c r="AT281" s="260"/>
      <c r="AU281" s="260"/>
      <c r="AV281" s="260"/>
      <c r="AW281" s="507"/>
      <c r="AX281" s="260"/>
      <c r="AY281" s="260"/>
      <c r="AZ281" s="260"/>
      <c r="BA281" s="260"/>
      <c r="BB281" s="260"/>
      <c r="BC281" s="507"/>
      <c r="BD281" s="260"/>
      <c r="BE281" s="260"/>
      <c r="BF281" s="260"/>
      <c r="BG281" s="260"/>
      <c r="BH281" s="260"/>
      <c r="BI281" s="507"/>
      <c r="BJ281" s="260"/>
      <c r="BK281" s="263">
        <f>BK280*BK111</f>
        <v>42.203601749999933</v>
      </c>
      <c r="BL281" s="263">
        <f>BL280*BL111</f>
        <v>55.970751539999959</v>
      </c>
      <c r="BM281" s="263">
        <f>BM280*BM111</f>
        <v>62.143734839999929</v>
      </c>
      <c r="BN281" s="263">
        <f>BN280*BN111</f>
        <v>100.8970017999999</v>
      </c>
      <c r="BO281" s="265">
        <f>SUM(BK281:BN281)</f>
        <v>261.21508992999969</v>
      </c>
      <c r="BP281" s="260"/>
      <c r="BQ281" s="263">
        <f>BQ280*BQ111</f>
        <v>80.316991687499979</v>
      </c>
      <c r="BR281" s="263">
        <f>BR280*BR111</f>
        <v>94.923536399999875</v>
      </c>
      <c r="BS281" s="263">
        <f>BS280*BS111</f>
        <v>88.184577524999938</v>
      </c>
      <c r="BT281" s="263">
        <f>BT280*BT111</f>
        <v>155.63738499374998</v>
      </c>
      <c r="BU281" s="265">
        <f>SUM(BQ281:BT281)</f>
        <v>419.06249060624975</v>
      </c>
      <c r="BV281" s="260"/>
      <c r="BW281" s="263">
        <f>BW280*BW111</f>
        <v>115.57225984499992</v>
      </c>
      <c r="BX281" s="263">
        <f>BX280*BX111</f>
        <v>129.83929813125002</v>
      </c>
      <c r="BY281" s="263">
        <f>BY280*BY111</f>
        <v>129.55536472799997</v>
      </c>
      <c r="BZ281" s="263">
        <f>BZ280*BZ111</f>
        <v>236.26082330481239</v>
      </c>
      <c r="CA281" s="265">
        <f>SUM(BW281:BZ281)</f>
        <v>611.22774600906223</v>
      </c>
      <c r="CB281" s="260"/>
      <c r="CC281" s="263">
        <f>CC280*CC111</f>
        <v>144.95492037000002</v>
      </c>
      <c r="CD281" s="263">
        <f>CD280*CD111</f>
        <v>182.64658531250004</v>
      </c>
      <c r="CE281" s="263">
        <f>CE280*CE111</f>
        <v>160.38984468125003</v>
      </c>
      <c r="CF281" s="263">
        <f>CF280*CF111</f>
        <v>298.47829728674998</v>
      </c>
      <c r="CG281" s="265">
        <f>SUM(CC281:CF281)</f>
        <v>786.46964765050006</v>
      </c>
      <c r="CH281" s="260"/>
      <c r="CI281" s="263">
        <f>CI280*CI111</f>
        <v>180.31590905662497</v>
      </c>
      <c r="CJ281" s="263">
        <f>CJ280*CJ111</f>
        <v>288.90394432899984</v>
      </c>
      <c r="CK281" s="263">
        <f>CK280*CK111</f>
        <v>190.88570190937492</v>
      </c>
      <c r="CL281" s="263">
        <f>CL280*CL111</f>
        <v>507.18461456874991</v>
      </c>
      <c r="CM281" s="265">
        <f>SUM(CI281:CL281)</f>
        <v>1167.2901698637497</v>
      </c>
      <c r="CN281" s="260"/>
      <c r="CO281" s="263">
        <f>CO280*CO111</f>
        <v>218.21160593375001</v>
      </c>
      <c r="CP281" s="263">
        <f>CP280*CP111</f>
        <v>305.21081892479992</v>
      </c>
      <c r="CQ281" s="263">
        <f>CQ280*CQ111</f>
        <v>279.44254052959997</v>
      </c>
      <c r="CR281" s="263">
        <f>CR280*CR111</f>
        <v>643.08055243437502</v>
      </c>
      <c r="CS281" s="265">
        <f>SUM(CO281:CR281)</f>
        <v>1445.9455178225248</v>
      </c>
      <c r="CT281" s="260"/>
      <c r="CU281" s="263">
        <f>CU280*CU111</f>
        <v>376.85080006634979</v>
      </c>
      <c r="CV281" s="263">
        <f>CV280*CV111</f>
        <v>307.18747445749983</v>
      </c>
      <c r="CW281" s="263">
        <f>CW280*CW111</f>
        <v>362.03525454687519</v>
      </c>
      <c r="CX281" s="263">
        <f>CX280*CX111</f>
        <v>1070.3600834309991</v>
      </c>
      <c r="CY281" s="265">
        <f>SUM(CU281:CX281)</f>
        <v>2116.4336125017239</v>
      </c>
      <c r="CZ281" s="260"/>
      <c r="DA281" s="263">
        <f>DA280*DA111</f>
        <v>360.16907437499941</v>
      </c>
      <c r="DB281" s="263">
        <f>DB280*DB111</f>
        <v>487.64513699999958</v>
      </c>
      <c r="DC281" s="263">
        <f>DC280*DC111</f>
        <v>551.07290062499908</v>
      </c>
      <c r="DD281" s="263">
        <f>DD280*DD111</f>
        <v>1451.0246497499988</v>
      </c>
      <c r="DE281" s="265">
        <f>SUM(DA281:DD281)</f>
        <v>2849.9117617499969</v>
      </c>
      <c r="DF281" s="260"/>
      <c r="DG281" s="263">
        <f>DG280*DG111</f>
        <v>405.68134831874926</v>
      </c>
      <c r="DH281" s="263">
        <f>DH280*DH111</f>
        <v>616.52278034999927</v>
      </c>
      <c r="DI281" s="263">
        <f>DI280*DI111</f>
        <v>666.41149193124875</v>
      </c>
      <c r="DJ281" s="263">
        <f>DJ280*DJ111</f>
        <v>1783.759612537498</v>
      </c>
      <c r="DK281" s="265">
        <f>SUM(DG281:DJ281)</f>
        <v>3472.3752331374953</v>
      </c>
      <c r="DL281" s="260"/>
      <c r="DM281" s="263">
        <f>DM280*DM111</f>
        <v>541.87132733137582</v>
      </c>
      <c r="DN281" s="263">
        <f>DN280*DN111</f>
        <v>822.69457434202934</v>
      </c>
      <c r="DO281" s="263">
        <f>DO280*DO111</f>
        <v>817.62135192830465</v>
      </c>
      <c r="DP281" s="263">
        <f>DP280*DP111</f>
        <v>1994.92222628234</v>
      </c>
      <c r="DQ281" s="265">
        <f>SUM(DM281:DP281)</f>
        <v>4177.1094798840495</v>
      </c>
      <c r="DR281" s="260"/>
      <c r="DS281" s="263">
        <f>DS280*DS111</f>
        <v>660.35450344864398</v>
      </c>
      <c r="DT281" s="263">
        <f>DT280*DT111</f>
        <v>1047.9740580023249</v>
      </c>
      <c r="DU281" s="263">
        <f>DU280*DU111</f>
        <v>1040.9162588979304</v>
      </c>
      <c r="DV281" s="263">
        <f>DV280*DV111</f>
        <v>2475.1997522598131</v>
      </c>
      <c r="DW281" s="265">
        <f>SUM(DS281:DV281)</f>
        <v>5224.4445726087124</v>
      </c>
      <c r="DX281" s="500"/>
      <c r="DY281" s="500"/>
      <c r="DZ281" s="500"/>
      <c r="EA281" s="500"/>
      <c r="EB281" s="500"/>
      <c r="EC281" s="500"/>
      <c r="ED281" s="500"/>
      <c r="EE281" s="500"/>
      <c r="EF281" s="500"/>
      <c r="EG281" s="500"/>
      <c r="EH281" s="500"/>
      <c r="EI281" s="500"/>
    </row>
    <row r="282" spans="1:139">
      <c r="A282" s="260" t="s">
        <v>895</v>
      </c>
      <c r="B282" s="260"/>
      <c r="C282" s="260"/>
      <c r="D282" s="260"/>
      <c r="E282" s="260"/>
      <c r="F282" s="260"/>
      <c r="G282" s="316"/>
      <c r="H282" s="260"/>
      <c r="I282" s="260"/>
      <c r="J282" s="260"/>
      <c r="K282" s="260"/>
      <c r="L282" s="260"/>
      <c r="M282" s="316"/>
      <c r="N282" s="260"/>
      <c r="O282" s="260"/>
      <c r="P282" s="260"/>
      <c r="Q282" s="260"/>
      <c r="R282" s="260"/>
      <c r="S282" s="316"/>
      <c r="T282" s="260"/>
      <c r="U282" s="260"/>
      <c r="V282" s="260"/>
      <c r="W282" s="260"/>
      <c r="X282" s="260"/>
      <c r="Y282" s="316"/>
      <c r="Z282" s="260"/>
      <c r="AA282" s="260"/>
      <c r="AB282" s="260"/>
      <c r="AC282" s="260"/>
      <c r="AD282" s="260"/>
      <c r="AE282" s="316"/>
      <c r="AF282" s="260"/>
      <c r="AG282" s="260"/>
      <c r="AH282" s="260"/>
      <c r="AI282" s="260"/>
      <c r="AJ282" s="260"/>
      <c r="AK282" s="316"/>
      <c r="AL282" s="260"/>
      <c r="AM282" s="260"/>
      <c r="AN282" s="260"/>
      <c r="AO282" s="260"/>
      <c r="AP282" s="260"/>
      <c r="AQ282" s="507"/>
      <c r="AR282" s="260"/>
      <c r="AS282" s="260"/>
      <c r="AT282" s="260"/>
      <c r="AU282" s="260"/>
      <c r="AV282" s="260"/>
      <c r="AW282" s="507"/>
      <c r="AX282" s="260"/>
      <c r="AY282" s="260"/>
      <c r="AZ282" s="260"/>
      <c r="BA282" s="260"/>
      <c r="BB282" s="260"/>
      <c r="BC282" s="507"/>
      <c r="BD282" s="260"/>
      <c r="BE282" s="260"/>
      <c r="BF282" s="260"/>
      <c r="BG282" s="260"/>
      <c r="BH282" s="260"/>
      <c r="BI282" s="507"/>
      <c r="BJ282" s="260"/>
      <c r="BK282" s="263">
        <f>BK111-BK281</f>
        <v>98.475070749999844</v>
      </c>
      <c r="BL282" s="263">
        <f>BL111-BL281</f>
        <v>113.63758645999991</v>
      </c>
      <c r="BM282" s="263">
        <f>BM111-BM281</f>
        <v>126.17061315999985</v>
      </c>
      <c r="BN282" s="263">
        <f>BN111-BN281</f>
        <v>187.38014619999984</v>
      </c>
      <c r="BO282" s="265">
        <f>SUM(BK282:BN282)</f>
        <v>525.66341656999953</v>
      </c>
      <c r="BP282" s="260"/>
      <c r="BQ282" s="263">
        <f>BQ111-BQ281</f>
        <v>141.24712331249998</v>
      </c>
      <c r="BR282" s="263">
        <f>BR111-BR281</f>
        <v>142.38530459999981</v>
      </c>
      <c r="BS282" s="263">
        <f>BS111-BS281</f>
        <v>125.59621647499991</v>
      </c>
      <c r="BT282" s="263">
        <f>BT111-BT281</f>
        <v>210.56822675624991</v>
      </c>
      <c r="BU282" s="265">
        <f>SUM(BQ282:BT282)</f>
        <v>619.79687114374963</v>
      </c>
      <c r="BV282" s="260"/>
      <c r="BW282" s="263">
        <f>BW111-BW281</f>
        <v>148.59290551499987</v>
      </c>
      <c r="BX282" s="263">
        <f>BX111-BX281</f>
        <v>158.69247549375001</v>
      </c>
      <c r="BY282" s="263">
        <f>BY111-BY281</f>
        <v>150.56434279199993</v>
      </c>
      <c r="BZ282" s="263">
        <f>BZ111-BZ281</f>
        <v>261.13038365268727</v>
      </c>
      <c r="CA282" s="265">
        <f>SUM(BW282:BZ282)</f>
        <v>718.98010745343709</v>
      </c>
      <c r="CB282" s="260"/>
      <c r="CC282" s="263">
        <f>CC111-CC281</f>
        <v>152.38850602999997</v>
      </c>
      <c r="CD282" s="263">
        <f>CD111-CD281</f>
        <v>182.64658531249998</v>
      </c>
      <c r="CE282" s="263">
        <f>CE111-CE281</f>
        <v>152.56594981875</v>
      </c>
      <c r="CF282" s="263">
        <f>CF111-CF281</f>
        <v>270.05179278324994</v>
      </c>
      <c r="CG282" s="265">
        <f>SUM(CC282:CF282)</f>
        <v>757.65283394449989</v>
      </c>
      <c r="CH282" s="260"/>
      <c r="CI282" s="263">
        <f>CI111-CI281</f>
        <v>155.155549653375</v>
      </c>
      <c r="CJ282" s="263">
        <f>CJ111-CJ281</f>
        <v>236.37595445099998</v>
      </c>
      <c r="CK282" s="263">
        <f>CK111-CK281</f>
        <v>148.46665704062502</v>
      </c>
      <c r="CL282" s="263">
        <f>CL111-CL281</f>
        <v>374.87558468125019</v>
      </c>
      <c r="CM282" s="265">
        <f>SUM(CI282:CL282)</f>
        <v>914.87374582625023</v>
      </c>
      <c r="CN282" s="260"/>
      <c r="CO282" s="263">
        <f>CO111-CO281</f>
        <v>153.21240416625014</v>
      </c>
      <c r="CP282" s="263">
        <f>CP111-CP281</f>
        <v>203.47387928320018</v>
      </c>
      <c r="CQ282" s="263">
        <f>CQ111-CQ281</f>
        <v>176.79017870240017</v>
      </c>
      <c r="CR282" s="263">
        <f>CR111-CR281</f>
        <v>385.84833146062556</v>
      </c>
      <c r="CS282" s="265">
        <f>SUM(CO282:CR282)</f>
        <v>919.32479361247601</v>
      </c>
      <c r="CT282" s="260"/>
      <c r="CU282" s="263">
        <f>CU111-CU281</f>
        <v>214.28770984165027</v>
      </c>
      <c r="CV282" s="263">
        <f>CV111-CV281</f>
        <v>165.40864009250021</v>
      </c>
      <c r="CW282" s="263">
        <f>CW111-CW281</f>
        <v>184.43305420312549</v>
      </c>
      <c r="CX282" s="263">
        <f>CX111-CX281</f>
        <v>515.3585586890008</v>
      </c>
      <c r="CY282" s="265">
        <f>SUM(CU282:CX282)</f>
        <v>1079.4879628262768</v>
      </c>
      <c r="CZ282" s="260"/>
      <c r="DA282" s="263">
        <f>DA111-DA281</f>
        <v>163.71321562500015</v>
      </c>
      <c r="DB282" s="263">
        <f>DB111-DB281</f>
        <v>208.99077300000039</v>
      </c>
      <c r="DC282" s="263">
        <f>DC111-DC281</f>
        <v>222.36274937500036</v>
      </c>
      <c r="DD282" s="263">
        <f>DD111-DD281</f>
        <v>550.38866025000152</v>
      </c>
      <c r="DE282" s="265">
        <f>SUM(DA282:DD282)</f>
        <v>1145.4553982500024</v>
      </c>
      <c r="DF282" s="260"/>
      <c r="DG282" s="263">
        <f>DG111-DG281</f>
        <v>144.39505618125025</v>
      </c>
      <c r="DH282" s="263">
        <f>DH111-DH281</f>
        <v>205.50759345000063</v>
      </c>
      <c r="DI282" s="263">
        <f>DI111-DI281</f>
        <v>207.57079256875056</v>
      </c>
      <c r="DJ282" s="263">
        <f>DJ111-DJ281</f>
        <v>517.86569396250206</v>
      </c>
      <c r="DK282" s="265">
        <f>SUM(DG282:DJ282)</f>
        <v>1075.3391361625036</v>
      </c>
      <c r="DL282" s="260"/>
      <c r="DM282" s="263">
        <f>DM111-DM281</f>
        <v>146.21924705767367</v>
      </c>
      <c r="DN282" s="263">
        <f>DN111-DN281</f>
        <v>205.67364358550856</v>
      </c>
      <c r="DO282" s="263">
        <f>DO111-DO281</f>
        <v>188.68185044499455</v>
      </c>
      <c r="DP282" s="263">
        <f>DP111-DP281</f>
        <v>423.16532072655991</v>
      </c>
      <c r="DQ282" s="265">
        <f>SUM(DM282:DP282)</f>
        <v>963.74006181473669</v>
      </c>
      <c r="DR282" s="260"/>
      <c r="DS282" s="263">
        <f>DS111-DS281</f>
        <v>128.12848574376778</v>
      </c>
      <c r="DT282" s="263">
        <f>DT111-DT281</f>
        <v>184.93659847100025</v>
      </c>
      <c r="DU282" s="263">
        <f>DU111-DU281</f>
        <v>165.94317170836734</v>
      </c>
      <c r="DV282" s="263">
        <f>DV111-DV281</f>
        <v>353.59996460854882</v>
      </c>
      <c r="DW282" s="265">
        <f>SUM(DS282:DV282)</f>
        <v>832.6082205316842</v>
      </c>
      <c r="DX282" s="500"/>
      <c r="DY282" s="500"/>
      <c r="DZ282" s="500"/>
      <c r="EA282" s="500"/>
      <c r="EB282" s="500"/>
      <c r="EC282" s="500"/>
      <c r="ED282" s="500"/>
      <c r="EE282" s="500"/>
      <c r="EF282" s="500"/>
      <c r="EG282" s="500"/>
      <c r="EH282" s="500"/>
      <c r="EI282" s="500"/>
    </row>
    <row r="283" spans="1:139">
      <c r="A283" s="260"/>
      <c r="B283" s="260"/>
      <c r="C283" s="260"/>
      <c r="D283" s="260"/>
      <c r="E283" s="260"/>
      <c r="F283" s="260"/>
      <c r="G283" s="316"/>
      <c r="H283" s="260"/>
      <c r="I283" s="260"/>
      <c r="J283" s="260"/>
      <c r="K283" s="260"/>
      <c r="L283" s="260"/>
      <c r="M283" s="316"/>
      <c r="N283" s="260"/>
      <c r="O283" s="260"/>
      <c r="P283" s="260"/>
      <c r="Q283" s="260"/>
      <c r="R283" s="260"/>
      <c r="S283" s="316"/>
      <c r="T283" s="260"/>
      <c r="U283" s="260"/>
      <c r="V283" s="260"/>
      <c r="W283" s="260"/>
      <c r="X283" s="260"/>
      <c r="Y283" s="316"/>
      <c r="Z283" s="260"/>
      <c r="AA283" s="260"/>
      <c r="AB283" s="260"/>
      <c r="AC283" s="260"/>
      <c r="AD283" s="260"/>
      <c r="AE283" s="316"/>
      <c r="AF283" s="260"/>
      <c r="AG283" s="260"/>
      <c r="AH283" s="260"/>
      <c r="AI283" s="260"/>
      <c r="AJ283" s="260"/>
      <c r="AK283" s="316"/>
      <c r="AL283" s="260"/>
      <c r="AM283" s="260"/>
      <c r="AN283" s="260"/>
      <c r="AO283" s="260"/>
      <c r="AP283" s="260"/>
      <c r="AQ283" s="507"/>
      <c r="AR283" s="260"/>
      <c r="AS283" s="260"/>
      <c r="AT283" s="260"/>
      <c r="AU283" s="260"/>
      <c r="AV283" s="260"/>
      <c r="AW283" s="507"/>
      <c r="AX283" s="260"/>
      <c r="AY283" s="260"/>
      <c r="AZ283" s="260"/>
      <c r="BA283" s="260"/>
      <c r="BB283" s="260"/>
      <c r="BC283" s="507"/>
      <c r="BD283" s="260"/>
      <c r="BE283" s="260"/>
      <c r="BF283" s="260"/>
      <c r="BG283" s="260"/>
      <c r="BH283" s="260"/>
      <c r="BI283" s="507"/>
      <c r="BJ283" s="260"/>
      <c r="BK283" s="263"/>
      <c r="BL283" s="263"/>
      <c r="BM283" s="263"/>
      <c r="BN283" s="263"/>
      <c r="BO283" s="265"/>
      <c r="BP283" s="260"/>
      <c r="BQ283" s="263"/>
      <c r="BR283" s="263"/>
      <c r="BS283" s="263"/>
      <c r="BT283" s="263"/>
      <c r="BU283" s="265"/>
      <c r="BV283" s="260"/>
      <c r="BW283" s="263"/>
      <c r="BX283" s="263"/>
      <c r="BY283" s="263"/>
      <c r="BZ283" s="263"/>
      <c r="CA283" s="265"/>
      <c r="CB283" s="260"/>
      <c r="CC283" s="263"/>
      <c r="CD283" s="263"/>
      <c r="CE283" s="263"/>
      <c r="CF283" s="263"/>
      <c r="CG283" s="265"/>
      <c r="CH283" s="260"/>
      <c r="CI283" s="263"/>
      <c r="CJ283" s="263"/>
      <c r="CK283" s="263"/>
      <c r="CL283" s="263"/>
      <c r="CM283" s="265"/>
      <c r="CN283" s="260"/>
      <c r="CO283" s="263"/>
      <c r="CP283" s="263"/>
      <c r="CQ283" s="263"/>
      <c r="CR283" s="263"/>
      <c r="CS283" s="265"/>
      <c r="CT283" s="260"/>
      <c r="CU283" s="263"/>
      <c r="CV283" s="263"/>
      <c r="CW283" s="263"/>
      <c r="CX283" s="263"/>
      <c r="CY283" s="265"/>
      <c r="CZ283" s="260"/>
      <c r="DA283" s="263"/>
      <c r="DB283" s="263"/>
      <c r="DC283" s="263"/>
      <c r="DD283" s="263"/>
      <c r="DE283" s="265"/>
      <c r="DF283" s="260"/>
      <c r="DG283" s="263"/>
      <c r="DH283" s="263"/>
      <c r="DI283" s="263"/>
      <c r="DJ283" s="263"/>
      <c r="DK283" s="265"/>
      <c r="DL283" s="260"/>
      <c r="DM283" s="263"/>
      <c r="DN283" s="263"/>
      <c r="DO283" s="263"/>
      <c r="DP283" s="263"/>
      <c r="DQ283" s="265"/>
      <c r="DR283" s="260"/>
      <c r="DS283" s="263"/>
      <c r="DT283" s="263"/>
      <c r="DU283" s="263"/>
      <c r="DV283" s="263"/>
      <c r="DW283" s="265"/>
      <c r="DX283" s="500"/>
      <c r="DY283" s="500"/>
      <c r="DZ283" s="500"/>
      <c r="EA283" s="500"/>
      <c r="EB283" s="500"/>
      <c r="EC283" s="500"/>
      <c r="ED283" s="500"/>
      <c r="EE283" s="500"/>
      <c r="EF283" s="500"/>
      <c r="EG283" s="500"/>
      <c r="EH283" s="500"/>
      <c r="EI283" s="500"/>
    </row>
    <row r="284" spans="1:139">
      <c r="A284" s="260"/>
      <c r="B284" s="260"/>
      <c r="C284" s="260"/>
      <c r="D284" s="260"/>
      <c r="E284" s="260"/>
      <c r="F284" s="260"/>
      <c r="G284" s="316"/>
      <c r="H284" s="260"/>
      <c r="I284" s="260"/>
      <c r="J284" s="260"/>
      <c r="K284" s="260"/>
      <c r="L284" s="260"/>
      <c r="M284" s="316"/>
      <c r="N284" s="260"/>
      <c r="O284" s="260"/>
      <c r="P284" s="260"/>
      <c r="Q284" s="260"/>
      <c r="R284" s="260"/>
      <c r="S284" s="316"/>
      <c r="T284" s="260"/>
      <c r="U284" s="260"/>
      <c r="V284" s="260"/>
      <c r="W284" s="260"/>
      <c r="X284" s="260"/>
      <c r="Y284" s="316"/>
      <c r="Z284" s="260"/>
      <c r="AA284" s="260"/>
      <c r="AB284" s="260"/>
      <c r="AC284" s="260"/>
      <c r="AD284" s="260"/>
      <c r="AE284" s="316"/>
      <c r="AF284" s="260"/>
      <c r="AG284" s="260"/>
      <c r="AH284" s="260"/>
      <c r="AI284" s="260"/>
      <c r="AJ284" s="260"/>
      <c r="AK284" s="316"/>
      <c r="AL284" s="260"/>
      <c r="AM284" s="260"/>
      <c r="AN284" s="260"/>
      <c r="AO284" s="260"/>
      <c r="AP284" s="260"/>
      <c r="AQ284" s="507"/>
      <c r="AR284" s="260"/>
      <c r="AS284" s="260"/>
      <c r="AT284" s="260"/>
      <c r="AU284" s="260"/>
      <c r="AV284" s="260"/>
      <c r="AW284" s="507"/>
      <c r="AX284" s="260"/>
      <c r="AY284" s="260"/>
      <c r="AZ284" s="260"/>
      <c r="BA284" s="260"/>
      <c r="BB284" s="260"/>
      <c r="BC284" s="507"/>
      <c r="BD284" s="260"/>
      <c r="BE284" s="260"/>
      <c r="BF284" s="260"/>
      <c r="BG284" s="260"/>
      <c r="BH284" s="260"/>
      <c r="BI284" s="507"/>
      <c r="BJ284" s="260"/>
      <c r="BK284" s="263"/>
      <c r="BL284" s="263"/>
      <c r="BM284" s="263"/>
      <c r="BN284" s="263"/>
      <c r="BO284" s="265"/>
      <c r="BP284" s="260"/>
      <c r="BQ284" s="279">
        <f t="shared" ref="BQ284:BU285" si="122">BQ281/BK281-1</f>
        <v>0.90308382121675446</v>
      </c>
      <c r="BR284" s="279">
        <f t="shared" si="122"/>
        <v>0.69594893383130629</v>
      </c>
      <c r="BS284" s="279">
        <f t="shared" si="122"/>
        <v>0.41904212471372659</v>
      </c>
      <c r="BT284" s="279">
        <f t="shared" si="122"/>
        <v>0.54253726292340754</v>
      </c>
      <c r="BU284" s="871">
        <f t="shared" si="122"/>
        <v>0.60428132508941168</v>
      </c>
      <c r="BV284" s="260"/>
      <c r="BW284" s="279">
        <f t="shared" ref="BW284:CA285" si="123">BW281/BQ281-1</f>
        <v>0.43895155205354697</v>
      </c>
      <c r="BX284" s="279">
        <f t="shared" si="123"/>
        <v>0.36783039334015144</v>
      </c>
      <c r="BY284" s="279">
        <f t="shared" si="123"/>
        <v>0.4691385768817864</v>
      </c>
      <c r="BZ284" s="279">
        <f t="shared" si="123"/>
        <v>0.51802102890831825</v>
      </c>
      <c r="CA284" s="871">
        <f t="shared" si="123"/>
        <v>0.45855990385780099</v>
      </c>
      <c r="CB284" s="260"/>
      <c r="CC284" s="263"/>
      <c r="CD284" s="263"/>
      <c r="CE284" s="263"/>
      <c r="CF284" s="263"/>
      <c r="CG284" s="871">
        <f>CG281/CA281-1</f>
        <v>0.28670475577337373</v>
      </c>
      <c r="CH284" s="260"/>
      <c r="CI284" s="263"/>
      <c r="CJ284" s="263"/>
      <c r="CK284" s="263"/>
      <c r="CL284" s="263"/>
      <c r="CM284" s="871">
        <f>CM281/CG281-1</f>
        <v>0.48421515483898592</v>
      </c>
      <c r="CN284" s="260"/>
      <c r="CO284" s="263"/>
      <c r="CP284" s="263"/>
      <c r="CQ284" s="263"/>
      <c r="CR284" s="263"/>
      <c r="CS284" s="871">
        <f>CS281/CM281-1</f>
        <v>0.23871986173866322</v>
      </c>
      <c r="CT284" s="260"/>
      <c r="CU284" s="263"/>
      <c r="CV284" s="263"/>
      <c r="CW284" s="263"/>
      <c r="CX284" s="263"/>
      <c r="CY284" s="871">
        <f>CY281/CS281-1</f>
        <v>0.46370218408291008</v>
      </c>
      <c r="CZ284" s="260"/>
      <c r="DA284" s="263"/>
      <c r="DB284" s="263"/>
      <c r="DC284" s="263"/>
      <c r="DD284" s="263"/>
      <c r="DE284" s="871">
        <f>DE281/CY281-1</f>
        <v>0.34656326799746262</v>
      </c>
      <c r="DF284" s="260"/>
      <c r="DG284" s="263"/>
      <c r="DH284" s="263"/>
      <c r="DI284" s="263"/>
      <c r="DJ284" s="263"/>
      <c r="DK284" s="871">
        <f>DK281/DE281-1</f>
        <v>0.21841499787532825</v>
      </c>
      <c r="DL284" s="260"/>
      <c r="DM284" s="263"/>
      <c r="DN284" s="263"/>
      <c r="DO284" s="263"/>
      <c r="DP284" s="263"/>
      <c r="DQ284" s="871">
        <f>DQ281/DK281-1</f>
        <v>0.20295451943705567</v>
      </c>
      <c r="DR284" s="260"/>
      <c r="DS284" s="263"/>
      <c r="DT284" s="263"/>
      <c r="DU284" s="263"/>
      <c r="DV284" s="263"/>
      <c r="DW284" s="871">
        <f>DW281/DQ281-1</f>
        <v>0.25073201882028129</v>
      </c>
      <c r="DX284" s="500"/>
      <c r="DY284" s="500"/>
      <c r="DZ284" s="500"/>
      <c r="EA284" s="500"/>
      <c r="EB284" s="500"/>
      <c r="EC284" s="500"/>
      <c r="ED284" s="500"/>
      <c r="EE284" s="500"/>
      <c r="EF284" s="500"/>
      <c r="EG284" s="500"/>
      <c r="EH284" s="500"/>
      <c r="EI284" s="500"/>
    </row>
    <row r="285" spans="1:139">
      <c r="A285" s="260"/>
      <c r="B285" s="260"/>
      <c r="C285" s="260"/>
      <c r="D285" s="260"/>
      <c r="E285" s="260"/>
      <c r="F285" s="260"/>
      <c r="G285" s="316"/>
      <c r="H285" s="260"/>
      <c r="I285" s="260"/>
      <c r="J285" s="260"/>
      <c r="K285" s="260"/>
      <c r="L285" s="260"/>
      <c r="M285" s="316"/>
      <c r="N285" s="260"/>
      <c r="O285" s="260"/>
      <c r="P285" s="260"/>
      <c r="Q285" s="260"/>
      <c r="R285" s="260"/>
      <c r="S285" s="316"/>
      <c r="T285" s="260"/>
      <c r="U285" s="260"/>
      <c r="V285" s="260"/>
      <c r="W285" s="260"/>
      <c r="X285" s="260"/>
      <c r="Y285" s="316"/>
      <c r="Z285" s="260"/>
      <c r="AA285" s="260"/>
      <c r="AB285" s="260"/>
      <c r="AC285" s="260"/>
      <c r="AD285" s="260"/>
      <c r="AE285" s="316"/>
      <c r="AF285" s="260"/>
      <c r="AG285" s="260"/>
      <c r="AH285" s="260"/>
      <c r="AI285" s="260"/>
      <c r="AJ285" s="260"/>
      <c r="AK285" s="316"/>
      <c r="AL285" s="260"/>
      <c r="AM285" s="260"/>
      <c r="AN285" s="260"/>
      <c r="AO285" s="260"/>
      <c r="AP285" s="260"/>
      <c r="AQ285" s="507"/>
      <c r="AR285" s="260"/>
      <c r="AS285" s="260"/>
      <c r="AT285" s="260"/>
      <c r="AU285" s="260"/>
      <c r="AV285" s="260"/>
      <c r="AW285" s="507"/>
      <c r="AX285" s="260"/>
      <c r="AY285" s="260"/>
      <c r="AZ285" s="260"/>
      <c r="BA285" s="260"/>
      <c r="BB285" s="260"/>
      <c r="BC285" s="507"/>
      <c r="BD285" s="260"/>
      <c r="BE285" s="260"/>
      <c r="BF285" s="260"/>
      <c r="BG285" s="260"/>
      <c r="BH285" s="260"/>
      <c r="BI285" s="507"/>
      <c r="BJ285" s="260"/>
      <c r="BK285" s="263"/>
      <c r="BL285" s="263"/>
      <c r="BM285" s="263"/>
      <c r="BN285" s="263"/>
      <c r="BO285" s="265"/>
      <c r="BP285" s="260"/>
      <c r="BQ285" s="279">
        <f t="shared" si="122"/>
        <v>0.43434396377420437</v>
      </c>
      <c r="BR285" s="279">
        <f t="shared" si="122"/>
        <v>0.25297719738283075</v>
      </c>
      <c r="BS285" s="279">
        <f t="shared" si="122"/>
        <v>-4.5525393799230596E-3</v>
      </c>
      <c r="BT285" s="279">
        <f t="shared" si="122"/>
        <v>0.12374886574963129</v>
      </c>
      <c r="BU285" s="871">
        <f t="shared" si="122"/>
        <v>0.17907552933392101</v>
      </c>
      <c r="BV285" s="260"/>
      <c r="BW285" s="279">
        <f t="shared" si="123"/>
        <v>5.2006596879483613E-2</v>
      </c>
      <c r="BX285" s="279">
        <f t="shared" si="123"/>
        <v>0.11452846864753075</v>
      </c>
      <c r="BY285" s="279">
        <f t="shared" si="123"/>
        <v>0.19879680310250403</v>
      </c>
      <c r="BZ285" s="279">
        <f t="shared" si="123"/>
        <v>0.24012244238047953</v>
      </c>
      <c r="CA285" s="871">
        <f t="shared" si="123"/>
        <v>0.16002539045842301</v>
      </c>
      <c r="CB285" s="260"/>
      <c r="CC285" s="263"/>
      <c r="CD285" s="263"/>
      <c r="CE285" s="263"/>
      <c r="CF285" s="263"/>
      <c r="CG285" s="871">
        <f>CG282/CA282-1</f>
        <v>5.3788312208022271E-2</v>
      </c>
      <c r="CH285" s="260"/>
      <c r="CI285" s="263"/>
      <c r="CJ285" s="263"/>
      <c r="CK285" s="263"/>
      <c r="CL285" s="263"/>
      <c r="CM285" s="871">
        <f>CM282/CG282-1</f>
        <v>0.2075104913991086</v>
      </c>
      <c r="CN285" s="260"/>
      <c r="CO285" s="263"/>
      <c r="CP285" s="263"/>
      <c r="CQ285" s="263"/>
      <c r="CR285" s="263"/>
      <c r="CS285" s="871">
        <f>CS282/CM282-1</f>
        <v>4.8652044137587058E-3</v>
      </c>
      <c r="CT285" s="260"/>
      <c r="CU285" s="263"/>
      <c r="CV285" s="263"/>
      <c r="CW285" s="263"/>
      <c r="CX285" s="263"/>
      <c r="CY285" s="871">
        <f>CY282/CS282-1</f>
        <v>0.17421826358499648</v>
      </c>
      <c r="CZ285" s="260"/>
      <c r="DA285" s="263"/>
      <c r="DB285" s="263"/>
      <c r="DC285" s="263"/>
      <c r="DD285" s="263"/>
      <c r="DE285" s="871">
        <f>DE282/CY282-1</f>
        <v>6.1109931463257938E-2</v>
      </c>
      <c r="DF285" s="260"/>
      <c r="DG285" s="263"/>
      <c r="DH285" s="263"/>
      <c r="DI285" s="263"/>
      <c r="DJ285" s="263"/>
      <c r="DK285" s="871">
        <f>DK282/DE282-1</f>
        <v>-6.1212564185930463E-2</v>
      </c>
      <c r="DL285" s="260"/>
      <c r="DM285" s="263"/>
      <c r="DN285" s="263"/>
      <c r="DO285" s="263"/>
      <c r="DP285" s="263"/>
      <c r="DQ285" s="871">
        <f>DQ282/DK282-1</f>
        <v>-0.10378035225800819</v>
      </c>
      <c r="DR285" s="260"/>
      <c r="DS285" s="263"/>
      <c r="DT285" s="263"/>
      <c r="DU285" s="263"/>
      <c r="DV285" s="263"/>
      <c r="DW285" s="871">
        <f>DW282/DQ282-1</f>
        <v>-0.13606557045696466</v>
      </c>
      <c r="DX285" s="500"/>
      <c r="DY285" s="500"/>
      <c r="DZ285" s="500"/>
      <c r="EA285" s="500"/>
      <c r="EB285" s="500"/>
      <c r="EC285" s="500"/>
      <c r="ED285" s="500"/>
      <c r="EE285" s="500"/>
      <c r="EF285" s="500"/>
      <c r="EG285" s="500"/>
      <c r="EH285" s="500"/>
      <c r="EI285" s="500"/>
    </row>
    <row r="286" spans="1:139">
      <c r="A286" s="260"/>
      <c r="B286" s="260"/>
      <c r="C286" s="260"/>
      <c r="D286" s="260"/>
      <c r="E286" s="260"/>
      <c r="F286" s="260"/>
      <c r="G286" s="316"/>
      <c r="H286" s="260"/>
      <c r="I286" s="260"/>
      <c r="J286" s="260"/>
      <c r="K286" s="260"/>
      <c r="L286" s="260"/>
      <c r="M286" s="316"/>
      <c r="N286" s="260"/>
      <c r="O286" s="260"/>
      <c r="P286" s="260"/>
      <c r="Q286" s="260"/>
      <c r="R286" s="260"/>
      <c r="S286" s="316"/>
      <c r="T286" s="260"/>
      <c r="U286" s="260"/>
      <c r="V286" s="260"/>
      <c r="W286" s="260"/>
      <c r="X286" s="260"/>
      <c r="Y286" s="316"/>
      <c r="Z286" s="260"/>
      <c r="AA286" s="260"/>
      <c r="AB286" s="260"/>
      <c r="AC286" s="260"/>
      <c r="AD286" s="260"/>
      <c r="AE286" s="316"/>
      <c r="AF286" s="260"/>
      <c r="AG286" s="260"/>
      <c r="AH286" s="260"/>
      <c r="AI286" s="260"/>
      <c r="AJ286" s="260"/>
      <c r="AK286" s="316"/>
      <c r="AL286" s="260"/>
      <c r="AM286" s="260"/>
      <c r="AN286" s="260"/>
      <c r="AO286" s="260"/>
      <c r="AP286" s="260"/>
      <c r="AQ286" s="507"/>
      <c r="AR286" s="260"/>
      <c r="AS286" s="260"/>
      <c r="AT286" s="260"/>
      <c r="AU286" s="260"/>
      <c r="AV286" s="260"/>
      <c r="AW286" s="507"/>
      <c r="AX286" s="260"/>
      <c r="AY286" s="260"/>
      <c r="AZ286" s="260"/>
      <c r="BA286" s="260"/>
      <c r="BB286" s="260"/>
      <c r="BC286" s="507"/>
      <c r="BD286" s="260"/>
      <c r="BE286" s="260"/>
      <c r="BF286" s="260"/>
      <c r="BG286" s="260"/>
      <c r="BH286" s="260"/>
      <c r="BI286" s="507"/>
      <c r="BJ286" s="260"/>
      <c r="BK286" s="260"/>
      <c r="BL286" s="260"/>
      <c r="BM286" s="260"/>
      <c r="BN286" s="260"/>
      <c r="BO286" s="262"/>
      <c r="BP286" s="260"/>
      <c r="BQ286" s="260"/>
      <c r="BR286" s="260"/>
      <c r="BS286" s="260"/>
      <c r="BT286" s="260"/>
      <c r="BU286" s="262"/>
      <c r="BV286" s="260"/>
      <c r="BW286" s="260"/>
      <c r="BX286" s="260"/>
      <c r="BY286" s="260"/>
      <c r="BZ286" s="260"/>
      <c r="CA286" s="262"/>
      <c r="CB286" s="260"/>
      <c r="CC286" s="260"/>
      <c r="CD286" s="260"/>
      <c r="CE286" s="260"/>
      <c r="CF286" s="260"/>
      <c r="CG286" s="262"/>
      <c r="CH286" s="260"/>
      <c r="CI286" s="260"/>
      <c r="CJ286" s="260"/>
      <c r="CK286" s="260"/>
      <c r="CL286" s="260"/>
      <c r="CM286" s="262"/>
      <c r="CN286" s="260"/>
      <c r="CO286" s="260"/>
      <c r="CP286" s="260"/>
      <c r="CQ286" s="260"/>
      <c r="CR286" s="260"/>
      <c r="CS286" s="262"/>
      <c r="CT286" s="260"/>
      <c r="CU286" s="260"/>
      <c r="CV286" s="260"/>
      <c r="CW286" s="260"/>
      <c r="CX286" s="260"/>
      <c r="CY286" s="262"/>
      <c r="CZ286" s="260"/>
      <c r="DA286" s="260"/>
      <c r="DB286" s="260"/>
      <c r="DC286" s="260"/>
      <c r="DD286" s="260"/>
      <c r="DE286" s="262"/>
      <c r="DF286" s="260"/>
      <c r="DG286" s="260"/>
      <c r="DH286" s="260"/>
      <c r="DI286" s="260"/>
      <c r="DJ286" s="260"/>
      <c r="DK286" s="262"/>
      <c r="DL286" s="260"/>
      <c r="DM286" s="260"/>
      <c r="DN286" s="260"/>
      <c r="DO286" s="260"/>
      <c r="DP286" s="260"/>
      <c r="DQ286" s="262"/>
      <c r="DR286" s="260"/>
      <c r="DS286" s="260"/>
      <c r="DT286" s="260"/>
      <c r="DU286" s="260"/>
      <c r="DV286" s="260"/>
      <c r="DW286" s="262"/>
      <c r="DX286" s="500"/>
      <c r="DY286" s="500"/>
      <c r="DZ286" s="500"/>
      <c r="EA286" s="500"/>
      <c r="EB286" s="500"/>
      <c r="EC286" s="500"/>
      <c r="ED286" s="500"/>
      <c r="EE286" s="500"/>
      <c r="EF286" s="500"/>
      <c r="EG286" s="500"/>
      <c r="EH286" s="500"/>
      <c r="EI286" s="500"/>
    </row>
    <row r="287" spans="1:139">
      <c r="A287" s="260" t="s">
        <v>70</v>
      </c>
      <c r="B287" s="260"/>
      <c r="C287" s="260"/>
      <c r="D287" s="260"/>
      <c r="E287" s="260"/>
      <c r="F287" s="260"/>
      <c r="G287" s="316"/>
      <c r="H287" s="260"/>
      <c r="I287" s="260"/>
      <c r="J287" s="260"/>
      <c r="K287" s="260"/>
      <c r="L287" s="260"/>
      <c r="M287" s="316"/>
      <c r="N287" s="260"/>
      <c r="O287" s="260"/>
      <c r="P287" s="260"/>
      <c r="Q287" s="260"/>
      <c r="R287" s="260"/>
      <c r="S287" s="316"/>
      <c r="T287" s="260"/>
      <c r="U287" s="260"/>
      <c r="V287" s="260"/>
      <c r="W287" s="260"/>
      <c r="X287" s="260"/>
      <c r="Y287" s="316"/>
      <c r="Z287" s="260"/>
      <c r="AA287" s="260"/>
      <c r="AB287" s="260"/>
      <c r="AC287" s="260"/>
      <c r="AD287" s="260"/>
      <c r="AE287" s="316"/>
      <c r="AF287" s="260"/>
      <c r="AG287" s="260"/>
      <c r="AH287" s="260"/>
      <c r="AI287" s="260"/>
      <c r="AJ287" s="260"/>
      <c r="AK287" s="316"/>
      <c r="AL287" s="260"/>
      <c r="AM287" s="260"/>
      <c r="AN287" s="260"/>
      <c r="AO287" s="260"/>
      <c r="AP287" s="260"/>
      <c r="AQ287" s="507"/>
      <c r="AR287" s="260"/>
      <c r="AS287" s="260"/>
      <c r="AT287" s="260"/>
      <c r="AU287" s="260"/>
      <c r="AV287" s="260">
        <v>15</v>
      </c>
      <c r="AW287" s="507"/>
      <c r="AX287" s="260"/>
      <c r="AY287" s="260"/>
      <c r="AZ287" s="260"/>
      <c r="BA287" s="260"/>
      <c r="BB287" s="260"/>
      <c r="BC287" s="507"/>
      <c r="BD287" s="260"/>
      <c r="BE287" s="260"/>
      <c r="BF287" s="260"/>
      <c r="BG287" s="260"/>
      <c r="BH287" s="260"/>
      <c r="BI287" s="507"/>
      <c r="BJ287" s="260"/>
      <c r="BK287" s="260"/>
      <c r="BL287" s="260"/>
      <c r="BM287" s="260"/>
      <c r="BN287" s="260"/>
      <c r="BO287" s="262"/>
      <c r="BP287" s="260"/>
      <c r="BQ287" s="260"/>
      <c r="BR287" s="260"/>
      <c r="BS287" s="260"/>
      <c r="BT287" s="260"/>
      <c r="BU287" s="262"/>
      <c r="BV287" s="260"/>
      <c r="BW287" s="260">
        <v>1</v>
      </c>
      <c r="BX287" s="260"/>
      <c r="BY287" s="260"/>
      <c r="BZ287" s="260"/>
      <c r="CA287" s="262"/>
      <c r="CB287" s="260"/>
      <c r="CC287" s="260"/>
      <c r="CD287" s="260"/>
      <c r="CE287" s="260"/>
      <c r="CF287" s="260"/>
      <c r="CG287" s="262"/>
      <c r="CH287" s="260"/>
      <c r="CI287" s="260"/>
      <c r="CJ287" s="260"/>
      <c r="CK287" s="260"/>
      <c r="CL287" s="260"/>
      <c r="CM287" s="262"/>
      <c r="CN287" s="260"/>
      <c r="CO287" s="260"/>
      <c r="CP287" s="260"/>
      <c r="CQ287" s="260"/>
      <c r="CR287" s="260"/>
      <c r="CS287" s="262"/>
      <c r="CT287" s="260"/>
      <c r="CU287" s="260"/>
      <c r="CV287" s="260"/>
      <c r="CW287" s="260"/>
      <c r="CX287" s="260"/>
      <c r="CY287" s="262"/>
      <c r="CZ287" s="260"/>
      <c r="DA287" s="260"/>
      <c r="DB287" s="260"/>
      <c r="DC287" s="260"/>
      <c r="DD287" s="260"/>
      <c r="DE287" s="262"/>
      <c r="DF287" s="260"/>
      <c r="DG287" s="260"/>
      <c r="DH287" s="260"/>
      <c r="DI287" s="260"/>
      <c r="DJ287" s="260"/>
      <c r="DK287" s="262"/>
      <c r="DL287" s="260"/>
      <c r="DM287" s="260"/>
      <c r="DN287" s="260"/>
      <c r="DO287" s="260"/>
      <c r="DP287" s="260"/>
      <c r="DQ287" s="262"/>
      <c r="DR287" s="260"/>
      <c r="DS287" s="260"/>
      <c r="DT287" s="260"/>
      <c r="DU287" s="260"/>
      <c r="DV287" s="260"/>
      <c r="DW287" s="262"/>
      <c r="DX287" s="500"/>
      <c r="DY287" s="500"/>
      <c r="DZ287" s="500"/>
      <c r="EA287" s="500"/>
      <c r="EB287" s="500"/>
      <c r="EC287" s="500"/>
      <c r="ED287" s="500"/>
      <c r="EE287" s="500"/>
      <c r="EF287" s="500"/>
      <c r="EG287" s="500"/>
      <c r="EH287" s="500"/>
      <c r="EI287" s="500"/>
    </row>
    <row r="288" spans="1:139">
      <c r="A288" s="260" t="s">
        <v>71</v>
      </c>
      <c r="B288" s="260"/>
      <c r="C288" s="260"/>
      <c r="D288" s="260"/>
      <c r="E288" s="260"/>
      <c r="F288" s="260"/>
      <c r="G288" s="316"/>
      <c r="H288" s="260"/>
      <c r="I288" s="260"/>
      <c r="J288" s="260"/>
      <c r="K288" s="260"/>
      <c r="L288" s="260"/>
      <c r="M288" s="316"/>
      <c r="N288" s="260"/>
      <c r="O288" s="260"/>
      <c r="P288" s="260"/>
      <c r="Q288" s="260"/>
      <c r="R288" s="260"/>
      <c r="S288" s="316"/>
      <c r="T288" s="260"/>
      <c r="U288" s="260"/>
      <c r="V288" s="260"/>
      <c r="W288" s="260"/>
      <c r="X288" s="260"/>
      <c r="Y288" s="316"/>
      <c r="Z288" s="260"/>
      <c r="AA288" s="260"/>
      <c r="AB288" s="260"/>
      <c r="AC288" s="260"/>
      <c r="AD288" s="260"/>
      <c r="AE288" s="316"/>
      <c r="AF288" s="260"/>
      <c r="AG288" s="260"/>
      <c r="AH288" s="260"/>
      <c r="AI288" s="260"/>
      <c r="AJ288" s="260">
        <v>26</v>
      </c>
      <c r="AK288" s="316"/>
      <c r="AL288" s="260"/>
      <c r="AM288" s="260">
        <v>26</v>
      </c>
      <c r="AN288" s="260"/>
      <c r="AO288" s="260"/>
      <c r="AP288" s="260">
        <v>47</v>
      </c>
      <c r="AQ288" s="507"/>
      <c r="AR288" s="260"/>
      <c r="AS288" s="260"/>
      <c r="AT288" s="260"/>
      <c r="AU288" s="260"/>
      <c r="AV288" s="260">
        <v>86</v>
      </c>
      <c r="AW288" s="507"/>
      <c r="AX288" s="260"/>
      <c r="AY288" s="260"/>
      <c r="AZ288" s="260"/>
      <c r="BA288" s="260"/>
      <c r="BB288" s="260">
        <v>120</v>
      </c>
      <c r="BC288" s="507"/>
      <c r="BD288" s="260"/>
      <c r="BE288" s="260"/>
      <c r="BF288" s="260"/>
      <c r="BG288" s="260"/>
      <c r="BH288" s="260"/>
      <c r="BI288" s="507"/>
      <c r="BJ288" s="260"/>
      <c r="BK288" s="260"/>
      <c r="BL288" s="260"/>
      <c r="BM288" s="260"/>
      <c r="BN288" s="260">
        <v>2</v>
      </c>
      <c r="BO288" s="262"/>
      <c r="BP288" s="260"/>
      <c r="BQ288" s="260"/>
      <c r="BR288" s="260">
        <v>3</v>
      </c>
      <c r="BS288" s="260"/>
      <c r="BT288" s="260">
        <v>9</v>
      </c>
      <c r="BU288" s="262"/>
      <c r="BV288" s="260"/>
      <c r="BW288" s="260"/>
      <c r="BX288" s="260"/>
      <c r="BY288" s="260"/>
      <c r="BZ288" s="260">
        <v>9</v>
      </c>
      <c r="CA288" s="262"/>
      <c r="CB288" s="260"/>
      <c r="CC288" s="260"/>
      <c r="CD288" s="260"/>
      <c r="CE288" s="260"/>
      <c r="CF288" s="260" t="s">
        <v>1022</v>
      </c>
      <c r="CG288" s="262"/>
      <c r="CH288" s="260"/>
      <c r="CI288" s="260"/>
      <c r="CJ288" s="260"/>
      <c r="CK288" s="260"/>
      <c r="CL288" s="260"/>
      <c r="CM288" s="262"/>
      <c r="CN288" s="260"/>
      <c r="CO288" s="260"/>
      <c r="CP288" s="260"/>
      <c r="CQ288" s="260"/>
      <c r="CR288" s="260"/>
      <c r="CS288" s="262"/>
      <c r="CT288" s="260"/>
      <c r="CU288" s="260"/>
      <c r="CV288" s="260"/>
      <c r="CW288" s="260"/>
      <c r="CX288" s="260"/>
      <c r="CY288" s="262"/>
      <c r="CZ288" s="260"/>
      <c r="DA288" s="260"/>
      <c r="DB288" s="260"/>
      <c r="DC288" s="260"/>
      <c r="DD288" s="260"/>
      <c r="DE288" s="262"/>
      <c r="DF288" s="260"/>
      <c r="DG288" s="260"/>
      <c r="DH288" s="260"/>
      <c r="DI288" s="260"/>
      <c r="DJ288" s="260"/>
      <c r="DK288" s="262"/>
      <c r="DL288" s="260"/>
      <c r="DM288" s="260"/>
      <c r="DN288" s="260"/>
      <c r="DO288" s="260"/>
      <c r="DP288" s="260"/>
      <c r="DQ288" s="262"/>
      <c r="DR288" s="260"/>
      <c r="DS288" s="260"/>
      <c r="DT288" s="260"/>
      <c r="DU288" s="260"/>
      <c r="DV288" s="260"/>
      <c r="DW288" s="262"/>
      <c r="DX288" s="500"/>
      <c r="DY288" s="500"/>
      <c r="DZ288" s="500"/>
      <c r="EA288" s="500"/>
      <c r="EB288" s="500"/>
      <c r="EC288" s="500"/>
      <c r="ED288" s="500"/>
      <c r="EE288" s="500"/>
      <c r="EF288" s="500"/>
      <c r="EG288" s="500"/>
      <c r="EH288" s="500"/>
      <c r="EI288" s="500"/>
    </row>
    <row r="289" spans="1:139">
      <c r="A289" s="260" t="s">
        <v>72</v>
      </c>
      <c r="B289" s="260"/>
      <c r="C289" s="260"/>
      <c r="D289" s="260"/>
      <c r="E289" s="260"/>
      <c r="F289" s="260"/>
      <c r="G289" s="316"/>
      <c r="H289" s="260"/>
      <c r="I289" s="260"/>
      <c r="J289" s="260"/>
      <c r="K289" s="260"/>
      <c r="L289" s="260"/>
      <c r="M289" s="316"/>
      <c r="N289" s="260"/>
      <c r="O289" s="260"/>
      <c r="P289" s="260"/>
      <c r="Q289" s="260"/>
      <c r="R289" s="260"/>
      <c r="S289" s="316"/>
      <c r="T289" s="260"/>
      <c r="U289" s="260"/>
      <c r="V289" s="260"/>
      <c r="W289" s="260"/>
      <c r="X289" s="260"/>
      <c r="Y289" s="316"/>
      <c r="Z289" s="260"/>
      <c r="AA289" s="260"/>
      <c r="AB289" s="260"/>
      <c r="AC289" s="260"/>
      <c r="AD289" s="260"/>
      <c r="AE289" s="316"/>
      <c r="AF289" s="260"/>
      <c r="AG289" s="260"/>
      <c r="AH289" s="260"/>
      <c r="AI289" s="260"/>
      <c r="AJ289" s="260"/>
      <c r="AK289" s="316"/>
      <c r="AL289" s="260"/>
      <c r="AM289" s="260" t="s">
        <v>237</v>
      </c>
      <c r="AN289" s="260"/>
      <c r="AO289" s="260"/>
      <c r="AP289" s="260">
        <v>150</v>
      </c>
      <c r="AQ289" s="507"/>
      <c r="AR289" s="260"/>
      <c r="AS289" s="260"/>
      <c r="AT289" s="260"/>
      <c r="AU289" s="260"/>
      <c r="AV289" s="260"/>
      <c r="AW289" s="507"/>
      <c r="AX289" s="260"/>
      <c r="AY289" s="260"/>
      <c r="AZ289" s="260"/>
      <c r="BA289" s="260"/>
      <c r="BB289" s="260"/>
      <c r="BC289" s="507"/>
      <c r="BD289" s="260"/>
      <c r="BE289" s="260"/>
      <c r="BF289" s="260"/>
      <c r="BG289" s="260"/>
      <c r="BH289" s="260"/>
      <c r="BI289" s="507"/>
      <c r="BJ289" s="260"/>
      <c r="BK289" s="260"/>
      <c r="BL289" s="260"/>
      <c r="BM289" s="260"/>
      <c r="BN289" s="260" t="s">
        <v>74</v>
      </c>
      <c r="BO289" s="262"/>
      <c r="BP289" s="260"/>
      <c r="BQ289" s="260"/>
      <c r="BR289" s="260" t="s">
        <v>73</v>
      </c>
      <c r="BS289" s="260"/>
      <c r="BT289" s="260">
        <v>120</v>
      </c>
      <c r="BU289" s="262"/>
      <c r="BV289" s="260"/>
      <c r="BW289" s="260"/>
      <c r="BX289" s="260"/>
      <c r="BY289" s="260"/>
      <c r="BZ289" s="260" t="s">
        <v>1025</v>
      </c>
      <c r="CA289" s="262"/>
      <c r="CB289" s="260"/>
      <c r="CC289" s="260"/>
      <c r="CD289" s="260"/>
      <c r="CE289" s="260"/>
      <c r="CF289" s="260" t="s">
        <v>1023</v>
      </c>
      <c r="CG289" s="262"/>
      <c r="CH289" s="260"/>
      <c r="CI289" s="260"/>
      <c r="CJ289" s="260"/>
      <c r="CK289" s="260"/>
      <c r="CL289" s="260"/>
      <c r="CM289" s="262"/>
      <c r="CN289" s="260"/>
      <c r="CO289" s="260"/>
      <c r="CP289" s="260"/>
      <c r="CQ289" s="260"/>
      <c r="CR289" s="260"/>
      <c r="CS289" s="262"/>
      <c r="CT289" s="260"/>
      <c r="CU289" s="260"/>
      <c r="CV289" s="260"/>
      <c r="CW289" s="260"/>
      <c r="CX289" s="260"/>
      <c r="CY289" s="262"/>
      <c r="CZ289" s="260"/>
      <c r="DA289" s="260"/>
      <c r="DB289" s="260"/>
      <c r="DC289" s="260"/>
      <c r="DD289" s="260"/>
      <c r="DE289" s="262"/>
      <c r="DF289" s="260"/>
      <c r="DG289" s="260"/>
      <c r="DH289" s="260"/>
      <c r="DI289" s="260"/>
      <c r="DJ289" s="260"/>
      <c r="DK289" s="262"/>
      <c r="DL289" s="260"/>
      <c r="DM289" s="260"/>
      <c r="DN289" s="260"/>
      <c r="DO289" s="260"/>
      <c r="DP289" s="260"/>
      <c r="DQ289" s="262"/>
      <c r="DR289" s="260"/>
      <c r="DS289" s="260"/>
      <c r="DT289" s="260"/>
      <c r="DU289" s="260"/>
      <c r="DV289" s="260"/>
      <c r="DW289" s="262"/>
      <c r="DX289" s="500"/>
      <c r="DY289" s="500"/>
      <c r="DZ289" s="500"/>
      <c r="EA289" s="500"/>
      <c r="EB289" s="500"/>
      <c r="EC289" s="500"/>
      <c r="ED289" s="500"/>
      <c r="EE289" s="500"/>
      <c r="EF289" s="500"/>
      <c r="EG289" s="500"/>
      <c r="EH289" s="500"/>
      <c r="EI289" s="500"/>
    </row>
    <row r="290" spans="1:139">
      <c r="A290" s="260"/>
      <c r="B290" s="260"/>
      <c r="C290" s="260"/>
      <c r="D290" s="260"/>
      <c r="E290" s="260"/>
      <c r="F290" s="260"/>
      <c r="G290" s="316"/>
      <c r="H290" s="260"/>
      <c r="I290" s="260"/>
      <c r="J290" s="260"/>
      <c r="K290" s="260"/>
      <c r="L290" s="260"/>
      <c r="M290" s="316"/>
      <c r="N290" s="260"/>
      <c r="O290" s="260"/>
      <c r="P290" s="260"/>
      <c r="Q290" s="260"/>
      <c r="R290" s="260"/>
      <c r="S290" s="316"/>
      <c r="T290" s="260"/>
      <c r="U290" s="260"/>
      <c r="V290" s="260"/>
      <c r="W290" s="260"/>
      <c r="X290" s="260"/>
      <c r="Y290" s="316"/>
      <c r="Z290" s="260"/>
      <c r="AA290" s="260"/>
      <c r="AB290" s="260"/>
      <c r="AC290" s="260"/>
      <c r="AD290" s="260"/>
      <c r="AE290" s="316"/>
      <c r="AF290" s="260"/>
      <c r="AG290" s="260"/>
      <c r="AH290" s="260"/>
      <c r="AI290" s="260"/>
      <c r="AJ290" s="260"/>
      <c r="AK290" s="316"/>
      <c r="AL290" s="260"/>
      <c r="AM290" s="260"/>
      <c r="AN290" s="260"/>
      <c r="AO290" s="260"/>
      <c r="AP290" s="260"/>
      <c r="AQ290" s="507"/>
      <c r="AR290" s="260"/>
      <c r="AS290" s="260"/>
      <c r="AT290" s="260"/>
      <c r="AU290" s="260"/>
      <c r="AV290" s="260"/>
      <c r="AW290" s="507"/>
      <c r="AX290" s="260"/>
      <c r="AY290" s="260"/>
      <c r="AZ290" s="260"/>
      <c r="BA290" s="260"/>
      <c r="BB290" s="260"/>
      <c r="BC290" s="507"/>
      <c r="BD290" s="260"/>
      <c r="BE290" s="260"/>
      <c r="BF290" s="260"/>
      <c r="BG290" s="260"/>
      <c r="BH290" s="260"/>
      <c r="BI290" s="507"/>
      <c r="BJ290" s="260"/>
      <c r="BK290" s="260"/>
      <c r="BL290" s="260"/>
      <c r="BM290" s="260"/>
      <c r="BN290" s="260"/>
      <c r="BO290" s="262"/>
      <c r="BP290" s="260"/>
      <c r="BQ290" s="260"/>
      <c r="BR290" s="260"/>
      <c r="BS290" s="260"/>
      <c r="BT290" s="260"/>
      <c r="BU290" s="262"/>
      <c r="BV290" s="260"/>
      <c r="BW290" s="260"/>
      <c r="BX290" s="260"/>
      <c r="BY290" s="260"/>
      <c r="BZ290" s="260"/>
      <c r="CA290" s="262"/>
      <c r="CB290" s="260"/>
      <c r="CC290" s="260"/>
      <c r="CD290" s="260"/>
      <c r="CE290" s="260"/>
      <c r="CF290" s="260"/>
      <c r="CG290" s="262"/>
      <c r="CH290" s="260"/>
      <c r="CI290" s="260"/>
      <c r="CJ290" s="260"/>
      <c r="CK290" s="260"/>
      <c r="CL290" s="260"/>
      <c r="CM290" s="262"/>
      <c r="CN290" s="260"/>
      <c r="CO290" s="260"/>
      <c r="CP290" s="260"/>
      <c r="CQ290" s="260"/>
      <c r="CR290" s="260"/>
      <c r="CS290" s="262"/>
      <c r="CT290" s="260"/>
      <c r="CU290" s="260"/>
      <c r="CV290" s="260"/>
      <c r="CW290" s="260"/>
      <c r="CX290" s="260"/>
      <c r="CY290" s="262"/>
      <c r="CZ290" s="260"/>
      <c r="DA290" s="260"/>
      <c r="DB290" s="260"/>
      <c r="DC290" s="260"/>
      <c r="DD290" s="260"/>
      <c r="DE290" s="262"/>
      <c r="DF290" s="260"/>
      <c r="DG290" s="260"/>
      <c r="DH290" s="260"/>
      <c r="DI290" s="260"/>
      <c r="DJ290" s="260"/>
      <c r="DK290" s="262"/>
      <c r="DL290" s="260"/>
      <c r="DM290" s="260"/>
      <c r="DN290" s="260"/>
      <c r="DO290" s="260"/>
      <c r="DP290" s="260"/>
      <c r="DQ290" s="262"/>
      <c r="DR290" s="260"/>
      <c r="DS290" s="260"/>
      <c r="DT290" s="260"/>
      <c r="DU290" s="260"/>
      <c r="DV290" s="260"/>
      <c r="DW290" s="262"/>
      <c r="DX290" s="500"/>
      <c r="DY290" s="500"/>
      <c r="DZ290" s="500"/>
      <c r="EA290" s="500"/>
      <c r="EB290" s="500"/>
      <c r="EC290" s="500"/>
      <c r="ED290" s="500"/>
      <c r="EE290" s="500"/>
      <c r="EF290" s="500"/>
      <c r="EG290" s="500"/>
      <c r="EH290" s="500"/>
      <c r="EI290" s="500"/>
    </row>
    <row r="291" spans="1:139" hidden="1" outlineLevel="1">
      <c r="A291" s="260" t="s">
        <v>326</v>
      </c>
      <c r="B291" s="260"/>
      <c r="C291" s="260"/>
      <c r="D291" s="260"/>
      <c r="E291" s="260"/>
      <c r="F291" s="260"/>
      <c r="G291" s="316"/>
      <c r="H291" s="260"/>
      <c r="I291" s="260"/>
      <c r="J291" s="260"/>
      <c r="K291" s="260"/>
      <c r="L291" s="260"/>
      <c r="M291" s="316"/>
      <c r="N291" s="260"/>
      <c r="O291" s="260"/>
      <c r="P291" s="260"/>
      <c r="Q291" s="260"/>
      <c r="R291" s="260"/>
      <c r="S291" s="316"/>
      <c r="T291" s="260"/>
      <c r="U291" s="260"/>
      <c r="V291" s="260"/>
      <c r="W291" s="260"/>
      <c r="X291" s="260"/>
      <c r="Y291" s="316"/>
      <c r="Z291" s="260"/>
      <c r="AA291" s="260"/>
      <c r="AB291" s="260"/>
      <c r="AC291" s="260"/>
      <c r="AD291" s="260"/>
      <c r="AE291" s="316"/>
      <c r="AF291" s="260"/>
      <c r="AG291" s="263">
        <f>AM291/(AM292+1)</f>
        <v>1.2264150943396226</v>
      </c>
      <c r="AH291" s="260"/>
      <c r="AI291" s="260"/>
      <c r="AJ291" s="260"/>
      <c r="AK291" s="316"/>
      <c r="AL291" s="260"/>
      <c r="AM291" s="260">
        <v>2.6</v>
      </c>
      <c r="AN291" s="260">
        <v>3.1</v>
      </c>
      <c r="AO291" s="260">
        <v>3.7</v>
      </c>
      <c r="AP291" s="260">
        <v>4.3</v>
      </c>
      <c r="AQ291" s="507"/>
      <c r="AR291" s="260"/>
      <c r="AS291" s="260">
        <v>5.4</v>
      </c>
      <c r="AT291" s="260"/>
      <c r="AU291" s="260">
        <v>8</v>
      </c>
      <c r="AV291" s="260" t="s">
        <v>24</v>
      </c>
      <c r="AW291" s="507"/>
      <c r="AX291" s="260"/>
      <c r="AY291" s="260"/>
      <c r="AZ291" s="260"/>
      <c r="BA291" s="260"/>
      <c r="BB291" s="260"/>
      <c r="BC291" s="507"/>
      <c r="BD291" s="260"/>
      <c r="BE291" s="260"/>
      <c r="BF291" s="260"/>
      <c r="BG291" s="260"/>
      <c r="BH291" s="260"/>
      <c r="BI291" s="507"/>
      <c r="BJ291" s="260"/>
      <c r="BK291" s="260"/>
      <c r="BL291" s="260"/>
      <c r="BM291" s="260"/>
      <c r="BN291" s="260"/>
      <c r="BO291" s="262"/>
      <c r="BP291" s="260"/>
      <c r="BQ291" s="260"/>
      <c r="BR291" s="260"/>
      <c r="BS291" s="260"/>
      <c r="BT291" s="260"/>
      <c r="BU291" s="262"/>
      <c r="BV291" s="260"/>
      <c r="BW291" s="260"/>
      <c r="BX291" s="260"/>
      <c r="BY291" s="260"/>
      <c r="BZ291" s="260"/>
      <c r="CA291" s="262"/>
      <c r="CB291" s="260"/>
      <c r="CC291" s="260"/>
      <c r="CD291" s="260"/>
      <c r="CE291" s="260"/>
      <c r="CF291" s="260"/>
      <c r="CG291" s="262"/>
      <c r="CH291" s="260"/>
      <c r="CI291" s="260"/>
      <c r="CJ291" s="260"/>
      <c r="CK291" s="260"/>
      <c r="CL291" s="260"/>
      <c r="CM291" s="262"/>
      <c r="CN291" s="260"/>
      <c r="CO291" s="260"/>
      <c r="CP291" s="260"/>
      <c r="CQ291" s="260"/>
      <c r="CR291" s="260"/>
      <c r="CS291" s="262"/>
      <c r="CT291" s="260"/>
      <c r="CU291" s="260"/>
      <c r="CV291" s="260"/>
      <c r="CW291" s="260"/>
      <c r="CX291" s="260"/>
      <c r="CY291" s="262"/>
      <c r="CZ291" s="260"/>
      <c r="DA291" s="260"/>
      <c r="DB291" s="260"/>
      <c r="DC291" s="260"/>
      <c r="DD291" s="260"/>
      <c r="DE291" s="262"/>
      <c r="DF291" s="260"/>
      <c r="DG291" s="260"/>
      <c r="DH291" s="260"/>
      <c r="DI291" s="260"/>
      <c r="DJ291" s="260"/>
      <c r="DK291" s="262"/>
      <c r="DL291" s="260"/>
      <c r="DM291" s="260"/>
      <c r="DN291" s="260"/>
      <c r="DO291" s="260"/>
      <c r="DP291" s="260"/>
      <c r="DQ291" s="262"/>
      <c r="DR291" s="260"/>
      <c r="DS291" s="260"/>
      <c r="DT291" s="260"/>
      <c r="DU291" s="260"/>
      <c r="DV291" s="260"/>
      <c r="DW291" s="262"/>
      <c r="DX291" s="500"/>
      <c r="DY291" s="500"/>
      <c r="DZ291" s="500"/>
      <c r="EA291" s="500"/>
      <c r="EB291" s="500"/>
      <c r="EC291" s="500"/>
      <c r="ED291" s="500"/>
      <c r="EE291" s="500"/>
      <c r="EF291" s="500"/>
      <c r="EG291" s="500"/>
      <c r="EH291" s="500"/>
      <c r="EI291" s="500"/>
    </row>
    <row r="292" spans="1:139" hidden="1" outlineLevel="1">
      <c r="A292" s="260" t="s">
        <v>327</v>
      </c>
      <c r="B292" s="260"/>
      <c r="C292" s="260"/>
      <c r="D292" s="260"/>
      <c r="E292" s="260"/>
      <c r="F292" s="260"/>
      <c r="G292" s="316"/>
      <c r="H292" s="260"/>
      <c r="I292" s="260"/>
      <c r="J292" s="260"/>
      <c r="K292" s="260"/>
      <c r="L292" s="260"/>
      <c r="M292" s="316"/>
      <c r="N292" s="260"/>
      <c r="O292" s="260"/>
      <c r="P292" s="260"/>
      <c r="Q292" s="260"/>
      <c r="R292" s="260"/>
      <c r="S292" s="316"/>
      <c r="T292" s="260"/>
      <c r="U292" s="260"/>
      <c r="V292" s="260"/>
      <c r="W292" s="260"/>
      <c r="X292" s="260"/>
      <c r="Y292" s="316"/>
      <c r="Z292" s="260"/>
      <c r="AA292" s="260"/>
      <c r="AB292" s="260"/>
      <c r="AC292" s="260"/>
      <c r="AD292" s="260"/>
      <c r="AE292" s="316"/>
      <c r="AF292" s="260"/>
      <c r="AG292" s="260"/>
      <c r="AH292" s="260"/>
      <c r="AI292" s="260"/>
      <c r="AJ292" s="260"/>
      <c r="AK292" s="316"/>
      <c r="AL292" s="260"/>
      <c r="AM292" s="883">
        <v>1.1200000000000001</v>
      </c>
      <c r="AN292" s="883">
        <v>1.4</v>
      </c>
      <c r="AO292" s="260"/>
      <c r="AP292" s="260"/>
      <c r="AQ292" s="507"/>
      <c r="AR292" s="260"/>
      <c r="AS292" s="279">
        <f>AS291/AM291-1</f>
        <v>1.0769230769230771</v>
      </c>
      <c r="AT292" s="260"/>
      <c r="AU292" s="279">
        <f>AU291/AO291-1</f>
        <v>1.1621621621621618</v>
      </c>
      <c r="AV292" s="260"/>
      <c r="AW292" s="507"/>
      <c r="AX292" s="260"/>
      <c r="AY292" s="260"/>
      <c r="AZ292" s="260"/>
      <c r="BA292" s="260"/>
      <c r="BB292" s="260"/>
      <c r="BC292" s="507"/>
      <c r="BD292" s="260"/>
      <c r="BE292" s="260"/>
      <c r="BF292" s="260"/>
      <c r="BG292" s="260"/>
      <c r="BH292" s="260"/>
      <c r="BI292" s="507"/>
      <c r="BJ292" s="260"/>
      <c r="BK292" s="260"/>
      <c r="BL292" s="260"/>
      <c r="BM292" s="260"/>
      <c r="BN292" s="260"/>
      <c r="BO292" s="262"/>
      <c r="BP292" s="260"/>
      <c r="BQ292" s="260"/>
      <c r="BR292" s="260"/>
      <c r="BS292" s="260"/>
      <c r="BT292" s="260"/>
      <c r="BU292" s="262"/>
      <c r="BV292" s="260"/>
      <c r="BW292" s="260"/>
      <c r="BX292" s="260"/>
      <c r="BY292" s="260"/>
      <c r="BZ292" s="260"/>
      <c r="CA292" s="262"/>
      <c r="CB292" s="260"/>
      <c r="CC292" s="260"/>
      <c r="CD292" s="260"/>
      <c r="CE292" s="260"/>
      <c r="CF292" s="260"/>
      <c r="CG292" s="262"/>
      <c r="CH292" s="260"/>
      <c r="CI292" s="260"/>
      <c r="CJ292" s="260"/>
      <c r="CK292" s="260"/>
      <c r="CL292" s="260"/>
      <c r="CM292" s="262"/>
      <c r="CN292" s="260"/>
      <c r="CO292" s="260"/>
      <c r="CP292" s="260"/>
      <c r="CQ292" s="260"/>
      <c r="CR292" s="260"/>
      <c r="CS292" s="262"/>
      <c r="CT292" s="260"/>
      <c r="CU292" s="260"/>
      <c r="CV292" s="260"/>
      <c r="CW292" s="260"/>
      <c r="CX292" s="260"/>
      <c r="CY292" s="262"/>
      <c r="CZ292" s="260"/>
      <c r="DA292" s="260"/>
      <c r="DB292" s="260"/>
      <c r="DC292" s="260"/>
      <c r="DD292" s="260"/>
      <c r="DE292" s="262"/>
      <c r="DF292" s="260"/>
      <c r="DG292" s="260"/>
      <c r="DH292" s="260"/>
      <c r="DI292" s="260"/>
      <c r="DJ292" s="260"/>
      <c r="DK292" s="262"/>
      <c r="DL292" s="260"/>
      <c r="DM292" s="260"/>
      <c r="DN292" s="260"/>
      <c r="DO292" s="260"/>
      <c r="DP292" s="260"/>
      <c r="DQ292" s="262"/>
      <c r="DR292" s="260"/>
      <c r="DS292" s="260"/>
      <c r="DT292" s="260"/>
      <c r="DU292" s="260"/>
      <c r="DV292" s="260"/>
      <c r="DW292" s="262"/>
      <c r="DX292" s="500"/>
      <c r="DY292" s="500"/>
      <c r="DZ292" s="500"/>
      <c r="EA292" s="500"/>
      <c r="EB292" s="500"/>
      <c r="EC292" s="500"/>
      <c r="ED292" s="500"/>
      <c r="EE292" s="500"/>
      <c r="EF292" s="500"/>
      <c r="EG292" s="500"/>
      <c r="EH292" s="500"/>
      <c r="EI292" s="500"/>
    </row>
    <row r="293" spans="1:139" hidden="1" outlineLevel="1">
      <c r="A293" s="260"/>
      <c r="B293" s="260"/>
      <c r="C293" s="260"/>
      <c r="D293" s="260"/>
      <c r="E293" s="260"/>
      <c r="F293" s="260"/>
      <c r="G293" s="316"/>
      <c r="H293" s="260"/>
      <c r="I293" s="260"/>
      <c r="J293" s="260"/>
      <c r="K293" s="260"/>
      <c r="L293" s="260"/>
      <c r="M293" s="316"/>
      <c r="N293" s="260"/>
      <c r="O293" s="260"/>
      <c r="P293" s="260"/>
      <c r="Q293" s="260"/>
      <c r="R293" s="260"/>
      <c r="S293" s="316"/>
      <c r="T293" s="260"/>
      <c r="U293" s="260"/>
      <c r="V293" s="260"/>
      <c r="W293" s="260"/>
      <c r="X293" s="260"/>
      <c r="Y293" s="316"/>
      <c r="Z293" s="260"/>
      <c r="AA293" s="260"/>
      <c r="AB293" s="260"/>
      <c r="AC293" s="260"/>
      <c r="AD293" s="260"/>
      <c r="AE293" s="316"/>
      <c r="AF293" s="260"/>
      <c r="AG293" s="260"/>
      <c r="AH293" s="260"/>
      <c r="AI293" s="260"/>
      <c r="AJ293" s="260"/>
      <c r="AK293" s="316"/>
      <c r="AL293" s="260"/>
      <c r="AM293" s="260"/>
      <c r="AN293" s="260"/>
      <c r="AO293" s="260"/>
      <c r="AP293" s="260"/>
      <c r="AQ293" s="507"/>
      <c r="AR293" s="260"/>
      <c r="AS293" s="260"/>
      <c r="AT293" s="260"/>
      <c r="AU293" s="260"/>
      <c r="AV293" s="260"/>
      <c r="AW293" s="507"/>
      <c r="AX293" s="260"/>
      <c r="AY293" s="260"/>
      <c r="AZ293" s="260"/>
      <c r="BA293" s="260"/>
      <c r="BB293" s="260"/>
      <c r="BC293" s="507"/>
      <c r="BD293" s="260"/>
      <c r="BE293" s="260"/>
      <c r="BF293" s="260"/>
      <c r="BG293" s="260"/>
      <c r="BH293" s="260"/>
      <c r="BI293" s="507"/>
      <c r="BJ293" s="260"/>
      <c r="BK293" s="260"/>
      <c r="BL293" s="260"/>
      <c r="BM293" s="260"/>
      <c r="BN293" s="260"/>
      <c r="BO293" s="262"/>
      <c r="BP293" s="260"/>
      <c r="BQ293" s="260"/>
      <c r="BR293" s="260"/>
      <c r="BS293" s="260"/>
      <c r="BT293" s="260"/>
      <c r="BU293" s="262"/>
      <c r="BV293" s="260"/>
      <c r="BW293" s="260"/>
      <c r="BX293" s="260"/>
      <c r="BY293" s="260"/>
      <c r="BZ293" s="260"/>
      <c r="CA293" s="262"/>
      <c r="CB293" s="260"/>
      <c r="CC293" s="260"/>
      <c r="CD293" s="260"/>
      <c r="CE293" s="260"/>
      <c r="CF293" s="260"/>
      <c r="CG293" s="262"/>
      <c r="CH293" s="260"/>
      <c r="CI293" s="260"/>
      <c r="CJ293" s="260"/>
      <c r="CK293" s="260"/>
      <c r="CL293" s="260"/>
      <c r="CM293" s="262"/>
      <c r="CN293" s="260"/>
      <c r="CO293" s="260"/>
      <c r="CP293" s="260"/>
      <c r="CQ293" s="260"/>
      <c r="CR293" s="260"/>
      <c r="CS293" s="262"/>
      <c r="CT293" s="260"/>
      <c r="CU293" s="260"/>
      <c r="CV293" s="260"/>
      <c r="CW293" s="260"/>
      <c r="CX293" s="260"/>
      <c r="CY293" s="262"/>
      <c r="CZ293" s="260"/>
      <c r="DA293" s="260"/>
      <c r="DB293" s="260"/>
      <c r="DC293" s="260"/>
      <c r="DD293" s="260"/>
      <c r="DE293" s="262"/>
      <c r="DF293" s="260"/>
      <c r="DG293" s="260"/>
      <c r="DH293" s="260"/>
      <c r="DI293" s="260"/>
      <c r="DJ293" s="260"/>
      <c r="DK293" s="262"/>
      <c r="DL293" s="260"/>
      <c r="DM293" s="260"/>
      <c r="DN293" s="260"/>
      <c r="DO293" s="260"/>
      <c r="DP293" s="260"/>
      <c r="DQ293" s="262"/>
      <c r="DR293" s="260"/>
      <c r="DS293" s="260"/>
      <c r="DT293" s="260"/>
      <c r="DU293" s="260"/>
      <c r="DV293" s="260"/>
      <c r="DW293" s="262"/>
      <c r="DX293" s="500"/>
      <c r="DY293" s="500"/>
      <c r="DZ293" s="500"/>
      <c r="EA293" s="500"/>
      <c r="EB293" s="500"/>
      <c r="EC293" s="500"/>
      <c r="ED293" s="500"/>
      <c r="EE293" s="500"/>
      <c r="EF293" s="500"/>
      <c r="EG293" s="500"/>
      <c r="EH293" s="500"/>
      <c r="EI293" s="500"/>
    </row>
    <row r="294" spans="1:139" hidden="1" outlineLevel="1">
      <c r="A294" s="260" t="s">
        <v>328</v>
      </c>
      <c r="B294" s="260"/>
      <c r="C294" s="260"/>
      <c r="D294" s="260"/>
      <c r="E294" s="260"/>
      <c r="F294" s="260"/>
      <c r="G294" s="316"/>
      <c r="H294" s="260"/>
      <c r="I294" s="260"/>
      <c r="J294" s="260"/>
      <c r="K294" s="260"/>
      <c r="L294" s="260"/>
      <c r="M294" s="316"/>
      <c r="N294" s="260"/>
      <c r="O294" s="260"/>
      <c r="P294" s="260"/>
      <c r="Q294" s="260"/>
      <c r="R294" s="260"/>
      <c r="S294" s="316"/>
      <c r="T294" s="260"/>
      <c r="U294" s="260"/>
      <c r="V294" s="260"/>
      <c r="W294" s="260"/>
      <c r="X294" s="260"/>
      <c r="Y294" s="316"/>
      <c r="Z294" s="260"/>
      <c r="AA294" s="260"/>
      <c r="AB294" s="260"/>
      <c r="AC294" s="260"/>
      <c r="AD294" s="260"/>
      <c r="AE294" s="316"/>
      <c r="AF294" s="260"/>
      <c r="AG294" s="260"/>
      <c r="AH294" s="260"/>
      <c r="AI294" s="260"/>
      <c r="AJ294" s="260"/>
      <c r="AK294" s="316"/>
      <c r="AL294" s="260"/>
      <c r="AM294" s="883">
        <v>1.86</v>
      </c>
      <c r="AN294" s="260"/>
      <c r="AO294" s="260"/>
      <c r="AP294" s="260"/>
      <c r="AQ294" s="507"/>
      <c r="AR294" s="260"/>
      <c r="AS294" s="260"/>
      <c r="AT294" s="260"/>
      <c r="AU294" s="260"/>
      <c r="AV294" s="260"/>
      <c r="AW294" s="507"/>
      <c r="AX294" s="260"/>
      <c r="AY294" s="260"/>
      <c r="AZ294" s="260"/>
      <c r="BA294" s="260"/>
      <c r="BB294" s="260"/>
      <c r="BC294" s="507"/>
      <c r="BD294" s="260"/>
      <c r="BE294" s="260"/>
      <c r="BF294" s="260"/>
      <c r="BG294" s="260"/>
      <c r="BH294" s="260"/>
      <c r="BI294" s="507"/>
      <c r="BJ294" s="260"/>
      <c r="BK294" s="260"/>
      <c r="BL294" s="260"/>
      <c r="BM294" s="260"/>
      <c r="BN294" s="260"/>
      <c r="BO294" s="262"/>
      <c r="BP294" s="260"/>
      <c r="BQ294" s="260"/>
      <c r="BR294" s="260"/>
      <c r="BS294" s="260"/>
      <c r="BT294" s="260"/>
      <c r="BU294" s="262"/>
      <c r="BV294" s="260"/>
      <c r="BW294" s="260"/>
      <c r="BX294" s="260"/>
      <c r="BY294" s="260"/>
      <c r="BZ294" s="260"/>
      <c r="CA294" s="262"/>
      <c r="CB294" s="260"/>
      <c r="CC294" s="260"/>
      <c r="CD294" s="260"/>
      <c r="CE294" s="260"/>
      <c r="CF294" s="260"/>
      <c r="CG294" s="262"/>
      <c r="CH294" s="260"/>
      <c r="CI294" s="260"/>
      <c r="CJ294" s="260"/>
      <c r="CK294" s="260"/>
      <c r="CL294" s="260"/>
      <c r="CM294" s="262"/>
      <c r="CN294" s="260"/>
      <c r="CO294" s="260"/>
      <c r="CP294" s="260"/>
      <c r="CQ294" s="260"/>
      <c r="CR294" s="260"/>
      <c r="CS294" s="262"/>
      <c r="CT294" s="260"/>
      <c r="CU294" s="260"/>
      <c r="CV294" s="260"/>
      <c r="CW294" s="260"/>
      <c r="CX294" s="260"/>
      <c r="CY294" s="262"/>
      <c r="CZ294" s="260"/>
      <c r="DA294" s="260"/>
      <c r="DB294" s="260"/>
      <c r="DC294" s="260"/>
      <c r="DD294" s="260"/>
      <c r="DE294" s="262"/>
      <c r="DF294" s="260"/>
      <c r="DG294" s="260"/>
      <c r="DH294" s="260"/>
      <c r="DI294" s="260"/>
      <c r="DJ294" s="260"/>
      <c r="DK294" s="262"/>
      <c r="DL294" s="260"/>
      <c r="DM294" s="260"/>
      <c r="DN294" s="260"/>
      <c r="DO294" s="260"/>
      <c r="DP294" s="260"/>
      <c r="DQ294" s="262"/>
      <c r="DR294" s="260"/>
      <c r="DS294" s="260"/>
      <c r="DT294" s="260"/>
      <c r="DU294" s="260"/>
      <c r="DV294" s="260"/>
      <c r="DW294" s="262"/>
      <c r="DX294" s="500"/>
      <c r="DY294" s="500"/>
      <c r="DZ294" s="500"/>
      <c r="EA294" s="500"/>
      <c r="EB294" s="500"/>
      <c r="EC294" s="500"/>
      <c r="ED294" s="500"/>
      <c r="EE294" s="500"/>
      <c r="EF294" s="500"/>
      <c r="EG294" s="500"/>
      <c r="EH294" s="500"/>
      <c r="EI294" s="500"/>
    </row>
    <row r="295" spans="1:139" hidden="1" outlineLevel="1">
      <c r="A295" s="260" t="s">
        <v>329</v>
      </c>
      <c r="B295" s="260"/>
      <c r="C295" s="260"/>
      <c r="D295" s="260"/>
      <c r="E295" s="260"/>
      <c r="F295" s="260"/>
      <c r="G295" s="316"/>
      <c r="H295" s="260"/>
      <c r="I295" s="260"/>
      <c r="J295" s="260"/>
      <c r="K295" s="260"/>
      <c r="L295" s="260"/>
      <c r="M295" s="316"/>
      <c r="N295" s="260"/>
      <c r="O295" s="260"/>
      <c r="P295" s="260"/>
      <c r="Q295" s="260"/>
      <c r="R295" s="260"/>
      <c r="S295" s="316"/>
      <c r="T295" s="260"/>
      <c r="U295" s="260"/>
      <c r="V295" s="260"/>
      <c r="W295" s="260"/>
      <c r="X295" s="260"/>
      <c r="Y295" s="316"/>
      <c r="Z295" s="260"/>
      <c r="AA295" s="260"/>
      <c r="AB295" s="260"/>
      <c r="AC295" s="260"/>
      <c r="AD295" s="260"/>
      <c r="AE295" s="316"/>
      <c r="AF295" s="260"/>
      <c r="AG295" s="260"/>
      <c r="AH295" s="260"/>
      <c r="AI295" s="260"/>
      <c r="AJ295" s="260"/>
      <c r="AK295" s="316"/>
      <c r="AL295" s="260"/>
      <c r="AM295" s="883">
        <v>0.45</v>
      </c>
      <c r="AN295" s="260"/>
      <c r="AO295" s="260"/>
      <c r="AP295" s="260"/>
      <c r="AQ295" s="507"/>
      <c r="AR295" s="260"/>
      <c r="AS295" s="883">
        <v>0.53</v>
      </c>
      <c r="AT295" s="260"/>
      <c r="AU295" s="260"/>
      <c r="AV295" s="260"/>
      <c r="AW295" s="507"/>
      <c r="AX295" s="260"/>
      <c r="AY295" s="260"/>
      <c r="AZ295" s="260"/>
      <c r="BA295" s="260"/>
      <c r="BB295" s="260"/>
      <c r="BC295" s="507"/>
      <c r="BD295" s="260"/>
      <c r="BE295" s="260"/>
      <c r="BF295" s="260"/>
      <c r="BG295" s="260"/>
      <c r="BH295" s="260"/>
      <c r="BI295" s="507"/>
      <c r="BJ295" s="260"/>
      <c r="BK295" s="260"/>
      <c r="BL295" s="260"/>
      <c r="BM295" s="260"/>
      <c r="BN295" s="260"/>
      <c r="BO295" s="262"/>
      <c r="BP295" s="260"/>
      <c r="BQ295" s="260"/>
      <c r="BR295" s="260"/>
      <c r="BS295" s="260"/>
      <c r="BT295" s="260"/>
      <c r="BU295" s="262"/>
      <c r="BV295" s="260"/>
      <c r="BW295" s="260"/>
      <c r="BX295" s="260"/>
      <c r="BY295" s="260"/>
      <c r="BZ295" s="260"/>
      <c r="CA295" s="262"/>
      <c r="CB295" s="260"/>
      <c r="CC295" s="260"/>
      <c r="CD295" s="260"/>
      <c r="CE295" s="260"/>
      <c r="CF295" s="260"/>
      <c r="CG295" s="262"/>
      <c r="CH295" s="260"/>
      <c r="CI295" s="260"/>
      <c r="CJ295" s="260"/>
      <c r="CK295" s="260"/>
      <c r="CL295" s="260"/>
      <c r="CM295" s="262"/>
      <c r="CN295" s="260"/>
      <c r="CO295" s="260"/>
      <c r="CP295" s="260"/>
      <c r="CQ295" s="260"/>
      <c r="CR295" s="260"/>
      <c r="CS295" s="262"/>
      <c r="CT295" s="260"/>
      <c r="CU295" s="260"/>
      <c r="CV295" s="260"/>
      <c r="CW295" s="260"/>
      <c r="CX295" s="260"/>
      <c r="CY295" s="262"/>
      <c r="CZ295" s="260"/>
      <c r="DA295" s="260"/>
      <c r="DB295" s="260"/>
      <c r="DC295" s="260"/>
      <c r="DD295" s="260"/>
      <c r="DE295" s="262"/>
      <c r="DF295" s="260"/>
      <c r="DG295" s="260"/>
      <c r="DH295" s="260"/>
      <c r="DI295" s="260"/>
      <c r="DJ295" s="260"/>
      <c r="DK295" s="262"/>
      <c r="DL295" s="260"/>
      <c r="DM295" s="260"/>
      <c r="DN295" s="260"/>
      <c r="DO295" s="260"/>
      <c r="DP295" s="260"/>
      <c r="DQ295" s="262"/>
      <c r="DR295" s="260"/>
      <c r="DS295" s="260"/>
      <c r="DT295" s="260"/>
      <c r="DU295" s="260"/>
      <c r="DV295" s="260"/>
      <c r="DW295" s="262"/>
      <c r="DX295" s="500"/>
      <c r="DY295" s="500"/>
      <c r="DZ295" s="500"/>
      <c r="EA295" s="500"/>
      <c r="EB295" s="500"/>
      <c r="EC295" s="500"/>
      <c r="ED295" s="500"/>
      <c r="EE295" s="500"/>
      <c r="EF295" s="500"/>
      <c r="EG295" s="500"/>
      <c r="EH295" s="500"/>
      <c r="EI295" s="500"/>
    </row>
    <row r="296" spans="1:139" hidden="1" outlineLevel="1">
      <c r="A296" s="260"/>
      <c r="B296" s="260"/>
      <c r="C296" s="260"/>
      <c r="D296" s="260"/>
      <c r="E296" s="260"/>
      <c r="F296" s="260"/>
      <c r="G296" s="316"/>
      <c r="H296" s="260"/>
      <c r="I296" s="260"/>
      <c r="J296" s="260"/>
      <c r="K296" s="260"/>
      <c r="L296" s="260"/>
      <c r="M296" s="316"/>
      <c r="N296" s="260"/>
      <c r="O296" s="260"/>
      <c r="P296" s="260"/>
      <c r="Q296" s="260"/>
      <c r="R296" s="260"/>
      <c r="S296" s="316"/>
      <c r="T296" s="260"/>
      <c r="U296" s="260"/>
      <c r="V296" s="260"/>
      <c r="W296" s="260"/>
      <c r="X296" s="260"/>
      <c r="Y296" s="316"/>
      <c r="Z296" s="260"/>
      <c r="AA296" s="260"/>
      <c r="AB296" s="260"/>
      <c r="AC296" s="260"/>
      <c r="AD296" s="260"/>
      <c r="AE296" s="316"/>
      <c r="AF296" s="260"/>
      <c r="AG296" s="260"/>
      <c r="AH296" s="260"/>
      <c r="AI296" s="260"/>
      <c r="AJ296" s="260"/>
      <c r="AK296" s="316"/>
      <c r="AL296" s="260"/>
      <c r="AM296" s="260"/>
      <c r="AN296" s="260"/>
      <c r="AO296" s="260"/>
      <c r="AP296" s="260"/>
      <c r="AQ296" s="507"/>
      <c r="AR296" s="260"/>
      <c r="AS296" s="260"/>
      <c r="AT296" s="260"/>
      <c r="AU296" s="260"/>
      <c r="AV296" s="260"/>
      <c r="AW296" s="507"/>
      <c r="AX296" s="260"/>
      <c r="AY296" s="260"/>
      <c r="AZ296" s="260"/>
      <c r="BA296" s="260"/>
      <c r="BB296" s="260"/>
      <c r="BC296" s="507"/>
      <c r="BD296" s="260"/>
      <c r="BE296" s="260"/>
      <c r="BF296" s="260"/>
      <c r="BG296" s="260"/>
      <c r="BH296" s="260"/>
      <c r="BI296" s="507"/>
      <c r="BJ296" s="260"/>
      <c r="BK296" s="260"/>
      <c r="BL296" s="260"/>
      <c r="BM296" s="260"/>
      <c r="BN296" s="260"/>
      <c r="BO296" s="262"/>
      <c r="BP296" s="260"/>
      <c r="BQ296" s="260"/>
      <c r="BR296" s="260"/>
      <c r="BS296" s="260"/>
      <c r="BT296" s="260"/>
      <c r="BU296" s="262"/>
      <c r="BV296" s="260"/>
      <c r="BW296" s="260"/>
      <c r="BX296" s="260"/>
      <c r="BY296" s="260"/>
      <c r="BZ296" s="260"/>
      <c r="CA296" s="262"/>
      <c r="CB296" s="260"/>
      <c r="CC296" s="260"/>
      <c r="CD296" s="260"/>
      <c r="CE296" s="260"/>
      <c r="CF296" s="260"/>
      <c r="CG296" s="262"/>
      <c r="CH296" s="260"/>
      <c r="CI296" s="260"/>
      <c r="CJ296" s="260"/>
      <c r="CK296" s="260"/>
      <c r="CL296" s="260"/>
      <c r="CM296" s="262"/>
      <c r="CN296" s="260"/>
      <c r="CO296" s="260"/>
      <c r="CP296" s="260"/>
      <c r="CQ296" s="260"/>
      <c r="CR296" s="260"/>
      <c r="CS296" s="262"/>
      <c r="CT296" s="260"/>
      <c r="CU296" s="260"/>
      <c r="CV296" s="260"/>
      <c r="CW296" s="260"/>
      <c r="CX296" s="260"/>
      <c r="CY296" s="262"/>
      <c r="CZ296" s="260"/>
      <c r="DA296" s="260"/>
      <c r="DB296" s="260"/>
      <c r="DC296" s="260"/>
      <c r="DD296" s="260"/>
      <c r="DE296" s="262"/>
      <c r="DF296" s="260"/>
      <c r="DG296" s="260"/>
      <c r="DH296" s="260"/>
      <c r="DI296" s="260"/>
      <c r="DJ296" s="260"/>
      <c r="DK296" s="262"/>
      <c r="DL296" s="260"/>
      <c r="DM296" s="260"/>
      <c r="DN296" s="260"/>
      <c r="DO296" s="260"/>
      <c r="DP296" s="260"/>
      <c r="DQ296" s="262"/>
      <c r="DR296" s="260"/>
      <c r="DS296" s="260"/>
      <c r="DT296" s="260"/>
      <c r="DU296" s="260"/>
      <c r="DV296" s="260"/>
      <c r="DW296" s="262"/>
      <c r="DX296" s="500"/>
      <c r="DY296" s="500"/>
      <c r="DZ296" s="500"/>
      <c r="EA296" s="500"/>
      <c r="EB296" s="500"/>
      <c r="EC296" s="500"/>
      <c r="ED296" s="500"/>
      <c r="EE296" s="500"/>
      <c r="EF296" s="500"/>
      <c r="EG296" s="500"/>
      <c r="EH296" s="500"/>
      <c r="EI296" s="500"/>
    </row>
    <row r="297" spans="1:139" hidden="1" outlineLevel="1">
      <c r="A297" s="260" t="s">
        <v>330</v>
      </c>
      <c r="B297" s="260"/>
      <c r="C297" s="260"/>
      <c r="D297" s="260"/>
      <c r="E297" s="260"/>
      <c r="F297" s="260"/>
      <c r="G297" s="316"/>
      <c r="H297" s="260"/>
      <c r="I297" s="260"/>
      <c r="J297" s="260"/>
      <c r="K297" s="260"/>
      <c r="L297" s="260"/>
      <c r="M297" s="316"/>
      <c r="N297" s="260"/>
      <c r="O297" s="260"/>
      <c r="P297" s="260"/>
      <c r="Q297" s="260"/>
      <c r="R297" s="260"/>
      <c r="S297" s="316"/>
      <c r="T297" s="260"/>
      <c r="U297" s="260"/>
      <c r="V297" s="260"/>
      <c r="W297" s="260"/>
      <c r="X297" s="260"/>
      <c r="Y297" s="316"/>
      <c r="Z297" s="260"/>
      <c r="AA297" s="260"/>
      <c r="AB297" s="260"/>
      <c r="AC297" s="260"/>
      <c r="AD297" s="260"/>
      <c r="AE297" s="316"/>
      <c r="AF297" s="260"/>
      <c r="AG297" s="260"/>
      <c r="AH297" s="260"/>
      <c r="AI297" s="260"/>
      <c r="AJ297" s="260"/>
      <c r="AK297" s="316"/>
      <c r="AL297" s="260"/>
      <c r="AM297" s="260">
        <v>288</v>
      </c>
      <c r="AN297" s="876" t="s">
        <v>804</v>
      </c>
      <c r="AO297" s="260"/>
      <c r="AP297" s="260"/>
      <c r="AQ297" s="507"/>
      <c r="AR297" s="260"/>
      <c r="AS297" s="260"/>
      <c r="AT297" s="260"/>
      <c r="AU297" s="260">
        <v>225</v>
      </c>
      <c r="AV297" s="260"/>
      <c r="AW297" s="507"/>
      <c r="AX297" s="260"/>
      <c r="AY297" s="260"/>
      <c r="AZ297" s="260"/>
      <c r="BA297" s="260"/>
      <c r="BB297" s="260"/>
      <c r="BC297" s="507"/>
      <c r="BD297" s="260"/>
      <c r="BE297" s="260"/>
      <c r="BF297" s="260"/>
      <c r="BG297" s="260"/>
      <c r="BH297" s="260"/>
      <c r="BI297" s="507"/>
      <c r="BJ297" s="260"/>
      <c r="BK297" s="260"/>
      <c r="BL297" s="260"/>
      <c r="BM297" s="260"/>
      <c r="BN297" s="260"/>
      <c r="BO297" s="262"/>
      <c r="BP297" s="260"/>
      <c r="BQ297" s="260"/>
      <c r="BR297" s="260"/>
      <c r="BS297" s="260"/>
      <c r="BT297" s="260"/>
      <c r="BU297" s="262"/>
      <c r="BV297" s="260"/>
      <c r="BW297" s="260"/>
      <c r="BX297" s="260"/>
      <c r="BY297" s="260"/>
      <c r="BZ297" s="260"/>
      <c r="CA297" s="262"/>
      <c r="CB297" s="260"/>
      <c r="CC297" s="260"/>
      <c r="CD297" s="260"/>
      <c r="CE297" s="260"/>
      <c r="CF297" s="260"/>
      <c r="CG297" s="262"/>
      <c r="CH297" s="260"/>
      <c r="CI297" s="260"/>
      <c r="CJ297" s="260"/>
      <c r="CK297" s="260"/>
      <c r="CL297" s="260"/>
      <c r="CM297" s="262"/>
      <c r="CN297" s="260"/>
      <c r="CO297" s="260"/>
      <c r="CP297" s="260"/>
      <c r="CQ297" s="260"/>
      <c r="CR297" s="260"/>
      <c r="CS297" s="262"/>
      <c r="CT297" s="260"/>
      <c r="CU297" s="260"/>
      <c r="CV297" s="260"/>
      <c r="CW297" s="260"/>
      <c r="CX297" s="260"/>
      <c r="CY297" s="262"/>
      <c r="CZ297" s="260"/>
      <c r="DA297" s="260"/>
      <c r="DB297" s="260"/>
      <c r="DC297" s="260"/>
      <c r="DD297" s="260"/>
      <c r="DE297" s="262"/>
      <c r="DF297" s="260"/>
      <c r="DG297" s="260"/>
      <c r="DH297" s="260"/>
      <c r="DI297" s="260"/>
      <c r="DJ297" s="260"/>
      <c r="DK297" s="262"/>
      <c r="DL297" s="260"/>
      <c r="DM297" s="260"/>
      <c r="DN297" s="260"/>
      <c r="DO297" s="260"/>
      <c r="DP297" s="260"/>
      <c r="DQ297" s="262"/>
      <c r="DR297" s="260"/>
      <c r="DS297" s="260"/>
      <c r="DT297" s="260"/>
      <c r="DU297" s="260"/>
      <c r="DV297" s="260"/>
      <c r="DW297" s="262"/>
      <c r="DX297" s="500"/>
      <c r="DY297" s="500"/>
      <c r="DZ297" s="500"/>
      <c r="EA297" s="500"/>
      <c r="EB297" s="500"/>
      <c r="EC297" s="500"/>
      <c r="ED297" s="500"/>
      <c r="EE297" s="500"/>
      <c r="EF297" s="500"/>
      <c r="EG297" s="500"/>
      <c r="EH297" s="500"/>
      <c r="EI297" s="500"/>
    </row>
    <row r="298" spans="1:139" hidden="1" outlineLevel="1">
      <c r="A298" s="260"/>
      <c r="B298" s="260"/>
      <c r="C298" s="260"/>
      <c r="D298" s="260"/>
      <c r="E298" s="260"/>
      <c r="F298" s="260"/>
      <c r="G298" s="316"/>
      <c r="H298" s="260"/>
      <c r="I298" s="260"/>
      <c r="J298" s="260"/>
      <c r="K298" s="260"/>
      <c r="L298" s="260"/>
      <c r="M298" s="316"/>
      <c r="N298" s="260"/>
      <c r="O298" s="260"/>
      <c r="P298" s="260"/>
      <c r="Q298" s="260"/>
      <c r="R298" s="260"/>
      <c r="S298" s="316"/>
      <c r="T298" s="260"/>
      <c r="U298" s="260"/>
      <c r="V298" s="260"/>
      <c r="W298" s="260"/>
      <c r="X298" s="260"/>
      <c r="Y298" s="316"/>
      <c r="Z298" s="260"/>
      <c r="AA298" s="260"/>
      <c r="AB298" s="260"/>
      <c r="AC298" s="260"/>
      <c r="AD298" s="260"/>
      <c r="AE298" s="316"/>
      <c r="AF298" s="260"/>
      <c r="AG298" s="260"/>
      <c r="AH298" s="260"/>
      <c r="AI298" s="260"/>
      <c r="AJ298" s="260"/>
      <c r="AK298" s="316"/>
      <c r="AL298" s="260"/>
      <c r="AM298" s="260"/>
      <c r="AN298" s="260"/>
      <c r="AO298" s="260"/>
      <c r="AP298" s="260"/>
      <c r="AQ298" s="507"/>
      <c r="AR298" s="260"/>
      <c r="AS298" s="260"/>
      <c r="AT298" s="260"/>
      <c r="AU298" s="260"/>
      <c r="AV298" s="260"/>
      <c r="AW298" s="507"/>
      <c r="AX298" s="260"/>
      <c r="AY298" s="260"/>
      <c r="AZ298" s="260"/>
      <c r="BA298" s="260"/>
      <c r="BB298" s="260"/>
      <c r="BC298" s="507"/>
      <c r="BD298" s="260"/>
      <c r="BE298" s="260"/>
      <c r="BF298" s="260"/>
      <c r="BG298" s="260"/>
      <c r="BH298" s="260"/>
      <c r="BI298" s="507"/>
      <c r="BJ298" s="260"/>
      <c r="BK298" s="260"/>
      <c r="BL298" s="260"/>
      <c r="BM298" s="260"/>
      <c r="BN298" s="260"/>
      <c r="BO298" s="262"/>
      <c r="BP298" s="260"/>
      <c r="BQ298" s="260"/>
      <c r="BR298" s="260"/>
      <c r="BS298" s="260"/>
      <c r="BT298" s="260"/>
      <c r="BU298" s="262"/>
      <c r="BV298" s="260"/>
      <c r="BW298" s="260"/>
      <c r="BX298" s="260"/>
      <c r="BY298" s="260"/>
      <c r="BZ298" s="260"/>
      <c r="CA298" s="262"/>
      <c r="CB298" s="260"/>
      <c r="CC298" s="260"/>
      <c r="CD298" s="260"/>
      <c r="CE298" s="260"/>
      <c r="CF298" s="260"/>
      <c r="CG298" s="262"/>
      <c r="CH298" s="260"/>
      <c r="CI298" s="260"/>
      <c r="CJ298" s="260"/>
      <c r="CK298" s="260"/>
      <c r="CL298" s="260"/>
      <c r="CM298" s="262"/>
      <c r="CN298" s="260"/>
      <c r="CO298" s="260"/>
      <c r="CP298" s="260"/>
      <c r="CQ298" s="260"/>
      <c r="CR298" s="260"/>
      <c r="CS298" s="262"/>
      <c r="CT298" s="260"/>
      <c r="CU298" s="260"/>
      <c r="CV298" s="260"/>
      <c r="CW298" s="260"/>
      <c r="CX298" s="260"/>
      <c r="CY298" s="262"/>
      <c r="CZ298" s="260"/>
      <c r="DA298" s="260"/>
      <c r="DB298" s="260"/>
      <c r="DC298" s="260"/>
      <c r="DD298" s="260"/>
      <c r="DE298" s="262"/>
      <c r="DF298" s="260"/>
      <c r="DG298" s="260"/>
      <c r="DH298" s="260"/>
      <c r="DI298" s="260"/>
      <c r="DJ298" s="260"/>
      <c r="DK298" s="262"/>
      <c r="DL298" s="260"/>
      <c r="DM298" s="260"/>
      <c r="DN298" s="260"/>
      <c r="DO298" s="260"/>
      <c r="DP298" s="260"/>
      <c r="DQ298" s="262"/>
      <c r="DR298" s="260"/>
      <c r="DS298" s="260"/>
      <c r="DT298" s="260"/>
      <c r="DU298" s="260"/>
      <c r="DV298" s="260"/>
      <c r="DW298" s="262"/>
      <c r="DX298" s="500"/>
      <c r="DY298" s="500"/>
      <c r="DZ298" s="500"/>
      <c r="EA298" s="500"/>
      <c r="EB298" s="500"/>
      <c r="EC298" s="500"/>
      <c r="ED298" s="500"/>
      <c r="EE298" s="500"/>
      <c r="EF298" s="500"/>
      <c r="EG298" s="500"/>
      <c r="EH298" s="500"/>
      <c r="EI298" s="500"/>
    </row>
    <row r="299" spans="1:139" hidden="1" outlineLevel="1">
      <c r="A299" s="260" t="s">
        <v>331</v>
      </c>
      <c r="B299" s="260"/>
      <c r="C299" s="260"/>
      <c r="D299" s="260"/>
      <c r="E299" s="260"/>
      <c r="F299" s="260"/>
      <c r="G299" s="316"/>
      <c r="H299" s="260"/>
      <c r="I299" s="260"/>
      <c r="J299" s="260"/>
      <c r="K299" s="260"/>
      <c r="L299" s="260"/>
      <c r="M299" s="316"/>
      <c r="N299" s="260"/>
      <c r="O299" s="260"/>
      <c r="P299" s="260"/>
      <c r="Q299" s="260"/>
      <c r="R299" s="260"/>
      <c r="S299" s="316"/>
      <c r="T299" s="260"/>
      <c r="U299" s="260"/>
      <c r="V299" s="260"/>
      <c r="W299" s="260"/>
      <c r="X299" s="260"/>
      <c r="Y299" s="316"/>
      <c r="Z299" s="260"/>
      <c r="AA299" s="260"/>
      <c r="AB299" s="260"/>
      <c r="AC299" s="260"/>
      <c r="AD299" s="260"/>
      <c r="AE299" s="316"/>
      <c r="AF299" s="260"/>
      <c r="AG299" s="260"/>
      <c r="AH299" s="260"/>
      <c r="AI299" s="260"/>
      <c r="AJ299" s="260"/>
      <c r="AK299" s="316"/>
      <c r="AL299" s="260"/>
      <c r="AM299" s="260" t="s">
        <v>332</v>
      </c>
      <c r="AN299" s="260"/>
      <c r="AO299" s="260" t="s">
        <v>249</v>
      </c>
      <c r="AP299" s="260"/>
      <c r="AQ299" s="507"/>
      <c r="AR299" s="260"/>
      <c r="AS299" s="260"/>
      <c r="AT299" s="260"/>
      <c r="AU299" s="260"/>
      <c r="AV299" s="260"/>
      <c r="AW299" s="507"/>
      <c r="AX299" s="260"/>
      <c r="AY299" s="260"/>
      <c r="AZ299" s="260"/>
      <c r="BA299" s="260"/>
      <c r="BB299" s="260"/>
      <c r="BC299" s="507"/>
      <c r="BD299" s="260"/>
      <c r="BE299" s="260"/>
      <c r="BF299" s="260"/>
      <c r="BG299" s="260"/>
      <c r="BH299" s="260"/>
      <c r="BI299" s="507"/>
      <c r="BJ299" s="260"/>
      <c r="BK299" s="260"/>
      <c r="BL299" s="260"/>
      <c r="BM299" s="260"/>
      <c r="BN299" s="260"/>
      <c r="BO299" s="262"/>
      <c r="BP299" s="260"/>
      <c r="BQ299" s="260"/>
      <c r="BR299" s="260"/>
      <c r="BS299" s="260"/>
      <c r="BT299" s="260"/>
      <c r="BU299" s="262"/>
      <c r="BV299" s="260"/>
      <c r="BW299" s="260"/>
      <c r="BX299" s="260"/>
      <c r="BY299" s="260"/>
      <c r="BZ299" s="260"/>
      <c r="CA299" s="262"/>
      <c r="CB299" s="260"/>
      <c r="CC299" s="260"/>
      <c r="CD299" s="260"/>
      <c r="CE299" s="260"/>
      <c r="CF299" s="260"/>
      <c r="CG299" s="262"/>
      <c r="CH299" s="260"/>
      <c r="CI299" s="260"/>
      <c r="CJ299" s="260"/>
      <c r="CK299" s="260"/>
      <c r="CL299" s="260"/>
      <c r="CM299" s="262"/>
      <c r="CN299" s="260"/>
      <c r="CO299" s="260"/>
      <c r="CP299" s="260"/>
      <c r="CQ299" s="260"/>
      <c r="CR299" s="260"/>
      <c r="CS299" s="262"/>
      <c r="CT299" s="260"/>
      <c r="CU299" s="260"/>
      <c r="CV299" s="260"/>
      <c r="CW299" s="260"/>
      <c r="CX299" s="260"/>
      <c r="CY299" s="262"/>
      <c r="CZ299" s="260"/>
      <c r="DA299" s="260"/>
      <c r="DB299" s="260"/>
      <c r="DC299" s="260"/>
      <c r="DD299" s="260"/>
      <c r="DE299" s="262"/>
      <c r="DF299" s="260"/>
      <c r="DG299" s="260"/>
      <c r="DH299" s="260"/>
      <c r="DI299" s="260"/>
      <c r="DJ299" s="260"/>
      <c r="DK299" s="262"/>
      <c r="DL299" s="260"/>
      <c r="DM299" s="260"/>
      <c r="DN299" s="260"/>
      <c r="DO299" s="260"/>
      <c r="DP299" s="260"/>
      <c r="DQ299" s="262"/>
      <c r="DR299" s="260"/>
      <c r="DS299" s="260"/>
      <c r="DT299" s="260"/>
      <c r="DU299" s="260"/>
      <c r="DV299" s="260"/>
      <c r="DW299" s="262"/>
      <c r="DX299" s="500"/>
      <c r="DY299" s="500"/>
      <c r="DZ299" s="500"/>
      <c r="EA299" s="500"/>
      <c r="EB299" s="500"/>
      <c r="EC299" s="500"/>
      <c r="ED299" s="500"/>
      <c r="EE299" s="500"/>
      <c r="EF299" s="500"/>
      <c r="EG299" s="500"/>
      <c r="EH299" s="500"/>
      <c r="EI299" s="500"/>
    </row>
    <row r="300" spans="1:139" hidden="1" outlineLevel="1">
      <c r="A300" s="260" t="s">
        <v>637</v>
      </c>
      <c r="B300" s="260"/>
      <c r="C300" s="260"/>
      <c r="D300" s="260"/>
      <c r="E300" s="260"/>
      <c r="F300" s="260"/>
      <c r="G300" s="316"/>
      <c r="H300" s="260"/>
      <c r="I300" s="260"/>
      <c r="J300" s="260"/>
      <c r="K300" s="260"/>
      <c r="L300" s="260"/>
      <c r="M300" s="316"/>
      <c r="N300" s="260"/>
      <c r="O300" s="260"/>
      <c r="P300" s="260"/>
      <c r="Q300" s="260"/>
      <c r="R300" s="260"/>
      <c r="S300" s="316"/>
      <c r="T300" s="260"/>
      <c r="U300" s="260"/>
      <c r="V300" s="260"/>
      <c r="W300" s="260"/>
      <c r="X300" s="260"/>
      <c r="Y300" s="316"/>
      <c r="Z300" s="260"/>
      <c r="AA300" s="260"/>
      <c r="AB300" s="260"/>
      <c r="AC300" s="260"/>
      <c r="AD300" s="260"/>
      <c r="AE300" s="316"/>
      <c r="AF300" s="260"/>
      <c r="AG300" s="260"/>
      <c r="AH300" s="260"/>
      <c r="AI300" s="260"/>
      <c r="AJ300" s="260"/>
      <c r="AK300" s="316"/>
      <c r="AL300" s="260"/>
      <c r="AM300" s="260" t="s">
        <v>638</v>
      </c>
      <c r="AN300" s="260"/>
      <c r="AO300" s="260"/>
      <c r="AP300" s="260"/>
      <c r="AQ300" s="507"/>
      <c r="AR300" s="260"/>
      <c r="AS300" s="260"/>
      <c r="AT300" s="260"/>
      <c r="AU300" s="260"/>
      <c r="AV300" s="260"/>
      <c r="AW300" s="507"/>
      <c r="AX300" s="260"/>
      <c r="AY300" s="260"/>
      <c r="AZ300" s="260"/>
      <c r="BA300" s="260"/>
      <c r="BB300" s="260"/>
      <c r="BC300" s="507"/>
      <c r="BD300" s="260"/>
      <c r="BE300" s="260"/>
      <c r="BF300" s="260"/>
      <c r="BG300" s="260"/>
      <c r="BH300" s="260"/>
      <c r="BI300" s="507"/>
      <c r="BJ300" s="260"/>
      <c r="BK300" s="260"/>
      <c r="BL300" s="260"/>
      <c r="BM300" s="260"/>
      <c r="BN300" s="260"/>
      <c r="BO300" s="262"/>
      <c r="BP300" s="260"/>
      <c r="BQ300" s="260"/>
      <c r="BR300" s="260"/>
      <c r="BS300" s="260"/>
      <c r="BT300" s="260"/>
      <c r="BU300" s="262"/>
      <c r="BV300" s="260"/>
      <c r="BW300" s="260"/>
      <c r="BX300" s="260"/>
      <c r="BY300" s="260"/>
      <c r="BZ300" s="260"/>
      <c r="CA300" s="262"/>
      <c r="CB300" s="260"/>
      <c r="CC300" s="260"/>
      <c r="CD300" s="260"/>
      <c r="CE300" s="260"/>
      <c r="CF300" s="260"/>
      <c r="CG300" s="262"/>
      <c r="CH300" s="260"/>
      <c r="CI300" s="260"/>
      <c r="CJ300" s="260"/>
      <c r="CK300" s="260"/>
      <c r="CL300" s="260"/>
      <c r="CM300" s="262"/>
      <c r="CN300" s="260"/>
      <c r="CO300" s="260"/>
      <c r="CP300" s="260"/>
      <c r="CQ300" s="260"/>
      <c r="CR300" s="260"/>
      <c r="CS300" s="262"/>
      <c r="CT300" s="260"/>
      <c r="CU300" s="260"/>
      <c r="CV300" s="260"/>
      <c r="CW300" s="260"/>
      <c r="CX300" s="260"/>
      <c r="CY300" s="262"/>
      <c r="CZ300" s="260"/>
      <c r="DA300" s="260"/>
      <c r="DB300" s="260"/>
      <c r="DC300" s="260"/>
      <c r="DD300" s="260"/>
      <c r="DE300" s="262"/>
      <c r="DF300" s="260"/>
      <c r="DG300" s="260"/>
      <c r="DH300" s="260"/>
      <c r="DI300" s="260"/>
      <c r="DJ300" s="260"/>
      <c r="DK300" s="262"/>
      <c r="DL300" s="260"/>
      <c r="DM300" s="260"/>
      <c r="DN300" s="260"/>
      <c r="DO300" s="260"/>
      <c r="DP300" s="260"/>
      <c r="DQ300" s="262"/>
      <c r="DR300" s="260"/>
      <c r="DS300" s="260"/>
      <c r="DT300" s="260"/>
      <c r="DU300" s="260"/>
      <c r="DV300" s="260"/>
      <c r="DW300" s="262"/>
      <c r="DX300" s="500"/>
      <c r="DY300" s="500"/>
      <c r="DZ300" s="500"/>
      <c r="EA300" s="500"/>
      <c r="EB300" s="500"/>
      <c r="EC300" s="500"/>
      <c r="ED300" s="500"/>
      <c r="EE300" s="500"/>
      <c r="EF300" s="500"/>
      <c r="EG300" s="500"/>
      <c r="EH300" s="500"/>
      <c r="EI300" s="500"/>
    </row>
    <row r="301" spans="1:139" hidden="1" outlineLevel="1">
      <c r="A301" s="260" t="s">
        <v>250</v>
      </c>
      <c r="B301" s="260"/>
      <c r="C301" s="260"/>
      <c r="D301" s="260"/>
      <c r="E301" s="260"/>
      <c r="F301" s="260"/>
      <c r="G301" s="316"/>
      <c r="H301" s="260"/>
      <c r="I301" s="260"/>
      <c r="J301" s="260"/>
      <c r="K301" s="260"/>
      <c r="L301" s="260"/>
      <c r="M301" s="316"/>
      <c r="N301" s="260"/>
      <c r="O301" s="260"/>
      <c r="P301" s="260"/>
      <c r="Q301" s="260"/>
      <c r="R301" s="260"/>
      <c r="S301" s="316"/>
      <c r="T301" s="260"/>
      <c r="U301" s="260"/>
      <c r="V301" s="260"/>
      <c r="W301" s="260"/>
      <c r="X301" s="260"/>
      <c r="Y301" s="316"/>
      <c r="Z301" s="260"/>
      <c r="AA301" s="260"/>
      <c r="AB301" s="260"/>
      <c r="AC301" s="260"/>
      <c r="AD301" s="260"/>
      <c r="AE301" s="316"/>
      <c r="AF301" s="260"/>
      <c r="AG301" s="260"/>
      <c r="AH301" s="260"/>
      <c r="AI301" s="260"/>
      <c r="AJ301" s="260"/>
      <c r="AK301" s="316"/>
      <c r="AL301" s="260"/>
      <c r="AM301" s="260"/>
      <c r="AN301" s="260"/>
      <c r="AO301" s="260" t="s">
        <v>251</v>
      </c>
      <c r="AP301" s="260"/>
      <c r="AQ301" s="507"/>
      <c r="AR301" s="260"/>
      <c r="AS301" s="260"/>
      <c r="AT301" s="260"/>
      <c r="AU301" s="260"/>
      <c r="AV301" s="260"/>
      <c r="AW301" s="507"/>
      <c r="AX301" s="260"/>
      <c r="AY301" s="260"/>
      <c r="AZ301" s="260"/>
      <c r="BA301" s="260"/>
      <c r="BB301" s="260"/>
      <c r="BC301" s="507"/>
      <c r="BD301" s="260"/>
      <c r="BE301" s="260"/>
      <c r="BF301" s="260"/>
      <c r="BG301" s="260"/>
      <c r="BH301" s="260"/>
      <c r="BI301" s="507"/>
      <c r="BJ301" s="260"/>
      <c r="BK301" s="260"/>
      <c r="BL301" s="260"/>
      <c r="BM301" s="260"/>
      <c r="BN301" s="260"/>
      <c r="BO301" s="262"/>
      <c r="BP301" s="260"/>
      <c r="BQ301" s="260"/>
      <c r="BR301" s="260"/>
      <c r="BS301" s="260"/>
      <c r="BT301" s="260"/>
      <c r="BU301" s="262"/>
      <c r="BV301" s="260"/>
      <c r="BW301" s="260"/>
      <c r="BX301" s="260"/>
      <c r="BY301" s="260"/>
      <c r="BZ301" s="260"/>
      <c r="CA301" s="262"/>
      <c r="CB301" s="260"/>
      <c r="CC301" s="260"/>
      <c r="CD301" s="260"/>
      <c r="CE301" s="260"/>
      <c r="CF301" s="260"/>
      <c r="CG301" s="262"/>
      <c r="CH301" s="260"/>
      <c r="CI301" s="260"/>
      <c r="CJ301" s="260"/>
      <c r="CK301" s="260"/>
      <c r="CL301" s="260"/>
      <c r="CM301" s="262"/>
      <c r="CN301" s="260"/>
      <c r="CO301" s="260"/>
      <c r="CP301" s="260"/>
      <c r="CQ301" s="260"/>
      <c r="CR301" s="260"/>
      <c r="CS301" s="262"/>
      <c r="CT301" s="260"/>
      <c r="CU301" s="260"/>
      <c r="CV301" s="260"/>
      <c r="CW301" s="260"/>
      <c r="CX301" s="260"/>
      <c r="CY301" s="262"/>
      <c r="CZ301" s="260"/>
      <c r="DA301" s="260"/>
      <c r="DB301" s="260"/>
      <c r="DC301" s="260"/>
      <c r="DD301" s="260"/>
      <c r="DE301" s="262"/>
      <c r="DF301" s="260"/>
      <c r="DG301" s="260"/>
      <c r="DH301" s="260"/>
      <c r="DI301" s="260"/>
      <c r="DJ301" s="260"/>
      <c r="DK301" s="262"/>
      <c r="DL301" s="260"/>
      <c r="DM301" s="260"/>
      <c r="DN301" s="260"/>
      <c r="DO301" s="260"/>
      <c r="DP301" s="260"/>
      <c r="DQ301" s="262"/>
      <c r="DR301" s="260"/>
      <c r="DS301" s="260"/>
      <c r="DT301" s="260"/>
      <c r="DU301" s="260"/>
      <c r="DV301" s="260"/>
      <c r="DW301" s="262"/>
      <c r="DX301" s="500"/>
      <c r="DY301" s="500"/>
      <c r="DZ301" s="500"/>
      <c r="EA301" s="500"/>
      <c r="EB301" s="500"/>
      <c r="EC301" s="500"/>
      <c r="ED301" s="500"/>
      <c r="EE301" s="500"/>
      <c r="EF301" s="500"/>
      <c r="EG301" s="500"/>
      <c r="EH301" s="500"/>
      <c r="EI301" s="500"/>
    </row>
    <row r="302" spans="1:139" hidden="1" outlineLevel="1">
      <c r="A302" s="260"/>
      <c r="B302" s="260"/>
      <c r="C302" s="260"/>
      <c r="D302" s="260"/>
      <c r="E302" s="260"/>
      <c r="F302" s="260"/>
      <c r="G302" s="316"/>
      <c r="H302" s="260"/>
      <c r="I302" s="260"/>
      <c r="J302" s="260"/>
      <c r="K302" s="260"/>
      <c r="L302" s="260"/>
      <c r="M302" s="316"/>
      <c r="N302" s="260"/>
      <c r="O302" s="260"/>
      <c r="P302" s="260"/>
      <c r="Q302" s="260"/>
      <c r="R302" s="260"/>
      <c r="S302" s="316"/>
      <c r="T302" s="260"/>
      <c r="U302" s="260"/>
      <c r="V302" s="260"/>
      <c r="W302" s="260"/>
      <c r="X302" s="260"/>
      <c r="Y302" s="316"/>
      <c r="Z302" s="260"/>
      <c r="AA302" s="260"/>
      <c r="AB302" s="260"/>
      <c r="AC302" s="260"/>
      <c r="AD302" s="260"/>
      <c r="AE302" s="316"/>
      <c r="AF302" s="260"/>
      <c r="AG302" s="260"/>
      <c r="AH302" s="260"/>
      <c r="AI302" s="260"/>
      <c r="AJ302" s="260"/>
      <c r="AK302" s="316"/>
      <c r="AL302" s="260"/>
      <c r="AM302" s="260"/>
      <c r="AN302" s="260"/>
      <c r="AO302" s="260"/>
      <c r="AP302" s="260"/>
      <c r="AQ302" s="507"/>
      <c r="AR302" s="260"/>
      <c r="AS302" s="260"/>
      <c r="AT302" s="260"/>
      <c r="AU302" s="260"/>
      <c r="AV302" s="260"/>
      <c r="AW302" s="507"/>
      <c r="AX302" s="260"/>
      <c r="AY302" s="260"/>
      <c r="AZ302" s="260"/>
      <c r="BA302" s="260"/>
      <c r="BB302" s="260"/>
      <c r="BC302" s="507"/>
      <c r="BD302" s="260"/>
      <c r="BE302" s="260"/>
      <c r="BF302" s="260"/>
      <c r="BG302" s="260"/>
      <c r="BH302" s="260"/>
      <c r="BI302" s="507"/>
      <c r="BJ302" s="260"/>
      <c r="BK302" s="260"/>
      <c r="BL302" s="260"/>
      <c r="BM302" s="260"/>
      <c r="BN302" s="260"/>
      <c r="BO302" s="262"/>
      <c r="BP302" s="260"/>
      <c r="BQ302" s="260"/>
      <c r="BR302" s="260"/>
      <c r="BS302" s="260"/>
      <c r="BT302" s="260"/>
      <c r="BU302" s="262"/>
      <c r="BV302" s="260"/>
      <c r="BW302" s="260"/>
      <c r="BX302" s="260"/>
      <c r="BY302" s="260"/>
      <c r="BZ302" s="260"/>
      <c r="CA302" s="262"/>
      <c r="CB302" s="260"/>
      <c r="CC302" s="260"/>
      <c r="CD302" s="260"/>
      <c r="CE302" s="260"/>
      <c r="CF302" s="260"/>
      <c r="CG302" s="262"/>
      <c r="CH302" s="260"/>
      <c r="CI302" s="260"/>
      <c r="CJ302" s="260"/>
      <c r="CK302" s="260"/>
      <c r="CL302" s="260"/>
      <c r="CM302" s="262"/>
      <c r="CN302" s="260"/>
      <c r="CO302" s="260"/>
      <c r="CP302" s="260"/>
      <c r="CQ302" s="260"/>
      <c r="CR302" s="260"/>
      <c r="CS302" s="262"/>
      <c r="CT302" s="260"/>
      <c r="CU302" s="260"/>
      <c r="CV302" s="260"/>
      <c r="CW302" s="260"/>
      <c r="CX302" s="260"/>
      <c r="CY302" s="262"/>
      <c r="CZ302" s="260"/>
      <c r="DA302" s="260"/>
      <c r="DB302" s="260"/>
      <c r="DC302" s="260"/>
      <c r="DD302" s="260"/>
      <c r="DE302" s="262"/>
      <c r="DF302" s="260"/>
      <c r="DG302" s="260"/>
      <c r="DH302" s="260"/>
      <c r="DI302" s="260"/>
      <c r="DJ302" s="260"/>
      <c r="DK302" s="262"/>
      <c r="DL302" s="260"/>
      <c r="DM302" s="260"/>
      <c r="DN302" s="260"/>
      <c r="DO302" s="260"/>
      <c r="DP302" s="260"/>
      <c r="DQ302" s="262"/>
      <c r="DR302" s="260"/>
      <c r="DS302" s="260"/>
      <c r="DT302" s="260"/>
      <c r="DU302" s="260"/>
      <c r="DV302" s="260"/>
      <c r="DW302" s="262"/>
      <c r="DX302" s="500"/>
      <c r="DY302" s="500"/>
      <c r="DZ302" s="500"/>
      <c r="EA302" s="500"/>
      <c r="EB302" s="500"/>
      <c r="EC302" s="500"/>
      <c r="ED302" s="500"/>
      <c r="EE302" s="500"/>
      <c r="EF302" s="500"/>
      <c r="EG302" s="500"/>
      <c r="EH302" s="500"/>
      <c r="EI302" s="500"/>
    </row>
    <row r="303" spans="1:139" hidden="1" outlineLevel="1">
      <c r="A303" s="260" t="s">
        <v>786</v>
      </c>
      <c r="B303" s="260"/>
      <c r="C303" s="260"/>
      <c r="D303" s="260"/>
      <c r="E303" s="260"/>
      <c r="F303" s="260"/>
      <c r="G303" s="316"/>
      <c r="H303" s="260"/>
      <c r="I303" s="260"/>
      <c r="J303" s="260"/>
      <c r="K303" s="260"/>
      <c r="L303" s="260"/>
      <c r="M303" s="316"/>
      <c r="N303" s="260"/>
      <c r="O303" s="260"/>
      <c r="P303" s="260"/>
      <c r="Q303" s="260"/>
      <c r="R303" s="260"/>
      <c r="S303" s="316"/>
      <c r="T303" s="260"/>
      <c r="U303" s="260"/>
      <c r="V303" s="260"/>
      <c r="W303" s="260"/>
      <c r="X303" s="260"/>
      <c r="Y303" s="316"/>
      <c r="Z303" s="260"/>
      <c r="AA303" s="260"/>
      <c r="AB303" s="260"/>
      <c r="AC303" s="260"/>
      <c r="AD303" s="260"/>
      <c r="AE303" s="316"/>
      <c r="AF303" s="260"/>
      <c r="AG303" s="260"/>
      <c r="AH303" s="260"/>
      <c r="AI303" s="260"/>
      <c r="AJ303" s="260"/>
      <c r="AK303" s="316"/>
      <c r="AL303" s="260"/>
      <c r="AM303" s="260"/>
      <c r="AN303" s="260"/>
      <c r="AO303" s="260"/>
      <c r="AP303" s="260"/>
      <c r="AQ303" s="507"/>
      <c r="AR303" s="260"/>
      <c r="AS303" s="260">
        <v>6000</v>
      </c>
      <c r="AT303" s="260"/>
      <c r="AU303" s="260"/>
      <c r="AV303" s="260"/>
      <c r="AW303" s="507"/>
      <c r="AX303" s="260"/>
      <c r="AY303" s="260"/>
      <c r="AZ303" s="260"/>
      <c r="BA303" s="260"/>
      <c r="BB303" s="260"/>
      <c r="BC303" s="507"/>
      <c r="BD303" s="260"/>
      <c r="BE303" s="260"/>
      <c r="BF303" s="260"/>
      <c r="BG303" s="260"/>
      <c r="BH303" s="260"/>
      <c r="BI303" s="507"/>
      <c r="BJ303" s="260"/>
      <c r="BK303" s="260"/>
      <c r="BL303" s="260"/>
      <c r="BM303" s="260"/>
      <c r="BN303" s="260"/>
      <c r="BO303" s="262"/>
      <c r="BP303" s="260"/>
      <c r="BQ303" s="260"/>
      <c r="BR303" s="260"/>
      <c r="BS303" s="260"/>
      <c r="BT303" s="260"/>
      <c r="BU303" s="262"/>
      <c r="BV303" s="260"/>
      <c r="BW303" s="260"/>
      <c r="BX303" s="260"/>
      <c r="BY303" s="260"/>
      <c r="BZ303" s="260"/>
      <c r="CA303" s="262"/>
      <c r="CB303" s="260"/>
      <c r="CC303" s="260"/>
      <c r="CD303" s="260"/>
      <c r="CE303" s="260"/>
      <c r="CF303" s="260"/>
      <c r="CG303" s="262"/>
      <c r="CH303" s="260"/>
      <c r="CI303" s="260"/>
      <c r="CJ303" s="260"/>
      <c r="CK303" s="260"/>
      <c r="CL303" s="260"/>
      <c r="CM303" s="262"/>
      <c r="CN303" s="260"/>
      <c r="CO303" s="260"/>
      <c r="CP303" s="260"/>
      <c r="CQ303" s="260"/>
      <c r="CR303" s="260"/>
      <c r="CS303" s="262"/>
      <c r="CT303" s="260"/>
      <c r="CU303" s="260"/>
      <c r="CV303" s="260"/>
      <c r="CW303" s="260"/>
      <c r="CX303" s="260"/>
      <c r="CY303" s="262"/>
      <c r="CZ303" s="260"/>
      <c r="DA303" s="260"/>
      <c r="DB303" s="260"/>
      <c r="DC303" s="260"/>
      <c r="DD303" s="260"/>
      <c r="DE303" s="262"/>
      <c r="DF303" s="260"/>
      <c r="DG303" s="260"/>
      <c r="DH303" s="260"/>
      <c r="DI303" s="260"/>
      <c r="DJ303" s="260"/>
      <c r="DK303" s="262"/>
      <c r="DL303" s="260"/>
      <c r="DM303" s="260"/>
      <c r="DN303" s="260"/>
      <c r="DO303" s="260"/>
      <c r="DP303" s="260"/>
      <c r="DQ303" s="262"/>
      <c r="DR303" s="260"/>
      <c r="DS303" s="260"/>
      <c r="DT303" s="260"/>
      <c r="DU303" s="260"/>
      <c r="DV303" s="260"/>
      <c r="DW303" s="262"/>
      <c r="DX303" s="500"/>
      <c r="DY303" s="500"/>
      <c r="DZ303" s="500"/>
      <c r="EA303" s="500"/>
      <c r="EB303" s="500"/>
      <c r="EC303" s="500"/>
      <c r="ED303" s="500"/>
      <c r="EE303" s="500"/>
      <c r="EF303" s="500"/>
      <c r="EG303" s="500"/>
      <c r="EH303" s="500"/>
      <c r="EI303" s="500"/>
    </row>
    <row r="304" spans="1:139" collapsed="1">
      <c r="A304" s="260"/>
      <c r="B304" s="260"/>
      <c r="C304" s="260"/>
      <c r="D304" s="260"/>
      <c r="E304" s="260"/>
      <c r="F304" s="260"/>
      <c r="G304" s="316"/>
      <c r="H304" s="260"/>
      <c r="I304" s="260"/>
      <c r="J304" s="260"/>
      <c r="K304" s="260"/>
      <c r="L304" s="260"/>
      <c r="M304" s="316"/>
      <c r="N304" s="260"/>
      <c r="O304" s="260"/>
      <c r="P304" s="260"/>
      <c r="Q304" s="260"/>
      <c r="R304" s="260"/>
      <c r="S304" s="316"/>
      <c r="T304" s="260"/>
      <c r="U304" s="260"/>
      <c r="V304" s="260"/>
      <c r="W304" s="260"/>
      <c r="X304" s="260"/>
      <c r="Y304" s="316"/>
      <c r="Z304" s="260"/>
      <c r="AA304" s="260"/>
      <c r="AB304" s="260"/>
      <c r="AC304" s="260"/>
      <c r="AD304" s="260"/>
      <c r="AE304" s="316"/>
      <c r="AF304" s="260"/>
      <c r="AG304" s="260"/>
      <c r="AH304" s="260"/>
      <c r="AI304" s="260"/>
      <c r="AJ304" s="260"/>
      <c r="AK304" s="316"/>
      <c r="AL304" s="260"/>
      <c r="AM304" s="260"/>
      <c r="AN304" s="260"/>
      <c r="AO304" s="260"/>
      <c r="AP304" s="260"/>
      <c r="AQ304" s="507"/>
      <c r="AR304" s="260"/>
      <c r="AS304" s="260"/>
      <c r="AT304" s="260"/>
      <c r="AU304" s="260"/>
      <c r="AV304" s="260"/>
      <c r="AW304" s="507"/>
      <c r="AX304" s="260"/>
      <c r="AY304" s="260"/>
      <c r="AZ304" s="260"/>
      <c r="BA304" s="260"/>
      <c r="BB304" s="260"/>
      <c r="BC304" s="507"/>
      <c r="BD304" s="260"/>
      <c r="BE304" s="260"/>
      <c r="BF304" s="260"/>
      <c r="BG304" s="260"/>
      <c r="BH304" s="260"/>
      <c r="BI304" s="507"/>
      <c r="BJ304" s="260"/>
      <c r="BK304" s="260"/>
      <c r="BL304" s="260"/>
      <c r="BM304" s="260"/>
      <c r="BN304" s="260"/>
      <c r="BO304" s="262"/>
      <c r="BP304" s="260"/>
      <c r="BQ304" s="260"/>
      <c r="BR304" s="260"/>
      <c r="BS304" s="260"/>
      <c r="BT304" s="260"/>
      <c r="BU304" s="262"/>
      <c r="BV304" s="260"/>
      <c r="BW304" s="260"/>
      <c r="BX304" s="260"/>
      <c r="BY304" s="260"/>
      <c r="BZ304" s="260"/>
      <c r="CA304" s="262"/>
      <c r="CB304" s="260"/>
      <c r="CC304" s="260"/>
      <c r="CD304" s="260"/>
      <c r="CE304" s="260"/>
      <c r="CF304" s="260"/>
      <c r="CG304" s="262"/>
      <c r="CH304" s="260"/>
      <c r="CI304" s="260"/>
      <c r="CJ304" s="260"/>
      <c r="CK304" s="260"/>
      <c r="CL304" s="260"/>
      <c r="CM304" s="262"/>
      <c r="CN304" s="260"/>
      <c r="CO304" s="260"/>
      <c r="CP304" s="260"/>
      <c r="CQ304" s="260"/>
      <c r="CR304" s="260"/>
      <c r="CS304" s="262"/>
      <c r="CT304" s="260"/>
      <c r="CU304" s="260"/>
      <c r="CV304" s="260"/>
      <c r="CW304" s="260"/>
      <c r="CX304" s="260"/>
      <c r="CY304" s="262"/>
      <c r="CZ304" s="260"/>
      <c r="DA304" s="260"/>
      <c r="DB304" s="260"/>
      <c r="DC304" s="260"/>
      <c r="DD304" s="260"/>
      <c r="DE304" s="262"/>
      <c r="DF304" s="260"/>
      <c r="DG304" s="260"/>
      <c r="DH304" s="260"/>
      <c r="DI304" s="260"/>
      <c r="DJ304" s="260"/>
      <c r="DK304" s="262"/>
      <c r="DL304" s="260"/>
      <c r="DM304" s="260"/>
      <c r="DN304" s="260"/>
      <c r="DO304" s="260"/>
      <c r="DP304" s="260"/>
      <c r="DQ304" s="262"/>
      <c r="DR304" s="260"/>
      <c r="DS304" s="260"/>
      <c r="DT304" s="260"/>
      <c r="DU304" s="260"/>
      <c r="DV304" s="260"/>
      <c r="DW304" s="262"/>
      <c r="DX304" s="500"/>
      <c r="DY304" s="500"/>
      <c r="DZ304" s="500"/>
      <c r="EA304" s="500"/>
      <c r="EB304" s="500"/>
      <c r="EC304" s="500"/>
      <c r="ED304" s="500"/>
      <c r="EE304" s="500"/>
      <c r="EF304" s="500"/>
      <c r="EG304" s="500"/>
      <c r="EH304" s="500"/>
      <c r="EI304" s="500"/>
    </row>
    <row r="305" spans="1:139">
      <c r="A305" s="260"/>
      <c r="B305" s="260"/>
      <c r="C305" s="260"/>
      <c r="D305" s="260"/>
      <c r="E305" s="260"/>
      <c r="F305" s="260"/>
      <c r="G305" s="316"/>
      <c r="H305" s="260"/>
      <c r="I305" s="260"/>
      <c r="J305" s="260"/>
      <c r="K305" s="260"/>
      <c r="L305" s="260"/>
      <c r="M305" s="316"/>
      <c r="N305" s="260"/>
      <c r="O305" s="260"/>
      <c r="P305" s="260"/>
      <c r="Q305" s="260"/>
      <c r="R305" s="260"/>
      <c r="S305" s="316"/>
      <c r="T305" s="260"/>
      <c r="U305" s="260"/>
      <c r="V305" s="260"/>
      <c r="W305" s="260"/>
      <c r="X305" s="260"/>
      <c r="Y305" s="316"/>
      <c r="Z305" s="260"/>
      <c r="AA305" s="260"/>
      <c r="AB305" s="260"/>
      <c r="AC305" s="260"/>
      <c r="AD305" s="260"/>
      <c r="AE305" s="316"/>
      <c r="AF305" s="260"/>
      <c r="AG305" s="260"/>
      <c r="AH305" s="260"/>
      <c r="AI305" s="260"/>
      <c r="AJ305" s="260"/>
      <c r="AK305" s="316"/>
      <c r="AL305" s="260"/>
      <c r="AM305" s="260"/>
      <c r="AN305" s="260"/>
      <c r="AO305" s="260"/>
      <c r="AP305" s="260"/>
      <c r="AQ305" s="507"/>
      <c r="AR305" s="260"/>
      <c r="AS305" s="260"/>
      <c r="AT305" s="260"/>
      <c r="AU305" s="260"/>
      <c r="AV305" s="260"/>
      <c r="AW305" s="507"/>
      <c r="AX305" s="260"/>
      <c r="AY305" s="260"/>
      <c r="AZ305" s="260"/>
      <c r="BA305" s="260"/>
      <c r="BB305" s="260"/>
      <c r="BC305" s="507"/>
      <c r="BD305" s="260"/>
      <c r="BE305" s="260"/>
      <c r="BF305" s="260"/>
      <c r="BG305" s="260"/>
      <c r="BH305" s="260"/>
      <c r="BI305" s="507"/>
      <c r="BJ305" s="260"/>
      <c r="BK305" s="260"/>
      <c r="BL305" s="260"/>
      <c r="BM305" s="260"/>
      <c r="BN305" s="260"/>
      <c r="BO305" s="262"/>
      <c r="BP305" s="260"/>
      <c r="BQ305" s="260"/>
      <c r="BR305" s="260"/>
      <c r="BS305" s="260"/>
      <c r="BT305" s="260"/>
      <c r="BU305" s="262"/>
      <c r="BV305" s="260"/>
      <c r="BW305" s="260"/>
      <c r="BX305" s="260"/>
      <c r="BY305" s="260"/>
      <c r="BZ305" s="260"/>
      <c r="CA305" s="262"/>
      <c r="CB305" s="260"/>
      <c r="CC305" s="260"/>
      <c r="CD305" s="260"/>
      <c r="CE305" s="260"/>
      <c r="CF305" s="260"/>
      <c r="CG305" s="262"/>
      <c r="CH305" s="260"/>
      <c r="CI305" s="260"/>
      <c r="CJ305" s="260"/>
      <c r="CK305" s="260"/>
      <c r="CL305" s="260"/>
      <c r="CM305" s="262"/>
      <c r="CN305" s="260"/>
      <c r="CO305" s="260"/>
      <c r="CP305" s="260"/>
      <c r="CQ305" s="260"/>
      <c r="CR305" s="260"/>
      <c r="CS305" s="262"/>
      <c r="CT305" s="260"/>
      <c r="CU305" s="260"/>
      <c r="CV305" s="260"/>
      <c r="CW305" s="260"/>
      <c r="CX305" s="260"/>
      <c r="CY305" s="262"/>
      <c r="CZ305" s="260"/>
      <c r="DA305" s="260"/>
      <c r="DB305" s="260"/>
      <c r="DC305" s="260"/>
      <c r="DD305" s="260"/>
      <c r="DE305" s="262"/>
      <c r="DF305" s="260"/>
      <c r="DG305" s="260"/>
      <c r="DH305" s="260"/>
      <c r="DI305" s="260"/>
      <c r="DJ305" s="260"/>
      <c r="DK305" s="262"/>
      <c r="DL305" s="260"/>
      <c r="DM305" s="260"/>
      <c r="DN305" s="260"/>
      <c r="DO305" s="260"/>
      <c r="DP305" s="260"/>
      <c r="DQ305" s="262"/>
      <c r="DR305" s="260"/>
      <c r="DS305" s="260"/>
      <c r="DT305" s="260"/>
      <c r="DU305" s="260"/>
      <c r="DV305" s="260"/>
      <c r="DW305" s="262"/>
      <c r="DX305" s="500"/>
      <c r="DY305" s="500"/>
      <c r="DZ305" s="500"/>
      <c r="EA305" s="500"/>
      <c r="EB305" s="500"/>
      <c r="EC305" s="500"/>
      <c r="ED305" s="500"/>
      <c r="EE305" s="500"/>
      <c r="EF305" s="500"/>
      <c r="EG305" s="500"/>
      <c r="EH305" s="500"/>
      <c r="EI305" s="500"/>
    </row>
    <row r="306" spans="1:139">
      <c r="A306" s="41" t="s">
        <v>946</v>
      </c>
      <c r="B306" s="41" t="s">
        <v>946</v>
      </c>
      <c r="C306" s="41" t="s">
        <v>946</v>
      </c>
      <c r="D306" s="41" t="s">
        <v>946</v>
      </c>
      <c r="E306" s="41" t="s">
        <v>946</v>
      </c>
      <c r="F306" s="41" t="s">
        <v>946</v>
      </c>
      <c r="G306" s="41" t="s">
        <v>946</v>
      </c>
      <c r="H306" s="41" t="s">
        <v>946</v>
      </c>
      <c r="I306" s="41" t="s">
        <v>946</v>
      </c>
      <c r="J306" s="41" t="s">
        <v>946</v>
      </c>
      <c r="K306" s="41" t="s">
        <v>946</v>
      </c>
      <c r="L306" s="41" t="s">
        <v>946</v>
      </c>
      <c r="M306" s="41" t="s">
        <v>946</v>
      </c>
      <c r="N306" s="41" t="s">
        <v>946</v>
      </c>
      <c r="O306" s="41" t="s">
        <v>946</v>
      </c>
      <c r="P306" s="41" t="s">
        <v>946</v>
      </c>
      <c r="Q306" s="41" t="s">
        <v>946</v>
      </c>
      <c r="R306" s="41" t="s">
        <v>946</v>
      </c>
      <c r="S306" s="41" t="s">
        <v>946</v>
      </c>
      <c r="T306" s="41" t="s">
        <v>946</v>
      </c>
      <c r="U306" s="41" t="s">
        <v>946</v>
      </c>
      <c r="V306" s="41" t="s">
        <v>946</v>
      </c>
      <c r="W306" s="41" t="s">
        <v>946</v>
      </c>
      <c r="X306" s="41" t="s">
        <v>946</v>
      </c>
      <c r="Y306" s="41" t="s">
        <v>946</v>
      </c>
      <c r="Z306" s="41" t="s">
        <v>946</v>
      </c>
      <c r="AA306" s="41" t="s">
        <v>946</v>
      </c>
      <c r="AB306" s="41" t="s">
        <v>946</v>
      </c>
      <c r="AC306" s="41" t="s">
        <v>946</v>
      </c>
      <c r="AD306" s="41" t="s">
        <v>946</v>
      </c>
      <c r="AE306" s="41" t="s">
        <v>946</v>
      </c>
      <c r="AF306" s="41" t="s">
        <v>946</v>
      </c>
      <c r="AG306" s="41" t="s">
        <v>946</v>
      </c>
      <c r="AH306" s="41" t="s">
        <v>946</v>
      </c>
      <c r="AI306" s="41" t="s">
        <v>946</v>
      </c>
      <c r="AJ306" s="41" t="s">
        <v>946</v>
      </c>
      <c r="AK306" s="41" t="s">
        <v>946</v>
      </c>
      <c r="AL306" s="41" t="s">
        <v>946</v>
      </c>
      <c r="AM306" s="41" t="s">
        <v>946</v>
      </c>
      <c r="AN306" s="41" t="s">
        <v>946</v>
      </c>
      <c r="AO306" s="41" t="s">
        <v>946</v>
      </c>
      <c r="AP306" s="41" t="s">
        <v>946</v>
      </c>
      <c r="AQ306" s="67" t="s">
        <v>946</v>
      </c>
      <c r="AR306" s="41" t="s">
        <v>946</v>
      </c>
      <c r="AS306" s="41" t="s">
        <v>946</v>
      </c>
      <c r="AT306" s="41" t="s">
        <v>946</v>
      </c>
      <c r="AU306" s="41" t="s">
        <v>946</v>
      </c>
      <c r="AV306" s="41" t="s">
        <v>946</v>
      </c>
      <c r="AW306" s="67" t="s">
        <v>946</v>
      </c>
      <c r="AX306" s="41" t="s">
        <v>946</v>
      </c>
      <c r="AY306" s="41" t="s">
        <v>946</v>
      </c>
      <c r="AZ306" s="41" t="s">
        <v>946</v>
      </c>
      <c r="BA306" s="41" t="s">
        <v>946</v>
      </c>
      <c r="BB306" s="41" t="s">
        <v>946</v>
      </c>
      <c r="BC306" s="67" t="s">
        <v>946</v>
      </c>
      <c r="BD306" s="41" t="s">
        <v>946</v>
      </c>
      <c r="BE306" s="41" t="s">
        <v>946</v>
      </c>
      <c r="BF306" s="41" t="s">
        <v>946</v>
      </c>
      <c r="BG306" s="41" t="s">
        <v>946</v>
      </c>
      <c r="BH306" s="41" t="s">
        <v>946</v>
      </c>
      <c r="BI306" s="67" t="s">
        <v>946</v>
      </c>
      <c r="BJ306" s="41" t="s">
        <v>946</v>
      </c>
      <c r="BK306" s="41"/>
      <c r="BL306" s="41"/>
      <c r="BM306" s="41"/>
      <c r="BN306" s="41"/>
      <c r="BO306" s="67"/>
      <c r="BP306" s="41" t="s">
        <v>946</v>
      </c>
      <c r="BQ306" s="41"/>
      <c r="BR306" s="41"/>
      <c r="BS306" s="41"/>
      <c r="BT306" s="41"/>
      <c r="BU306" s="67"/>
      <c r="BV306" s="41" t="s">
        <v>946</v>
      </c>
      <c r="BW306" s="41"/>
      <c r="BX306" s="41"/>
      <c r="BY306" s="41"/>
      <c r="BZ306" s="41"/>
      <c r="CA306" s="67"/>
      <c r="CB306" s="41" t="s">
        <v>946</v>
      </c>
      <c r="CC306" s="41"/>
      <c r="CD306" s="41"/>
      <c r="CE306" s="41"/>
      <c r="CF306" s="41"/>
      <c r="CG306" s="67"/>
      <c r="CH306" s="41" t="s">
        <v>946</v>
      </c>
      <c r="CI306" s="41"/>
      <c r="CJ306" s="41"/>
      <c r="CK306" s="41"/>
      <c r="CL306" s="41"/>
      <c r="CM306" s="67"/>
      <c r="CN306" s="41" t="s">
        <v>946</v>
      </c>
      <c r="CO306" s="41"/>
      <c r="CP306" s="41"/>
      <c r="CQ306" s="41"/>
      <c r="CR306" s="41"/>
      <c r="CS306" s="67"/>
      <c r="CT306" s="41" t="s">
        <v>946</v>
      </c>
      <c r="CU306" s="41"/>
      <c r="CV306" s="41"/>
      <c r="CW306" s="41"/>
      <c r="CX306" s="41"/>
      <c r="CY306" s="67"/>
      <c r="CZ306" s="41" t="s">
        <v>946</v>
      </c>
      <c r="DA306" s="41"/>
      <c r="DB306" s="41"/>
      <c r="DC306" s="41"/>
      <c r="DD306" s="41"/>
      <c r="DE306" s="67"/>
      <c r="DF306" s="41" t="s">
        <v>946</v>
      </c>
      <c r="DG306" s="41"/>
      <c r="DH306" s="41"/>
      <c r="DI306" s="41"/>
      <c r="DJ306" s="41"/>
      <c r="DK306" s="67"/>
      <c r="DL306" s="41" t="s">
        <v>946</v>
      </c>
      <c r="DM306" s="41"/>
      <c r="DN306" s="41"/>
      <c r="DO306" s="41"/>
      <c r="DP306" s="41"/>
      <c r="DQ306" s="67"/>
      <c r="DR306" s="41" t="s">
        <v>946</v>
      </c>
      <c r="DS306" s="41"/>
      <c r="DT306" s="41"/>
      <c r="DU306" s="41"/>
      <c r="DV306" s="41"/>
      <c r="DW306" s="67"/>
      <c r="DX306" s="500"/>
      <c r="DY306" s="500"/>
      <c r="DZ306" s="500"/>
      <c r="EA306" s="500"/>
      <c r="EB306" s="500"/>
      <c r="EC306" s="500"/>
      <c r="ED306" s="500"/>
      <c r="EE306" s="500"/>
      <c r="EF306" s="500"/>
      <c r="EG306" s="500"/>
      <c r="EH306" s="500"/>
      <c r="EI306" s="500"/>
    </row>
    <row r="307" spans="1:139">
      <c r="A307" s="260" t="s">
        <v>823</v>
      </c>
      <c r="B307" s="260"/>
      <c r="C307" s="260"/>
      <c r="D307" s="260"/>
      <c r="E307" s="260"/>
      <c r="F307" s="260"/>
      <c r="G307" s="316"/>
      <c r="H307" s="260"/>
      <c r="I307" s="260"/>
      <c r="J307" s="260"/>
      <c r="K307" s="260"/>
      <c r="L307" s="260"/>
      <c r="M307" s="316"/>
      <c r="N307" s="260"/>
      <c r="O307" s="263">
        <f>Model!G37</f>
        <v>5.9749999999999996</v>
      </c>
      <c r="P307" s="263">
        <f>Model!H37</f>
        <v>7.4130000000000003</v>
      </c>
      <c r="Q307" s="263">
        <f>Model!I37</f>
        <v>10.039</v>
      </c>
      <c r="R307" s="263">
        <f>Model!J37</f>
        <v>10.095000000000001</v>
      </c>
      <c r="S307" s="316"/>
      <c r="T307" s="260"/>
      <c r="U307" s="263">
        <f>Model!M37</f>
        <v>10.656000000000001</v>
      </c>
      <c r="V307" s="263">
        <f>Model!N37</f>
        <v>12.205</v>
      </c>
      <c r="W307" s="263">
        <f>Model!O37</f>
        <v>14.597</v>
      </c>
      <c r="X307" s="263">
        <f>Model!P37</f>
        <v>17.141999999999999</v>
      </c>
      <c r="Y307" s="316"/>
      <c r="Z307" s="260"/>
      <c r="AA307" s="263">
        <f>Model!S37</f>
        <v>20.414999999999999</v>
      </c>
      <c r="AB307" s="263">
        <f>Model!T37</f>
        <v>22.524999999999999</v>
      </c>
      <c r="AC307" s="263">
        <f>Model!U37</f>
        <v>24.94</v>
      </c>
      <c r="AD307" s="263">
        <f>Model!V37</f>
        <v>28.431000000000001</v>
      </c>
      <c r="AE307" s="316"/>
      <c r="AF307" s="260"/>
      <c r="AG307" s="263">
        <f>Model!Y37</f>
        <v>34.502000000000002</v>
      </c>
      <c r="AH307" s="263">
        <f>Model!Z37</f>
        <v>34.688000000000002</v>
      </c>
      <c r="AI307" s="263">
        <f>Model!AA37</f>
        <v>37.905000000000001</v>
      </c>
      <c r="AJ307" s="263">
        <f>Model!AB37</f>
        <v>42.503</v>
      </c>
      <c r="AK307" s="316"/>
      <c r="AL307" s="260"/>
      <c r="AM307" s="263">
        <f>Model!AE37</f>
        <v>48.524000000000001</v>
      </c>
      <c r="AN307" s="263">
        <f>Model!AF37</f>
        <v>55.034999999999997</v>
      </c>
      <c r="AO307" s="263">
        <f>Model!AG37</f>
        <v>61.699999999999996</v>
      </c>
      <c r="AP307" s="263">
        <f>Model!AH37</f>
        <v>69.215999999999994</v>
      </c>
      <c r="AQ307" s="507"/>
      <c r="AR307" s="260"/>
      <c r="AS307" s="263">
        <f>Model!AK37</f>
        <v>78.305999999999997</v>
      </c>
      <c r="AT307" s="263">
        <f>Model!AL37</f>
        <v>83.950999999999993</v>
      </c>
      <c r="AU307" s="263">
        <f>Model!AM37</f>
        <v>89.902999999999992</v>
      </c>
      <c r="AV307" s="263">
        <f>Model!AN37</f>
        <v>98.897000000000006</v>
      </c>
      <c r="AW307" s="507"/>
      <c r="AX307" s="260"/>
      <c r="AY307" s="263">
        <f>Model!AQ37</f>
        <v>114.583</v>
      </c>
      <c r="AZ307" s="263">
        <f>Model!AR37</f>
        <v>122.02500000000001</v>
      </c>
      <c r="BA307" s="263">
        <f>Model!AS37</f>
        <v>127.217</v>
      </c>
      <c r="BB307" s="263">
        <f>Model!AT37</f>
        <v>134.56</v>
      </c>
      <c r="BC307" s="507"/>
      <c r="BD307" s="260"/>
      <c r="BE307" s="263">
        <f>Model!AW37</f>
        <v>128.32499999999999</v>
      </c>
      <c r="BF307" s="263">
        <f>Model!AX37</f>
        <v>136.89699999999999</v>
      </c>
      <c r="BG307" s="263">
        <f>Model!AY37</f>
        <v>143.11099999999999</v>
      </c>
      <c r="BH307" s="263">
        <f>Model!AZ37</f>
        <v>157.14400000000001</v>
      </c>
      <c r="BI307" s="507"/>
      <c r="BJ307" s="260"/>
      <c r="BK307" s="263">
        <f>Model!BC37</f>
        <v>163.65699999999998</v>
      </c>
      <c r="BL307" s="263">
        <f>Model!BD37</f>
        <v>168.85900000000001</v>
      </c>
      <c r="BM307" s="263">
        <f>Model!BE37</f>
        <v>187.56200000000001</v>
      </c>
      <c r="BN307" s="263">
        <f>Model!BF37</f>
        <v>212.11600000000001</v>
      </c>
      <c r="BO307" s="262"/>
      <c r="BP307" s="260"/>
      <c r="BQ307" s="263">
        <f>Model!BI37</f>
        <v>229.44399999999999</v>
      </c>
      <c r="BR307" s="263">
        <f>Model!BJ37</f>
        <v>253.58099999999996</v>
      </c>
      <c r="BS307" s="263">
        <f>Model!BK37</f>
        <v>274.49500000000006</v>
      </c>
      <c r="BT307" s="263">
        <f>Model!BL37</f>
        <v>289.11</v>
      </c>
      <c r="BU307" s="262"/>
      <c r="BV307" s="260"/>
      <c r="BW307" s="263">
        <f>Model!BO37</f>
        <v>324.37499999999994</v>
      </c>
      <c r="BX307" s="263">
        <f>Model!BP37</f>
        <v>332.97200000000004</v>
      </c>
      <c r="BY307" s="263">
        <f>Model!BQ37</f>
        <v>370.20799999999997</v>
      </c>
      <c r="BZ307" s="263">
        <f>Model!BR37</f>
        <v>376.26499999999999</v>
      </c>
      <c r="CA307" s="262"/>
      <c r="CB307" s="260"/>
      <c r="CC307" s="263">
        <f>Model!BU37</f>
        <v>404.22800000000001</v>
      </c>
      <c r="CD307" s="263">
        <f>Model!BV37</f>
        <v>420.012</v>
      </c>
      <c r="CE307" s="263">
        <f>Model!BW37</f>
        <v>492.72200000000004</v>
      </c>
      <c r="CF307" s="263">
        <f>Model!BX37</f>
        <v>555.41999999999996</v>
      </c>
      <c r="CG307" s="262"/>
      <c r="CH307" s="260"/>
      <c r="CI307" s="263">
        <f>Model!CA37</f>
        <v>557.25699999999995</v>
      </c>
      <c r="CJ307" s="263">
        <f>Model!CB37</f>
        <v>586.82499999999993</v>
      </c>
      <c r="CK307" s="263">
        <f>Model!CC37</f>
        <v>621.65599999999995</v>
      </c>
      <c r="CL307" s="263">
        <f>Model!CD37</f>
        <v>640.27499999999998</v>
      </c>
      <c r="CM307" s="262"/>
      <c r="CN307" s="260"/>
      <c r="CO307" s="263">
        <f>Model!CG37</f>
        <v>646.37699999999995</v>
      </c>
      <c r="CP307" s="263">
        <f>Model!CH37</f>
        <v>702.96500000000003</v>
      </c>
      <c r="CQ307" s="263">
        <f>Model!CI37</f>
        <v>730.29300000000001</v>
      </c>
      <c r="CR307" s="263">
        <f>Model!CJ37</f>
        <v>793.88499999999999</v>
      </c>
      <c r="CS307" s="262"/>
      <c r="CT307" s="260"/>
      <c r="CU307" s="263">
        <f>Model!CM37</f>
        <v>785</v>
      </c>
      <c r="CV307" s="263">
        <f>Model!CN37</f>
        <v>825.45700000000011</v>
      </c>
      <c r="CW307" s="263">
        <f>Model!CO37</f>
        <v>876.21100000000013</v>
      </c>
      <c r="CX307" s="263">
        <f>Model!CP37</f>
        <v>944.82099999999991</v>
      </c>
      <c r="CY307" s="262"/>
      <c r="CZ307" s="260"/>
      <c r="DA307" s="263">
        <f>Model!CS37</f>
        <v>959.86399999999992</v>
      </c>
      <c r="DB307" s="263">
        <f>Model!CT37</f>
        <v>1019.636</v>
      </c>
      <c r="DC307" s="263">
        <f>Model!CU37</f>
        <v>1037.674</v>
      </c>
      <c r="DD307" s="263">
        <f>Model!CV37</f>
        <v>1222.2239999999999</v>
      </c>
      <c r="DE307" s="262"/>
      <c r="DF307" s="260"/>
      <c r="DG307" s="263">
        <f>Model!CY37</f>
        <v>1165.9117629296991</v>
      </c>
      <c r="DH307" s="263">
        <f>Model!CZ37</f>
        <v>1204.630129207517</v>
      </c>
      <c r="DI307" s="263">
        <f>Model!DA37</f>
        <v>1210.0655159064277</v>
      </c>
      <c r="DJ307" s="263">
        <f>Model!DB37</f>
        <v>1344.7919902668075</v>
      </c>
      <c r="DK307" s="262"/>
      <c r="DL307" s="260"/>
      <c r="DM307" s="263">
        <f>Model!DE37</f>
        <v>1366.1221059958198</v>
      </c>
      <c r="DN307" s="263">
        <f>Model!DF37</f>
        <v>1411.6706787612427</v>
      </c>
      <c r="DO307" s="263">
        <f>Model!DG37</f>
        <v>1416.8540543130694</v>
      </c>
      <c r="DP307" s="263">
        <f>Model!DH37</f>
        <v>1534.7432648431616</v>
      </c>
      <c r="DQ307" s="262"/>
      <c r="DR307" s="260"/>
      <c r="DS307" s="263">
        <f>Model!DK37</f>
        <v>1571.5982372189264</v>
      </c>
      <c r="DT307" s="263">
        <f>Model!DL37</f>
        <v>1618.6365431481609</v>
      </c>
      <c r="DU307" s="263">
        <f>Model!DM37</f>
        <v>1625.2308844058318</v>
      </c>
      <c r="DV307" s="263">
        <f>Model!DN37</f>
        <v>1766.3667728527953</v>
      </c>
      <c r="DW307" s="262"/>
      <c r="DX307" s="500"/>
      <c r="DY307" s="500"/>
      <c r="DZ307" s="500"/>
      <c r="EA307" s="500"/>
      <c r="EB307" s="500"/>
      <c r="EC307" s="500"/>
      <c r="ED307" s="500"/>
      <c r="EE307" s="500"/>
      <c r="EF307" s="500"/>
      <c r="EG307" s="500"/>
      <c r="EH307" s="500"/>
      <c r="EI307" s="500"/>
    </row>
    <row r="308" spans="1:139">
      <c r="A308" s="260"/>
      <c r="B308" s="260"/>
      <c r="C308" s="260"/>
      <c r="D308" s="260"/>
      <c r="E308" s="260"/>
      <c r="F308" s="260"/>
      <c r="G308" s="316"/>
      <c r="H308" s="260"/>
      <c r="I308" s="260"/>
      <c r="J308" s="260"/>
      <c r="K308" s="260"/>
      <c r="L308" s="260"/>
      <c r="M308" s="316"/>
      <c r="N308" s="260"/>
      <c r="O308" s="260"/>
      <c r="P308" s="260"/>
      <c r="Q308" s="260"/>
      <c r="R308" s="260"/>
      <c r="S308" s="316"/>
      <c r="T308" s="260"/>
      <c r="U308" s="260"/>
      <c r="V308" s="260"/>
      <c r="W308" s="260"/>
      <c r="X308" s="260"/>
      <c r="Y308" s="316"/>
      <c r="Z308" s="260"/>
      <c r="AA308" s="260"/>
      <c r="AB308" s="260"/>
      <c r="AC308" s="260"/>
      <c r="AD308" s="260"/>
      <c r="AE308" s="316"/>
      <c r="AF308" s="260"/>
      <c r="AG308" s="260"/>
      <c r="AH308" s="260"/>
      <c r="AI308" s="260"/>
      <c r="AJ308" s="260"/>
      <c r="AK308" s="316"/>
      <c r="AL308" s="260"/>
      <c r="AM308" s="260"/>
      <c r="AN308" s="260"/>
      <c r="AO308" s="260"/>
      <c r="AP308" s="260"/>
      <c r="AQ308" s="507"/>
      <c r="AR308" s="260"/>
      <c r="AS308" s="260"/>
      <c r="AT308" s="260"/>
      <c r="AU308" s="260"/>
      <c r="AV308" s="260"/>
      <c r="AW308" s="507"/>
      <c r="AX308" s="260"/>
      <c r="AY308" s="260"/>
      <c r="AZ308" s="260"/>
      <c r="BA308" s="260"/>
      <c r="BB308" s="260"/>
      <c r="BC308" s="507"/>
      <c r="BD308" s="260"/>
      <c r="BE308" s="260"/>
      <c r="BF308" s="260"/>
      <c r="BG308" s="260"/>
      <c r="BH308" s="260"/>
      <c r="BI308" s="507"/>
      <c r="BJ308" s="260"/>
      <c r="BK308" s="260"/>
      <c r="BL308" s="260"/>
      <c r="BM308" s="260"/>
      <c r="BN308" s="260"/>
      <c r="BO308" s="262"/>
      <c r="BP308" s="260"/>
      <c r="BQ308" s="260"/>
      <c r="BR308" s="260"/>
      <c r="BS308" s="260"/>
      <c r="BT308" s="260"/>
      <c r="BU308" s="262"/>
      <c r="BV308" s="260"/>
      <c r="BW308" s="260"/>
      <c r="BX308" s="260"/>
      <c r="BY308" s="260"/>
      <c r="BZ308" s="260"/>
      <c r="CA308" s="262"/>
      <c r="CB308" s="260"/>
      <c r="CC308" s="260"/>
      <c r="CD308" s="260"/>
      <c r="CE308" s="260"/>
      <c r="CF308" s="260"/>
      <c r="CG308" s="262"/>
      <c r="CH308" s="260"/>
      <c r="CI308" s="260"/>
      <c r="CJ308" s="260"/>
      <c r="CK308" s="260"/>
      <c r="CL308" s="260"/>
      <c r="CM308" s="262"/>
      <c r="CN308" s="260"/>
      <c r="CO308" s="260"/>
      <c r="CP308" s="260"/>
      <c r="CQ308" s="260"/>
      <c r="CR308" s="260"/>
      <c r="CS308" s="262"/>
      <c r="CT308" s="260"/>
      <c r="CU308" s="260"/>
      <c r="CV308" s="260"/>
      <c r="CW308" s="260"/>
      <c r="CX308" s="260"/>
      <c r="CY308" s="262"/>
      <c r="CZ308" s="260"/>
      <c r="DA308" s="260"/>
      <c r="DB308" s="260"/>
      <c r="DC308" s="260"/>
      <c r="DD308" s="260"/>
      <c r="DE308" s="262"/>
      <c r="DF308" s="260"/>
      <c r="DG308" s="260"/>
      <c r="DH308" s="260"/>
      <c r="DI308" s="260"/>
      <c r="DJ308" s="260"/>
      <c r="DK308" s="262"/>
      <c r="DL308" s="260"/>
      <c r="DM308" s="260"/>
      <c r="DN308" s="260"/>
      <c r="DO308" s="260"/>
      <c r="DP308" s="260"/>
      <c r="DQ308" s="262"/>
      <c r="DR308" s="260"/>
      <c r="DS308" s="260"/>
      <c r="DT308" s="260"/>
      <c r="DU308" s="260"/>
      <c r="DV308" s="260"/>
      <c r="DW308" s="262"/>
      <c r="DX308" s="500"/>
      <c r="DY308" s="500"/>
      <c r="DZ308" s="500"/>
      <c r="EA308" s="500"/>
      <c r="EB308" s="500"/>
      <c r="EC308" s="500"/>
      <c r="ED308" s="500"/>
      <c r="EE308" s="500"/>
      <c r="EF308" s="500"/>
      <c r="EG308" s="500"/>
      <c r="EH308" s="500"/>
      <c r="EI308" s="500"/>
    </row>
    <row r="309" spans="1:139">
      <c r="A309" s="260"/>
      <c r="B309" s="260"/>
      <c r="C309" s="260"/>
      <c r="D309" s="260"/>
      <c r="E309" s="260"/>
      <c r="F309" s="260"/>
      <c r="G309" s="316"/>
      <c r="H309" s="260"/>
      <c r="I309" s="260"/>
      <c r="J309" s="260"/>
      <c r="K309" s="260"/>
      <c r="L309" s="260"/>
      <c r="M309" s="316"/>
      <c r="N309" s="260"/>
      <c r="O309" s="260"/>
      <c r="P309" s="260"/>
      <c r="Q309" s="260"/>
      <c r="R309" s="260"/>
      <c r="S309" s="316"/>
      <c r="T309" s="260"/>
      <c r="U309" s="260"/>
      <c r="V309" s="260"/>
      <c r="W309" s="260"/>
      <c r="X309" s="260"/>
      <c r="Y309" s="316"/>
      <c r="Z309" s="260"/>
      <c r="AA309" s="260"/>
      <c r="AB309" s="260"/>
      <c r="AC309" s="260"/>
      <c r="AD309" s="260"/>
      <c r="AE309" s="316"/>
      <c r="AF309" s="260"/>
      <c r="AG309" s="260"/>
      <c r="AH309" s="260"/>
      <c r="AI309" s="260"/>
      <c r="AJ309" s="260"/>
      <c r="AK309" s="316"/>
      <c r="AL309" s="260"/>
      <c r="AM309" s="260"/>
      <c r="AN309" s="260"/>
      <c r="AO309" s="260"/>
      <c r="AP309" s="260"/>
      <c r="AQ309" s="507"/>
      <c r="AR309" s="260"/>
      <c r="AS309" s="260"/>
      <c r="AT309" s="260"/>
      <c r="AU309" s="260"/>
      <c r="AV309" s="260"/>
      <c r="AW309" s="507"/>
      <c r="AX309" s="260"/>
      <c r="AY309" s="260"/>
      <c r="AZ309" s="260"/>
      <c r="BA309" s="260"/>
      <c r="BB309" s="260"/>
      <c r="BC309" s="507"/>
      <c r="BD309" s="260"/>
      <c r="BE309" s="260"/>
      <c r="BF309" s="260"/>
      <c r="BG309" s="260"/>
      <c r="BH309" s="260"/>
      <c r="BI309" s="507"/>
      <c r="BJ309" s="260"/>
      <c r="BK309" s="260"/>
      <c r="BL309" s="260"/>
      <c r="BM309" s="260"/>
      <c r="BN309" s="260"/>
      <c r="BO309" s="262"/>
      <c r="BP309" s="260"/>
      <c r="BQ309" s="260"/>
      <c r="BR309" s="260"/>
      <c r="BS309" s="260"/>
      <c r="BT309" s="260"/>
      <c r="BU309" s="262"/>
      <c r="BV309" s="260"/>
      <c r="BW309" s="260"/>
      <c r="BX309" s="260"/>
      <c r="BY309" s="260"/>
      <c r="BZ309" s="260"/>
      <c r="CA309" s="262"/>
      <c r="CB309" s="260"/>
      <c r="CC309" s="260"/>
      <c r="CD309" s="260"/>
      <c r="CE309" s="260"/>
      <c r="CF309" s="260"/>
      <c r="CG309" s="262"/>
      <c r="CH309" s="260"/>
      <c r="CI309" s="260"/>
      <c r="CJ309" s="260"/>
      <c r="CK309" s="260"/>
      <c r="CL309" s="260"/>
      <c r="CM309" s="262"/>
      <c r="CN309" s="260"/>
      <c r="CO309" s="260"/>
      <c r="CP309" s="260"/>
      <c r="CQ309" s="260"/>
      <c r="CR309" s="260"/>
      <c r="CS309" s="262"/>
      <c r="CT309" s="260"/>
      <c r="CU309" s="260"/>
      <c r="CV309" s="260"/>
      <c r="CW309" s="260"/>
      <c r="CX309" s="260"/>
      <c r="CY309" s="262"/>
      <c r="CZ309" s="260"/>
      <c r="DA309" s="260"/>
      <c r="DB309" s="260"/>
      <c r="DC309" s="260"/>
      <c r="DD309" s="260"/>
      <c r="DE309" s="262"/>
      <c r="DF309" s="260"/>
      <c r="DG309" s="260"/>
      <c r="DH309" s="260"/>
      <c r="DI309" s="260"/>
      <c r="DJ309" s="260"/>
      <c r="DK309" s="262"/>
      <c r="DL309" s="260"/>
      <c r="DM309" s="260"/>
      <c r="DN309" s="260"/>
      <c r="DO309" s="260"/>
      <c r="DP309" s="260"/>
      <c r="DQ309" s="262"/>
      <c r="DR309" s="260"/>
      <c r="DS309" s="260"/>
      <c r="DT309" s="260"/>
      <c r="DU309" s="260"/>
      <c r="DV309" s="260"/>
      <c r="DW309" s="262"/>
      <c r="DX309" s="500"/>
      <c r="DY309" s="500"/>
      <c r="DZ309" s="500"/>
      <c r="EA309" s="500"/>
      <c r="EB309" s="500"/>
      <c r="EC309" s="500"/>
      <c r="ED309" s="500"/>
      <c r="EE309" s="500"/>
      <c r="EF309" s="500"/>
      <c r="EG309" s="500"/>
      <c r="EH309" s="500"/>
      <c r="EI309" s="500"/>
    </row>
    <row r="310" spans="1:139">
      <c r="A310" s="260" t="s">
        <v>268</v>
      </c>
      <c r="B310" s="260"/>
      <c r="C310" s="260"/>
      <c r="D310" s="260"/>
      <c r="E310" s="260"/>
      <c r="F310" s="260"/>
      <c r="G310" s="316"/>
      <c r="H310" s="260"/>
      <c r="I310" s="260"/>
      <c r="J310" s="260"/>
      <c r="K310" s="260"/>
      <c r="L310" s="260"/>
      <c r="M310" s="316"/>
      <c r="N310" s="260"/>
      <c r="O310" s="260"/>
      <c r="P310" s="260"/>
      <c r="Q310" s="260"/>
      <c r="R310" s="260"/>
      <c r="S310" s="316"/>
      <c r="T310" s="260"/>
      <c r="U310" s="260"/>
      <c r="V310" s="260"/>
      <c r="W310" s="260"/>
      <c r="X310" s="260"/>
      <c r="Y310" s="316"/>
      <c r="Z310" s="260"/>
      <c r="AA310" s="260"/>
      <c r="AB310" s="260"/>
      <c r="AC310" s="260"/>
      <c r="AD310" s="260"/>
      <c r="AE310" s="316"/>
      <c r="AF310" s="260"/>
      <c r="AG310" s="260"/>
      <c r="AH310" s="260"/>
      <c r="AI310" s="260"/>
      <c r="AJ310" s="260"/>
      <c r="AK310" s="316"/>
      <c r="AL310" s="260"/>
      <c r="AM310" s="260"/>
      <c r="AN310" s="260"/>
      <c r="AO310" s="260"/>
      <c r="AP310" s="260"/>
      <c r="AQ310" s="262">
        <v>14.7</v>
      </c>
      <c r="AR310" s="260"/>
      <c r="AS310" s="260"/>
      <c r="AT310" s="260"/>
      <c r="AU310" s="260"/>
      <c r="AV310" s="260"/>
      <c r="AW310" s="262">
        <v>25.6</v>
      </c>
      <c r="AX310" s="260"/>
      <c r="AY310" s="260"/>
      <c r="AZ310" s="260"/>
      <c r="BA310" s="260"/>
      <c r="BB310" s="260"/>
      <c r="BC310" s="262">
        <v>43.7</v>
      </c>
      <c r="BD310" s="260"/>
      <c r="BE310" s="260"/>
      <c r="BF310" s="260"/>
      <c r="BG310" s="260"/>
      <c r="BH310" s="260"/>
      <c r="BI310" s="507"/>
      <c r="BJ310" s="260"/>
      <c r="BK310" s="260"/>
      <c r="BL310" s="260"/>
      <c r="BM310" s="260"/>
      <c r="BN310" s="260"/>
      <c r="BO310" s="262"/>
      <c r="BP310" s="260"/>
      <c r="BQ310" s="260"/>
      <c r="BR310" s="260"/>
      <c r="BS310" s="260"/>
      <c r="BT310" s="260"/>
      <c r="BU310" s="262"/>
      <c r="BV310" s="260"/>
      <c r="BW310" s="260"/>
      <c r="BX310" s="260"/>
      <c r="BY310" s="260"/>
      <c r="BZ310" s="260"/>
      <c r="CA310" s="262"/>
      <c r="CB310" s="260"/>
      <c r="CC310" s="260"/>
      <c r="CD310" s="260"/>
      <c r="CE310" s="260"/>
      <c r="CF310" s="260"/>
      <c r="CG310" s="262"/>
      <c r="CH310" s="260"/>
      <c r="CI310" s="260"/>
      <c r="CJ310" s="260"/>
      <c r="CK310" s="260"/>
      <c r="CL310" s="260"/>
      <c r="CM310" s="262"/>
      <c r="CN310" s="260"/>
      <c r="CO310" s="260"/>
      <c r="CP310" s="260"/>
      <c r="CQ310" s="260"/>
      <c r="CR310" s="260"/>
      <c r="CS310" s="262"/>
      <c r="CT310" s="260"/>
      <c r="CU310" s="260"/>
      <c r="CV310" s="260"/>
      <c r="CW310" s="260"/>
      <c r="CX310" s="260"/>
      <c r="CY310" s="262"/>
      <c r="CZ310" s="260"/>
      <c r="DA310" s="260"/>
      <c r="DB310" s="260"/>
      <c r="DC310" s="260"/>
      <c r="DD310" s="260"/>
      <c r="DE310" s="262"/>
      <c r="DF310" s="260"/>
      <c r="DG310" s="260"/>
      <c r="DH310" s="260"/>
      <c r="DI310" s="260"/>
      <c r="DJ310" s="260"/>
      <c r="DK310" s="262"/>
      <c r="DL310" s="260"/>
      <c r="DM310" s="260"/>
      <c r="DN310" s="260"/>
      <c r="DO310" s="260"/>
      <c r="DP310" s="260"/>
      <c r="DQ310" s="262"/>
      <c r="DR310" s="260"/>
      <c r="DS310" s="260"/>
      <c r="DT310" s="260"/>
      <c r="DU310" s="260"/>
      <c r="DV310" s="260"/>
      <c r="DW310" s="262"/>
      <c r="DX310" s="500"/>
      <c r="DY310" s="500"/>
      <c r="DZ310" s="500"/>
      <c r="EA310" s="500"/>
      <c r="EB310" s="500"/>
      <c r="EC310" s="500"/>
      <c r="ED310" s="500"/>
      <c r="EE310" s="500"/>
      <c r="EF310" s="500"/>
      <c r="EG310" s="500"/>
      <c r="EH310" s="500"/>
      <c r="EI310" s="500"/>
    </row>
    <row r="311" spans="1:139">
      <c r="A311" s="260"/>
      <c r="B311" s="260"/>
      <c r="C311" s="260"/>
      <c r="D311" s="260"/>
      <c r="E311" s="260"/>
      <c r="F311" s="260"/>
      <c r="G311" s="316"/>
      <c r="H311" s="260"/>
      <c r="I311" s="260"/>
      <c r="J311" s="260"/>
      <c r="K311" s="260"/>
      <c r="L311" s="260"/>
      <c r="M311" s="316"/>
      <c r="N311" s="260"/>
      <c r="O311" s="260"/>
      <c r="P311" s="260"/>
      <c r="Q311" s="260"/>
      <c r="R311" s="260"/>
      <c r="S311" s="316"/>
      <c r="T311" s="260"/>
      <c r="U311" s="260"/>
      <c r="V311" s="260"/>
      <c r="W311" s="260"/>
      <c r="X311" s="260"/>
      <c r="Y311" s="316"/>
      <c r="Z311" s="260"/>
      <c r="AA311" s="260"/>
      <c r="AB311" s="260"/>
      <c r="AC311" s="260"/>
      <c r="AD311" s="260"/>
      <c r="AE311" s="316"/>
      <c r="AF311" s="260"/>
      <c r="AG311" s="260"/>
      <c r="AH311" s="260"/>
      <c r="AI311" s="260"/>
      <c r="AJ311" s="260"/>
      <c r="AK311" s="316"/>
      <c r="AL311" s="260"/>
      <c r="AM311" s="260"/>
      <c r="AN311" s="260"/>
      <c r="AO311" s="260"/>
      <c r="AP311" s="260"/>
      <c r="AQ311" s="507"/>
      <c r="AR311" s="260"/>
      <c r="AS311" s="260"/>
      <c r="AT311" s="260"/>
      <c r="AU311" s="260"/>
      <c r="AV311" s="260"/>
      <c r="AW311" s="507"/>
      <c r="AX311" s="260"/>
      <c r="AY311" s="260"/>
      <c r="AZ311" s="260"/>
      <c r="BA311" s="260"/>
      <c r="BB311" s="260"/>
      <c r="BC311" s="507"/>
      <c r="BD311" s="260"/>
      <c r="BE311" s="260"/>
      <c r="BF311" s="260"/>
      <c r="BG311" s="260"/>
      <c r="BH311" s="260"/>
      <c r="BI311" s="507"/>
      <c r="BJ311" s="260"/>
      <c r="BK311" s="260"/>
      <c r="BL311" s="260"/>
      <c r="BM311" s="260"/>
      <c r="BN311" s="260"/>
      <c r="BO311" s="262"/>
      <c r="BP311" s="260"/>
      <c r="BQ311" s="260"/>
      <c r="BR311" s="260"/>
      <c r="BS311" s="260"/>
      <c r="BT311" s="260"/>
      <c r="BU311" s="262"/>
      <c r="BV311" s="260"/>
      <c r="BW311" s="260"/>
      <c r="BX311" s="260"/>
      <c r="BY311" s="260"/>
      <c r="BZ311" s="260"/>
      <c r="CA311" s="262"/>
      <c r="CB311" s="260"/>
      <c r="CC311" s="260"/>
      <c r="CD311" s="260"/>
      <c r="CE311" s="260"/>
      <c r="CF311" s="260"/>
      <c r="CG311" s="262"/>
      <c r="CH311" s="260"/>
      <c r="CI311" s="260"/>
      <c r="CJ311" s="260"/>
      <c r="CK311" s="260"/>
      <c r="CL311" s="260"/>
      <c r="CM311" s="262"/>
      <c r="CN311" s="260"/>
      <c r="CO311" s="260"/>
      <c r="CP311" s="260"/>
      <c r="CQ311" s="260"/>
      <c r="CR311" s="260"/>
      <c r="CS311" s="262"/>
      <c r="CT311" s="260"/>
      <c r="CU311" s="260"/>
      <c r="CV311" s="260"/>
      <c r="CW311" s="260"/>
      <c r="CX311" s="260"/>
      <c r="CY311" s="262"/>
      <c r="CZ311" s="260"/>
      <c r="DA311" s="260"/>
      <c r="DB311" s="260"/>
      <c r="DC311" s="260"/>
      <c r="DD311" s="260"/>
      <c r="DE311" s="262"/>
      <c r="DF311" s="260"/>
      <c r="DG311" s="260"/>
      <c r="DH311" s="260"/>
      <c r="DI311" s="260"/>
      <c r="DJ311" s="260"/>
      <c r="DK311" s="262"/>
      <c r="DL311" s="260"/>
      <c r="DM311" s="260"/>
      <c r="DN311" s="260"/>
      <c r="DO311" s="260"/>
      <c r="DP311" s="260"/>
      <c r="DQ311" s="262"/>
      <c r="DR311" s="260"/>
      <c r="DS311" s="260"/>
      <c r="DT311" s="260"/>
      <c r="DU311" s="260"/>
      <c r="DV311" s="260"/>
      <c r="DW311" s="262"/>
      <c r="DX311" s="500"/>
      <c r="DY311" s="500"/>
      <c r="DZ311" s="500"/>
      <c r="EA311" s="500"/>
      <c r="EB311" s="500"/>
      <c r="EC311" s="500"/>
      <c r="ED311" s="500"/>
      <c r="EE311" s="500"/>
      <c r="EF311" s="500"/>
      <c r="EG311" s="500"/>
      <c r="EH311" s="500"/>
      <c r="EI311" s="500"/>
    </row>
    <row r="312" spans="1:139" hidden="1" outlineLevel="1">
      <c r="A312" s="260" t="s">
        <v>752</v>
      </c>
      <c r="B312" s="260"/>
      <c r="C312" s="1565">
        <f>C50</f>
        <v>4200</v>
      </c>
      <c r="D312" s="1565">
        <f>D50</f>
        <v>7200</v>
      </c>
      <c r="E312" s="1565">
        <f>E50</f>
        <v>8400</v>
      </c>
      <c r="F312" s="1565">
        <f>F50</f>
        <v>10200</v>
      </c>
      <c r="G312" s="1566">
        <f>SUM(C312:F312)</f>
        <v>30000</v>
      </c>
      <c r="H312" s="260"/>
      <c r="I312" s="1565">
        <f>I50</f>
        <v>5745</v>
      </c>
      <c r="J312" s="1565">
        <f>J50</f>
        <v>5745</v>
      </c>
      <c r="K312" s="1565">
        <f>K50</f>
        <v>5745</v>
      </c>
      <c r="L312" s="1565">
        <f>L50</f>
        <v>5765</v>
      </c>
      <c r="M312" s="1566">
        <f>SUM(I312:L312)</f>
        <v>23000</v>
      </c>
      <c r="N312" s="260"/>
      <c r="O312" s="1565">
        <f>O50</f>
        <v>7000</v>
      </c>
      <c r="P312" s="1565">
        <f>P50</f>
        <v>5000</v>
      </c>
      <c r="Q312" s="1565">
        <f>Q50</f>
        <v>4000</v>
      </c>
      <c r="R312" s="1565">
        <f>R50</f>
        <v>7000</v>
      </c>
      <c r="S312" s="1566">
        <f>SUM(O312:R312)</f>
        <v>23000</v>
      </c>
      <c r="T312" s="260"/>
      <c r="U312" s="1565">
        <f>U50</f>
        <v>9000</v>
      </c>
      <c r="V312" s="1565">
        <f>V50</f>
        <v>11000</v>
      </c>
      <c r="W312" s="1565">
        <f>W50</f>
        <v>11000</v>
      </c>
      <c r="X312" s="1565">
        <f>X50</f>
        <v>20000</v>
      </c>
      <c r="Y312" s="1566">
        <f>SUM(U312:X312)</f>
        <v>51000</v>
      </c>
      <c r="Z312" s="260"/>
      <c r="AA312" s="1565">
        <f>AA50</f>
        <v>20000</v>
      </c>
      <c r="AB312" s="1565">
        <f>AB50</f>
        <v>21000</v>
      </c>
      <c r="AC312" s="1565">
        <f>AC50</f>
        <v>27000</v>
      </c>
      <c r="AD312" s="1565">
        <f>AD50</f>
        <v>32000</v>
      </c>
      <c r="AE312" s="1566">
        <f>SUM(AA312:AD312)</f>
        <v>100000</v>
      </c>
      <c r="AF312" s="260"/>
      <c r="AG312" s="1565">
        <f>AG50</f>
        <v>40000</v>
      </c>
      <c r="AH312" s="1565">
        <f>AH50</f>
        <v>41000</v>
      </c>
      <c r="AI312" s="1565">
        <f>AI50</f>
        <v>43000</v>
      </c>
      <c r="AJ312" s="1565">
        <f>AJ50</f>
        <v>48000</v>
      </c>
      <c r="AK312" s="1566">
        <f>SUM(AG312:AJ312)</f>
        <v>172000</v>
      </c>
      <c r="AL312" s="260"/>
      <c r="AM312" s="1565">
        <f>AM50</f>
        <v>40000</v>
      </c>
      <c r="AN312" s="1565">
        <f>AN50</f>
        <v>41000</v>
      </c>
      <c r="AO312" s="1565">
        <f>AO50</f>
        <v>43000</v>
      </c>
      <c r="AP312" s="1565">
        <f>AP50</f>
        <v>48000</v>
      </c>
      <c r="AQ312" s="1538">
        <f>SUM(AM312:AP312)</f>
        <v>172000</v>
      </c>
      <c r="AR312" s="260"/>
      <c r="AS312" s="1565">
        <f>AS50</f>
        <v>77000</v>
      </c>
      <c r="AT312" s="1565">
        <f>AT50</f>
        <v>97000</v>
      </c>
      <c r="AU312" s="1565">
        <f>AU50</f>
        <v>140000</v>
      </c>
      <c r="AV312" s="1565">
        <f>AV50</f>
        <v>140000</v>
      </c>
      <c r="AW312" s="1538">
        <f>SUM(AS312:AV312)</f>
        <v>454000</v>
      </c>
      <c r="AX312" s="260"/>
      <c r="AY312" s="1565">
        <f>AY50</f>
        <v>110000</v>
      </c>
      <c r="AZ312" s="1565">
        <f>AZ50</f>
        <v>105000</v>
      </c>
      <c r="BA312" s="1565">
        <f>BA50</f>
        <v>123243.48008385743</v>
      </c>
      <c r="BB312" s="1565">
        <f>BB50</f>
        <v>103756.51991614257</v>
      </c>
      <c r="BC312" s="1538">
        <f>SUM(AY312:BB312)</f>
        <v>442000</v>
      </c>
      <c r="BD312" s="260"/>
      <c r="BE312" s="1565">
        <f>BE50</f>
        <v>141379.32098253211</v>
      </c>
      <c r="BF312" s="1565">
        <f>BF50</f>
        <v>95821.168305831961</v>
      </c>
      <c r="BG312" s="1565">
        <f>BG50</f>
        <v>186089.44829267566</v>
      </c>
      <c r="BH312" s="1565">
        <f>BH50</f>
        <v>215336.53429722902</v>
      </c>
      <c r="BI312" s="1538">
        <f>SUM(BE312:BH312)</f>
        <v>638626.47187826876</v>
      </c>
      <c r="BJ312" s="260"/>
      <c r="BK312" s="1565"/>
      <c r="BL312" s="1565"/>
      <c r="BM312" s="1565"/>
      <c r="BN312" s="1565"/>
      <c r="BO312" s="1538"/>
      <c r="BP312" s="260"/>
      <c r="BQ312" s="260"/>
      <c r="BR312" s="260"/>
      <c r="BS312" s="260"/>
      <c r="BT312" s="260"/>
      <c r="BU312" s="262"/>
      <c r="BV312" s="260"/>
      <c r="BW312" s="260"/>
      <c r="BX312" s="260"/>
      <c r="BY312" s="260"/>
      <c r="BZ312" s="260"/>
      <c r="CA312" s="262"/>
      <c r="CB312" s="260"/>
      <c r="CC312" s="260"/>
      <c r="CD312" s="260"/>
      <c r="CE312" s="260"/>
      <c r="CF312" s="260"/>
      <c r="CG312" s="262"/>
      <c r="CH312" s="260"/>
      <c r="CI312" s="260"/>
      <c r="CJ312" s="260"/>
      <c r="CK312" s="260"/>
      <c r="CL312" s="260"/>
      <c r="CM312" s="262"/>
      <c r="CN312" s="260"/>
      <c r="CO312" s="260"/>
      <c r="CP312" s="260"/>
      <c r="CQ312" s="260"/>
      <c r="CR312" s="260"/>
      <c r="CS312" s="262"/>
      <c r="CT312" s="260"/>
      <c r="CU312" s="260"/>
      <c r="CV312" s="260"/>
      <c r="CW312" s="260"/>
      <c r="CX312" s="260"/>
      <c r="CY312" s="262"/>
      <c r="CZ312" s="260"/>
      <c r="DA312" s="260"/>
      <c r="DB312" s="260"/>
      <c r="DC312" s="260"/>
      <c r="DD312" s="260"/>
      <c r="DE312" s="262"/>
      <c r="DF312" s="260"/>
      <c r="DG312" s="260"/>
      <c r="DH312" s="260"/>
      <c r="DI312" s="260"/>
      <c r="DJ312" s="260"/>
      <c r="DK312" s="262"/>
      <c r="DL312" s="260"/>
      <c r="DM312" s="260"/>
      <c r="DN312" s="260"/>
      <c r="DO312" s="260"/>
      <c r="DP312" s="260"/>
      <c r="DQ312" s="262"/>
      <c r="DR312" s="260"/>
      <c r="DS312" s="260"/>
      <c r="DT312" s="260"/>
      <c r="DU312" s="260"/>
      <c r="DV312" s="260"/>
      <c r="DW312" s="262"/>
      <c r="DX312" s="500"/>
      <c r="DY312" s="500"/>
      <c r="DZ312" s="500"/>
      <c r="EA312" s="500"/>
      <c r="EB312" s="500"/>
      <c r="EC312" s="500"/>
      <c r="ED312" s="500"/>
      <c r="EE312" s="500"/>
      <c r="EF312" s="500"/>
      <c r="EG312" s="500"/>
      <c r="EH312" s="500"/>
      <c r="EI312" s="500"/>
    </row>
    <row r="313" spans="1:139" hidden="1" outlineLevel="1">
      <c r="A313" s="260"/>
      <c r="B313" s="260"/>
      <c r="C313" s="260"/>
      <c r="D313" s="260"/>
      <c r="E313" s="260"/>
      <c r="F313" s="260"/>
      <c r="G313" s="316"/>
      <c r="H313" s="260"/>
      <c r="I313" s="260"/>
      <c r="J313" s="260"/>
      <c r="K313" s="260"/>
      <c r="L313" s="260"/>
      <c r="M313" s="316"/>
      <c r="N313" s="260"/>
      <c r="O313" s="260"/>
      <c r="P313" s="260"/>
      <c r="Q313" s="260"/>
      <c r="R313" s="260"/>
      <c r="S313" s="316"/>
      <c r="T313" s="260"/>
      <c r="U313" s="260"/>
      <c r="V313" s="260"/>
      <c r="W313" s="260"/>
      <c r="X313" s="260"/>
      <c r="Y313" s="316"/>
      <c r="Z313" s="260"/>
      <c r="AA313" s="260"/>
      <c r="AB313" s="260"/>
      <c r="AC313" s="260"/>
      <c r="AD313" s="260"/>
      <c r="AE313" s="316"/>
      <c r="AF313" s="260"/>
      <c r="AG313" s="279">
        <f>AG312/AG315</f>
        <v>0.87060615953857878</v>
      </c>
      <c r="AH313" s="279">
        <f>AH312/AH315</f>
        <v>0.82090299329262184</v>
      </c>
      <c r="AI313" s="279">
        <f>AI312/AI315</f>
        <v>0.76587407605307689</v>
      </c>
      <c r="AJ313" s="279">
        <f>AJ312/AJ315</f>
        <v>0.64029880610951773</v>
      </c>
      <c r="AK313" s="279">
        <f>AK312/AK315</f>
        <v>0.75770925110132159</v>
      </c>
      <c r="AL313" s="260"/>
      <c r="AM313" s="279">
        <f>AM312/AM315</f>
        <v>0.46541392751178079</v>
      </c>
      <c r="AN313" s="279">
        <f>AN312/AN315</f>
        <v>0.45082192533949089</v>
      </c>
      <c r="AO313" s="279">
        <f>AO312/AO315</f>
        <v>0.43370820515406727</v>
      </c>
      <c r="AP313" s="279">
        <f>AP312/AP315</f>
        <v>0.39035497905908184</v>
      </c>
      <c r="AQ313" s="871">
        <f>AQ312/AQ315</f>
        <v>0.43107769423558895</v>
      </c>
      <c r="AR313" s="260"/>
      <c r="AS313" s="279">
        <f>AS312/AS315</f>
        <v>0.61137798245265795</v>
      </c>
      <c r="AT313" s="279">
        <f>AT312/AT315</f>
        <v>0.73515479934821326</v>
      </c>
      <c r="AU313" s="279">
        <f>AU312/AU315</f>
        <v>0.98490977522951917</v>
      </c>
      <c r="AV313" s="279">
        <f>AV312/AV315</f>
        <v>0.81888105752639428</v>
      </c>
      <c r="AW313" s="871">
        <f>AW312/AW315</f>
        <v>0.79509632224168125</v>
      </c>
      <c r="AX313" s="260"/>
      <c r="AY313" s="279">
        <f>AY312/AY315</f>
        <v>0.5420187735593387</v>
      </c>
      <c r="AZ313" s="279">
        <f>AZ312/AZ315</f>
        <v>0.45862543405621436</v>
      </c>
      <c r="BA313" s="279">
        <f>BA312/BA315</f>
        <v>0.43680901693759389</v>
      </c>
      <c r="BB313" s="279">
        <f>BB312/BB315</f>
        <v>0.33365980067255985</v>
      </c>
      <c r="BC313" s="871">
        <f>BC312/BC315</f>
        <v>0.43121951219512195</v>
      </c>
      <c r="BD313" s="260"/>
      <c r="BE313" s="279">
        <f>BE312/BE315</f>
        <v>0.45177050594363899</v>
      </c>
      <c r="BF313" s="279">
        <f>BF312/BF315</f>
        <v>0.28693697556732983</v>
      </c>
      <c r="BG313" s="279">
        <f>BG312/BG315</f>
        <v>0.45903980363275682</v>
      </c>
      <c r="BH313" s="279">
        <f>BH312/BH315</f>
        <v>0.51923163847579079</v>
      </c>
      <c r="BI313" s="871">
        <f>BI312/BI315</f>
        <v>0.43532820168934477</v>
      </c>
      <c r="BJ313" s="260"/>
      <c r="BK313" s="279"/>
      <c r="BL313" s="279"/>
      <c r="BM313" s="279"/>
      <c r="BN313" s="279"/>
      <c r="BO313" s="871"/>
      <c r="BP313" s="260"/>
      <c r="BQ313" s="260"/>
      <c r="BR313" s="260"/>
      <c r="BS313" s="260"/>
      <c r="BT313" s="260"/>
      <c r="BU313" s="262"/>
      <c r="BV313" s="260"/>
      <c r="BW313" s="260"/>
      <c r="BX313" s="260"/>
      <c r="BY313" s="260"/>
      <c r="BZ313" s="260"/>
      <c r="CA313" s="262"/>
      <c r="CB313" s="260"/>
      <c r="CC313" s="260"/>
      <c r="CD313" s="260"/>
      <c r="CE313" s="260"/>
      <c r="CF313" s="260"/>
      <c r="CG313" s="262"/>
      <c r="CH313" s="260"/>
      <c r="CI313" s="260"/>
      <c r="CJ313" s="260"/>
      <c r="CK313" s="260"/>
      <c r="CL313" s="260"/>
      <c r="CM313" s="262"/>
      <c r="CN313" s="260"/>
      <c r="CO313" s="260"/>
      <c r="CP313" s="260"/>
      <c r="CQ313" s="260"/>
      <c r="CR313" s="260"/>
      <c r="CS313" s="262"/>
      <c r="CT313" s="260"/>
      <c r="CU313" s="260"/>
      <c r="CV313" s="260"/>
      <c r="CW313" s="260"/>
      <c r="CX313" s="260"/>
      <c r="CY313" s="262"/>
      <c r="CZ313" s="260"/>
      <c r="DA313" s="260"/>
      <c r="DB313" s="260"/>
      <c r="DC313" s="260"/>
      <c r="DD313" s="260"/>
      <c r="DE313" s="262"/>
      <c r="DF313" s="260"/>
      <c r="DG313" s="260"/>
      <c r="DH313" s="260"/>
      <c r="DI313" s="260"/>
      <c r="DJ313" s="260"/>
      <c r="DK313" s="262"/>
      <c r="DL313" s="260"/>
      <c r="DM313" s="260"/>
      <c r="DN313" s="260"/>
      <c r="DO313" s="260"/>
      <c r="DP313" s="260"/>
      <c r="DQ313" s="262"/>
      <c r="DR313" s="260"/>
      <c r="DS313" s="260"/>
      <c r="DT313" s="260"/>
      <c r="DU313" s="260"/>
      <c r="DV313" s="260"/>
      <c r="DW313" s="262"/>
      <c r="DX313" s="500"/>
      <c r="DY313" s="500"/>
      <c r="DZ313" s="500"/>
      <c r="EA313" s="500"/>
      <c r="EB313" s="500"/>
      <c r="EC313" s="500"/>
      <c r="ED313" s="500"/>
      <c r="EE313" s="500"/>
      <c r="EF313" s="500"/>
      <c r="EG313" s="500"/>
      <c r="EH313" s="500"/>
      <c r="EI313" s="500"/>
    </row>
    <row r="314" spans="1:139" hidden="1" outlineLevel="1">
      <c r="A314" s="260"/>
      <c r="B314" s="260"/>
      <c r="C314" s="260"/>
      <c r="D314" s="260"/>
      <c r="E314" s="260"/>
      <c r="F314" s="260"/>
      <c r="G314" s="316"/>
      <c r="H314" s="260"/>
      <c r="I314" s="260"/>
      <c r="J314" s="260"/>
      <c r="K314" s="260"/>
      <c r="L314" s="260"/>
      <c r="M314" s="316"/>
      <c r="N314" s="260"/>
      <c r="O314" s="260"/>
      <c r="P314" s="260"/>
      <c r="Q314" s="260"/>
      <c r="R314" s="260"/>
      <c r="S314" s="316"/>
      <c r="T314" s="260"/>
      <c r="U314" s="260"/>
      <c r="V314" s="260"/>
      <c r="W314" s="260"/>
      <c r="X314" s="260"/>
      <c r="Y314" s="316"/>
      <c r="Z314" s="260"/>
      <c r="AA314" s="260"/>
      <c r="AB314" s="260"/>
      <c r="AC314" s="260"/>
      <c r="AD314" s="260"/>
      <c r="AE314" s="316"/>
      <c r="AF314" s="260"/>
      <c r="AG314" s="260"/>
      <c r="AH314" s="260"/>
      <c r="AI314" s="260"/>
      <c r="AJ314" s="260"/>
      <c r="AK314" s="316"/>
      <c r="AL314" s="260"/>
      <c r="AM314" s="260"/>
      <c r="AN314" s="260"/>
      <c r="AO314" s="260"/>
      <c r="AP314" s="260"/>
      <c r="AQ314" s="507"/>
      <c r="AR314" s="260"/>
      <c r="AS314" s="260"/>
      <c r="AT314" s="260"/>
      <c r="AU314" s="260"/>
      <c r="AV314" s="260"/>
      <c r="AW314" s="507"/>
      <c r="AX314" s="260"/>
      <c r="AY314" s="260"/>
      <c r="AZ314" s="260"/>
      <c r="BA314" s="260"/>
      <c r="BB314" s="260"/>
      <c r="BC314" s="507"/>
      <c r="BD314" s="260"/>
      <c r="BE314" s="260"/>
      <c r="BF314" s="260"/>
      <c r="BG314" s="260"/>
      <c r="BH314" s="260"/>
      <c r="BI314" s="507"/>
      <c r="BJ314" s="260"/>
      <c r="BK314" s="260"/>
      <c r="BL314" s="260"/>
      <c r="BM314" s="260"/>
      <c r="BN314" s="260"/>
      <c r="BO314" s="507"/>
      <c r="BP314" s="260"/>
      <c r="BQ314" s="260"/>
      <c r="BR314" s="260"/>
      <c r="BS314" s="260"/>
      <c r="BT314" s="260"/>
      <c r="BU314" s="262"/>
      <c r="BV314" s="260"/>
      <c r="BW314" s="260"/>
      <c r="BX314" s="260"/>
      <c r="BY314" s="260"/>
      <c r="BZ314" s="260"/>
      <c r="CA314" s="262"/>
      <c r="CB314" s="260"/>
      <c r="CC314" s="260"/>
      <c r="CD314" s="260"/>
      <c r="CE314" s="260"/>
      <c r="CF314" s="260"/>
      <c r="CG314" s="262"/>
      <c r="CH314" s="260"/>
      <c r="CI314" s="260"/>
      <c r="CJ314" s="260"/>
      <c r="CK314" s="260"/>
      <c r="CL314" s="260"/>
      <c r="CM314" s="262"/>
      <c r="CN314" s="260"/>
      <c r="CO314" s="260"/>
      <c r="CP314" s="260"/>
      <c r="CQ314" s="260"/>
      <c r="CR314" s="260"/>
      <c r="CS314" s="262"/>
      <c r="CT314" s="260"/>
      <c r="CU314" s="260"/>
      <c r="CV314" s="260"/>
      <c r="CW314" s="260"/>
      <c r="CX314" s="260"/>
      <c r="CY314" s="262"/>
      <c r="CZ314" s="260"/>
      <c r="DA314" s="260"/>
      <c r="DB314" s="260"/>
      <c r="DC314" s="260"/>
      <c r="DD314" s="260"/>
      <c r="DE314" s="262"/>
      <c r="DF314" s="260"/>
      <c r="DG314" s="260"/>
      <c r="DH314" s="260"/>
      <c r="DI314" s="260"/>
      <c r="DJ314" s="260"/>
      <c r="DK314" s="262"/>
      <c r="DL314" s="260"/>
      <c r="DM314" s="260"/>
      <c r="DN314" s="260"/>
      <c r="DO314" s="260"/>
      <c r="DP314" s="260"/>
      <c r="DQ314" s="262"/>
      <c r="DR314" s="260"/>
      <c r="DS314" s="260"/>
      <c r="DT314" s="260"/>
      <c r="DU314" s="260"/>
      <c r="DV314" s="260"/>
      <c r="DW314" s="262"/>
      <c r="DX314" s="500"/>
      <c r="DY314" s="500"/>
      <c r="DZ314" s="500"/>
      <c r="EA314" s="500"/>
      <c r="EB314" s="500"/>
      <c r="EC314" s="500"/>
      <c r="ED314" s="500"/>
      <c r="EE314" s="500"/>
      <c r="EF314" s="500"/>
      <c r="EG314" s="500"/>
      <c r="EH314" s="500"/>
      <c r="EI314" s="500"/>
    </row>
    <row r="315" spans="1:139" hidden="1" outlineLevel="1">
      <c r="A315" s="260" t="s">
        <v>754</v>
      </c>
      <c r="B315" s="260"/>
      <c r="C315" s="260"/>
      <c r="D315" s="260"/>
      <c r="E315" s="260"/>
      <c r="F315" s="260"/>
      <c r="G315" s="316"/>
      <c r="H315" s="260"/>
      <c r="I315" s="1565">
        <f>C312</f>
        <v>4200</v>
      </c>
      <c r="J315" s="1565">
        <f>D312</f>
        <v>7200</v>
      </c>
      <c r="K315" s="1565">
        <f>E312</f>
        <v>8400</v>
      </c>
      <c r="L315" s="1565">
        <f>F312</f>
        <v>10200</v>
      </c>
      <c r="M315" s="316"/>
      <c r="N315" s="260"/>
      <c r="O315" s="1565">
        <f>I315+I312</f>
        <v>9945</v>
      </c>
      <c r="P315" s="1565">
        <f>J315+J312</f>
        <v>12945</v>
      </c>
      <c r="Q315" s="1565">
        <f>K315+K312</f>
        <v>14145</v>
      </c>
      <c r="R315" s="1565">
        <f>L315+L312</f>
        <v>15965</v>
      </c>
      <c r="S315" s="1566">
        <f>SUM(O315:R315)</f>
        <v>53000</v>
      </c>
      <c r="T315" s="260"/>
      <c r="U315" s="1565">
        <f>O315+O312</f>
        <v>16945</v>
      </c>
      <c r="V315" s="1565">
        <f>P315+P312</f>
        <v>17945</v>
      </c>
      <c r="W315" s="1565">
        <f>Q315+Q312</f>
        <v>18145</v>
      </c>
      <c r="X315" s="1565">
        <f>R315+R312</f>
        <v>22965</v>
      </c>
      <c r="Y315" s="1566">
        <f>SUM(U315:X315)</f>
        <v>76000</v>
      </c>
      <c r="Z315" s="260"/>
      <c r="AA315" s="1565">
        <f>U315+U312</f>
        <v>25945</v>
      </c>
      <c r="AB315" s="1565">
        <f>V315+V312</f>
        <v>28945</v>
      </c>
      <c r="AC315" s="1565">
        <f>W315+W312</f>
        <v>29145</v>
      </c>
      <c r="AD315" s="1565">
        <f>X315+X312</f>
        <v>42965</v>
      </c>
      <c r="AE315" s="1566">
        <f>SUM(AA315:AD315)</f>
        <v>127000</v>
      </c>
      <c r="AF315" s="260"/>
      <c r="AG315" s="1565">
        <f>AA315+AA312</f>
        <v>45945</v>
      </c>
      <c r="AH315" s="1565">
        <f>AB315+AB312</f>
        <v>49945</v>
      </c>
      <c r="AI315" s="1565">
        <f>AC315+AC312</f>
        <v>56145</v>
      </c>
      <c r="AJ315" s="1565">
        <f>AD315+AD312</f>
        <v>74965</v>
      </c>
      <c r="AK315" s="1566">
        <f>SUM(AG315:AJ315)</f>
        <v>227000</v>
      </c>
      <c r="AL315" s="260"/>
      <c r="AM315" s="1565">
        <f>AG315+AG312</f>
        <v>85945</v>
      </c>
      <c r="AN315" s="1565">
        <f>AH315+AH312</f>
        <v>90945</v>
      </c>
      <c r="AO315" s="1565">
        <f>AI315+AI312</f>
        <v>99145</v>
      </c>
      <c r="AP315" s="1565">
        <f>AJ315+AJ312</f>
        <v>122965</v>
      </c>
      <c r="AQ315" s="1538">
        <f>SUM(AM315:AP315)</f>
        <v>399000</v>
      </c>
      <c r="AR315" s="260"/>
      <c r="AS315" s="1565">
        <f>AM315+AM312</f>
        <v>125945</v>
      </c>
      <c r="AT315" s="1565">
        <f>AN315+AN312</f>
        <v>131945</v>
      </c>
      <c r="AU315" s="1565">
        <f>AO315+AO312</f>
        <v>142145</v>
      </c>
      <c r="AV315" s="1565">
        <f>AP315+AP312</f>
        <v>170965</v>
      </c>
      <c r="AW315" s="1538">
        <f>SUM(AS315:AV315)</f>
        <v>571000</v>
      </c>
      <c r="AX315" s="260"/>
      <c r="AY315" s="1565">
        <f>AS315+AS312</f>
        <v>202945</v>
      </c>
      <c r="AZ315" s="1565">
        <f>AT315+AT312</f>
        <v>228945</v>
      </c>
      <c r="BA315" s="1565">
        <f>AU315+AU312</f>
        <v>282145</v>
      </c>
      <c r="BB315" s="1565">
        <f>AV315+AV312</f>
        <v>310965</v>
      </c>
      <c r="BC315" s="1538">
        <f>SUM(AY315:BB315)</f>
        <v>1025000</v>
      </c>
      <c r="BD315" s="260"/>
      <c r="BE315" s="1565">
        <f>AY315+AY312</f>
        <v>312945</v>
      </c>
      <c r="BF315" s="1565">
        <f>AZ315+AZ312</f>
        <v>333945</v>
      </c>
      <c r="BG315" s="1565">
        <f>BA315+BA312</f>
        <v>405388.48008385743</v>
      </c>
      <c r="BH315" s="1565">
        <f>BB315+BB312</f>
        <v>414721.51991614257</v>
      </c>
      <c r="BI315" s="1538">
        <f>SUM(BE315:BH315)</f>
        <v>1467000</v>
      </c>
      <c r="BJ315" s="260"/>
      <c r="BK315" s="1565"/>
      <c r="BL315" s="1565"/>
      <c r="BM315" s="1565"/>
      <c r="BN315" s="1565"/>
      <c r="BO315" s="1538"/>
      <c r="BP315" s="260"/>
      <c r="BQ315" s="260"/>
      <c r="BR315" s="260"/>
      <c r="BS315" s="260"/>
      <c r="BT315" s="260"/>
      <c r="BU315" s="262"/>
      <c r="BV315" s="260"/>
      <c r="BW315" s="260"/>
      <c r="BX315" s="260"/>
      <c r="BY315" s="260"/>
      <c r="BZ315" s="260"/>
      <c r="CA315" s="262"/>
      <c r="CB315" s="260"/>
      <c r="CC315" s="260"/>
      <c r="CD315" s="260"/>
      <c r="CE315" s="260"/>
      <c r="CF315" s="260"/>
      <c r="CG315" s="262"/>
      <c r="CH315" s="260"/>
      <c r="CI315" s="260"/>
      <c r="CJ315" s="260"/>
      <c r="CK315" s="260"/>
      <c r="CL315" s="260"/>
      <c r="CM315" s="262"/>
      <c r="CN315" s="260"/>
      <c r="CO315" s="260"/>
      <c r="CP315" s="260"/>
      <c r="CQ315" s="260"/>
      <c r="CR315" s="260"/>
      <c r="CS315" s="262"/>
      <c r="CT315" s="260"/>
      <c r="CU315" s="260"/>
      <c r="CV315" s="260"/>
      <c r="CW315" s="260"/>
      <c r="CX315" s="260"/>
      <c r="CY315" s="262"/>
      <c r="CZ315" s="260"/>
      <c r="DA315" s="260"/>
      <c r="DB315" s="260"/>
      <c r="DC315" s="260"/>
      <c r="DD315" s="260"/>
      <c r="DE315" s="262"/>
      <c r="DF315" s="260"/>
      <c r="DG315" s="260"/>
      <c r="DH315" s="260"/>
      <c r="DI315" s="260"/>
      <c r="DJ315" s="260"/>
      <c r="DK315" s="262"/>
      <c r="DL315" s="260"/>
      <c r="DM315" s="260"/>
      <c r="DN315" s="260"/>
      <c r="DO315" s="260"/>
      <c r="DP315" s="260"/>
      <c r="DQ315" s="262"/>
      <c r="DR315" s="260"/>
      <c r="DS315" s="260"/>
      <c r="DT315" s="260"/>
      <c r="DU315" s="260"/>
      <c r="DV315" s="260"/>
      <c r="DW315" s="262"/>
      <c r="DX315" s="500"/>
      <c r="DY315" s="500"/>
      <c r="DZ315" s="500"/>
      <c r="EA315" s="500"/>
      <c r="EB315" s="500"/>
      <c r="EC315" s="500"/>
      <c r="ED315" s="500"/>
      <c r="EE315" s="500"/>
      <c r="EF315" s="500"/>
      <c r="EG315" s="500"/>
      <c r="EH315" s="500"/>
      <c r="EI315" s="500"/>
    </row>
    <row r="316" spans="1:139" hidden="1" outlineLevel="1">
      <c r="A316" s="260"/>
      <c r="B316" s="260"/>
      <c r="C316" s="260"/>
      <c r="D316" s="260"/>
      <c r="E316" s="260"/>
      <c r="F316" s="260"/>
      <c r="G316" s="316"/>
      <c r="H316" s="260"/>
      <c r="I316" s="260"/>
      <c r="J316" s="260"/>
      <c r="K316" s="260"/>
      <c r="L316" s="260"/>
      <c r="M316" s="316"/>
      <c r="N316" s="260"/>
      <c r="O316" s="260"/>
      <c r="P316" s="260"/>
      <c r="Q316" s="260"/>
      <c r="R316" s="260"/>
      <c r="S316" s="316"/>
      <c r="T316" s="260"/>
      <c r="U316" s="260"/>
      <c r="V316" s="260"/>
      <c r="W316" s="260"/>
      <c r="X316" s="260"/>
      <c r="Y316" s="316"/>
      <c r="Z316" s="260"/>
      <c r="AA316" s="260"/>
      <c r="AB316" s="260"/>
      <c r="AC316" s="260"/>
      <c r="AD316" s="260"/>
      <c r="AE316" s="316"/>
      <c r="AF316" s="260"/>
      <c r="AG316" s="260"/>
      <c r="AH316" s="260"/>
      <c r="AI316" s="260"/>
      <c r="AJ316" s="260"/>
      <c r="AK316" s="316"/>
      <c r="AL316" s="260"/>
      <c r="AM316" s="260"/>
      <c r="AN316" s="260"/>
      <c r="AO316" s="260"/>
      <c r="AP316" s="260"/>
      <c r="AQ316" s="507"/>
      <c r="AR316" s="260"/>
      <c r="AS316" s="260"/>
      <c r="AT316" s="260"/>
      <c r="AU316" s="260"/>
      <c r="AV316" s="260"/>
      <c r="AW316" s="507"/>
      <c r="AX316" s="260"/>
      <c r="AY316" s="260"/>
      <c r="AZ316" s="260"/>
      <c r="BA316" s="260"/>
      <c r="BB316" s="260"/>
      <c r="BC316" s="507"/>
      <c r="BD316" s="260"/>
      <c r="BE316" s="260"/>
      <c r="BF316" s="260"/>
      <c r="BG316" s="260"/>
      <c r="BH316" s="260"/>
      <c r="BI316" s="507"/>
      <c r="BJ316" s="260"/>
      <c r="BK316" s="260"/>
      <c r="BL316" s="260"/>
      <c r="BM316" s="260"/>
      <c r="BN316" s="260"/>
      <c r="BO316" s="507"/>
      <c r="BP316" s="260"/>
      <c r="BQ316" s="260"/>
      <c r="BR316" s="260"/>
      <c r="BS316" s="260"/>
      <c r="BT316" s="260"/>
      <c r="BU316" s="262"/>
      <c r="BV316" s="260"/>
      <c r="BW316" s="260"/>
      <c r="BX316" s="260"/>
      <c r="BY316" s="260"/>
      <c r="BZ316" s="260"/>
      <c r="CA316" s="262"/>
      <c r="CB316" s="260"/>
      <c r="CC316" s="260"/>
      <c r="CD316" s="260"/>
      <c r="CE316" s="260"/>
      <c r="CF316" s="260"/>
      <c r="CG316" s="262"/>
      <c r="CH316" s="260"/>
      <c r="CI316" s="260"/>
      <c r="CJ316" s="260"/>
      <c r="CK316" s="260"/>
      <c r="CL316" s="260"/>
      <c r="CM316" s="262"/>
      <c r="CN316" s="260"/>
      <c r="CO316" s="260"/>
      <c r="CP316" s="260"/>
      <c r="CQ316" s="260"/>
      <c r="CR316" s="260"/>
      <c r="CS316" s="262"/>
      <c r="CT316" s="260"/>
      <c r="CU316" s="260"/>
      <c r="CV316" s="260"/>
      <c r="CW316" s="260"/>
      <c r="CX316" s="260"/>
      <c r="CY316" s="262"/>
      <c r="CZ316" s="260"/>
      <c r="DA316" s="260"/>
      <c r="DB316" s="260"/>
      <c r="DC316" s="260"/>
      <c r="DD316" s="260"/>
      <c r="DE316" s="262"/>
      <c r="DF316" s="260"/>
      <c r="DG316" s="260"/>
      <c r="DH316" s="260"/>
      <c r="DI316" s="260"/>
      <c r="DJ316" s="260"/>
      <c r="DK316" s="262"/>
      <c r="DL316" s="260"/>
      <c r="DM316" s="260"/>
      <c r="DN316" s="260"/>
      <c r="DO316" s="260"/>
      <c r="DP316" s="260"/>
      <c r="DQ316" s="262"/>
      <c r="DR316" s="260"/>
      <c r="DS316" s="260"/>
      <c r="DT316" s="260"/>
      <c r="DU316" s="260"/>
      <c r="DV316" s="260"/>
      <c r="DW316" s="262"/>
      <c r="DX316" s="500"/>
      <c r="DY316" s="500"/>
      <c r="DZ316" s="500"/>
      <c r="EA316" s="500"/>
      <c r="EB316" s="500"/>
      <c r="EC316" s="500"/>
      <c r="ED316" s="500"/>
      <c r="EE316" s="500"/>
      <c r="EF316" s="500"/>
      <c r="EG316" s="500"/>
      <c r="EH316" s="500"/>
      <c r="EI316" s="500"/>
    </row>
    <row r="317" spans="1:139" hidden="1" outlineLevel="1">
      <c r="A317" s="260"/>
      <c r="B317" s="260"/>
      <c r="C317" s="260"/>
      <c r="D317" s="260"/>
      <c r="E317" s="260"/>
      <c r="F317" s="260"/>
      <c r="G317" s="316"/>
      <c r="H317" s="260"/>
      <c r="I317" s="260"/>
      <c r="J317" s="260"/>
      <c r="K317" s="260"/>
      <c r="L317" s="260"/>
      <c r="M317" s="316"/>
      <c r="N317" s="260"/>
      <c r="O317" s="260"/>
      <c r="P317" s="260"/>
      <c r="Q317" s="260"/>
      <c r="R317" s="260"/>
      <c r="S317" s="316"/>
      <c r="T317" s="260"/>
      <c r="U317" s="260"/>
      <c r="V317" s="260"/>
      <c r="W317" s="260"/>
      <c r="X317" s="260"/>
      <c r="Y317" s="316"/>
      <c r="Z317" s="260"/>
      <c r="AA317" s="260"/>
      <c r="AB317" s="260"/>
      <c r="AC317" s="260"/>
      <c r="AD317" s="260"/>
      <c r="AE317" s="316"/>
      <c r="AF317" s="260"/>
      <c r="AG317" s="260"/>
      <c r="AH317" s="260"/>
      <c r="AI317" s="260"/>
      <c r="AJ317" s="260"/>
      <c r="AK317" s="316"/>
      <c r="AL317" s="260"/>
      <c r="AM317" s="260"/>
      <c r="AN317" s="260"/>
      <c r="AO317" s="260"/>
      <c r="AP317" s="260"/>
      <c r="AQ317" s="507"/>
      <c r="AR317" s="260"/>
      <c r="AS317" s="260"/>
      <c r="AT317" s="260"/>
      <c r="AU317" s="260"/>
      <c r="AV317" s="260"/>
      <c r="AW317" s="507"/>
      <c r="AX317" s="260"/>
      <c r="AY317" s="260"/>
      <c r="AZ317" s="260"/>
      <c r="BA317" s="260"/>
      <c r="BB317" s="260"/>
      <c r="BC317" s="507"/>
      <c r="BD317" s="260"/>
      <c r="BE317" s="260"/>
      <c r="BF317" s="260"/>
      <c r="BG317" s="260"/>
      <c r="BH317" s="260"/>
      <c r="BI317" s="507"/>
      <c r="BJ317" s="260"/>
      <c r="BK317" s="260"/>
      <c r="BL317" s="260"/>
      <c r="BM317" s="260"/>
      <c r="BN317" s="260"/>
      <c r="BO317" s="507"/>
      <c r="BP317" s="260"/>
      <c r="BQ317" s="260"/>
      <c r="BR317" s="260"/>
      <c r="BS317" s="260"/>
      <c r="BT317" s="260"/>
      <c r="BU317" s="262"/>
      <c r="BV317" s="260"/>
      <c r="BW317" s="260"/>
      <c r="BX317" s="260"/>
      <c r="BY317" s="260"/>
      <c r="BZ317" s="260"/>
      <c r="CA317" s="262"/>
      <c r="CB317" s="260"/>
      <c r="CC317" s="260"/>
      <c r="CD317" s="260"/>
      <c r="CE317" s="260"/>
      <c r="CF317" s="260"/>
      <c r="CG317" s="262"/>
      <c r="CH317" s="260"/>
      <c r="CI317" s="260"/>
      <c r="CJ317" s="260"/>
      <c r="CK317" s="260"/>
      <c r="CL317" s="260"/>
      <c r="CM317" s="262"/>
      <c r="CN317" s="260"/>
      <c r="CO317" s="260"/>
      <c r="CP317" s="260"/>
      <c r="CQ317" s="260"/>
      <c r="CR317" s="260"/>
      <c r="CS317" s="262"/>
      <c r="CT317" s="260"/>
      <c r="CU317" s="260"/>
      <c r="CV317" s="260"/>
      <c r="CW317" s="260"/>
      <c r="CX317" s="260"/>
      <c r="CY317" s="262"/>
      <c r="CZ317" s="260"/>
      <c r="DA317" s="260"/>
      <c r="DB317" s="260"/>
      <c r="DC317" s="260"/>
      <c r="DD317" s="260"/>
      <c r="DE317" s="262"/>
      <c r="DF317" s="260"/>
      <c r="DG317" s="260"/>
      <c r="DH317" s="260"/>
      <c r="DI317" s="260"/>
      <c r="DJ317" s="260"/>
      <c r="DK317" s="262"/>
      <c r="DL317" s="260"/>
      <c r="DM317" s="260"/>
      <c r="DN317" s="260"/>
      <c r="DO317" s="260"/>
      <c r="DP317" s="260"/>
      <c r="DQ317" s="262"/>
      <c r="DR317" s="260"/>
      <c r="DS317" s="260"/>
      <c r="DT317" s="260"/>
      <c r="DU317" s="260"/>
      <c r="DV317" s="260"/>
      <c r="DW317" s="262"/>
      <c r="DX317" s="500"/>
      <c r="DY317" s="500"/>
      <c r="DZ317" s="500"/>
      <c r="EA317" s="500"/>
      <c r="EB317" s="500"/>
      <c r="EC317" s="500"/>
      <c r="ED317" s="500"/>
      <c r="EE317" s="500"/>
      <c r="EF317" s="500"/>
      <c r="EG317" s="500"/>
      <c r="EH317" s="500"/>
      <c r="EI317" s="500"/>
    </row>
    <row r="318" spans="1:139" hidden="1" outlineLevel="1">
      <c r="A318" s="260" t="s">
        <v>753</v>
      </c>
      <c r="B318" s="260"/>
      <c r="C318" s="260"/>
      <c r="D318" s="260"/>
      <c r="E318" s="260"/>
      <c r="F318" s="260"/>
      <c r="G318" s="316"/>
      <c r="H318" s="260"/>
      <c r="I318" s="260"/>
      <c r="J318" s="260"/>
      <c r="K318" s="260"/>
      <c r="L318" s="260"/>
      <c r="M318" s="316"/>
      <c r="N318" s="260"/>
      <c r="O318" s="260"/>
      <c r="P318" s="260"/>
      <c r="Q318" s="260"/>
      <c r="R318" s="260"/>
      <c r="S318" s="316"/>
      <c r="T318" s="260"/>
      <c r="U318" s="260"/>
      <c r="V318" s="260"/>
      <c r="W318" s="260"/>
      <c r="X318" s="260"/>
      <c r="Y318" s="316"/>
      <c r="Z318" s="260"/>
      <c r="AA318" s="260"/>
      <c r="AB318" s="260"/>
      <c r="AC318" s="260"/>
      <c r="AD318" s="260"/>
      <c r="AE318" s="316"/>
      <c r="AF318" s="260"/>
      <c r="AG318" s="1565">
        <f>AG54</f>
        <v>247000</v>
      </c>
      <c r="AH318" s="1565">
        <f>AH54</f>
        <v>287000</v>
      </c>
      <c r="AI318" s="1565">
        <f>AI54</f>
        <v>327500</v>
      </c>
      <c r="AJ318" s="1565">
        <f>AJ54</f>
        <v>370500</v>
      </c>
      <c r="AK318" s="316"/>
      <c r="AL318" s="260"/>
      <c r="AM318" s="1565">
        <f>AM54</f>
        <v>415500</v>
      </c>
      <c r="AN318" s="1565">
        <f>AN54</f>
        <v>466500</v>
      </c>
      <c r="AO318" s="1565">
        <f>AO54</f>
        <v>525500</v>
      </c>
      <c r="AP318" s="1565">
        <f>AP54</f>
        <v>580000</v>
      </c>
      <c r="AQ318" s="507"/>
      <c r="AR318" s="260"/>
      <c r="AS318" s="1565">
        <f>AS54</f>
        <v>642500</v>
      </c>
      <c r="AT318" s="1565">
        <f>AT54</f>
        <v>729500</v>
      </c>
      <c r="AU318" s="1565">
        <f>AU54</f>
        <v>848000</v>
      </c>
      <c r="AV318" s="1565">
        <f>AV54</f>
        <v>988000</v>
      </c>
      <c r="AW318" s="507"/>
      <c r="AX318" s="260"/>
      <c r="AY318" s="1565">
        <f>AY54</f>
        <v>1113000</v>
      </c>
      <c r="AZ318" s="1565">
        <f>AZ54</f>
        <v>1220500</v>
      </c>
      <c r="BA318" s="1565">
        <f>BA54</f>
        <v>1334621.7400419288</v>
      </c>
      <c r="BB318" s="1565">
        <f>BB54</f>
        <v>1448121.7400419288</v>
      </c>
      <c r="BC318" s="507"/>
      <c r="BD318" s="260"/>
      <c r="BE318" s="1565">
        <f>BE54</f>
        <v>1570689.6604912661</v>
      </c>
      <c r="BF318" s="1565">
        <f>BF54</f>
        <v>1689289.9051354481</v>
      </c>
      <c r="BG318" s="1565">
        <f>BG54</f>
        <v>1830245.2134347018</v>
      </c>
      <c r="BH318" s="1565">
        <f>BH54</f>
        <v>2030958.2047296544</v>
      </c>
      <c r="BI318" s="507"/>
      <c r="BJ318" s="260"/>
      <c r="BK318" s="1565"/>
      <c r="BL318" s="1565"/>
      <c r="BM318" s="1565"/>
      <c r="BN318" s="1565"/>
      <c r="BO318" s="507"/>
      <c r="BP318" s="260"/>
      <c r="BQ318" s="260"/>
      <c r="BR318" s="260"/>
      <c r="BS318" s="260"/>
      <c r="BT318" s="260"/>
      <c r="BU318" s="262"/>
      <c r="BV318" s="260"/>
      <c r="BW318" s="260"/>
      <c r="BX318" s="260"/>
      <c r="BY318" s="260"/>
      <c r="BZ318" s="260"/>
      <c r="CA318" s="262"/>
      <c r="CB318" s="260"/>
      <c r="CC318" s="260"/>
      <c r="CD318" s="260"/>
      <c r="CE318" s="260"/>
      <c r="CF318" s="260"/>
      <c r="CG318" s="262"/>
      <c r="CH318" s="260"/>
      <c r="CI318" s="260"/>
      <c r="CJ318" s="260"/>
      <c r="CK318" s="260"/>
      <c r="CL318" s="260"/>
      <c r="CM318" s="262"/>
      <c r="CN318" s="260"/>
      <c r="CO318" s="260"/>
      <c r="CP318" s="260"/>
      <c r="CQ318" s="260"/>
      <c r="CR318" s="260"/>
      <c r="CS318" s="262"/>
      <c r="CT318" s="260"/>
      <c r="CU318" s="260"/>
      <c r="CV318" s="260"/>
      <c r="CW318" s="260"/>
      <c r="CX318" s="260"/>
      <c r="CY318" s="262"/>
      <c r="CZ318" s="260"/>
      <c r="DA318" s="260"/>
      <c r="DB318" s="260"/>
      <c r="DC318" s="260"/>
      <c r="DD318" s="260"/>
      <c r="DE318" s="262"/>
      <c r="DF318" s="260"/>
      <c r="DG318" s="260"/>
      <c r="DH318" s="260"/>
      <c r="DI318" s="260"/>
      <c r="DJ318" s="260"/>
      <c r="DK318" s="262"/>
      <c r="DL318" s="260"/>
      <c r="DM318" s="260"/>
      <c r="DN318" s="260"/>
      <c r="DO318" s="260"/>
      <c r="DP318" s="260"/>
      <c r="DQ318" s="262"/>
      <c r="DR318" s="260"/>
      <c r="DS318" s="260"/>
      <c r="DT318" s="260"/>
      <c r="DU318" s="260"/>
      <c r="DV318" s="260"/>
      <c r="DW318" s="262"/>
      <c r="DX318" s="500"/>
      <c r="DY318" s="500"/>
      <c r="DZ318" s="500"/>
      <c r="EA318" s="500"/>
      <c r="EB318" s="500"/>
      <c r="EC318" s="500"/>
      <c r="ED318" s="500"/>
      <c r="EE318" s="500"/>
      <c r="EF318" s="500"/>
      <c r="EG318" s="500"/>
      <c r="EH318" s="500"/>
      <c r="EI318" s="500"/>
    </row>
    <row r="319" spans="1:139" collapsed="1">
      <c r="A319" s="260"/>
      <c r="B319" s="260"/>
      <c r="C319" s="260"/>
      <c r="D319" s="260"/>
      <c r="E319" s="260"/>
      <c r="F319" s="260"/>
      <c r="G319" s="316"/>
      <c r="H319" s="260"/>
      <c r="I319" s="260"/>
      <c r="J319" s="260"/>
      <c r="K319" s="260"/>
      <c r="L319" s="260"/>
      <c r="M319" s="316"/>
      <c r="N319" s="260"/>
      <c r="O319" s="260"/>
      <c r="P319" s="260"/>
      <c r="Q319" s="260"/>
      <c r="R319" s="260"/>
      <c r="S319" s="316"/>
      <c r="T319" s="260"/>
      <c r="U319" s="260"/>
      <c r="V319" s="260"/>
      <c r="W319" s="260"/>
      <c r="X319" s="260"/>
      <c r="Y319" s="316"/>
      <c r="Z319" s="260"/>
      <c r="AA319" s="260"/>
      <c r="AB319" s="260"/>
      <c r="AC319" s="260"/>
      <c r="AD319" s="260"/>
      <c r="AE319" s="316"/>
      <c r="AF319" s="260"/>
      <c r="AG319" s="261"/>
      <c r="AH319" s="261"/>
      <c r="AI319" s="261"/>
      <c r="AJ319" s="261"/>
      <c r="AK319" s="316"/>
      <c r="AL319" s="260"/>
      <c r="AM319" s="260"/>
      <c r="AN319" s="260"/>
      <c r="AO319" s="260"/>
      <c r="AP319" s="260"/>
      <c r="AQ319" s="507"/>
      <c r="AR319" s="260"/>
      <c r="AS319" s="260"/>
      <c r="AT319" s="260"/>
      <c r="AU319" s="260"/>
      <c r="AV319" s="260"/>
      <c r="AW319" s="507"/>
      <c r="AX319" s="260"/>
      <c r="AY319" s="260"/>
      <c r="AZ319" s="260"/>
      <c r="BA319" s="260"/>
      <c r="BB319" s="260"/>
      <c r="BC319" s="507"/>
      <c r="BD319" s="260"/>
      <c r="BE319" s="260"/>
      <c r="BF319" s="260"/>
      <c r="BG319" s="260"/>
      <c r="BH319" s="260"/>
      <c r="BI319" s="507"/>
      <c r="BJ319" s="260"/>
      <c r="BK319" s="260"/>
      <c r="BL319" s="260"/>
      <c r="BM319" s="260"/>
      <c r="BN319" s="260"/>
      <c r="BO319" s="262"/>
      <c r="BP319" s="260"/>
      <c r="BQ319" s="260"/>
      <c r="BR319" s="260"/>
      <c r="BS319" s="260"/>
      <c r="BT319" s="260"/>
      <c r="BU319" s="262"/>
      <c r="BV319" s="260"/>
      <c r="BW319" s="260"/>
      <c r="BX319" s="260"/>
      <c r="BY319" s="260"/>
      <c r="BZ319" s="260"/>
      <c r="CA319" s="262"/>
      <c r="CB319" s="260"/>
      <c r="CC319" s="260"/>
      <c r="CD319" s="260"/>
      <c r="CE319" s="260"/>
      <c r="CF319" s="260"/>
      <c r="CG319" s="262"/>
      <c r="CH319" s="260"/>
      <c r="CI319" s="260"/>
      <c r="CJ319" s="260"/>
      <c r="CK319" s="260"/>
      <c r="CL319" s="260"/>
      <c r="CM319" s="262"/>
      <c r="CN319" s="260"/>
      <c r="CO319" s="260"/>
      <c r="CP319" s="260"/>
      <c r="CQ319" s="260"/>
      <c r="CR319" s="260"/>
      <c r="CS319" s="262"/>
      <c r="CT319" s="260"/>
      <c r="CU319" s="260"/>
      <c r="CV319" s="260"/>
      <c r="CW319" s="260"/>
      <c r="CX319" s="260"/>
      <c r="CY319" s="262"/>
      <c r="CZ319" s="260"/>
      <c r="DA319" s="260"/>
      <c r="DB319" s="260"/>
      <c r="DC319" s="260"/>
      <c r="DD319" s="260"/>
      <c r="DE319" s="262"/>
      <c r="DF319" s="260"/>
      <c r="DG319" s="260"/>
      <c r="DH319" s="260"/>
      <c r="DI319" s="260"/>
      <c r="DJ319" s="260"/>
      <c r="DK319" s="262"/>
      <c r="DL319" s="260"/>
      <c r="DM319" s="260"/>
      <c r="DN319" s="260"/>
      <c r="DO319" s="260"/>
      <c r="DP319" s="260"/>
      <c r="DQ319" s="262"/>
      <c r="DR319" s="260"/>
      <c r="DS319" s="260"/>
      <c r="DT319" s="260"/>
      <c r="DU319" s="260"/>
      <c r="DV319" s="260"/>
      <c r="DW319" s="262"/>
      <c r="DX319" s="500"/>
      <c r="DY319" s="500"/>
      <c r="DZ319" s="500"/>
      <c r="EA319" s="500"/>
      <c r="EB319" s="500"/>
      <c r="EC319" s="500"/>
      <c r="ED319" s="500"/>
      <c r="EE319" s="500"/>
      <c r="EF319" s="500"/>
      <c r="EG319" s="500"/>
      <c r="EH319" s="500"/>
      <c r="EI319" s="500"/>
    </row>
    <row r="320" spans="1:139">
      <c r="A320" s="260" t="s">
        <v>824</v>
      </c>
      <c r="B320" s="260"/>
      <c r="C320" s="260"/>
      <c r="D320" s="260"/>
      <c r="E320" s="260"/>
      <c r="F320" s="260"/>
      <c r="G320" s="316"/>
      <c r="H320" s="260"/>
      <c r="I320" s="260"/>
      <c r="J320" s="260"/>
      <c r="K320" s="260"/>
      <c r="L320" s="260"/>
      <c r="M320" s="316"/>
      <c r="N320" s="260"/>
      <c r="O320" s="912">
        <f>O307/O17*1000000</f>
        <v>1532.051282051282</v>
      </c>
      <c r="P320" s="912">
        <f>P307/P17*1000000</f>
        <v>1611.521739130435</v>
      </c>
      <c r="Q320" s="912">
        <f>Q307/Q17*1000000</f>
        <v>2007.8000000000002</v>
      </c>
      <c r="R320" s="912">
        <f>R307/R17*1000000</f>
        <v>1869.4444444444446</v>
      </c>
      <c r="S320" s="316"/>
      <c r="T320" s="260"/>
      <c r="U320" s="912">
        <f>U307/U17*1000000</f>
        <v>1776</v>
      </c>
      <c r="V320" s="912">
        <f>V307/V17*1000000</f>
        <v>1835.3383458646617</v>
      </c>
      <c r="W320" s="912">
        <f>W307/W17*1000000</f>
        <v>1985.9863945578229</v>
      </c>
      <c r="X320" s="912">
        <f>X307/X17*1000000</f>
        <v>2090.4878048780488</v>
      </c>
      <c r="Y320" s="316"/>
      <c r="Z320" s="260"/>
      <c r="AA320" s="912">
        <f>AA307/AA17*1000000</f>
        <v>2207.0270270270266</v>
      </c>
      <c r="AB320" s="912">
        <f>AB307/AB17*1000000</f>
        <v>2155.5023923444974</v>
      </c>
      <c r="AC320" s="912">
        <f>AC307/AC17*1000000</f>
        <v>2113.5593220338983</v>
      </c>
      <c r="AD320" s="912">
        <f>AD307/AD17*1000000</f>
        <v>2153.8636363636365</v>
      </c>
      <c r="AE320" s="316"/>
      <c r="AF320" s="260"/>
      <c r="AG320" s="912">
        <f>AG307/AG17*1000000</f>
        <v>2347.0748299319725</v>
      </c>
      <c r="AH320" s="912">
        <f>AH307/AH17*1000000</f>
        <v>2141.2345679012346</v>
      </c>
      <c r="AI320" s="912">
        <f>AI307/AI17*1000000</f>
        <v>2129.4943820224717</v>
      </c>
      <c r="AJ320" s="912">
        <f>AJ307/AJ17*1000000</f>
        <v>2168.5204081632655</v>
      </c>
      <c r="AK320" s="316"/>
      <c r="AL320" s="260"/>
      <c r="AM320" s="912">
        <f>AM307/AM17*1000000</f>
        <v>2246.4814814814818</v>
      </c>
      <c r="AN320" s="912">
        <f>AN307/AN17*1000000</f>
        <v>2317.2631578947367</v>
      </c>
      <c r="AO320" s="912">
        <f>AO307/AO17*1000000</f>
        <v>2377.6493256262038</v>
      </c>
      <c r="AP320" s="912">
        <f>AP307/AP17*1000000</f>
        <v>2432.8998242530752</v>
      </c>
      <c r="AQ320" s="507"/>
      <c r="AR320" s="260"/>
      <c r="AS320" s="912">
        <f>AS307/AS17*1000000</f>
        <v>2521.9323671497582</v>
      </c>
      <c r="AT320" s="912">
        <f>AT307/AT17*1000000</f>
        <v>2483.7573964497037</v>
      </c>
      <c r="AU320" s="912">
        <f>AU307/AU17*1000000</f>
        <v>2449.6730245231606</v>
      </c>
      <c r="AV320" s="912">
        <f>AV307/AV17*1000000</f>
        <v>2500.5562579013908</v>
      </c>
      <c r="AW320" s="507"/>
      <c r="AX320" s="260"/>
      <c r="AY320" s="912">
        <f>AY307/AY17*1000000</f>
        <v>2708.8179669030733</v>
      </c>
      <c r="AZ320" s="912">
        <f>AZ307/AZ17*1000000</f>
        <v>2673.0558598028479</v>
      </c>
      <c r="BA320" s="912">
        <f>BA307/BA17*1000000</f>
        <v>2557.1256281407036</v>
      </c>
      <c r="BB320" s="912">
        <f>BB307/BB17*1000000</f>
        <v>2510.4477611940301</v>
      </c>
      <c r="BC320" s="507"/>
      <c r="BD320" s="260"/>
      <c r="BE320" s="912">
        <f>BE307/BE17*1000000</f>
        <v>2237.5762859633824</v>
      </c>
      <c r="BF320" s="912">
        <f>BF307/BF17*1000000</f>
        <v>2235.0530612244897</v>
      </c>
      <c r="BG320" s="912">
        <f>BG307/BG17*1000000</f>
        <v>2183.2341723874902</v>
      </c>
      <c r="BH320" s="912">
        <f>BH307/BH17*1000000</f>
        <v>2238.5185185185187</v>
      </c>
      <c r="BI320" s="507"/>
      <c r="BJ320" s="260"/>
      <c r="BK320" s="912">
        <f>BK307/BK17*1000000</f>
        <v>2185.0066755674229</v>
      </c>
      <c r="BL320" s="912">
        <f>BL307/BL17*1000000</f>
        <v>2114.7025673137132</v>
      </c>
      <c r="BM320" s="912">
        <f>BM307/BM17*1000000</f>
        <v>2211.8160377358495</v>
      </c>
      <c r="BN320" s="912">
        <f>BN307/BN17*1000000</f>
        <v>2363.409470752089</v>
      </c>
      <c r="BO320" s="262"/>
      <c r="BP320" s="260"/>
      <c r="BQ320" s="912">
        <f>BQ307/BQ17*1000000</f>
        <v>2415.1999999999998</v>
      </c>
      <c r="BR320" s="912">
        <f>BR307/BR17*1000000</f>
        <v>2514.4372830937032</v>
      </c>
      <c r="BS320" s="912">
        <f>BS307/BS17*1000000</f>
        <v>2559.3939393939399</v>
      </c>
      <c r="BT320" s="912">
        <f>BT307/BT17*1000000</f>
        <v>2540.4761800152023</v>
      </c>
      <c r="BU320" s="262"/>
      <c r="BV320" s="260"/>
      <c r="BW320" s="912">
        <f>BW307/BW17*1000000</f>
        <v>2720.0573570476208</v>
      </c>
      <c r="BX320" s="912">
        <f>BX307/BX17*1000000</f>
        <v>2689.5309483615101</v>
      </c>
      <c r="BY320" s="912">
        <f>BY307/BY17*1000000</f>
        <v>2877.5698973206995</v>
      </c>
      <c r="BZ320" s="912">
        <f>BZ307/BZ17*1000000</f>
        <v>2813.1331633682985</v>
      </c>
      <c r="CA320" s="262"/>
      <c r="CB320" s="260"/>
      <c r="CC320" s="912">
        <f>CC307/CC17*1000000</f>
        <v>2915.3931036472345</v>
      </c>
      <c r="CD320" s="912">
        <f>CD307/CD17*1000000</f>
        <v>2861.1793615025831</v>
      </c>
      <c r="CE320" s="912">
        <f>CE307/CE17*1000000</f>
        <v>3172.7626048508723</v>
      </c>
      <c r="CF320" s="912">
        <f>CF307/CF17*1000000</f>
        <v>3457.2366579186846</v>
      </c>
      <c r="CG320" s="262"/>
      <c r="CH320" s="260"/>
      <c r="CI320" s="912">
        <f>CI307/CI17*1000000</f>
        <v>3356.8825451682656</v>
      </c>
      <c r="CJ320" s="912">
        <f>CJ307/CJ17*1000000</f>
        <v>3408.4179707248359</v>
      </c>
      <c r="CK320" s="912">
        <f>CK307/CK17*1000000</f>
        <v>3492.2354693926382</v>
      </c>
      <c r="CL320" s="912">
        <f>CL307/CL17*1000000</f>
        <v>3486.9284002430886</v>
      </c>
      <c r="CM320" s="262"/>
      <c r="CN320" s="260"/>
      <c r="CO320" s="912">
        <f>CO307/CO17*1000000</f>
        <v>3415.6011269455594</v>
      </c>
      <c r="CP320" s="912">
        <f>CP307/CP17*1000000</f>
        <v>3613.7261590589073</v>
      </c>
      <c r="CQ320" s="912">
        <f>CQ307/CQ17*1000000</f>
        <v>3652.4274361651792</v>
      </c>
      <c r="CR320" s="912">
        <f>CR307/CR17*1000000</f>
        <v>3876.4751391716031</v>
      </c>
      <c r="CS320" s="262"/>
      <c r="CT320" s="260"/>
      <c r="CU320" s="912">
        <f>CU307/CU17*1000000</f>
        <v>3749.0366841580362</v>
      </c>
      <c r="CV320" s="912">
        <f>CV307/CV17*1000000</f>
        <v>3847.8617744911294</v>
      </c>
      <c r="CW320" s="912">
        <f>CW307/CW17*1000000</f>
        <v>3992.8431100290104</v>
      </c>
      <c r="CX320" s="912">
        <f>CX307/CX17*1000000</f>
        <v>4214.1150834571954</v>
      </c>
      <c r="CY320" s="262"/>
      <c r="CZ320" s="260"/>
      <c r="DA320" s="912">
        <f>DA307/DA17*1000000</f>
        <v>4209.6891489647132</v>
      </c>
      <c r="DB320" s="912">
        <f>DB307/DB17*1000000</f>
        <v>4395.2574117242475</v>
      </c>
      <c r="DC320" s="912">
        <f>DC307/DC17*1000000</f>
        <v>4386.4448497994863</v>
      </c>
      <c r="DD320" s="912">
        <f>DD307/DD17*1000000</f>
        <v>5077.9369636493766</v>
      </c>
      <c r="DE320" s="262"/>
      <c r="DF320" s="260"/>
      <c r="DG320" s="912">
        <f>DG307/DG17*1000000</f>
        <v>4774.6368797252298</v>
      </c>
      <c r="DH320" s="912">
        <f>DH307/DH17*1000000</f>
        <v>4849.3999711589468</v>
      </c>
      <c r="DI320" s="912">
        <f>DI307/DI17*1000000</f>
        <v>4776.5283653460056</v>
      </c>
      <c r="DJ320" s="912">
        <f>DJ307/DJ17*1000000</f>
        <v>5218.3823434150409</v>
      </c>
      <c r="DK320" s="262"/>
      <c r="DL320" s="260"/>
      <c r="DM320" s="912">
        <f>DM307/DM17*1000000</f>
        <v>5223.8546597609338</v>
      </c>
      <c r="DN320" s="912">
        <f>DN307/DN17*1000000</f>
        <v>5298.9917831441871</v>
      </c>
      <c r="DO320" s="912">
        <f>DO307/DO17*1000000</f>
        <v>5209.8592236997429</v>
      </c>
      <c r="DP320" s="912">
        <f>DP307/DP17*1000000</f>
        <v>5553.3873902211426</v>
      </c>
      <c r="DQ320" s="262"/>
      <c r="DR320" s="260"/>
      <c r="DS320" s="912">
        <f>DS307/DS17*1000000</f>
        <v>5609.4291563131555</v>
      </c>
      <c r="DT320" s="912">
        <f>DT307/DT17*1000000</f>
        <v>5668.6666814039709</v>
      </c>
      <c r="DU320" s="912">
        <f>DU307/DU17*1000000</f>
        <v>5571.4764174460042</v>
      </c>
      <c r="DV320" s="912">
        <f>DV307/DV17*1000000</f>
        <v>5956.8619451643708</v>
      </c>
      <c r="DW320" s="262"/>
      <c r="DX320" s="500"/>
      <c r="DY320" s="500"/>
      <c r="DZ320" s="500"/>
      <c r="EA320" s="500"/>
      <c r="EB320" s="500"/>
      <c r="EC320" s="500"/>
      <c r="ED320" s="500"/>
      <c r="EE320" s="500"/>
      <c r="EF320" s="500"/>
      <c r="EG320" s="500"/>
      <c r="EH320" s="500"/>
      <c r="EI320" s="500"/>
    </row>
    <row r="321" spans="1:139">
      <c r="A321" s="260" t="s">
        <v>827</v>
      </c>
      <c r="B321" s="260"/>
      <c r="C321" s="260"/>
      <c r="D321" s="260"/>
      <c r="E321" s="260"/>
      <c r="F321" s="260"/>
      <c r="G321" s="316"/>
      <c r="H321" s="260"/>
      <c r="I321" s="260"/>
      <c r="J321" s="260"/>
      <c r="K321" s="260"/>
      <c r="L321" s="260"/>
      <c r="M321" s="316"/>
      <c r="N321" s="260"/>
      <c r="O321" s="912"/>
      <c r="P321" s="912"/>
      <c r="Q321" s="912"/>
      <c r="R321" s="912">
        <f>R320+Q320+P320+O320</f>
        <v>7020.8174656261617</v>
      </c>
      <c r="S321" s="316"/>
      <c r="T321" s="260"/>
      <c r="U321" s="912">
        <f>U320+R320+Q320+P320</f>
        <v>7264.7661835748795</v>
      </c>
      <c r="V321" s="912">
        <f>V320+U320+R320+Q320</f>
        <v>7488.5827903091067</v>
      </c>
      <c r="W321" s="912">
        <f>W320+V320+U320+R320</f>
        <v>7466.7691848669292</v>
      </c>
      <c r="X321" s="912">
        <f>X320+W320+V320+U320</f>
        <v>7687.8125453005341</v>
      </c>
      <c r="Y321" s="316"/>
      <c r="Z321" s="260"/>
      <c r="AA321" s="912">
        <f>AA320+X320+W320+V320</f>
        <v>8118.8395723275589</v>
      </c>
      <c r="AB321" s="912">
        <f>AB320+AA320+X320+W320</f>
        <v>8439.0036188073955</v>
      </c>
      <c r="AC321" s="912">
        <f>AC320+AB320+AA320+X320</f>
        <v>8566.5765462834715</v>
      </c>
      <c r="AD321" s="912">
        <f>AD320+AC320+AB320+AA320</f>
        <v>8629.9523777690592</v>
      </c>
      <c r="AE321" s="316"/>
      <c r="AF321" s="260"/>
      <c r="AG321" s="912">
        <f>AG320+AD320+AC320+AB320</f>
        <v>8770.0001806740038</v>
      </c>
      <c r="AH321" s="912">
        <f>AH320+AG320+AD320+AC320</f>
        <v>8755.7323562307411</v>
      </c>
      <c r="AI321" s="912">
        <f>AI320+AH320+AG320+AD320</f>
        <v>8771.6674162193158</v>
      </c>
      <c r="AJ321" s="912">
        <f>AJ320+AI320+AH320+AG320</f>
        <v>8786.3241880189453</v>
      </c>
      <c r="AK321" s="316"/>
      <c r="AL321" s="260"/>
      <c r="AM321" s="912">
        <f>AM320+AJ320+AI320+AH320</f>
        <v>8685.730839568454</v>
      </c>
      <c r="AN321" s="912">
        <f>AN320+AM320+AJ320+AI320</f>
        <v>8861.7594295619565</v>
      </c>
      <c r="AO321" s="912">
        <f>AO320+AN320+AM320+AJ320</f>
        <v>9109.9143731656877</v>
      </c>
      <c r="AP321" s="912">
        <f>AP320+AO320+AN320+AM320</f>
        <v>9374.2937892554983</v>
      </c>
      <c r="AQ321" s="507"/>
      <c r="AR321" s="260"/>
      <c r="AS321" s="912">
        <f>AS320+AP320+AO320+AN320</f>
        <v>9649.7446749237733</v>
      </c>
      <c r="AT321" s="912">
        <f>AT320+AS320+AP320+AO320</f>
        <v>9816.2389134787409</v>
      </c>
      <c r="AU321" s="912">
        <f>AU320+AT320+AS320+AP320</f>
        <v>9888.2626123756963</v>
      </c>
      <c r="AV321" s="912">
        <f>AV320+AU320+AT320+AS320</f>
        <v>9955.9190460240134</v>
      </c>
      <c r="AW321" s="507"/>
      <c r="AX321" s="260"/>
      <c r="AY321" s="912">
        <f>AY320+AV320+AU320+AT320</f>
        <v>10142.804645777329</v>
      </c>
      <c r="AZ321" s="912">
        <f>AZ320+AY320+AV320+AU320</f>
        <v>10332.103109130474</v>
      </c>
      <c r="BA321" s="912">
        <f>BA320+AZ320+AY320+AV320</f>
        <v>10439.555712748015</v>
      </c>
      <c r="BB321" s="912">
        <f>BB320+BA320+AZ320+AY320</f>
        <v>10449.447216040655</v>
      </c>
      <c r="BC321" s="507"/>
      <c r="BD321" s="260"/>
      <c r="BE321" s="912">
        <f>BE320+BB320+BA320+AZ320</f>
        <v>9978.205535100964</v>
      </c>
      <c r="BF321" s="912">
        <f>BF320+BE320+BB320+BA320</f>
        <v>9540.2027365226058</v>
      </c>
      <c r="BG321" s="912">
        <f>BG320+BF320+BE320+BB320</f>
        <v>9166.3112807693924</v>
      </c>
      <c r="BH321" s="912">
        <f>BH320+BG320+BF320+BE320</f>
        <v>8894.3820380938814</v>
      </c>
      <c r="BI321" s="507"/>
      <c r="BJ321" s="260"/>
      <c r="BK321" s="912">
        <f>BK320+BH320+BG320+BF320</f>
        <v>8841.8124276979215</v>
      </c>
      <c r="BL321" s="912">
        <f>BL320+BK320+BH320+BG320</f>
        <v>8721.4619337871445</v>
      </c>
      <c r="BM321" s="912">
        <f>BM320+BL320+BK320+BH320</f>
        <v>8750.0437991355047</v>
      </c>
      <c r="BN321" s="912">
        <f>BN320+BM320+BL320+BK320</f>
        <v>8874.9347513690736</v>
      </c>
      <c r="BO321" s="262"/>
      <c r="BP321" s="260"/>
      <c r="BQ321" s="912">
        <f>BQ320+BN320+BM320+BL320</f>
        <v>9105.128075801651</v>
      </c>
      <c r="BR321" s="912">
        <f>BR320+BQ320+BN320+BM320</f>
        <v>9504.8627915816414</v>
      </c>
      <c r="BS321" s="912">
        <f>BS320+BR320+BQ320+BN320</f>
        <v>9852.4406932397324</v>
      </c>
      <c r="BT321" s="912">
        <f>BT320+BS320+BR320+BQ320</f>
        <v>10029.507402502844</v>
      </c>
      <c r="BU321" s="262"/>
      <c r="BV321" s="260"/>
      <c r="BW321" s="912">
        <f>BW320+BT320+BS320+BR320</f>
        <v>10334.364759550466</v>
      </c>
      <c r="BX321" s="912">
        <f>BX320+BW320+BT320+BS320</f>
        <v>10509.458424818273</v>
      </c>
      <c r="BY321" s="912">
        <f>BY320+BX320+BW320+BT320</f>
        <v>10827.634382745033</v>
      </c>
      <c r="BZ321" s="912">
        <f>BZ320+BY320+BX320+BW320</f>
        <v>11100.29136609813</v>
      </c>
      <c r="CA321" s="262"/>
      <c r="CB321" s="260"/>
      <c r="CC321" s="912">
        <f>CC320+BZ320+BY320+BX320</f>
        <v>11295.627112697744</v>
      </c>
      <c r="CD321" s="912">
        <f>CD320+CC320+BZ320+BY320</f>
        <v>11467.275525838817</v>
      </c>
      <c r="CE321" s="912">
        <f>CE320+CD320+CC320+BZ320</f>
        <v>11762.468233368989</v>
      </c>
      <c r="CF321" s="912">
        <f>CF320+CE320+CD320+CC320</f>
        <v>12406.571727919376</v>
      </c>
      <c r="CG321" s="262"/>
      <c r="CH321" s="260"/>
      <c r="CI321" s="912">
        <f>CI320+CF320+CE320+CD320</f>
        <v>12848.061169440405</v>
      </c>
      <c r="CJ321" s="912">
        <f>CJ320+CI320+CF320+CE320</f>
        <v>13395.299778662658</v>
      </c>
      <c r="CK321" s="912">
        <f>CK320+CJ320+CG320+CF320</f>
        <v>10357.890098036158</v>
      </c>
      <c r="CL321" s="912">
        <f>CL320+CK320+CJ320+CI320</f>
        <v>13744.464385528829</v>
      </c>
      <c r="CM321" s="262"/>
      <c r="CN321" s="260"/>
      <c r="CO321" s="912">
        <f>CO320+CL320+CK320+CJ320</f>
        <v>13803.182967306122</v>
      </c>
      <c r="CP321" s="912">
        <f>CP320+CO320+CL320+CK320</f>
        <v>14008.491155640193</v>
      </c>
      <c r="CQ321" s="912">
        <f>CQ320+CP320+CM320+CL320</f>
        <v>10753.081995467175</v>
      </c>
      <c r="CR321" s="912">
        <f>CR320+CQ320+CP320+CO320</f>
        <v>14558.229861341249</v>
      </c>
      <c r="CS321" s="262"/>
      <c r="CT321" s="260"/>
      <c r="CU321" s="912">
        <f>CU320+CR320+CQ320+CP320</f>
        <v>14891.665418553726</v>
      </c>
      <c r="CV321" s="912">
        <f>CV320+CU320+CR320+CQ320</f>
        <v>15125.801033985948</v>
      </c>
      <c r="CW321" s="912">
        <f>CW320+CV320+CS320+CR320</f>
        <v>11717.180023691742</v>
      </c>
      <c r="CX321" s="912">
        <f>CX320+CW320+CV320+CU320</f>
        <v>15803.856652135371</v>
      </c>
      <c r="CY321" s="262"/>
      <c r="CZ321" s="260"/>
      <c r="DA321" s="912">
        <f>DA320+CX320+CW320+CV320</f>
        <v>16264.50911694205</v>
      </c>
      <c r="DB321" s="912">
        <f>DB320+DA320+CX320+CW320</f>
        <v>16811.904754175168</v>
      </c>
      <c r="DC321" s="912">
        <f>DC320+DB320+DA320+CX320</f>
        <v>17205.506493945642</v>
      </c>
      <c r="DD321" s="912">
        <f>DD320+DC320+DB320+DA320</f>
        <v>18069.328374137825</v>
      </c>
      <c r="DE321" s="262"/>
      <c r="DF321" s="260"/>
      <c r="DG321" s="912">
        <f>DG320+DD320+DC320+DB320</f>
        <v>18634.276104898341</v>
      </c>
      <c r="DH321" s="912">
        <f>DH320+DG320+DD320+DC320</f>
        <v>19088.418664333039</v>
      </c>
      <c r="DI321" s="912">
        <f>DI320+DH320+DG320+DD320</f>
        <v>19478.502179879557</v>
      </c>
      <c r="DJ321" s="912">
        <f>DJ320+DI320+DH320+DG320</f>
        <v>19618.947559645221</v>
      </c>
      <c r="DK321" s="262"/>
      <c r="DL321" s="260"/>
      <c r="DM321" s="912">
        <f>DM320+DJ320+DI320+DH320</f>
        <v>20068.165339680927</v>
      </c>
      <c r="DN321" s="912">
        <f>DN320+DM320+DJ320+DI320</f>
        <v>20517.757151666166</v>
      </c>
      <c r="DO321" s="912">
        <f>DO320+DN320+DM320+DJ320</f>
        <v>20951.088010019903</v>
      </c>
      <c r="DP321" s="912">
        <f>DP320+DO320+DN320+DM320</f>
        <v>21286.093056826005</v>
      </c>
      <c r="DQ321" s="262"/>
      <c r="DR321" s="260"/>
      <c r="DS321" s="912">
        <f>DS320+DP320+DO320+DN320</f>
        <v>21671.667553378225</v>
      </c>
      <c r="DT321" s="912">
        <f>DT320+DS320+DP320+DO320</f>
        <v>22041.342451638011</v>
      </c>
      <c r="DU321" s="912">
        <f>DU320+DT320+DS320+DP320</f>
        <v>22402.959645384271</v>
      </c>
      <c r="DV321" s="912">
        <f>DV320+DU320+DT320+DS320</f>
        <v>22806.434200327501</v>
      </c>
      <c r="DW321" s="262"/>
      <c r="DX321" s="500"/>
      <c r="DY321" s="500"/>
      <c r="DZ321" s="500"/>
      <c r="EA321" s="500"/>
      <c r="EB321" s="500"/>
      <c r="EC321" s="500"/>
      <c r="ED321" s="500"/>
      <c r="EE321" s="500"/>
      <c r="EF321" s="500"/>
      <c r="EG321" s="500"/>
      <c r="EH321" s="500"/>
      <c r="EI321" s="500"/>
    </row>
    <row r="322" spans="1:139">
      <c r="A322" s="260"/>
      <c r="B322" s="260"/>
      <c r="C322" s="260"/>
      <c r="D322" s="260"/>
      <c r="E322" s="260"/>
      <c r="F322" s="260"/>
      <c r="G322" s="316"/>
      <c r="H322" s="260"/>
      <c r="I322" s="260"/>
      <c r="J322" s="260"/>
      <c r="K322" s="260"/>
      <c r="L322" s="260"/>
      <c r="M322" s="316"/>
      <c r="N322" s="260"/>
      <c r="O322" s="260"/>
      <c r="P322" s="260"/>
      <c r="Q322" s="260"/>
      <c r="R322" s="260"/>
      <c r="S322" s="316"/>
      <c r="T322" s="260"/>
      <c r="U322" s="260"/>
      <c r="V322" s="260"/>
      <c r="W322" s="260"/>
      <c r="X322" s="260"/>
      <c r="Y322" s="316"/>
      <c r="Z322" s="260"/>
      <c r="AA322" s="260"/>
      <c r="AB322" s="260"/>
      <c r="AC322" s="260"/>
      <c r="AD322" s="260"/>
      <c r="AE322" s="316"/>
      <c r="AF322" s="260"/>
      <c r="AG322" s="260"/>
      <c r="AH322" s="260"/>
      <c r="AI322" s="260"/>
      <c r="AJ322" s="260"/>
      <c r="AK322" s="316"/>
      <c r="AL322" s="260"/>
      <c r="AM322" s="260"/>
      <c r="AN322" s="260"/>
      <c r="AO322" s="260"/>
      <c r="AP322" s="260"/>
      <c r="AQ322" s="507"/>
      <c r="AR322" s="260"/>
      <c r="AS322" s="260"/>
      <c r="AT322" s="260"/>
      <c r="AU322" s="260"/>
      <c r="AV322" s="260"/>
      <c r="AW322" s="507"/>
      <c r="AX322" s="260"/>
      <c r="AY322" s="260"/>
      <c r="AZ322" s="260"/>
      <c r="BA322" s="260"/>
      <c r="BB322" s="260"/>
      <c r="BC322" s="507"/>
      <c r="BD322" s="260"/>
      <c r="BE322" s="260"/>
      <c r="BF322" s="260"/>
      <c r="BG322" s="260"/>
      <c r="BH322" s="260"/>
      <c r="BI322" s="507"/>
      <c r="BJ322" s="260"/>
      <c r="BK322" s="260"/>
      <c r="BL322" s="260"/>
      <c r="BM322" s="260"/>
      <c r="BN322" s="260"/>
      <c r="BO322" s="262"/>
      <c r="BP322" s="260"/>
      <c r="BQ322" s="260"/>
      <c r="BR322" s="260"/>
      <c r="BS322" s="260"/>
      <c r="BT322" s="260"/>
      <c r="BU322" s="262"/>
      <c r="BV322" s="260"/>
      <c r="BW322" s="260"/>
      <c r="BX322" s="260"/>
      <c r="BY322" s="260"/>
      <c r="BZ322" s="260"/>
      <c r="CA322" s="262"/>
      <c r="CB322" s="260"/>
      <c r="CC322" s="260"/>
      <c r="CD322" s="260"/>
      <c r="CE322" s="260"/>
      <c r="CF322" s="260"/>
      <c r="CG322" s="262"/>
      <c r="CH322" s="260"/>
      <c r="CI322" s="260"/>
      <c r="CJ322" s="260"/>
      <c r="CK322" s="260"/>
      <c r="CL322" s="260"/>
      <c r="CM322" s="262"/>
      <c r="CN322" s="260"/>
      <c r="CO322" s="260"/>
      <c r="CP322" s="260"/>
      <c r="CQ322" s="260"/>
      <c r="CR322" s="260"/>
      <c r="CS322" s="262"/>
      <c r="CT322" s="260"/>
      <c r="CU322" s="260"/>
      <c r="CV322" s="260"/>
      <c r="CW322" s="260"/>
      <c r="CX322" s="260"/>
      <c r="CY322" s="262"/>
      <c r="CZ322" s="260"/>
      <c r="DA322" s="260"/>
      <c r="DB322" s="260"/>
      <c r="DC322" s="260"/>
      <c r="DD322" s="260"/>
      <c r="DE322" s="262"/>
      <c r="DF322" s="260"/>
      <c r="DG322" s="260"/>
      <c r="DH322" s="260"/>
      <c r="DI322" s="260"/>
      <c r="DJ322" s="260"/>
      <c r="DK322" s="262"/>
      <c r="DL322" s="260"/>
      <c r="DM322" s="260"/>
      <c r="DN322" s="260"/>
      <c r="DO322" s="260"/>
      <c r="DP322" s="260"/>
      <c r="DQ322" s="262"/>
      <c r="DR322" s="260"/>
      <c r="DS322" s="260"/>
      <c r="DT322" s="260"/>
      <c r="DU322" s="260"/>
      <c r="DV322" s="260"/>
      <c r="DW322" s="262"/>
      <c r="DX322" s="500"/>
      <c r="DY322" s="500"/>
      <c r="DZ322" s="500"/>
      <c r="EA322" s="500"/>
      <c r="EB322" s="500"/>
      <c r="EC322" s="500"/>
      <c r="ED322" s="500"/>
      <c r="EE322" s="500"/>
      <c r="EF322" s="500"/>
      <c r="EG322" s="500"/>
      <c r="EH322" s="500"/>
      <c r="EI322" s="500"/>
    </row>
    <row r="323" spans="1:139">
      <c r="A323" s="260" t="s">
        <v>825</v>
      </c>
      <c r="B323" s="260"/>
      <c r="C323" s="260"/>
      <c r="D323" s="260"/>
      <c r="E323" s="260"/>
      <c r="F323" s="260"/>
      <c r="G323" s="316"/>
      <c r="H323" s="260"/>
      <c r="I323" s="260"/>
      <c r="J323" s="260"/>
      <c r="K323" s="260"/>
      <c r="L323" s="260"/>
      <c r="M323" s="316"/>
      <c r="N323" s="260"/>
      <c r="O323" s="912">
        <f>O307/O11*1000000</f>
        <v>7468.75</v>
      </c>
      <c r="P323" s="912">
        <f>P307/P11*1000000</f>
        <v>12355</v>
      </c>
      <c r="Q323" s="912">
        <f>Q307/Q11*1000000</f>
        <v>50195</v>
      </c>
      <c r="R323" s="912">
        <f>R307/R11*1000000</f>
        <v>16825</v>
      </c>
      <c r="S323" s="316"/>
      <c r="T323" s="260"/>
      <c r="U323" s="912">
        <f>U307/U11*1000000</f>
        <v>17760</v>
      </c>
      <c r="V323" s="912">
        <f>V307/V11*1000000</f>
        <v>17435.714285714286</v>
      </c>
      <c r="W323" s="912">
        <f>W307/W11*1000000</f>
        <v>20852.857142857141</v>
      </c>
      <c r="X323" s="912">
        <f>X307/X11*1000000</f>
        <v>17142</v>
      </c>
      <c r="Y323" s="316"/>
      <c r="Z323" s="260"/>
      <c r="AA323" s="912">
        <f>AA307/AA11*1000000</f>
        <v>18559.090909090908</v>
      </c>
      <c r="AB323" s="912">
        <f>AB307/AB11*1000000</f>
        <v>17326.923076923078</v>
      </c>
      <c r="AC323" s="912">
        <f>AC307/AC11*1000000</f>
        <v>17814.285714285717</v>
      </c>
      <c r="AD323" s="912">
        <f>AD307/AD11*1000000</f>
        <v>20307.857142857145</v>
      </c>
      <c r="AE323" s="316"/>
      <c r="AF323" s="260"/>
      <c r="AG323" s="912">
        <f>AG307/AG11*1000000</f>
        <v>21563.750000000004</v>
      </c>
      <c r="AH323" s="912">
        <f>AH307/AH11*1000000</f>
        <v>24777.142857142859</v>
      </c>
      <c r="AI323" s="912">
        <f>AI307/AI11*1000000</f>
        <v>21058.333333333336</v>
      </c>
      <c r="AJ323" s="912">
        <f>AJ307/AJ11*1000000</f>
        <v>23612.777777777777</v>
      </c>
      <c r="AK323" s="316"/>
      <c r="AL323" s="260"/>
      <c r="AM323" s="912">
        <f>AM307/AM11*1000000</f>
        <v>22056.363636363636</v>
      </c>
      <c r="AN323" s="912">
        <f>AN307/AN11*1000000</f>
        <v>26207.142857142855</v>
      </c>
      <c r="AO323" s="912">
        <f>AO307/AO11*1000000</f>
        <v>26826.086956521736</v>
      </c>
      <c r="AP323" s="912">
        <f>AP307/AP11*1000000</f>
        <v>25635.555555555555</v>
      </c>
      <c r="AQ323" s="507"/>
      <c r="AR323" s="260"/>
      <c r="AS323" s="912">
        <f>AS307/AS11*1000000</f>
        <v>31322.400000000001</v>
      </c>
      <c r="AT323" s="912">
        <f>AT307/AT11*1000000</f>
        <v>27983.666666666664</v>
      </c>
      <c r="AU323" s="912">
        <f>AU307/AU11*1000000</f>
        <v>32108.214285714283</v>
      </c>
      <c r="AV323" s="912">
        <f>AV307/AV11*1000000</f>
        <v>34102.413793103449</v>
      </c>
      <c r="AW323" s="507"/>
      <c r="AX323" s="260"/>
      <c r="AY323" s="912">
        <f>AY307/AY11*1000000</f>
        <v>44070.384615384617</v>
      </c>
      <c r="AZ323" s="912">
        <f>AZ307/AZ11*1000000</f>
        <v>29762.195121951223</v>
      </c>
      <c r="BA323" s="912">
        <f>BA307/BA11*1000000</f>
        <v>31028.536585365851</v>
      </c>
      <c r="BB323" s="912">
        <f>BB307/BB11*1000000</f>
        <v>37377.777777777781</v>
      </c>
      <c r="BC323" s="507"/>
      <c r="BD323" s="260"/>
      <c r="BE323" s="912">
        <f>BE307/BE11*1000000</f>
        <v>32903.846153846149</v>
      </c>
      <c r="BF323" s="912">
        <f>BF307/BF11*1000000</f>
        <v>35101.794871794868</v>
      </c>
      <c r="BG323" s="912">
        <f>BG307/BG11*1000000</f>
        <v>30449.148936170208</v>
      </c>
      <c r="BH323" s="912">
        <f>BH307/BH11*1000000</f>
        <v>34161.739130434784</v>
      </c>
      <c r="BI323" s="507"/>
      <c r="BJ323" s="260"/>
      <c r="BK323" s="912">
        <f>BK307/BK11*1000000</f>
        <v>34095.208333333328</v>
      </c>
      <c r="BL323" s="912">
        <f>BL307/BL11*1000000</f>
        <v>33109.607843137252</v>
      </c>
      <c r="BM323" s="912">
        <f>BM307/BM11*1000000</f>
        <v>39075.416666666672</v>
      </c>
      <c r="BN323" s="912">
        <f>BN307/BN11*1000000</f>
        <v>41591.372549019608</v>
      </c>
      <c r="BO323" s="262"/>
      <c r="BP323" s="260"/>
      <c r="BQ323" s="912">
        <f>BQ307/BQ11*1000000</f>
        <v>42489.629629629628</v>
      </c>
      <c r="BR323" s="912">
        <f>BR307/BR11*1000000</f>
        <v>40250.952380952374</v>
      </c>
      <c r="BS323" s="912">
        <f>BS307/BS11*1000000</f>
        <v>42230.000000000007</v>
      </c>
      <c r="BT323" s="912">
        <f>BT307/BT11*1000000</f>
        <v>43784.643343934578</v>
      </c>
      <c r="BU323" s="262"/>
      <c r="BV323" s="260"/>
      <c r="BW323" s="912">
        <f>BW307/BW11*1000000</f>
        <v>75436.046511627894</v>
      </c>
      <c r="BX323" s="912">
        <f>BX307/BX11*1000000</f>
        <v>69369.166666666672</v>
      </c>
      <c r="BY323" s="912">
        <f>BY307/BY11*1000000</f>
        <v>75552.653061224482</v>
      </c>
      <c r="BZ323" s="912">
        <f>BZ307/BZ11*1000000</f>
        <v>70993.39622641509</v>
      </c>
      <c r="CA323" s="262"/>
      <c r="CB323" s="260"/>
      <c r="CC323" s="912">
        <f>CC307/CC11*1000000</f>
        <v>89828.444444444453</v>
      </c>
      <c r="CD323" s="912">
        <f>CD307/CD11*1000000</f>
        <v>35631.626856935574</v>
      </c>
      <c r="CE323" s="912">
        <f>CE307/CE11*1000000</f>
        <v>94505.229278591622</v>
      </c>
      <c r="CF323" s="912">
        <f>CF307/CF11*1000000</f>
        <v>100985.45454545454</v>
      </c>
      <c r="CG323" s="262"/>
      <c r="CH323" s="260"/>
      <c r="CI323" s="912">
        <f>CI307/CI11*1000000</f>
        <v>107164.80769230769</v>
      </c>
      <c r="CJ323" s="912">
        <f>CJ307/CJ11*1000000</f>
        <v>82303.646563814866</v>
      </c>
      <c r="CK323" s="912">
        <f>CK307/CK11*1000000</f>
        <v>136532.43186371902</v>
      </c>
      <c r="CL323" s="912">
        <f>CL307/CL11*1000000</f>
        <v>96022.045590881811</v>
      </c>
      <c r="CM323" s="262"/>
      <c r="CN323" s="260"/>
      <c r="CO323" s="912">
        <f>CO307/CO11*1000000</f>
        <v>141313.19028340082</v>
      </c>
      <c r="CP323" s="912">
        <f>CP307/CP11*1000000</f>
        <v>117286.18231375849</v>
      </c>
      <c r="CQ323" s="912">
        <f>CQ307/CQ11*1000000</f>
        <v>150629.05418416095</v>
      </c>
      <c r="CR323" s="912">
        <f>CR307/CR11*1000000</f>
        <v>163745.43735321658</v>
      </c>
      <c r="CS323" s="262"/>
      <c r="CT323" s="260"/>
      <c r="CU323" s="912">
        <f>CU307/CU11*1000000</f>
        <v>181093.29541206747</v>
      </c>
      <c r="CV323" s="912">
        <f>CV307/CV11*1000000</f>
        <v>139010.49195387628</v>
      </c>
      <c r="CW323" s="912">
        <f>CW307/CW11*1000000</f>
        <v>224349.3497695933</v>
      </c>
      <c r="CX323" s="912">
        <f>CX307/CX11*1000000</f>
        <v>168373.94644790486</v>
      </c>
      <c r="CY323" s="262"/>
      <c r="CZ323" s="260"/>
      <c r="DA323" s="912">
        <f>DA307/DA11*1000000</f>
        <v>478295.36229299731</v>
      </c>
      <c r="DB323" s="912">
        <f>DB307/DB11*1000000</f>
        <v>171711.06668655374</v>
      </c>
      <c r="DC323" s="912">
        <f>DC307/DC11*1000000</f>
        <v>322411.70341805596</v>
      </c>
      <c r="DD323" s="912">
        <f>DD307/DD11*1000000</f>
        <v>242504.76190476189</v>
      </c>
      <c r="DE323" s="262"/>
      <c r="DF323" s="260"/>
      <c r="DG323" s="912">
        <f>DG307/DG11*1000000</f>
        <v>597567.00073809852</v>
      </c>
      <c r="DH323" s="912">
        <f>DH307/DH11*1000000</f>
        <v>185672.93174023228</v>
      </c>
      <c r="DI323" s="912">
        <f>DI307/DI11*1000000</f>
        <v>359338.75575916405</v>
      </c>
      <c r="DJ323" s="912">
        <f>DJ307/DJ11*1000000</f>
        <v>250582.35843480885</v>
      </c>
      <c r="DK323" s="262"/>
      <c r="DL323" s="260"/>
      <c r="DM323" s="912">
        <f>DM307/DM11*1000000</f>
        <v>604521.29573112028</v>
      </c>
      <c r="DN323" s="912">
        <f>DN307/DN11*1000000</f>
        <v>187841.36789578342</v>
      </c>
      <c r="DO323" s="912">
        <f>DO307/DO11*1000000</f>
        <v>394655.19373927434</v>
      </c>
      <c r="DP323" s="912">
        <f>DP307/DP11*1000000</f>
        <v>293979.78901685547</v>
      </c>
      <c r="DQ323" s="262"/>
      <c r="DR323" s="260"/>
      <c r="DS323" s="912">
        <f>DS307/DS11*1000000</f>
        <v>655451.64032589109</v>
      </c>
      <c r="DT323" s="912">
        <f>DT307/DT11*1000000</f>
        <v>194020.66297303999</v>
      </c>
      <c r="DU323" s="912">
        <f>DU307/DU11*1000000</f>
        <v>407665.25065691938</v>
      </c>
      <c r="DV323" s="912">
        <f>DV307/DV11*1000000</f>
        <v>312360.56549787032</v>
      </c>
      <c r="DW323" s="262"/>
      <c r="DX323" s="500"/>
      <c r="DY323" s="500"/>
      <c r="DZ323" s="500"/>
      <c r="EA323" s="500"/>
      <c r="EB323" s="500"/>
      <c r="EC323" s="500"/>
      <c r="ED323" s="500"/>
      <c r="EE323" s="500"/>
      <c r="EF323" s="500"/>
      <c r="EG323" s="500"/>
      <c r="EH323" s="500"/>
      <c r="EI323" s="500"/>
    </row>
    <row r="324" spans="1:139">
      <c r="A324" s="260" t="s">
        <v>828</v>
      </c>
      <c r="B324" s="260"/>
      <c r="C324" s="260"/>
      <c r="D324" s="260"/>
      <c r="E324" s="260"/>
      <c r="F324" s="260"/>
      <c r="G324" s="316"/>
      <c r="H324" s="260"/>
      <c r="I324" s="260"/>
      <c r="J324" s="260"/>
      <c r="K324" s="260"/>
      <c r="L324" s="260"/>
      <c r="M324" s="316"/>
      <c r="N324" s="260"/>
      <c r="O324" s="912"/>
      <c r="P324" s="912"/>
      <c r="Q324" s="912"/>
      <c r="R324" s="912">
        <f>R323+Q323+P323+O323</f>
        <v>86843.75</v>
      </c>
      <c r="S324" s="316"/>
      <c r="T324" s="260"/>
      <c r="U324" s="912">
        <f>U323+R323+Q323+P323</f>
        <v>97135</v>
      </c>
      <c r="V324" s="912">
        <f>V323+U323+R323+Q323</f>
        <v>102215.71428571429</v>
      </c>
      <c r="W324" s="912">
        <f>W323+V323+U323+R323</f>
        <v>72873.57142857142</v>
      </c>
      <c r="X324" s="912">
        <f>X323+W323+V323+U323</f>
        <v>73190.571428571435</v>
      </c>
      <c r="Y324" s="316"/>
      <c r="Z324" s="260"/>
      <c r="AA324" s="912">
        <f>AA323+X323+W323+V323</f>
        <v>73989.662337662347</v>
      </c>
      <c r="AB324" s="912">
        <f>AB323+AA323+X323+W323</f>
        <v>73880.871128871135</v>
      </c>
      <c r="AC324" s="912">
        <f>AC323+AB323+AA323+X323</f>
        <v>70842.2997002997</v>
      </c>
      <c r="AD324" s="912">
        <f>AD323+AC323+AB323+AA323</f>
        <v>74008.156843156845</v>
      </c>
      <c r="AE324" s="316"/>
      <c r="AF324" s="260"/>
      <c r="AG324" s="912">
        <f>AG323+AD323+AC323+AB323</f>
        <v>77012.815934065933</v>
      </c>
      <c r="AH324" s="912">
        <f>AH323+AG323+AD323+AC323</f>
        <v>84463.03571428571</v>
      </c>
      <c r="AI324" s="912">
        <f>AI323+AH323+AG323+AD323</f>
        <v>87707.083333333343</v>
      </c>
      <c r="AJ324" s="912">
        <f>AJ323+AI323+AH323+AG323</f>
        <v>91012.003968253965</v>
      </c>
      <c r="AK324" s="316"/>
      <c r="AL324" s="260"/>
      <c r="AM324" s="912">
        <f>AM323+AJ323+AI323+AH323</f>
        <v>91504.617604617597</v>
      </c>
      <c r="AN324" s="912">
        <f>AN323+AM323+AJ323+AI323</f>
        <v>92934.617604617612</v>
      </c>
      <c r="AO324" s="912">
        <f>AO323+AN323+AM323+AJ323</f>
        <v>98702.371227806012</v>
      </c>
      <c r="AP324" s="912">
        <f>AP323+AO323+AN323+AM323</f>
        <v>100725.14900558378</v>
      </c>
      <c r="AQ324" s="507"/>
      <c r="AR324" s="260"/>
      <c r="AS324" s="912">
        <f>AS323+AP323+AO323+AN323</f>
        <v>109991.18536922014</v>
      </c>
      <c r="AT324" s="912">
        <f>AT323+AS323+AP323+AO323</f>
        <v>111767.70917874394</v>
      </c>
      <c r="AU324" s="912">
        <f>AU323+AT323+AS323+AP323</f>
        <v>117049.8365079365</v>
      </c>
      <c r="AV324" s="912">
        <f>AV323+AU323+AT323+AS323</f>
        <v>125516.69474548439</v>
      </c>
      <c r="AW324" s="507"/>
      <c r="AX324" s="260"/>
      <c r="AY324" s="912">
        <f>AY323+AV323+AU323+AT323</f>
        <v>138264.67936086902</v>
      </c>
      <c r="AZ324" s="912">
        <f>AZ323+AY323+AV323+AU323</f>
        <v>140043.20781615356</v>
      </c>
      <c r="BA324" s="912">
        <f>BA323+AZ323+AY323+AV323</f>
        <v>138963.53011580513</v>
      </c>
      <c r="BB324" s="912">
        <f>BB323+BA323+AZ323+AY323</f>
        <v>142238.89410047949</v>
      </c>
      <c r="BC324" s="507"/>
      <c r="BD324" s="260"/>
      <c r="BE324" s="912">
        <f>BE323+BB323+BA323+AZ323</f>
        <v>131072.35563894102</v>
      </c>
      <c r="BF324" s="912">
        <f>BF323+BE323+BB323+BA323</f>
        <v>136411.95538878464</v>
      </c>
      <c r="BG324" s="912">
        <f>BG323+BF323+BE323+BB323</f>
        <v>135832.56773958899</v>
      </c>
      <c r="BH324" s="912">
        <f>BH323+BG323+BF323+BE323</f>
        <v>132616.52909224603</v>
      </c>
      <c r="BI324" s="507"/>
      <c r="BJ324" s="260"/>
      <c r="BK324" s="912">
        <f>BK323+BH323+BG323+BF323</f>
        <v>133807.89127173318</v>
      </c>
      <c r="BL324" s="912">
        <f>BL323+BK323+BH323+BG323</f>
        <v>131815.70424307557</v>
      </c>
      <c r="BM324" s="912">
        <f>BM323+BL323+BK323+BH323</f>
        <v>140441.97197357204</v>
      </c>
      <c r="BN324" s="912">
        <f>BN323+BM323+BL323+BK323</f>
        <v>147871.60539215687</v>
      </c>
      <c r="BO324" s="262"/>
      <c r="BP324" s="260"/>
      <c r="BQ324" s="912">
        <f>BQ323+BN323+BM323+BL323</f>
        <v>156266.02668845316</v>
      </c>
      <c r="BR324" s="912">
        <f>BR323+BQ323+BN323+BM323</f>
        <v>163407.3712262683</v>
      </c>
      <c r="BS324" s="912">
        <f>BS323+BR323+BQ323+BN323</f>
        <v>166561.95455960161</v>
      </c>
      <c r="BT324" s="912">
        <f>BT323+BS323+BR323+BQ323</f>
        <v>168755.22535451659</v>
      </c>
      <c r="BU324" s="262"/>
      <c r="BV324" s="260"/>
      <c r="BW324" s="912">
        <f>BW323+BT323+BS323+BR323</f>
        <v>201701.64223651483</v>
      </c>
      <c r="BX324" s="912">
        <f>BX323+BW323+BT323+BS323</f>
        <v>230819.85652222915</v>
      </c>
      <c r="BY324" s="912">
        <f>BY323+BX323+BW323+BT323</f>
        <v>264142.50958345359</v>
      </c>
      <c r="BZ324" s="912">
        <f>BZ323+BY323+BX323+BW323</f>
        <v>291351.26246593415</v>
      </c>
      <c r="CA324" s="262"/>
      <c r="CB324" s="260"/>
      <c r="CC324" s="912">
        <f>CC323+BZ323+BY323+BX323</f>
        <v>305743.66039875074</v>
      </c>
      <c r="CD324" s="912">
        <f>CD323+CC323+BZ323+BY323</f>
        <v>272006.12058901961</v>
      </c>
      <c r="CE324" s="912">
        <f>CE323+CD323+CC323+BZ323</f>
        <v>290958.6968063867</v>
      </c>
      <c r="CF324" s="912">
        <f>CF323+CE323+CD323+CC323</f>
        <v>320950.75512542616</v>
      </c>
      <c r="CG324" s="262"/>
      <c r="CH324" s="260"/>
      <c r="CI324" s="912">
        <f>CI323+CF323+CE323+CD323</f>
        <v>338287.11837328941</v>
      </c>
      <c r="CJ324" s="912">
        <f>CJ323+CI323+CF323+CE323</f>
        <v>384959.13808016875</v>
      </c>
      <c r="CK324" s="912">
        <f>CK323+CJ323+CG323+CF323</f>
        <v>319821.53297298844</v>
      </c>
      <c r="CL324" s="912">
        <f>CL323+CK323+CJ323+CI323</f>
        <v>422022.93171072338</v>
      </c>
      <c r="CM324" s="262"/>
      <c r="CN324" s="260"/>
      <c r="CO324" s="912">
        <f>CO323+CL323+CK323+CJ323</f>
        <v>456171.31430181651</v>
      </c>
      <c r="CP324" s="912">
        <f>CP323+CO323+CL323+CK323</f>
        <v>491153.85005176009</v>
      </c>
      <c r="CQ324" s="912">
        <f>CQ323+CP323+CM323+CL323</f>
        <v>363937.28208880126</v>
      </c>
      <c r="CR324" s="912">
        <f>CR323+CQ323+CP323+CO323</f>
        <v>572973.86413453682</v>
      </c>
      <c r="CS324" s="262"/>
      <c r="CT324" s="260"/>
      <c r="CU324" s="912">
        <f>CU323+CR323+CQ323+CP323</f>
        <v>612753.96926320344</v>
      </c>
      <c r="CV324" s="912">
        <f>CV323+CU323+CR323+CQ323</f>
        <v>634478.27890332136</v>
      </c>
      <c r="CW324" s="912">
        <f>CW323+CV323+CS323+CR323</f>
        <v>527105.27907668613</v>
      </c>
      <c r="CX324" s="912">
        <f>CX323+CW323+CV323+CU323</f>
        <v>712827.08358344191</v>
      </c>
      <c r="CY324" s="262"/>
      <c r="CZ324" s="260"/>
      <c r="DA324" s="912">
        <f>DA323+CX323+CW323+CV323</f>
        <v>1010029.1504643718</v>
      </c>
      <c r="DB324" s="912">
        <f>DB323+DA323+CX323+CW323</f>
        <v>1042729.7251970492</v>
      </c>
      <c r="DC324" s="912">
        <f>DC323+DB323+DA323+CX323</f>
        <v>1140792.0788455119</v>
      </c>
      <c r="DD324" s="912">
        <f>DD323+DC323+DB323+DA323</f>
        <v>1214922.8943023691</v>
      </c>
      <c r="DE324" s="262"/>
      <c r="DF324" s="260"/>
      <c r="DG324" s="912">
        <f>DG323+DD323+DC323+DB323</f>
        <v>1334194.5327474701</v>
      </c>
      <c r="DH324" s="912">
        <f>DH323+DG323+DD323+DC323</f>
        <v>1348156.3978011487</v>
      </c>
      <c r="DI324" s="912">
        <f>DI323+DH323+DG323+DD323</f>
        <v>1385083.4501422567</v>
      </c>
      <c r="DJ324" s="912">
        <f>DJ323+DI323+DH323+DG323</f>
        <v>1393161.0466723037</v>
      </c>
      <c r="DK324" s="262"/>
      <c r="DL324" s="260"/>
      <c r="DM324" s="912">
        <f>DM323+DJ323+DI323+DH323</f>
        <v>1400115.3416653255</v>
      </c>
      <c r="DN324" s="912">
        <f>DN323+DM323+DJ323+DI323</f>
        <v>1402283.7778208766</v>
      </c>
      <c r="DO324" s="912">
        <f>DO323+DN323+DM323+DJ323</f>
        <v>1437600.2158009871</v>
      </c>
      <c r="DP324" s="912">
        <f>DP323+DO323+DN323+DM323</f>
        <v>1480997.6463830336</v>
      </c>
      <c r="DQ324" s="262"/>
      <c r="DR324" s="260"/>
      <c r="DS324" s="912">
        <f>DS323+DP323+DO323+DN323</f>
        <v>1531927.9909778042</v>
      </c>
      <c r="DT324" s="912">
        <f>DT323+DS323+DP323+DO323</f>
        <v>1538107.2860550608</v>
      </c>
      <c r="DU324" s="912">
        <f>DU323+DT323+DS323+DP323</f>
        <v>1551117.3429727058</v>
      </c>
      <c r="DV324" s="912">
        <f>DV323+DU323+DT323+DS323</f>
        <v>1569498.1194537207</v>
      </c>
      <c r="DW324" s="262"/>
      <c r="DX324" s="500"/>
      <c r="DY324" s="500"/>
      <c r="DZ324" s="500"/>
      <c r="EA324" s="500"/>
      <c r="EB324" s="500"/>
      <c r="EC324" s="500"/>
      <c r="ED324" s="500"/>
      <c r="EE324" s="500"/>
      <c r="EF324" s="500"/>
      <c r="EG324" s="500"/>
      <c r="EH324" s="500"/>
      <c r="EI324" s="500"/>
    </row>
    <row r="325" spans="1:139">
      <c r="A325" s="260" t="s">
        <v>905</v>
      </c>
      <c r="B325" s="260"/>
      <c r="C325" s="260"/>
      <c r="D325" s="260"/>
      <c r="E325" s="260"/>
      <c r="F325" s="260"/>
      <c r="G325" s="316"/>
      <c r="H325" s="260"/>
      <c r="I325" s="260"/>
      <c r="J325" s="260"/>
      <c r="K325" s="260"/>
      <c r="L325" s="260"/>
      <c r="M325" s="316"/>
      <c r="N325" s="260"/>
      <c r="O325" s="912"/>
      <c r="P325" s="912"/>
      <c r="Q325" s="912"/>
      <c r="R325" s="912"/>
      <c r="S325" s="316"/>
      <c r="T325" s="260"/>
      <c r="U325" s="912"/>
      <c r="V325" s="912"/>
      <c r="W325" s="912"/>
      <c r="X325" s="912"/>
      <c r="Y325" s="316"/>
      <c r="Z325" s="260"/>
      <c r="AA325" s="279">
        <f>AA324/U324-1</f>
        <v>-0.2382801015322763</v>
      </c>
      <c r="AB325" s="279">
        <f>AB324/V324-1</f>
        <v>-0.27720633128523997</v>
      </c>
      <c r="AC325" s="279">
        <f>AC324/W324-1</f>
        <v>-2.7873914897429075E-2</v>
      </c>
      <c r="AD325" s="279">
        <f>AD324/X324-1</f>
        <v>1.1170638493829932E-2</v>
      </c>
      <c r="AE325" s="316"/>
      <c r="AF325" s="260"/>
      <c r="AG325" s="279">
        <f>AG324/AA324-1</f>
        <v>4.085913492356541E-2</v>
      </c>
      <c r="AH325" s="279">
        <f>AH324/AB324-1</f>
        <v>0.1432328074063447</v>
      </c>
      <c r="AI325" s="279">
        <f>AI324/AC324-1</f>
        <v>0.23806092834903114</v>
      </c>
      <c r="AJ325" s="279">
        <f>AJ324/AD324-1</f>
        <v>0.22975639240864809</v>
      </c>
      <c r="AK325" s="316"/>
      <c r="AL325" s="260"/>
      <c r="AM325" s="279">
        <f>AM324/AG324-1</f>
        <v>0.18817389670517604</v>
      </c>
      <c r="AN325" s="279">
        <f>AN324/AH324-1</f>
        <v>0.10029928262333399</v>
      </c>
      <c r="AO325" s="279">
        <f>AO324/AI324-1</f>
        <v>0.12536373889762986</v>
      </c>
      <c r="AP325" s="279">
        <f>AP324/AJ324-1</f>
        <v>0.10672377943373124</v>
      </c>
      <c r="AQ325" s="507"/>
      <c r="AR325" s="260"/>
      <c r="AS325" s="279">
        <f>AS324/AM324-1</f>
        <v>0.20202879645354255</v>
      </c>
      <c r="AT325" s="279">
        <f>AT324/AN324-1</f>
        <v>0.20264883053858473</v>
      </c>
      <c r="AU325" s="279">
        <f>AU324/AO324-1</f>
        <v>0.1858867730521323</v>
      </c>
      <c r="AV325" s="279">
        <f>AV324/AP324-1</f>
        <v>0.2461306434853352</v>
      </c>
      <c r="AW325" s="507"/>
      <c r="AX325" s="260"/>
      <c r="AY325" s="279">
        <f>AY324/AS324-1</f>
        <v>0.25705236193918601</v>
      </c>
      <c r="AZ325" s="279">
        <f>AZ324/AT324-1</f>
        <v>0.2529845054996176</v>
      </c>
      <c r="BA325" s="279">
        <f>BA324/AU324-1</f>
        <v>0.18721678100236194</v>
      </c>
      <c r="BB325" s="279">
        <f>BB324/AV324-1</f>
        <v>0.13322689375228869</v>
      </c>
      <c r="BC325" s="507"/>
      <c r="BD325" s="260"/>
      <c r="BE325" s="279">
        <f>BE324/AY324-1</f>
        <v>-5.2018518071098474E-2</v>
      </c>
      <c r="BF325" s="279">
        <f>BF324/AZ324-1</f>
        <v>-2.5929514783294416E-2</v>
      </c>
      <c r="BG325" s="279">
        <f>BG324/BA324-1</f>
        <v>-2.2530820666450735E-2</v>
      </c>
      <c r="BH325" s="279">
        <f>BH324/BB324-1</f>
        <v>-6.7649323830063612E-2</v>
      </c>
      <c r="BI325" s="507"/>
      <c r="BJ325" s="260"/>
      <c r="BK325" s="279">
        <f>BK324/BE324-1</f>
        <v>2.0870423968938345E-2</v>
      </c>
      <c r="BL325" s="279">
        <f>BL324/BF324-1</f>
        <v>-3.36939026539822E-2</v>
      </c>
      <c r="BM325" s="279">
        <f>BM324/BG324-1</f>
        <v>3.393445556311625E-2</v>
      </c>
      <c r="BN325" s="279">
        <f>BN324/BH324-1</f>
        <v>0.11503148517255823</v>
      </c>
      <c r="BO325" s="262"/>
      <c r="BP325" s="260"/>
      <c r="BQ325" s="279">
        <f>BQ324/BK324-1</f>
        <v>0.16783864690844452</v>
      </c>
      <c r="BR325" s="279">
        <f>BR324/BL324-1</f>
        <v>0.23966542654838707</v>
      </c>
      <c r="BS325" s="279">
        <f>BS324/BM324-1</f>
        <v>0.18598416284659369</v>
      </c>
      <c r="BT325" s="279">
        <f>BT324/BN324-1</f>
        <v>0.14122806002529131</v>
      </c>
      <c r="BU325" s="262"/>
      <c r="BV325" s="260"/>
      <c r="BW325" s="279">
        <f>BW324/BQ324-1</f>
        <v>0.29075811621323444</v>
      </c>
      <c r="BX325" s="279">
        <f>BX324/BR324-1</f>
        <v>0.41254249909335838</v>
      </c>
      <c r="BY325" s="279">
        <f>BY324/BS324-1</f>
        <v>0.58585140455309848</v>
      </c>
      <c r="BZ325" s="279">
        <f>BZ324/BT324-1</f>
        <v>0.72647253946579138</v>
      </c>
      <c r="CA325" s="262"/>
      <c r="CB325" s="260"/>
      <c r="CC325" s="279">
        <f>CC324/BW324-1</f>
        <v>0.51582137363183445</v>
      </c>
      <c r="CD325" s="279">
        <f>CD324/BX324-1</f>
        <v>0.17843466626894822</v>
      </c>
      <c r="CE325" s="279">
        <f>CE324/BY324-1</f>
        <v>0.10152166444250721</v>
      </c>
      <c r="CF325" s="279">
        <f>CF324/BZ324-1</f>
        <v>0.10159383696836688</v>
      </c>
      <c r="CG325" s="262"/>
      <c r="CH325" s="260"/>
      <c r="CI325" s="279">
        <f>CI324/CC324-1</f>
        <v>0.10644033610409287</v>
      </c>
      <c r="CJ325" s="279">
        <f>CJ324/CD324-1</f>
        <v>0.41525910242958286</v>
      </c>
      <c r="CK325" s="279">
        <f>CK324/CE324-1</f>
        <v>9.9199083867934634E-2</v>
      </c>
      <c r="CL325" s="279">
        <f>CL324/CF324-1</f>
        <v>0.31491490507881381</v>
      </c>
      <c r="CM325" s="262"/>
      <c r="CN325" s="260"/>
      <c r="CO325" s="279">
        <f>CO324/CI324-1</f>
        <v>0.34847379496858499</v>
      </c>
      <c r="CP325" s="279">
        <f>CP324/CJ324-1</f>
        <v>0.27585969903505969</v>
      </c>
      <c r="CQ325" s="279">
        <f>CQ324/CK324-1</f>
        <v>0.13793864567442604</v>
      </c>
      <c r="CR325" s="279">
        <f>CR324/CL324-1</f>
        <v>0.35768419458135781</v>
      </c>
      <c r="CS325" s="262"/>
      <c r="CT325" s="260"/>
      <c r="CU325" s="279">
        <f>CU324/CO324-1</f>
        <v>0.34325405840356549</v>
      </c>
      <c r="CV325" s="279">
        <f>CV324/CP324-1</f>
        <v>0.29181167741321201</v>
      </c>
      <c r="CW325" s="279">
        <f>CW324/CQ324-1</f>
        <v>0.44834097801519435</v>
      </c>
      <c r="CX325" s="279">
        <f>CX324/CR324-1</f>
        <v>0.24408306940867197</v>
      </c>
      <c r="CY325" s="262"/>
      <c r="CZ325" s="260"/>
      <c r="DA325" s="279">
        <f>DA324/CU324-1</f>
        <v>0.64834370910541095</v>
      </c>
      <c r="DB325" s="279">
        <f>DB324/CV324-1</f>
        <v>0.64344432247448946</v>
      </c>
      <c r="DC325" s="279">
        <f>DC324/CW324-1</f>
        <v>1.1642584966020486</v>
      </c>
      <c r="DD325" s="279">
        <f>DD324/CX324-1</f>
        <v>0.70437252214779655</v>
      </c>
      <c r="DE325" s="262"/>
      <c r="DF325" s="260"/>
      <c r="DG325" s="279">
        <f>DG324/DA324-1</f>
        <v>0.32094656093248375</v>
      </c>
      <c r="DH325" s="279">
        <f>DH324/DB324-1</f>
        <v>0.29291067975105589</v>
      </c>
      <c r="DI325" s="279">
        <f>DI324/DC324-1</f>
        <v>0.21414188950537683</v>
      </c>
      <c r="DJ325" s="279">
        <f>DJ324/DD324-1</f>
        <v>0.14670737806145473</v>
      </c>
      <c r="DK325" s="262"/>
      <c r="DL325" s="260"/>
      <c r="DM325" s="279">
        <f>DM324/DG324-1</f>
        <v>4.9408693634882761E-2</v>
      </c>
      <c r="DN325" s="279">
        <f>DN324/DH324-1</f>
        <v>4.0149184551591999E-2</v>
      </c>
      <c r="DO325" s="279">
        <f>DO324/DI324-1</f>
        <v>3.7915957809860901E-2</v>
      </c>
      <c r="DP325" s="279">
        <f>DP324/DJ324-1</f>
        <v>6.3048417783813315E-2</v>
      </c>
      <c r="DQ325" s="262"/>
      <c r="DR325" s="260"/>
      <c r="DS325" s="279">
        <f>DS324/DM324-1</f>
        <v>9.4144136122169764E-2</v>
      </c>
      <c r="DT325" s="279">
        <f>DT324/DN324-1</f>
        <v>9.685878877187859E-2</v>
      </c>
      <c r="DU325" s="279">
        <f>DU324/DO324-1</f>
        <v>7.8962931365776479E-2</v>
      </c>
      <c r="DV325" s="279">
        <f>DV324/DP324-1</f>
        <v>5.9757335392684352E-2</v>
      </c>
      <c r="DW325" s="262"/>
      <c r="DX325" s="500"/>
      <c r="DY325" s="500"/>
      <c r="DZ325" s="500"/>
      <c r="EA325" s="500"/>
      <c r="EB325" s="500"/>
      <c r="EC325" s="500"/>
      <c r="ED325" s="500"/>
      <c r="EE325" s="500"/>
      <c r="EF325" s="500"/>
      <c r="EG325" s="500"/>
      <c r="EH325" s="500"/>
      <c r="EI325" s="500"/>
    </row>
    <row r="326" spans="1:139">
      <c r="A326" s="260"/>
      <c r="B326" s="260"/>
      <c r="C326" s="260"/>
      <c r="D326" s="260"/>
      <c r="E326" s="260"/>
      <c r="F326" s="260"/>
      <c r="G326" s="316"/>
      <c r="H326" s="260"/>
      <c r="I326" s="260"/>
      <c r="J326" s="260"/>
      <c r="K326" s="260"/>
      <c r="L326" s="260"/>
      <c r="M326" s="316"/>
      <c r="N326" s="260"/>
      <c r="O326" s="912"/>
      <c r="P326" s="912"/>
      <c r="Q326" s="912"/>
      <c r="R326" s="912"/>
      <c r="S326" s="316"/>
      <c r="T326" s="260"/>
      <c r="U326" s="912"/>
      <c r="V326" s="912"/>
      <c r="W326" s="912"/>
      <c r="X326" s="912"/>
      <c r="Y326" s="316"/>
      <c r="Z326" s="260"/>
      <c r="AA326" s="912"/>
      <c r="AB326" s="912"/>
      <c r="AC326" s="912"/>
      <c r="AD326" s="912"/>
      <c r="AE326" s="316"/>
      <c r="AF326" s="260"/>
      <c r="AG326" s="912"/>
      <c r="AH326" s="912"/>
      <c r="AI326" s="912"/>
      <c r="AJ326" s="912"/>
      <c r="AK326" s="316"/>
      <c r="AL326" s="260"/>
      <c r="AM326" s="912"/>
      <c r="AN326" s="912"/>
      <c r="AO326" s="912"/>
      <c r="AP326" s="912"/>
      <c r="AQ326" s="507"/>
      <c r="AR326" s="260"/>
      <c r="AS326" s="912"/>
      <c r="AT326" s="912"/>
      <c r="AU326" s="912"/>
      <c r="AV326" s="912"/>
      <c r="AW326" s="507"/>
      <c r="AX326" s="260"/>
      <c r="AY326" s="912"/>
      <c r="AZ326" s="912"/>
      <c r="BA326" s="912"/>
      <c r="BB326" s="912"/>
      <c r="BC326" s="507"/>
      <c r="BD326" s="260"/>
      <c r="BE326" s="912"/>
      <c r="BF326" s="912"/>
      <c r="BG326" s="912"/>
      <c r="BH326" s="912"/>
      <c r="BI326" s="507"/>
      <c r="BJ326" s="260"/>
      <c r="BK326" s="912"/>
      <c r="BL326" s="912"/>
      <c r="BM326" s="912"/>
      <c r="BN326" s="912"/>
      <c r="BO326" s="262"/>
      <c r="BP326" s="260"/>
      <c r="BQ326" s="912"/>
      <c r="BR326" s="912"/>
      <c r="BS326" s="912"/>
      <c r="BT326" s="912"/>
      <c r="BU326" s="262"/>
      <c r="BV326" s="260"/>
      <c r="BW326" s="912"/>
      <c r="BX326" s="912"/>
      <c r="BY326" s="912"/>
      <c r="BZ326" s="912"/>
      <c r="CA326" s="262"/>
      <c r="CB326" s="260"/>
      <c r="CC326" s="912"/>
      <c r="CD326" s="912"/>
      <c r="CE326" s="912"/>
      <c r="CF326" s="912"/>
      <c r="CG326" s="262"/>
      <c r="CH326" s="260"/>
      <c r="CI326" s="912"/>
      <c r="CJ326" s="912"/>
      <c r="CK326" s="912"/>
      <c r="CL326" s="912"/>
      <c r="CM326" s="262"/>
      <c r="CN326" s="260"/>
      <c r="CO326" s="912"/>
      <c r="CP326" s="912"/>
      <c r="CQ326" s="912"/>
      <c r="CR326" s="912"/>
      <c r="CS326" s="262"/>
      <c r="CT326" s="260"/>
      <c r="CU326" s="912"/>
      <c r="CV326" s="912"/>
      <c r="CW326" s="912"/>
      <c r="CX326" s="912"/>
      <c r="CY326" s="262"/>
      <c r="CZ326" s="260"/>
      <c r="DA326" s="912"/>
      <c r="DB326" s="912"/>
      <c r="DC326" s="912"/>
      <c r="DD326" s="912"/>
      <c r="DE326" s="262"/>
      <c r="DF326" s="260"/>
      <c r="DG326" s="912"/>
      <c r="DH326" s="912"/>
      <c r="DI326" s="912"/>
      <c r="DJ326" s="912"/>
      <c r="DK326" s="262"/>
      <c r="DL326" s="260"/>
      <c r="DM326" s="912"/>
      <c r="DN326" s="912"/>
      <c r="DO326" s="912"/>
      <c r="DP326" s="912"/>
      <c r="DQ326" s="262"/>
      <c r="DR326" s="260"/>
      <c r="DS326" s="912"/>
      <c r="DT326" s="912"/>
      <c r="DU326" s="912"/>
      <c r="DV326" s="912"/>
      <c r="DW326" s="262"/>
      <c r="DX326" s="500"/>
      <c r="DY326" s="500"/>
      <c r="DZ326" s="500"/>
      <c r="EA326" s="500"/>
      <c r="EB326" s="500"/>
      <c r="EC326" s="500"/>
      <c r="ED326" s="500"/>
      <c r="EE326" s="500"/>
      <c r="EF326" s="500"/>
      <c r="EG326" s="500"/>
      <c r="EH326" s="500"/>
      <c r="EI326" s="500"/>
    </row>
    <row r="327" spans="1:139">
      <c r="A327" s="260" t="s">
        <v>826</v>
      </c>
      <c r="B327" s="260"/>
      <c r="C327" s="260"/>
      <c r="D327" s="260"/>
      <c r="E327" s="260"/>
      <c r="F327" s="260"/>
      <c r="G327" s="316"/>
      <c r="H327" s="260"/>
      <c r="I327" s="260"/>
      <c r="J327" s="260"/>
      <c r="K327" s="260"/>
      <c r="L327" s="260"/>
      <c r="M327" s="316"/>
      <c r="N327" s="260"/>
      <c r="O327" s="260"/>
      <c r="P327" s="260"/>
      <c r="Q327" s="260"/>
      <c r="R327" s="260"/>
      <c r="S327" s="316"/>
      <c r="T327" s="260"/>
      <c r="U327" s="912">
        <f>((U307-R307)/U11)*1000000</f>
        <v>935</v>
      </c>
      <c r="V327" s="912">
        <f>((V307-U307)/V11)*1000000</f>
        <v>2212.8571428571422</v>
      </c>
      <c r="W327" s="912">
        <f>((W307-V307)/W11)*1000000</f>
        <v>3417.1428571428564</v>
      </c>
      <c r="X327" s="912">
        <f>((X307-W307)/X11)*1000000</f>
        <v>2545</v>
      </c>
      <c r="Y327" s="316"/>
      <c r="Z327" s="260"/>
      <c r="AA327" s="912">
        <f>((AA307-X307)/AA11)*1000000</f>
        <v>2975.454545454545</v>
      </c>
      <c r="AB327" s="912">
        <f>((AB307-AA307)/AB11)*1000000</f>
        <v>1623.0769230769226</v>
      </c>
      <c r="AC327" s="912">
        <f>((AC307-AB307)/AC11)*1000000</f>
        <v>1725.0000000000018</v>
      </c>
      <c r="AD327" s="912">
        <f>((AD307-AC307)/AD11)*1000000</f>
        <v>2493.5714285714284</v>
      </c>
      <c r="AE327" s="316"/>
      <c r="AF327" s="260"/>
      <c r="AG327" s="912">
        <f>((AG307-AD307)/AG11)*1000000</f>
        <v>3794.3750000000009</v>
      </c>
      <c r="AH327" s="912">
        <f>((AH307-AG307)/AH11)*1000000</f>
        <v>132.8571428571428</v>
      </c>
      <c r="AI327" s="912">
        <f>((AI307-AH307)/AI11)*1000000</f>
        <v>1787.2222222222215</v>
      </c>
      <c r="AJ327" s="912">
        <f>((AJ307-AI307)/AJ11)*1000000</f>
        <v>2554.4444444444439</v>
      </c>
      <c r="AK327" s="316"/>
      <c r="AL327" s="260"/>
      <c r="AM327" s="912">
        <f>((AM307-AJ307)/AM11)*1000000</f>
        <v>2736.8181818181824</v>
      </c>
      <c r="AN327" s="912">
        <f>((AN307-AM307)/AN11)*1000000</f>
        <v>3100.4761904761881</v>
      </c>
      <c r="AO327" s="912">
        <f>((AO307-AN307)/AO11)*1000000</f>
        <v>2897.8260869565215</v>
      </c>
      <c r="AP327" s="912">
        <f>((AP307-AO307)/AP11)*1000000</f>
        <v>2783.703703703703</v>
      </c>
      <c r="AQ327" s="507"/>
      <c r="AR327" s="260"/>
      <c r="AS327" s="912">
        <f>((AS307-AP307)/AS11)*1000000</f>
        <v>3636.0000000000014</v>
      </c>
      <c r="AT327" s="912">
        <f>((AT307-AS307)/AT11)*1000000</f>
        <v>1881.6666666666654</v>
      </c>
      <c r="AU327" s="912">
        <f>((AU307-AT307)/AU11)*1000000</f>
        <v>2125.7142857142849</v>
      </c>
      <c r="AV327" s="912">
        <f>((AV307-AU307)/AV11)*1000000</f>
        <v>3101.3793103448324</v>
      </c>
      <c r="AW327" s="507"/>
      <c r="AX327" s="260"/>
      <c r="AY327" s="912">
        <f>((AY307-AV307)/AY11)*1000000</f>
        <v>6033.0769230769201</v>
      </c>
      <c r="AZ327" s="912">
        <f>((AZ307-AY307)/AZ11)*1000000</f>
        <v>1815.1219512195139</v>
      </c>
      <c r="BA327" s="912">
        <f>((BA307-AZ307)/BA11)*1000000</f>
        <v>1266.3414634146325</v>
      </c>
      <c r="BB327" s="912">
        <f>((BB307-BA307)/BB11)*1000000</f>
        <v>2039.7222222222231</v>
      </c>
      <c r="BC327" s="507"/>
      <c r="BD327" s="260"/>
      <c r="BE327" s="912">
        <f>((BE307-BB307)/BE11)*1000000</f>
        <v>-1598.7179487179521</v>
      </c>
      <c r="BF327" s="912">
        <f>((BF307-BE307)/BF11)*1000000</f>
        <v>2197.9487179487187</v>
      </c>
      <c r="BG327" s="912">
        <f>((BG307-BF307)/BG11)*1000000</f>
        <v>1322.1276595744678</v>
      </c>
      <c r="BH327" s="912">
        <f>((BH307-BG307)/BH11)*1000000</f>
        <v>3050.6521739130467</v>
      </c>
      <c r="BI327" s="507"/>
      <c r="BJ327" s="260"/>
      <c r="BK327" s="912">
        <f>((BK307-BH307)/BK11)*1000000</f>
        <v>1356.8749999999952</v>
      </c>
      <c r="BL327" s="912">
        <f>((BL307-BK307)/BL11)*1000000</f>
        <v>1020.0000000000052</v>
      </c>
      <c r="BM327" s="912">
        <f>((BM307-BL307)/BM11)*1000000</f>
        <v>3896.4583333333339</v>
      </c>
      <c r="BN327" s="912">
        <f>((BN307-BM307)/BN11)*1000000</f>
        <v>4814.5098039215691</v>
      </c>
      <c r="BO327" s="262"/>
      <c r="BP327" s="260"/>
      <c r="BQ327" s="912">
        <f>((BQ307-BN307)/BQ11)*1000000</f>
        <v>3208.8888888888841</v>
      </c>
      <c r="BR327" s="912">
        <f>((BR307-BQ307)/BR11)*1000000</f>
        <v>3831.2698412698369</v>
      </c>
      <c r="BS327" s="912">
        <f>((BS307-BR307)/BS11)*1000000</f>
        <v>3217.5384615384769</v>
      </c>
      <c r="BT327" s="912">
        <f>((BT307-BS307)/BT11)*1000000</f>
        <v>2213.3878540057481</v>
      </c>
      <c r="BU327" s="262"/>
      <c r="BV327" s="260"/>
      <c r="BW327" s="912">
        <f>((BW307-BT307)/BW11)*1000000</f>
        <v>8201.1627906976573</v>
      </c>
      <c r="BX327" s="912">
        <f>((BX307-BW307)/BX11)*1000000</f>
        <v>1791.0416666666863</v>
      </c>
      <c r="BY327" s="912">
        <f>((BY307-BX307)/BY11)*1000000</f>
        <v>7599.1836734693734</v>
      </c>
      <c r="BZ327" s="912">
        <f>((BZ307-BY307)/BZ11)*1000000</f>
        <v>1142.8301886792483</v>
      </c>
      <c r="CA327" s="262"/>
      <c r="CB327" s="260"/>
      <c r="CC327" s="912">
        <f>((CC307-BZ307)/CC11)*1000000</f>
        <v>6214.0000000000055</v>
      </c>
      <c r="CD327" s="912">
        <f>((CD307-CC307)/CD11)*1000000</f>
        <v>1339.032214103099</v>
      </c>
      <c r="CE327" s="912">
        <f>((CE307-CD307)/CE11)*1000000</f>
        <v>13945.947655770191</v>
      </c>
      <c r="CF327" s="912">
        <f>((CF307-CE307)/CF11)*1000000</f>
        <v>11399.636363636349</v>
      </c>
      <c r="CG327" s="262"/>
      <c r="CH327" s="260"/>
      <c r="CI327" s="912">
        <f>((CI307-CF307)/CI11)*1000000</f>
        <v>353.26923076922867</v>
      </c>
      <c r="CJ327" s="912">
        <f>((CJ307-CI307)/CJ11)*1000000</f>
        <v>4146.9845722300115</v>
      </c>
      <c r="CK327" s="912">
        <f>((CK307-CJ307)/CK11)*1000000</f>
        <v>7649.8274515893036</v>
      </c>
      <c r="CL327" s="912">
        <f>((CL307-CK307)/CL11)*1000000</f>
        <v>2792.2915416916662</v>
      </c>
      <c r="CM327" s="262"/>
      <c r="CN327" s="260"/>
      <c r="CO327" s="912">
        <f>((CO307-CL307)/CO11)*1000000</f>
        <v>1334.0404858299544</v>
      </c>
      <c r="CP327" s="912">
        <f>((CP307-CO307)/CP11)*1000000</f>
        <v>9441.4238045578022</v>
      </c>
      <c r="CQ327" s="912">
        <f>((CQ307-CP307)/CQ11)*1000000</f>
        <v>5636.6291238513122</v>
      </c>
      <c r="CR327" s="912">
        <f>((CR307-CQ307)/CR11)*1000000</f>
        <v>13116.383169055654</v>
      </c>
      <c r="CS327" s="262"/>
      <c r="CT327" s="260"/>
      <c r="CU327" s="912">
        <f>((CU307-CR307)/CU11)*1000000</f>
        <v>-2049.6992735493218</v>
      </c>
      <c r="CV327" s="912">
        <f>((CV307-CU307)/CV11)*1000000</f>
        <v>6813.1319656602182</v>
      </c>
      <c r="CW327" s="912">
        <f>((CW307-CV307)/CW11)*1000000</f>
        <v>12995.30238516287</v>
      </c>
      <c r="CX327" s="912">
        <f>((CX307-CW307)/CX11)*1000000</f>
        <v>12226.799008267935</v>
      </c>
      <c r="CY327" s="262"/>
      <c r="CZ327" s="260"/>
      <c r="DA327" s="912">
        <f>((DA307-CX307)/DA11)*1000000</f>
        <v>7495.8505944316712</v>
      </c>
      <c r="DB327" s="912">
        <f>((DB307-DA307)/DB11)*1000000</f>
        <v>10065.860638491282</v>
      </c>
      <c r="DC327" s="912">
        <f>((DC307-DB307)/DC11)*1000000</f>
        <v>5604.5177061918266</v>
      </c>
      <c r="DD327" s="912">
        <f>((DD307-DC307)/DD11)*1000000</f>
        <v>36617.063492063484</v>
      </c>
      <c r="DE327" s="262"/>
      <c r="DF327" s="260"/>
      <c r="DG327" s="912">
        <f>((DG307-DD307)/DG11)*1000000</f>
        <v>-28861.819291020791</v>
      </c>
      <c r="DH327" s="912">
        <f>((DH307-DG307)/DH11)*1000000</f>
        <v>5967.7675368488062</v>
      </c>
      <c r="DI327" s="912">
        <f>((DI307-DH307)/DI11)*1000000</f>
        <v>1614.0821036399907</v>
      </c>
      <c r="DJ327" s="912">
        <f>((DJ307-DI307)/DJ11)*1000000</f>
        <v>25104.31199261736</v>
      </c>
      <c r="DK327" s="262"/>
      <c r="DL327" s="260"/>
      <c r="DM327" s="912">
        <f>((DM307-DJ307)/DM11)*1000000</f>
        <v>9438.7676928761357</v>
      </c>
      <c r="DN327" s="912">
        <f>((DN307-DM307)/DN11)*1000000</f>
        <v>6060.83723539939</v>
      </c>
      <c r="DO327" s="912">
        <f>((DO307-DN307)/DO11)*1000000</f>
        <v>1443.7944941487667</v>
      </c>
      <c r="DP327" s="912">
        <f>((DP307-DO307)/DP11)*1000000</f>
        <v>22581.656510831366</v>
      </c>
      <c r="DQ327" s="262"/>
      <c r="DR327" s="260"/>
      <c r="DS327" s="912">
        <f>((DS307-DP307)/DS11)*1000000</f>
        <v>15370.755404134132</v>
      </c>
      <c r="DT327" s="912">
        <f>((DT307-DS307)/DT11)*1000000</f>
        <v>5638.3277272168689</v>
      </c>
      <c r="DU327" s="912">
        <f>((DU307-DT307)/DU11)*1000000</f>
        <v>1654.093462978039</v>
      </c>
      <c r="DV327" s="912">
        <f>((DV307-DU307)/DV11)*1000000</f>
        <v>24958.172110618507</v>
      </c>
      <c r="DW327" s="262"/>
      <c r="DX327" s="500"/>
      <c r="DY327" s="500"/>
      <c r="DZ327" s="500"/>
      <c r="EA327" s="500"/>
      <c r="EB327" s="500"/>
      <c r="EC327" s="500"/>
      <c r="ED327" s="500"/>
      <c r="EE327" s="500"/>
      <c r="EF327" s="500"/>
      <c r="EG327" s="500"/>
      <c r="EH327" s="500"/>
      <c r="EI327" s="500"/>
    </row>
    <row r="328" spans="1:139">
      <c r="A328" s="260" t="s">
        <v>885</v>
      </c>
      <c r="B328" s="260"/>
      <c r="C328" s="260"/>
      <c r="D328" s="260"/>
      <c r="E328" s="260"/>
      <c r="F328" s="260"/>
      <c r="G328" s="316"/>
      <c r="H328" s="260"/>
      <c r="I328" s="260"/>
      <c r="J328" s="260"/>
      <c r="K328" s="260"/>
      <c r="L328" s="260"/>
      <c r="M328" s="316"/>
      <c r="N328" s="260"/>
      <c r="O328" s="912"/>
      <c r="P328" s="912"/>
      <c r="Q328" s="912"/>
      <c r="R328" s="912">
        <f>R327+Q327+P327+O327</f>
        <v>0</v>
      </c>
      <c r="S328" s="316"/>
      <c r="T328" s="260"/>
      <c r="U328" s="912">
        <f>U327+R327+Q327+P327</f>
        <v>935</v>
      </c>
      <c r="V328" s="912">
        <f>V327+U327+R327+Q327</f>
        <v>3147.8571428571422</v>
      </c>
      <c r="W328" s="912">
        <f>W327+V327+U327+R327</f>
        <v>6564.9999999999982</v>
      </c>
      <c r="X328" s="912">
        <f>X327+W327+V327+U327</f>
        <v>9110</v>
      </c>
      <c r="Y328" s="316"/>
      <c r="Z328" s="260"/>
      <c r="AA328" s="912">
        <f>AA327+X327+W327+V327</f>
        <v>11150.454545454544</v>
      </c>
      <c r="AB328" s="912">
        <f>AB327+AA327+X327+W327</f>
        <v>10560.674325674325</v>
      </c>
      <c r="AC328" s="912">
        <f>AC327+AB327+AA327+X327</f>
        <v>8868.5314685314697</v>
      </c>
      <c r="AD328" s="912">
        <f>AD327+AC327+AB327+AA327</f>
        <v>8817.1028971028973</v>
      </c>
      <c r="AE328" s="316"/>
      <c r="AF328" s="260"/>
      <c r="AG328" s="912">
        <f>AG327+AD327+AC327+AB327</f>
        <v>9636.0233516483531</v>
      </c>
      <c r="AH328" s="912">
        <f>AH327+AG327+AD327+AC327</f>
        <v>8145.8035714285743</v>
      </c>
      <c r="AI328" s="912">
        <f>AI327+AH327+AG327+AD327</f>
        <v>8208.0257936507951</v>
      </c>
      <c r="AJ328" s="912">
        <f>AJ327+AI327+AH327+AG327</f>
        <v>8268.8988095238092</v>
      </c>
      <c r="AK328" s="316"/>
      <c r="AL328" s="260"/>
      <c r="AM328" s="912">
        <f>AM327+AJ327+AI327+AH327</f>
        <v>7211.3419913419912</v>
      </c>
      <c r="AN328" s="912">
        <f>AN327+AM327+AJ327+AI327</f>
        <v>10178.961038961035</v>
      </c>
      <c r="AO328" s="912">
        <f>AO327+AN327+AM327+AJ327</f>
        <v>11289.564903695335</v>
      </c>
      <c r="AP328" s="912">
        <f>AP327+AO327+AN327+AM327</f>
        <v>11518.824162954594</v>
      </c>
      <c r="AQ328" s="507"/>
      <c r="AR328" s="260"/>
      <c r="AS328" s="912">
        <f>AS327+AP327+AO327+AN327</f>
        <v>12418.005981136415</v>
      </c>
      <c r="AT328" s="912">
        <f>AT327+AS327+AP327+AO327</f>
        <v>11199.196457326892</v>
      </c>
      <c r="AU328" s="912">
        <f>AU327+AT327+AS327+AP327</f>
        <v>10427.084656084655</v>
      </c>
      <c r="AV328" s="912">
        <f>AV327+AU327+AT327+AS327</f>
        <v>10744.760262725784</v>
      </c>
      <c r="AW328" s="507"/>
      <c r="AX328" s="260"/>
      <c r="AY328" s="912">
        <f>AY327+AV327+AU327+AT327</f>
        <v>13141.837185802702</v>
      </c>
      <c r="AZ328" s="912">
        <f>AZ327+AY327+AV327+AU327</f>
        <v>13075.292470355551</v>
      </c>
      <c r="BA328" s="912">
        <f>BA327+AZ327+AY327+AV327</f>
        <v>12215.9196480559</v>
      </c>
      <c r="BB328" s="912">
        <f>BB327+BA327+AZ327+AY327</f>
        <v>11154.26255993329</v>
      </c>
      <c r="BC328" s="507"/>
      <c r="BD328" s="260"/>
      <c r="BE328" s="912">
        <f>BE327+BB327+BA327+AZ327</f>
        <v>3522.4676881384175</v>
      </c>
      <c r="BF328" s="912">
        <f>BF327+BE327+BB327+BA327</f>
        <v>3905.2944548676219</v>
      </c>
      <c r="BG328" s="912">
        <f>BG327+BF327+BE327+BB327</f>
        <v>3961.080651027457</v>
      </c>
      <c r="BH328" s="912">
        <f>BH327+BG327+BF327+BE327</f>
        <v>4972.010602718281</v>
      </c>
      <c r="BI328" s="507"/>
      <c r="BJ328" s="260"/>
      <c r="BK328" s="912">
        <f>BK327+BH327+BG327+BF327</f>
        <v>7927.6035514362284</v>
      </c>
      <c r="BL328" s="912">
        <f>BL327+BK327+BH327+BG327</f>
        <v>6749.6548334875151</v>
      </c>
      <c r="BM328" s="912">
        <f>BM327+BL327+BK327+BH327</f>
        <v>9323.9855072463815</v>
      </c>
      <c r="BN328" s="912">
        <f>BN327+BM327+BL327+BK327</f>
        <v>11087.843137254902</v>
      </c>
      <c r="BO328" s="262"/>
      <c r="BP328" s="260"/>
      <c r="BQ328" s="912">
        <f>BQ327+BN327+BM327+BL327</f>
        <v>12939.857026143793</v>
      </c>
      <c r="BR328" s="912">
        <f>BR327+BQ327+BN327+BM327</f>
        <v>15751.126867413624</v>
      </c>
      <c r="BS328" s="912">
        <f>BS327+BR327+BQ327+BN327</f>
        <v>15072.206995618766</v>
      </c>
      <c r="BT328" s="912">
        <f>BT327+BS327+BR327+BQ327</f>
        <v>12471.085045702945</v>
      </c>
      <c r="BU328" s="262"/>
      <c r="BV328" s="260"/>
      <c r="BW328" s="912">
        <f>BW327+BT327+BS327+BR327</f>
        <v>17463.358947511719</v>
      </c>
      <c r="BX328" s="912">
        <f>BX327+BW327+BT327+BS327</f>
        <v>15423.130772908569</v>
      </c>
      <c r="BY328" s="912">
        <f>BY327+BX327+BW327+BT327</f>
        <v>19804.775984839463</v>
      </c>
      <c r="BZ328" s="912">
        <f>BZ327+BY327+BX327+BW327</f>
        <v>18734.218319512966</v>
      </c>
      <c r="CA328" s="262"/>
      <c r="CB328" s="260"/>
      <c r="CC328" s="912">
        <f>CC327+BZ327+BY327+BX327</f>
        <v>16747.055528815315</v>
      </c>
      <c r="CD328" s="912">
        <f>CD327+CC327+BZ327+BY327</f>
        <v>16295.046076251727</v>
      </c>
      <c r="CE328" s="912">
        <f>CE327+CD327+CC327+BZ327</f>
        <v>22641.810058552543</v>
      </c>
      <c r="CF328" s="912">
        <f>CF327+CE327+CD327+CC327</f>
        <v>32898.616233509645</v>
      </c>
      <c r="CG328" s="262"/>
      <c r="CH328" s="260"/>
      <c r="CI328" s="912">
        <f>CI327+CF327+CE327+CD327</f>
        <v>27037.885464278868</v>
      </c>
      <c r="CJ328" s="912">
        <f>CJ327+CI327+CF327+CE327</f>
        <v>29845.837822405781</v>
      </c>
      <c r="CK328" s="912">
        <f>CK327+CJ327+CG327+CF327</f>
        <v>23196.448387455664</v>
      </c>
      <c r="CL328" s="912">
        <f>CL327+CK327+CJ327+CI327</f>
        <v>14942.37279628021</v>
      </c>
      <c r="CM328" s="262"/>
      <c r="CN328" s="260"/>
      <c r="CO328" s="912">
        <f>CO327+CL327+CK327+CJ327</f>
        <v>15923.144051340936</v>
      </c>
      <c r="CP328" s="912">
        <f>CP327+CO327+CL327+CK327</f>
        <v>21217.583283668726</v>
      </c>
      <c r="CQ328" s="912">
        <f>CQ327+CP327+CM327+CL327</f>
        <v>17870.344470100779</v>
      </c>
      <c r="CR328" s="912">
        <f>CR327+CQ327+CP327+CO327</f>
        <v>29528.476583294723</v>
      </c>
      <c r="CS328" s="262"/>
      <c r="CT328" s="260"/>
      <c r="CU328" s="912">
        <f>CU327+CR327+CQ327+CP327</f>
        <v>26144.736823915446</v>
      </c>
      <c r="CV328" s="912">
        <f>CV327+CU327+CR327+CQ327</f>
        <v>23516.444985017861</v>
      </c>
      <c r="CW328" s="912">
        <f>CW327+CV327+CS327+CR327</f>
        <v>32924.817519878743</v>
      </c>
      <c r="CX328" s="912">
        <f>CX327+CW327+CV327+CU327</f>
        <v>29985.534085541702</v>
      </c>
      <c r="CY328" s="262"/>
      <c r="CZ328" s="260"/>
      <c r="DA328" s="912">
        <f>DA327+CX327+CW327+CV327</f>
        <v>39531.083953522699</v>
      </c>
      <c r="DB328" s="912">
        <f>DB327+DA327+CX327+CW327</f>
        <v>42783.812626353756</v>
      </c>
      <c r="DC328" s="912">
        <f>DC327+DB327+DA327+CX327</f>
        <v>35393.02794738271</v>
      </c>
      <c r="DD328" s="912">
        <f>DD327+DC327+DB327+DA327</f>
        <v>59783.29243117827</v>
      </c>
      <c r="DE328" s="262"/>
      <c r="DF328" s="260"/>
      <c r="DG328" s="912">
        <f>DG327+DD327+DC327+DB327</f>
        <v>23425.622545725801</v>
      </c>
      <c r="DH328" s="912">
        <f>DH327+DG327+DD327+DC327</f>
        <v>19327.529444083324</v>
      </c>
      <c r="DI328" s="912">
        <f>DI327+DH327+DG327+DD327</f>
        <v>15337.093841531489</v>
      </c>
      <c r="DJ328" s="912">
        <f>DJ327+DI327+DH327+DG327</f>
        <v>3824.3423420853651</v>
      </c>
      <c r="DK328" s="262"/>
      <c r="DL328" s="260"/>
      <c r="DM328" s="912">
        <f>DM327+DJ327+DI327+DH327</f>
        <v>42124.929325982295</v>
      </c>
      <c r="DN328" s="912">
        <f>DN327+DM327+DJ327+DI327</f>
        <v>42217.999024532881</v>
      </c>
      <c r="DO328" s="912">
        <f>DO327+DN327+DM327+DJ327</f>
        <v>42047.711415041653</v>
      </c>
      <c r="DP328" s="912">
        <f>DP327+DO327+DN327+DM327</f>
        <v>39525.055933255659</v>
      </c>
      <c r="DQ328" s="262"/>
      <c r="DR328" s="260"/>
      <c r="DS328" s="912">
        <f>DS327+DP327+DO327+DN327</f>
        <v>45457.043644513658</v>
      </c>
      <c r="DT328" s="912">
        <f>DT327+DS327+DP327+DO327</f>
        <v>45034.534136331131</v>
      </c>
      <c r="DU328" s="912">
        <f>DU327+DT327+DS327+DP327</f>
        <v>45244.833105160404</v>
      </c>
      <c r="DV328" s="912">
        <f>DV327+DU327+DT327+DS327</f>
        <v>47621.348704947552</v>
      </c>
      <c r="DW328" s="262"/>
      <c r="DX328" s="500"/>
      <c r="DY328" s="500"/>
      <c r="DZ328" s="500"/>
      <c r="EA328" s="500"/>
      <c r="EB328" s="500"/>
      <c r="EC328" s="500"/>
      <c r="ED328" s="500"/>
      <c r="EE328" s="500"/>
      <c r="EF328" s="500"/>
      <c r="EG328" s="500"/>
      <c r="EH328" s="500"/>
      <c r="EI328" s="500"/>
    </row>
    <row r="329" spans="1:139">
      <c r="A329" s="260"/>
      <c r="B329" s="260"/>
      <c r="C329" s="260"/>
      <c r="D329" s="260"/>
      <c r="E329" s="260"/>
      <c r="F329" s="260"/>
      <c r="G329" s="316"/>
      <c r="H329" s="260"/>
      <c r="I329" s="260"/>
      <c r="J329" s="260"/>
      <c r="K329" s="260"/>
      <c r="L329" s="260"/>
      <c r="M329" s="316"/>
      <c r="N329" s="260"/>
      <c r="O329" s="260"/>
      <c r="P329" s="260"/>
      <c r="Q329" s="260"/>
      <c r="R329" s="260"/>
      <c r="S329" s="316"/>
      <c r="T329" s="260"/>
      <c r="U329" s="260"/>
      <c r="V329" s="260"/>
      <c r="W329" s="260"/>
      <c r="X329" s="260"/>
      <c r="Y329" s="316"/>
      <c r="Z329" s="260"/>
      <c r="AA329" s="260"/>
      <c r="AB329" s="260"/>
      <c r="AC329" s="260"/>
      <c r="AD329" s="260"/>
      <c r="AE329" s="316"/>
      <c r="AF329" s="260"/>
      <c r="AG329" s="260"/>
      <c r="AH329" s="260"/>
      <c r="AI329" s="260"/>
      <c r="AJ329" s="260"/>
      <c r="AK329" s="316"/>
      <c r="AL329" s="260"/>
      <c r="AM329" s="260"/>
      <c r="AN329" s="260"/>
      <c r="AO329" s="260"/>
      <c r="AP329" s="260"/>
      <c r="AQ329" s="1567"/>
      <c r="AR329" s="260"/>
      <c r="AS329" s="260"/>
      <c r="AT329" s="260"/>
      <c r="AU329" s="260"/>
      <c r="AV329" s="260"/>
      <c r="AW329" s="1567"/>
      <c r="AX329" s="260"/>
      <c r="AY329" s="260"/>
      <c r="AZ329" s="260"/>
      <c r="BA329" s="260"/>
      <c r="BB329" s="260"/>
      <c r="BC329" s="1567"/>
      <c r="BD329" s="260"/>
      <c r="BE329" s="260"/>
      <c r="BF329" s="260"/>
      <c r="BG329" s="260"/>
      <c r="BH329" s="260"/>
      <c r="BI329" s="1567"/>
      <c r="BJ329" s="260"/>
      <c r="BK329" s="260"/>
      <c r="BL329" s="260"/>
      <c r="BM329" s="260"/>
      <c r="BN329" s="260"/>
      <c r="BO329" s="1568"/>
      <c r="BP329" s="260"/>
      <c r="BQ329" s="260"/>
      <c r="BR329" s="260"/>
      <c r="BS329" s="260"/>
      <c r="BT329" s="260"/>
      <c r="BU329" s="1568"/>
      <c r="BV329" s="260"/>
      <c r="BW329" s="260"/>
      <c r="BX329" s="260"/>
      <c r="BY329" s="260"/>
      <c r="BZ329" s="260"/>
      <c r="CA329" s="1568"/>
      <c r="CB329" s="260"/>
      <c r="CC329" s="260"/>
      <c r="CD329" s="260"/>
      <c r="CE329" s="260"/>
      <c r="CF329" s="260"/>
      <c r="CG329" s="1568"/>
      <c r="CH329" s="260"/>
      <c r="CI329" s="260"/>
      <c r="CJ329" s="260"/>
      <c r="CK329" s="260"/>
      <c r="CL329" s="260"/>
      <c r="CM329" s="1568"/>
      <c r="CN329" s="260"/>
      <c r="CO329" s="260"/>
      <c r="CP329" s="260"/>
      <c r="CQ329" s="260"/>
      <c r="CR329" s="260"/>
      <c r="CS329" s="1568"/>
      <c r="CT329" s="260"/>
      <c r="CU329" s="260"/>
      <c r="CV329" s="260"/>
      <c r="CW329" s="260"/>
      <c r="CX329" s="260"/>
      <c r="CY329" s="1568"/>
      <c r="CZ329" s="260"/>
      <c r="DA329" s="260"/>
      <c r="DB329" s="260"/>
      <c r="DC329" s="260"/>
      <c r="DD329" s="260"/>
      <c r="DE329" s="1568"/>
      <c r="DF329" s="260"/>
      <c r="DG329" s="260"/>
      <c r="DH329" s="260"/>
      <c r="DI329" s="260"/>
      <c r="DJ329" s="260"/>
      <c r="DK329" s="1568"/>
      <c r="DL329" s="260"/>
      <c r="DM329" s="260"/>
      <c r="DN329" s="260"/>
      <c r="DO329" s="260"/>
      <c r="DP329" s="260"/>
      <c r="DQ329" s="1568"/>
      <c r="DR329" s="260"/>
      <c r="DS329" s="260"/>
      <c r="DT329" s="260"/>
      <c r="DU329" s="260"/>
      <c r="DV329" s="260"/>
      <c r="DW329" s="1568"/>
      <c r="DX329" s="500"/>
      <c r="DY329" s="500"/>
      <c r="DZ329" s="500"/>
      <c r="EA329" s="500"/>
      <c r="EB329" s="500"/>
      <c r="EC329" s="500"/>
      <c r="ED329" s="500"/>
      <c r="EE329" s="500"/>
      <c r="EF329" s="500"/>
      <c r="EG329" s="500"/>
      <c r="EH329" s="500"/>
      <c r="EI329" s="500"/>
    </row>
    <row r="330" spans="1:139">
      <c r="A330" s="260"/>
      <c r="B330" s="260"/>
      <c r="C330" s="260"/>
      <c r="D330" s="260"/>
      <c r="E330" s="260"/>
      <c r="F330" s="260"/>
      <c r="G330" s="316"/>
      <c r="H330" s="260"/>
      <c r="I330" s="260"/>
      <c r="J330" s="260"/>
      <c r="K330" s="260"/>
      <c r="L330" s="260"/>
      <c r="M330" s="316"/>
      <c r="N330" s="260"/>
      <c r="O330" s="260"/>
      <c r="P330" s="260"/>
      <c r="Q330" s="260"/>
      <c r="R330" s="260"/>
      <c r="S330" s="316"/>
      <c r="T330" s="260"/>
      <c r="U330" s="260"/>
      <c r="V330" s="260"/>
      <c r="W330" s="260"/>
      <c r="X330" s="260"/>
      <c r="Y330" s="316"/>
      <c r="Z330" s="260"/>
      <c r="AA330" s="260"/>
      <c r="AB330" s="260"/>
      <c r="AC330" s="260"/>
      <c r="AD330" s="260"/>
      <c r="AE330" s="316"/>
      <c r="AF330" s="260"/>
      <c r="AG330" s="260"/>
      <c r="AH330" s="260"/>
      <c r="AI330" s="260"/>
      <c r="AJ330" s="260"/>
      <c r="AK330" s="316"/>
      <c r="AL330" s="260"/>
      <c r="AM330" s="260"/>
      <c r="AN330" s="260"/>
      <c r="AO330" s="260"/>
      <c r="AP330" s="260"/>
      <c r="AQ330" s="316"/>
      <c r="AR330" s="260"/>
      <c r="AS330" s="260"/>
      <c r="AT330" s="260"/>
      <c r="AU330" s="260"/>
      <c r="AV330" s="260"/>
      <c r="AW330" s="316"/>
      <c r="AX330" s="260"/>
      <c r="AY330" s="260"/>
      <c r="AZ330" s="260"/>
      <c r="BA330" s="260"/>
      <c r="BB330" s="260"/>
      <c r="BC330" s="316"/>
      <c r="BD330" s="260"/>
      <c r="BE330" s="260"/>
      <c r="BF330" s="260"/>
      <c r="BG330" s="260"/>
      <c r="BH330" s="260"/>
      <c r="BI330" s="316"/>
      <c r="BJ330" s="260"/>
      <c r="BK330" s="260"/>
      <c r="BL330" s="260"/>
      <c r="BM330" s="260"/>
      <c r="BN330" s="260"/>
      <c r="BO330" s="260"/>
      <c r="BP330" s="260"/>
      <c r="BQ330" s="260"/>
      <c r="BR330" s="260"/>
      <c r="BS330" s="260"/>
      <c r="BT330" s="260"/>
      <c r="BU330" s="260"/>
      <c r="BV330" s="260"/>
      <c r="BW330" s="260"/>
      <c r="BX330" s="260"/>
      <c r="BY330" s="260"/>
      <c r="BZ330" s="260"/>
      <c r="CA330" s="260"/>
      <c r="CB330" s="260"/>
      <c r="CC330" s="260"/>
      <c r="CD330" s="260"/>
      <c r="CE330" s="260"/>
      <c r="CF330" s="260"/>
      <c r="CG330" s="260"/>
      <c r="CH330" s="260"/>
      <c r="CI330" s="260"/>
      <c r="CJ330" s="260"/>
      <c r="CK330" s="260"/>
      <c r="CL330" s="260"/>
      <c r="CM330" s="260"/>
      <c r="CN330" s="260"/>
      <c r="CO330" s="260"/>
      <c r="CP330" s="260"/>
      <c r="CQ330" s="260"/>
      <c r="CR330" s="260"/>
      <c r="CS330" s="260"/>
      <c r="CT330" s="260"/>
      <c r="CU330" s="260"/>
      <c r="CV330" s="260"/>
      <c r="CW330" s="260"/>
      <c r="CX330" s="260"/>
      <c r="CY330" s="260"/>
      <c r="CZ330" s="260"/>
      <c r="DA330" s="260"/>
      <c r="DB330" s="260"/>
      <c r="DC330" s="260"/>
      <c r="DD330" s="260"/>
      <c r="DE330" s="260"/>
      <c r="DF330" s="260"/>
      <c r="DG330" s="260"/>
      <c r="DH330" s="260"/>
      <c r="DI330" s="260"/>
      <c r="DJ330" s="260"/>
      <c r="DK330" s="260"/>
      <c r="DL330" s="260"/>
      <c r="DM330" s="260"/>
      <c r="DN330" s="260"/>
      <c r="DO330" s="260"/>
      <c r="DP330" s="260"/>
      <c r="DQ330" s="260"/>
      <c r="DR330" s="260"/>
      <c r="DS330" s="260"/>
      <c r="DT330" s="260"/>
      <c r="DU330" s="260"/>
      <c r="DV330" s="260"/>
      <c r="DW330" s="260"/>
      <c r="DX330" s="500"/>
      <c r="DY330" s="500"/>
      <c r="DZ330" s="500"/>
      <c r="EA330" s="500"/>
      <c r="EB330" s="500"/>
      <c r="EC330" s="500"/>
      <c r="ED330" s="500"/>
      <c r="EE330" s="500"/>
      <c r="EF330" s="500"/>
      <c r="EG330" s="500"/>
      <c r="EH330" s="500"/>
      <c r="EI330" s="500"/>
    </row>
    <row r="331" spans="1:139">
      <c r="A331" s="260"/>
      <c r="B331" s="260"/>
      <c r="C331" s="260"/>
      <c r="D331" s="260"/>
      <c r="E331" s="260"/>
      <c r="F331" s="260"/>
      <c r="G331" s="316"/>
      <c r="H331" s="260"/>
      <c r="I331" s="260"/>
      <c r="J331" s="260"/>
      <c r="K331" s="260"/>
      <c r="L331" s="260"/>
      <c r="M331" s="316"/>
      <c r="N331" s="260"/>
      <c r="O331" s="260"/>
      <c r="P331" s="260"/>
      <c r="Q331" s="260"/>
      <c r="R331" s="260"/>
      <c r="S331" s="316"/>
      <c r="T331" s="260"/>
      <c r="U331" s="260"/>
      <c r="V331" s="260"/>
      <c r="W331" s="260"/>
      <c r="X331" s="260"/>
      <c r="Y331" s="316"/>
      <c r="Z331" s="260"/>
      <c r="AA331" s="260"/>
      <c r="AB331" s="260"/>
      <c r="AC331" s="260"/>
      <c r="AD331" s="260"/>
      <c r="AE331" s="316"/>
      <c r="AF331" s="260"/>
      <c r="AG331" s="260"/>
      <c r="AH331" s="260"/>
      <c r="AI331" s="260"/>
      <c r="AJ331" s="260"/>
      <c r="AK331" s="316"/>
      <c r="AL331" s="260"/>
      <c r="AM331" s="260"/>
      <c r="AN331" s="260"/>
      <c r="AO331" s="260"/>
      <c r="AP331" s="260"/>
      <c r="AQ331" s="316"/>
      <c r="AR331" s="260"/>
      <c r="AS331" s="260"/>
      <c r="AT331" s="260"/>
      <c r="AU331" s="260"/>
      <c r="AV331" s="260"/>
      <c r="AW331" s="316"/>
      <c r="AX331" s="260"/>
      <c r="AY331" s="260"/>
      <c r="AZ331" s="260"/>
      <c r="BA331" s="260"/>
      <c r="BB331" s="260"/>
      <c r="BC331" s="316"/>
      <c r="BD331" s="260"/>
      <c r="BE331" s="260"/>
      <c r="BF331" s="260"/>
      <c r="BG331" s="260"/>
      <c r="BH331" s="260"/>
      <c r="BI331" s="316"/>
      <c r="BJ331" s="260"/>
      <c r="BK331" s="260"/>
      <c r="BL331" s="260"/>
      <c r="BM331" s="260"/>
      <c r="BN331" s="260"/>
      <c r="BO331" s="260"/>
      <c r="BP331" s="260"/>
      <c r="BQ331" s="260"/>
      <c r="BR331" s="260"/>
      <c r="BS331" s="260"/>
      <c r="BT331" s="260"/>
      <c r="BU331" s="260"/>
      <c r="BV331" s="260"/>
      <c r="BW331" s="260"/>
      <c r="BX331" s="260"/>
      <c r="BY331" s="260"/>
      <c r="BZ331" s="260"/>
      <c r="CA331" s="260"/>
      <c r="CB331" s="260"/>
      <c r="CC331" s="260"/>
      <c r="CD331" s="260"/>
      <c r="CE331" s="260"/>
      <c r="CF331" s="260"/>
      <c r="CG331" s="260"/>
      <c r="CH331" s="260"/>
      <c r="CI331" s="260"/>
      <c r="CJ331" s="260"/>
      <c r="CK331" s="260"/>
      <c r="CL331" s="260"/>
      <c r="CM331" s="260"/>
      <c r="CN331" s="260"/>
      <c r="CO331" s="260"/>
      <c r="CP331" s="260"/>
      <c r="CQ331" s="260"/>
      <c r="CR331" s="260"/>
      <c r="CS331" s="260"/>
      <c r="CT331" s="260"/>
      <c r="CU331" s="260"/>
      <c r="CV331" s="260"/>
      <c r="CW331" s="260"/>
      <c r="CX331" s="260"/>
      <c r="CY331" s="260"/>
      <c r="CZ331" s="260"/>
      <c r="DA331" s="260"/>
      <c r="DB331" s="260"/>
      <c r="DC331" s="260"/>
      <c r="DD331" s="260"/>
      <c r="DE331" s="260"/>
      <c r="DF331" s="260"/>
      <c r="DG331" s="260"/>
      <c r="DH331" s="260"/>
      <c r="DI331" s="260"/>
      <c r="DJ331" s="260"/>
      <c r="DK331" s="260"/>
      <c r="DL331" s="260"/>
      <c r="DM331" s="260"/>
      <c r="DN331" s="260"/>
      <c r="DO331" s="260"/>
      <c r="DP331" s="260"/>
      <c r="DQ331" s="260"/>
      <c r="DR331" s="260"/>
      <c r="DS331" s="260"/>
      <c r="DT331" s="260"/>
      <c r="DU331" s="260"/>
      <c r="DV331" s="260"/>
      <c r="DW331" s="260"/>
      <c r="DX331" s="500"/>
      <c r="DY331" s="500"/>
      <c r="DZ331" s="500"/>
      <c r="EA331" s="500"/>
      <c r="EB331" s="500"/>
      <c r="EC331" s="500"/>
      <c r="ED331" s="500"/>
      <c r="EE331" s="500"/>
      <c r="EF331" s="500"/>
      <c r="EG331" s="500"/>
      <c r="EH331" s="500"/>
      <c r="EI331" s="500"/>
    </row>
    <row r="332" spans="1:139">
      <c r="A332" s="260"/>
      <c r="B332" s="260"/>
      <c r="C332" s="260"/>
      <c r="D332" s="260"/>
      <c r="E332" s="260"/>
      <c r="F332" s="260"/>
      <c r="G332" s="316"/>
      <c r="H332" s="260"/>
      <c r="I332" s="260"/>
      <c r="J332" s="260"/>
      <c r="K332" s="260"/>
      <c r="L332" s="260"/>
      <c r="M332" s="316"/>
      <c r="N332" s="260"/>
      <c r="O332" s="260"/>
      <c r="P332" s="260"/>
      <c r="Q332" s="260"/>
      <c r="R332" s="260"/>
      <c r="S332" s="316"/>
      <c r="T332" s="260"/>
      <c r="U332" s="260"/>
      <c r="V332" s="260"/>
      <c r="W332" s="260"/>
      <c r="X332" s="260"/>
      <c r="Y332" s="316"/>
      <c r="Z332" s="260"/>
      <c r="AA332" s="260"/>
      <c r="AB332" s="260"/>
      <c r="AC332" s="260"/>
      <c r="AD332" s="260"/>
      <c r="AE332" s="316"/>
      <c r="AF332" s="260"/>
      <c r="AG332" s="260"/>
      <c r="AH332" s="260"/>
      <c r="AI332" s="260"/>
      <c r="AJ332" s="260"/>
      <c r="AK332" s="316"/>
      <c r="AL332" s="260"/>
      <c r="AM332" s="260"/>
      <c r="AN332" s="260"/>
      <c r="AO332" s="260"/>
      <c r="AP332" s="260"/>
      <c r="AQ332" s="316"/>
      <c r="AR332" s="260"/>
      <c r="AS332" s="260"/>
      <c r="AT332" s="260"/>
      <c r="AU332" s="260"/>
      <c r="AV332" s="260"/>
      <c r="AW332" s="314">
        <f>AW111</f>
        <v>437.67585000000003</v>
      </c>
      <c r="AX332" s="260"/>
      <c r="AY332" s="260"/>
      <c r="AZ332" s="260"/>
      <c r="BA332" s="260"/>
      <c r="BB332" s="260"/>
      <c r="BC332" s="314">
        <f>BC111</f>
        <v>410.34489000000002</v>
      </c>
      <c r="BD332" s="260"/>
      <c r="BE332" s="260"/>
      <c r="BF332" s="260"/>
      <c r="BG332" s="260"/>
      <c r="BH332" s="260"/>
      <c r="BI332" s="314">
        <f>BI111</f>
        <v>481.81022499999989</v>
      </c>
      <c r="BJ332" s="260"/>
      <c r="BK332" s="260"/>
      <c r="BL332" s="260"/>
      <c r="BM332" s="260"/>
      <c r="BN332" s="260"/>
      <c r="BO332" s="260"/>
      <c r="BP332" s="260"/>
      <c r="BQ332" s="260"/>
      <c r="BR332" s="260"/>
      <c r="BS332" s="260"/>
      <c r="BT332" s="260"/>
      <c r="BU332" s="260"/>
      <c r="BV332" s="260"/>
      <c r="BW332" s="260"/>
      <c r="BX332" s="260"/>
      <c r="BY332" s="260"/>
      <c r="BZ332" s="260"/>
      <c r="CA332" s="260"/>
      <c r="CB332" s="260"/>
      <c r="CC332" s="260"/>
      <c r="CD332" s="260"/>
      <c r="CE332" s="260"/>
      <c r="CF332" s="260"/>
      <c r="CG332" s="260"/>
      <c r="CH332" s="260"/>
      <c r="CI332" s="260"/>
      <c r="CJ332" s="260"/>
      <c r="CK332" s="260"/>
      <c r="CL332" s="260"/>
      <c r="CM332" s="260"/>
      <c r="CN332" s="260"/>
      <c r="CO332" s="260"/>
      <c r="CP332" s="260"/>
      <c r="CQ332" s="260"/>
      <c r="CR332" s="260"/>
      <c r="CS332" s="260"/>
      <c r="CT332" s="260"/>
      <c r="CU332" s="260"/>
      <c r="CV332" s="260"/>
      <c r="CW332" s="260"/>
      <c r="CX332" s="260"/>
      <c r="CY332" s="260"/>
      <c r="CZ332" s="260"/>
      <c r="DA332" s="260"/>
      <c r="DB332" s="260"/>
      <c r="DC332" s="260"/>
      <c r="DD332" s="260"/>
      <c r="DE332" s="260"/>
      <c r="DF332" s="260"/>
      <c r="DG332" s="260"/>
      <c r="DH332" s="260"/>
      <c r="DI332" s="260"/>
      <c r="DJ332" s="260"/>
      <c r="DK332" s="260"/>
      <c r="DL332" s="260"/>
      <c r="DM332" s="260"/>
      <c r="DN332" s="260"/>
      <c r="DO332" s="260"/>
      <c r="DP332" s="260"/>
      <c r="DQ332" s="260"/>
      <c r="DR332" s="260"/>
      <c r="DS332" s="260"/>
      <c r="DT332" s="260"/>
      <c r="DU332" s="260"/>
      <c r="DV332" s="260"/>
      <c r="DW332" s="260"/>
      <c r="DX332" s="500"/>
      <c r="DY332" s="500"/>
      <c r="DZ332" s="500"/>
      <c r="EA332" s="500"/>
      <c r="EB332" s="500"/>
      <c r="EC332" s="500"/>
      <c r="ED332" s="500"/>
      <c r="EE332" s="500"/>
      <c r="EF332" s="500"/>
      <c r="EG332" s="500"/>
      <c r="EH332" s="500"/>
      <c r="EI332" s="500"/>
    </row>
    <row r="333" spans="1:139">
      <c r="A333" s="260"/>
      <c r="B333" s="260"/>
      <c r="C333" s="260"/>
      <c r="D333" s="260"/>
      <c r="E333" s="260"/>
      <c r="F333" s="260"/>
      <c r="G333" s="316"/>
      <c r="H333" s="260"/>
      <c r="I333" s="260"/>
      <c r="J333" s="260"/>
      <c r="K333" s="260"/>
      <c r="L333" s="260"/>
      <c r="M333" s="316"/>
      <c r="N333" s="260"/>
      <c r="O333" s="260"/>
      <c r="P333" s="260"/>
      <c r="Q333" s="260"/>
      <c r="R333" s="260"/>
      <c r="S333" s="316"/>
      <c r="T333" s="260"/>
      <c r="U333" s="260"/>
      <c r="V333" s="260"/>
      <c r="W333" s="260"/>
      <c r="X333" s="260"/>
      <c r="Y333" s="316"/>
      <c r="Z333" s="260"/>
      <c r="AA333" s="260"/>
      <c r="AB333" s="260"/>
      <c r="AC333" s="260"/>
      <c r="AD333" s="260"/>
      <c r="AE333" s="316"/>
      <c r="AF333" s="260"/>
      <c r="AG333" s="260"/>
      <c r="AH333" s="260"/>
      <c r="AI333" s="260"/>
      <c r="AJ333" s="260"/>
      <c r="AK333" s="316"/>
      <c r="AL333" s="260"/>
      <c r="AM333" s="260"/>
      <c r="AN333" s="260"/>
      <c r="AO333" s="260"/>
      <c r="AP333" s="260"/>
      <c r="AQ333" s="316"/>
      <c r="AR333" s="260"/>
      <c r="AS333" s="260"/>
      <c r="AT333" s="260"/>
      <c r="AU333" s="260"/>
      <c r="AV333" s="260"/>
      <c r="AW333" s="314">
        <f>AW139</f>
        <v>945.53099999999995</v>
      </c>
      <c r="AX333" s="260"/>
      <c r="AY333" s="260"/>
      <c r="AZ333" s="260"/>
      <c r="BA333" s="260"/>
      <c r="BB333" s="260"/>
      <c r="BC333" s="314">
        <f>BC139</f>
        <v>1189.9010000000001</v>
      </c>
      <c r="BD333" s="260"/>
      <c r="BE333" s="260"/>
      <c r="BF333" s="260"/>
      <c r="BG333" s="260"/>
      <c r="BH333" s="260"/>
      <c r="BI333" s="314">
        <f>BI139</f>
        <v>1415.905</v>
      </c>
      <c r="BJ333" s="260"/>
      <c r="BK333" s="260"/>
      <c r="BL333" s="260"/>
      <c r="BM333" s="260"/>
      <c r="BN333" s="260"/>
      <c r="BO333" s="260"/>
      <c r="BP333" s="260"/>
      <c r="BQ333" s="260"/>
      <c r="BR333" s="260"/>
      <c r="BS333" s="260"/>
      <c r="BT333" s="260"/>
      <c r="BU333" s="260"/>
      <c r="BV333" s="260"/>
      <c r="BW333" s="260"/>
      <c r="BX333" s="260"/>
      <c r="BY333" s="260"/>
      <c r="BZ333" s="260"/>
      <c r="CA333" s="260"/>
      <c r="CB333" s="260"/>
      <c r="CC333" s="260"/>
      <c r="CD333" s="260"/>
      <c r="CE333" s="260"/>
      <c r="CF333" s="260"/>
      <c r="CG333" s="260"/>
      <c r="CH333" s="260"/>
      <c r="CI333" s="260"/>
      <c r="CJ333" s="260"/>
      <c r="CK333" s="260"/>
      <c r="CL333" s="260"/>
      <c r="CM333" s="260"/>
      <c r="CN333" s="260"/>
      <c r="CO333" s="260"/>
      <c r="CP333" s="260"/>
      <c r="CQ333" s="260"/>
      <c r="CR333" s="260"/>
      <c r="CS333" s="260"/>
      <c r="CT333" s="260"/>
      <c r="CU333" s="260"/>
      <c r="CV333" s="260"/>
      <c r="CW333" s="260"/>
      <c r="CX333" s="260"/>
      <c r="CY333" s="260"/>
      <c r="CZ333" s="260"/>
      <c r="DA333" s="260"/>
      <c r="DB333" s="260"/>
      <c r="DC333" s="260"/>
      <c r="DD333" s="260"/>
      <c r="DE333" s="260"/>
      <c r="DF333" s="260"/>
      <c r="DG333" s="260"/>
      <c r="DH333" s="260"/>
      <c r="DI333" s="260"/>
      <c r="DJ333" s="260"/>
      <c r="DK333" s="260"/>
      <c r="DL333" s="260"/>
      <c r="DM333" s="260"/>
      <c r="DN333" s="260"/>
      <c r="DO333" s="260"/>
      <c r="DP333" s="260"/>
      <c r="DQ333" s="260"/>
      <c r="DR333" s="260"/>
      <c r="DS333" s="260"/>
      <c r="DT333" s="260"/>
      <c r="DU333" s="260"/>
      <c r="DV333" s="260"/>
      <c r="DW333" s="260"/>
      <c r="DX333" s="500"/>
      <c r="DY333" s="500"/>
      <c r="DZ333" s="500"/>
      <c r="EA333" s="500"/>
      <c r="EB333" s="500"/>
      <c r="EC333" s="500"/>
      <c r="ED333" s="500"/>
      <c r="EE333" s="500"/>
      <c r="EF333" s="500"/>
      <c r="EG333" s="500"/>
      <c r="EH333" s="500"/>
      <c r="EI333" s="500"/>
    </row>
    <row r="334" spans="1:139">
      <c r="A334" s="260"/>
      <c r="B334" s="260"/>
      <c r="C334" s="260"/>
      <c r="D334" s="260"/>
      <c r="E334" s="260"/>
      <c r="F334" s="260"/>
      <c r="G334" s="316"/>
      <c r="H334" s="260"/>
      <c r="I334" s="260"/>
      <c r="J334" s="260"/>
      <c r="K334" s="260"/>
      <c r="L334" s="260"/>
      <c r="M334" s="316"/>
      <c r="N334" s="260"/>
      <c r="O334" s="260"/>
      <c r="P334" s="260"/>
      <c r="Q334" s="260"/>
      <c r="R334" s="260"/>
      <c r="S334" s="316"/>
      <c r="T334" s="260"/>
      <c r="U334" s="260"/>
      <c r="V334" s="260"/>
      <c r="W334" s="260"/>
      <c r="X334" s="260"/>
      <c r="Y334" s="316"/>
      <c r="Z334" s="260"/>
      <c r="AA334" s="260"/>
      <c r="AB334" s="260"/>
      <c r="AC334" s="260"/>
      <c r="AD334" s="260"/>
      <c r="AE334" s="316"/>
      <c r="AF334" s="260"/>
      <c r="AG334" s="260"/>
      <c r="AH334" s="260"/>
      <c r="AI334" s="260"/>
      <c r="AJ334" s="260"/>
      <c r="AK334" s="316"/>
      <c r="AL334" s="260"/>
      <c r="AM334" s="260"/>
      <c r="AN334" s="260"/>
      <c r="AO334" s="260"/>
      <c r="AP334" s="260"/>
      <c r="AQ334" s="316"/>
      <c r="AR334" s="260"/>
      <c r="AS334" s="260"/>
      <c r="AT334" s="260"/>
      <c r="AU334" s="260"/>
      <c r="AV334" s="260"/>
      <c r="AW334" s="316"/>
      <c r="AX334" s="260"/>
      <c r="AY334" s="260"/>
      <c r="AZ334" s="260"/>
      <c r="BA334" s="260"/>
      <c r="BB334" s="260"/>
      <c r="BC334" s="316"/>
      <c r="BD334" s="260"/>
      <c r="BE334" s="260"/>
      <c r="BF334" s="260"/>
      <c r="BG334" s="260"/>
      <c r="BH334" s="260"/>
      <c r="BI334" s="316"/>
      <c r="BJ334" s="260"/>
      <c r="BK334" s="260"/>
      <c r="BL334" s="260"/>
      <c r="BM334" s="260"/>
      <c r="BN334" s="260"/>
      <c r="BO334" s="260"/>
      <c r="BP334" s="260"/>
      <c r="BQ334" s="260"/>
      <c r="BR334" s="260"/>
      <c r="BS334" s="260"/>
      <c r="BT334" s="260"/>
      <c r="BU334" s="260"/>
      <c r="BV334" s="260"/>
      <c r="BW334" s="260"/>
      <c r="BX334" s="260"/>
      <c r="BY334" s="260"/>
      <c r="BZ334" s="260"/>
      <c r="CA334" s="260"/>
      <c r="CB334" s="260"/>
      <c r="CC334" s="260"/>
      <c r="CD334" s="260"/>
      <c r="CE334" s="260"/>
      <c r="CF334" s="260"/>
      <c r="CG334" s="260"/>
      <c r="CH334" s="260"/>
      <c r="CI334" s="260"/>
      <c r="CJ334" s="260"/>
      <c r="CK334" s="260"/>
      <c r="CL334" s="260"/>
      <c r="CM334" s="260"/>
      <c r="CN334" s="260"/>
      <c r="CO334" s="260"/>
      <c r="CP334" s="260"/>
      <c r="CQ334" s="260"/>
      <c r="CR334" s="260"/>
      <c r="CS334" s="260"/>
      <c r="CT334" s="260"/>
      <c r="CU334" s="260"/>
      <c r="CV334" s="260"/>
      <c r="CW334" s="260"/>
      <c r="CX334" s="260"/>
      <c r="CY334" s="260"/>
      <c r="CZ334" s="260"/>
      <c r="DA334" s="260"/>
      <c r="DB334" s="260"/>
      <c r="DC334" s="260"/>
      <c r="DD334" s="260"/>
      <c r="DE334" s="260"/>
      <c r="DF334" s="260"/>
      <c r="DG334" s="260"/>
      <c r="DH334" s="260"/>
      <c r="DI334" s="260"/>
      <c r="DJ334" s="260"/>
      <c r="DK334" s="260"/>
      <c r="DL334" s="260"/>
      <c r="DM334" s="260"/>
      <c r="DN334" s="260"/>
      <c r="DO334" s="260"/>
      <c r="DP334" s="260"/>
      <c r="DQ334" s="260"/>
      <c r="DR334" s="260"/>
      <c r="DS334" s="260"/>
      <c r="DT334" s="260"/>
      <c r="DU334" s="260"/>
      <c r="DV334" s="260"/>
      <c r="DW334" s="260"/>
      <c r="DX334" s="500"/>
      <c r="DY334" s="500"/>
      <c r="DZ334" s="500"/>
      <c r="EA334" s="500"/>
      <c r="EB334" s="500"/>
      <c r="EC334" s="500"/>
      <c r="ED334" s="500"/>
      <c r="EE334" s="500"/>
      <c r="EF334" s="500"/>
      <c r="EG334" s="500"/>
      <c r="EH334" s="500"/>
      <c r="EI334" s="500"/>
    </row>
    <row r="335" spans="1:139">
      <c r="A335" s="260"/>
      <c r="B335" s="260"/>
      <c r="C335" s="260"/>
      <c r="D335" s="260"/>
      <c r="E335" s="260"/>
      <c r="F335" s="260"/>
      <c r="G335" s="316"/>
      <c r="H335" s="260"/>
      <c r="I335" s="260"/>
      <c r="J335" s="260"/>
      <c r="K335" s="260"/>
      <c r="L335" s="260"/>
      <c r="M335" s="316"/>
      <c r="N335" s="260"/>
      <c r="O335" s="260"/>
      <c r="P335" s="260"/>
      <c r="Q335" s="260"/>
      <c r="R335" s="260"/>
      <c r="S335" s="316"/>
      <c r="T335" s="260"/>
      <c r="U335" s="260"/>
      <c r="V335" s="260"/>
      <c r="W335" s="260"/>
      <c r="X335" s="260"/>
      <c r="Y335" s="316"/>
      <c r="Z335" s="260"/>
      <c r="AA335" s="260"/>
      <c r="AB335" s="260"/>
      <c r="AC335" s="260"/>
      <c r="AD335" s="260"/>
      <c r="AE335" s="316"/>
      <c r="AF335" s="260"/>
      <c r="AG335" s="260"/>
      <c r="AH335" s="260"/>
      <c r="AI335" s="260"/>
      <c r="AJ335" s="260"/>
      <c r="AK335" s="316"/>
      <c r="AL335" s="260"/>
      <c r="AM335" s="260"/>
      <c r="AN335" s="260"/>
      <c r="AO335" s="260"/>
      <c r="AP335" s="260"/>
      <c r="AQ335" s="316"/>
      <c r="AR335" s="260"/>
      <c r="AS335" s="260"/>
      <c r="AT335" s="260"/>
      <c r="AU335" s="260"/>
      <c r="AV335" s="260"/>
      <c r="AW335" s="314">
        <f>SUM(AS307:AV307)</f>
        <v>351.05700000000002</v>
      </c>
      <c r="AX335" s="260"/>
      <c r="AY335" s="260"/>
      <c r="AZ335" s="260"/>
      <c r="BA335" s="260"/>
      <c r="BB335" s="260"/>
      <c r="BC335" s="314">
        <f>SUM(AY307:BB307)</f>
        <v>498.38499999999999</v>
      </c>
      <c r="BD335" s="260"/>
      <c r="BE335" s="260"/>
      <c r="BF335" s="260"/>
      <c r="BG335" s="260"/>
      <c r="BH335" s="260"/>
      <c r="BI335" s="314">
        <f>SUM(BE307:BH307)</f>
        <v>565.47699999999998</v>
      </c>
      <c r="BJ335" s="260"/>
      <c r="BK335" s="260"/>
      <c r="BL335" s="260"/>
      <c r="BM335" s="260"/>
      <c r="BN335" s="260"/>
      <c r="BO335" s="260"/>
      <c r="BP335" s="260"/>
      <c r="BQ335" s="260"/>
      <c r="BR335" s="260"/>
      <c r="BS335" s="260"/>
      <c r="BT335" s="260"/>
      <c r="BU335" s="260"/>
      <c r="BV335" s="260"/>
      <c r="BW335" s="260"/>
      <c r="BX335" s="260"/>
      <c r="BY335" s="260"/>
      <c r="BZ335" s="260"/>
      <c r="CA335" s="260"/>
      <c r="CB335" s="260"/>
      <c r="CC335" s="260"/>
      <c r="CD335" s="260"/>
      <c r="CE335" s="260"/>
      <c r="CF335" s="260"/>
      <c r="CG335" s="260"/>
      <c r="CH335" s="260"/>
      <c r="CI335" s="260"/>
      <c r="CJ335" s="260"/>
      <c r="CK335" s="260"/>
      <c r="CL335" s="260"/>
      <c r="CM335" s="260"/>
      <c r="CN335" s="260"/>
      <c r="CO335" s="260"/>
      <c r="CP335" s="260"/>
      <c r="CQ335" s="260"/>
      <c r="CR335" s="260"/>
      <c r="CS335" s="260"/>
      <c r="CT335" s="260"/>
      <c r="CU335" s="260"/>
      <c r="CV335" s="260"/>
      <c r="CW335" s="260"/>
      <c r="CX335" s="260"/>
      <c r="CY335" s="260"/>
      <c r="CZ335" s="260"/>
      <c r="DA335" s="260"/>
      <c r="DB335" s="260"/>
      <c r="DC335" s="260"/>
      <c r="DD335" s="260"/>
      <c r="DE335" s="260"/>
      <c r="DF335" s="260"/>
      <c r="DG335" s="260"/>
      <c r="DH335" s="260"/>
      <c r="DI335" s="260"/>
      <c r="DJ335" s="260"/>
      <c r="DK335" s="260"/>
      <c r="DL335" s="260"/>
      <c r="DM335" s="260"/>
      <c r="DN335" s="260"/>
      <c r="DO335" s="260"/>
      <c r="DP335" s="260"/>
      <c r="DQ335" s="260"/>
      <c r="DR335" s="260"/>
      <c r="DS335" s="260"/>
      <c r="DT335" s="260"/>
      <c r="DU335" s="260"/>
      <c r="DV335" s="260"/>
      <c r="DW335" s="260"/>
      <c r="DX335" s="500"/>
      <c r="DY335" s="500"/>
      <c r="DZ335" s="500"/>
      <c r="EA335" s="500"/>
      <c r="EB335" s="500"/>
      <c r="EC335" s="500"/>
      <c r="ED335" s="500"/>
      <c r="EE335" s="500"/>
      <c r="EF335" s="500"/>
      <c r="EG335" s="500"/>
      <c r="EH335" s="500"/>
      <c r="EI335" s="500"/>
    </row>
    <row r="336" spans="1:139">
      <c r="A336" s="260"/>
      <c r="B336" s="260"/>
      <c r="C336" s="260"/>
      <c r="D336" s="260"/>
      <c r="E336" s="260"/>
      <c r="F336" s="260"/>
      <c r="G336" s="316"/>
      <c r="H336" s="260"/>
      <c r="I336" s="260"/>
      <c r="J336" s="260"/>
      <c r="K336" s="260"/>
      <c r="L336" s="260"/>
      <c r="M336" s="316"/>
      <c r="N336" s="260"/>
      <c r="O336" s="260"/>
      <c r="P336" s="260"/>
      <c r="Q336" s="260"/>
      <c r="R336" s="260"/>
      <c r="S336" s="316"/>
      <c r="T336" s="260"/>
      <c r="U336" s="260"/>
      <c r="V336" s="260"/>
      <c r="W336" s="260"/>
      <c r="X336" s="260"/>
      <c r="Y336" s="316"/>
      <c r="Z336" s="260"/>
      <c r="AA336" s="260"/>
      <c r="AB336" s="260"/>
      <c r="AC336" s="260"/>
      <c r="AD336" s="260"/>
      <c r="AE336" s="316"/>
      <c r="AF336" s="260"/>
      <c r="AG336" s="260"/>
      <c r="AH336" s="260"/>
      <c r="AI336" s="260"/>
      <c r="AJ336" s="260"/>
      <c r="AK336" s="316"/>
      <c r="AL336" s="260"/>
      <c r="AM336" s="260"/>
      <c r="AN336" s="260"/>
      <c r="AO336" s="260"/>
      <c r="AP336" s="260"/>
      <c r="AQ336" s="316"/>
      <c r="AR336" s="260"/>
      <c r="AS336" s="260"/>
      <c r="AT336" s="260"/>
      <c r="AU336" s="260"/>
      <c r="AV336" s="260"/>
      <c r="AW336" s="316"/>
      <c r="AX336" s="260"/>
      <c r="AY336" s="260"/>
      <c r="AZ336" s="260"/>
      <c r="BA336" s="260"/>
      <c r="BB336" s="260"/>
      <c r="BC336" s="316"/>
      <c r="BD336" s="260"/>
      <c r="BE336" s="260"/>
      <c r="BF336" s="260"/>
      <c r="BG336" s="260"/>
      <c r="BH336" s="260"/>
      <c r="BI336" s="316"/>
      <c r="BJ336" s="260"/>
      <c r="BK336" s="260"/>
      <c r="BL336" s="260"/>
      <c r="BM336" s="260"/>
      <c r="BN336" s="260"/>
      <c r="BO336" s="260"/>
      <c r="BP336" s="260"/>
      <c r="BQ336" s="260"/>
      <c r="BR336" s="260"/>
      <c r="BS336" s="260"/>
      <c r="BT336" s="260"/>
      <c r="BU336" s="260"/>
      <c r="BV336" s="260"/>
      <c r="BW336" s="260"/>
      <c r="BX336" s="260"/>
      <c r="BY336" s="260"/>
      <c r="BZ336" s="260"/>
      <c r="CA336" s="260"/>
      <c r="CB336" s="260"/>
      <c r="CC336" s="260"/>
      <c r="CD336" s="260"/>
      <c r="CE336" s="260"/>
      <c r="CF336" s="260"/>
      <c r="CG336" s="260"/>
      <c r="CH336" s="260"/>
      <c r="CI336" s="260"/>
      <c r="CJ336" s="260"/>
      <c r="CK336" s="260"/>
      <c r="CL336" s="260"/>
      <c r="CM336" s="260"/>
      <c r="CN336" s="260"/>
      <c r="CO336" s="260"/>
      <c r="CP336" s="260"/>
      <c r="CQ336" s="260"/>
      <c r="CR336" s="260"/>
      <c r="CS336" s="260"/>
      <c r="CT336" s="260"/>
      <c r="CU336" s="260"/>
      <c r="CV336" s="260"/>
      <c r="CW336" s="260"/>
      <c r="CX336" s="260"/>
      <c r="CY336" s="260"/>
      <c r="CZ336" s="260"/>
      <c r="DA336" s="260"/>
      <c r="DB336" s="260"/>
      <c r="DC336" s="260"/>
      <c r="DD336" s="260"/>
      <c r="DE336" s="260"/>
      <c r="DF336" s="260"/>
      <c r="DG336" s="260"/>
      <c r="DH336" s="260"/>
      <c r="DI336" s="260"/>
      <c r="DJ336" s="260"/>
      <c r="DK336" s="260"/>
      <c r="DL336" s="260"/>
      <c r="DM336" s="260"/>
      <c r="DN336" s="260"/>
      <c r="DO336" s="260"/>
      <c r="DP336" s="260"/>
      <c r="DQ336" s="260"/>
      <c r="DR336" s="260"/>
      <c r="DS336" s="260"/>
      <c r="DT336" s="260"/>
      <c r="DU336" s="260"/>
      <c r="DV336" s="260"/>
      <c r="DW336" s="260"/>
      <c r="DX336" s="500"/>
      <c r="DY336" s="500"/>
      <c r="DZ336" s="500"/>
      <c r="EA336" s="500"/>
      <c r="EB336" s="500"/>
      <c r="EC336" s="500"/>
      <c r="ED336" s="500"/>
      <c r="EE336" s="500"/>
      <c r="EF336" s="500"/>
      <c r="EG336" s="500"/>
      <c r="EH336" s="500"/>
      <c r="EI336" s="500"/>
    </row>
    <row r="337" spans="1:139">
      <c r="A337" s="260"/>
      <c r="B337" s="260"/>
      <c r="C337" s="260"/>
      <c r="D337" s="260"/>
      <c r="E337" s="260"/>
      <c r="F337" s="260"/>
      <c r="G337" s="316"/>
      <c r="H337" s="260"/>
      <c r="I337" s="260"/>
      <c r="J337" s="260"/>
      <c r="K337" s="260"/>
      <c r="L337" s="260"/>
      <c r="M337" s="316"/>
      <c r="N337" s="260"/>
      <c r="O337" s="260"/>
      <c r="P337" s="260"/>
      <c r="Q337" s="260"/>
      <c r="R337" s="260"/>
      <c r="S337" s="316"/>
      <c r="T337" s="260"/>
      <c r="U337" s="260"/>
      <c r="V337" s="260"/>
      <c r="W337" s="260"/>
      <c r="X337" s="260"/>
      <c r="Y337" s="316"/>
      <c r="Z337" s="260"/>
      <c r="AA337" s="260"/>
      <c r="AB337" s="260"/>
      <c r="AC337" s="260"/>
      <c r="AD337" s="260"/>
      <c r="AE337" s="316"/>
      <c r="AF337" s="260"/>
      <c r="AG337" s="260"/>
      <c r="AH337" s="260"/>
      <c r="AI337" s="260"/>
      <c r="AJ337" s="260"/>
      <c r="AK337" s="316"/>
      <c r="AL337" s="260"/>
      <c r="AM337" s="260"/>
      <c r="AN337" s="260"/>
      <c r="AO337" s="260"/>
      <c r="AP337" s="260"/>
      <c r="AQ337" s="316"/>
      <c r="AR337" s="260"/>
      <c r="AS337" s="260"/>
      <c r="AT337" s="260"/>
      <c r="AU337" s="260"/>
      <c r="AV337" s="260"/>
      <c r="AW337" s="316">
        <f>AW333*AY337</f>
        <v>137.10199499999999</v>
      </c>
      <c r="AX337" s="260"/>
      <c r="AY337" s="883">
        <v>0.14499999999999999</v>
      </c>
      <c r="AZ337" s="260"/>
      <c r="BA337" s="260"/>
      <c r="BB337" s="260"/>
      <c r="BC337" s="316">
        <f>BC333*BE337</f>
        <v>243.92970500000001</v>
      </c>
      <c r="BD337" s="260"/>
      <c r="BE337" s="883">
        <v>0.20499999999999999</v>
      </c>
      <c r="BF337" s="260"/>
      <c r="BG337" s="260"/>
      <c r="BH337" s="260"/>
      <c r="BI337" s="316">
        <f>BI333*BK337</f>
        <v>290.26052499999997</v>
      </c>
      <c r="BJ337" s="260"/>
      <c r="BK337" s="883">
        <v>0.20499999999999999</v>
      </c>
      <c r="BL337" s="260"/>
      <c r="BM337" s="260"/>
      <c r="BN337" s="260"/>
      <c r="BO337" s="260"/>
      <c r="BP337" s="260"/>
      <c r="BQ337" s="260"/>
      <c r="BR337" s="260"/>
      <c r="BS337" s="260"/>
      <c r="BT337" s="260"/>
      <c r="BU337" s="260"/>
      <c r="BV337" s="260"/>
      <c r="BW337" s="260"/>
      <c r="BX337" s="260"/>
      <c r="BY337" s="260"/>
      <c r="BZ337" s="260"/>
      <c r="CA337" s="260"/>
      <c r="CB337" s="260"/>
      <c r="CC337" s="260"/>
      <c r="CD337" s="260"/>
      <c r="CE337" s="260"/>
      <c r="CF337" s="260"/>
      <c r="CG337" s="260"/>
      <c r="CH337" s="260"/>
      <c r="CI337" s="260"/>
      <c r="CJ337" s="260"/>
      <c r="CK337" s="260"/>
      <c r="CL337" s="260"/>
      <c r="CM337" s="260"/>
      <c r="CN337" s="260"/>
      <c r="CO337" s="260"/>
      <c r="CP337" s="260"/>
      <c r="CQ337" s="260"/>
      <c r="CR337" s="260"/>
      <c r="CS337" s="260"/>
      <c r="CT337" s="260"/>
      <c r="CU337" s="260"/>
      <c r="CV337" s="260"/>
      <c r="CW337" s="260"/>
      <c r="CX337" s="260"/>
      <c r="CY337" s="260"/>
      <c r="CZ337" s="260"/>
      <c r="DA337" s="260"/>
      <c r="DB337" s="260"/>
      <c r="DC337" s="260"/>
      <c r="DD337" s="260"/>
      <c r="DE337" s="260"/>
      <c r="DF337" s="260"/>
      <c r="DG337" s="260"/>
      <c r="DH337" s="260"/>
      <c r="DI337" s="260"/>
      <c r="DJ337" s="260"/>
      <c r="DK337" s="260"/>
      <c r="DL337" s="260"/>
      <c r="DM337" s="260"/>
      <c r="DN337" s="260"/>
      <c r="DO337" s="260"/>
      <c r="DP337" s="260"/>
      <c r="DQ337" s="260"/>
      <c r="DR337" s="260"/>
      <c r="DS337" s="260"/>
      <c r="DT337" s="260"/>
      <c r="DU337" s="260"/>
      <c r="DV337" s="260"/>
      <c r="DW337" s="260"/>
      <c r="DX337" s="500"/>
      <c r="DY337" s="500"/>
      <c r="DZ337" s="500"/>
      <c r="EA337" s="500"/>
      <c r="EB337" s="500"/>
      <c r="EC337" s="500"/>
      <c r="ED337" s="500"/>
      <c r="EE337" s="500"/>
      <c r="EF337" s="500"/>
      <c r="EG337" s="500"/>
      <c r="EH337" s="500"/>
      <c r="EI337" s="500"/>
    </row>
    <row r="338" spans="1:139">
      <c r="A338" s="260"/>
      <c r="B338" s="260"/>
      <c r="C338" s="260"/>
      <c r="D338" s="260"/>
      <c r="E338" s="260"/>
      <c r="F338" s="260"/>
      <c r="G338" s="316"/>
      <c r="H338" s="260"/>
      <c r="I338" s="260"/>
      <c r="J338" s="260"/>
      <c r="K338" s="260"/>
      <c r="L338" s="260"/>
      <c r="M338" s="316"/>
      <c r="N338" s="260"/>
      <c r="O338" s="260"/>
      <c r="P338" s="260"/>
      <c r="Q338" s="260"/>
      <c r="R338" s="260"/>
      <c r="S338" s="316"/>
      <c r="T338" s="260"/>
      <c r="U338" s="260"/>
      <c r="V338" s="260"/>
      <c r="W338" s="260"/>
      <c r="X338" s="260"/>
      <c r="Y338" s="316"/>
      <c r="Z338" s="260"/>
      <c r="AA338" s="260"/>
      <c r="AB338" s="260"/>
      <c r="AC338" s="260"/>
      <c r="AD338" s="260"/>
      <c r="AE338" s="316"/>
      <c r="AF338" s="260"/>
      <c r="AG338" s="260"/>
      <c r="AH338" s="260"/>
      <c r="AI338" s="260"/>
      <c r="AJ338" s="260"/>
      <c r="AK338" s="316"/>
      <c r="AL338" s="260"/>
      <c r="AM338" s="260"/>
      <c r="AN338" s="260"/>
      <c r="AO338" s="260"/>
      <c r="AP338" s="260"/>
      <c r="AQ338" s="316"/>
      <c r="AR338" s="260"/>
      <c r="AS338" s="260"/>
      <c r="AT338" s="260"/>
      <c r="AU338" s="260"/>
      <c r="AV338" s="260">
        <f>AW338/AW340</f>
        <v>0.64931424359840528</v>
      </c>
      <c r="AW338" s="316">
        <f>AW332*AY338</f>
        <v>253.85199299999999</v>
      </c>
      <c r="AX338" s="260"/>
      <c r="AY338" s="279">
        <f>AY337*4</f>
        <v>0.57999999999999996</v>
      </c>
      <c r="AZ338" s="260"/>
      <c r="BA338" s="260"/>
      <c r="BB338" s="260"/>
      <c r="BC338" s="316">
        <f>BC332*BE338</f>
        <v>336.48280979999998</v>
      </c>
      <c r="BD338" s="260"/>
      <c r="BE338" s="279">
        <f>BE337*4</f>
        <v>0.82</v>
      </c>
      <c r="BF338" s="260"/>
      <c r="BG338" s="260"/>
      <c r="BH338" s="260">
        <f>BI338/BI340</f>
        <v>0.62982451203933743</v>
      </c>
      <c r="BI338" s="316">
        <f>BI332*BK338</f>
        <v>493.85548062499987</v>
      </c>
      <c r="BJ338" s="260"/>
      <c r="BK338" s="279">
        <f>BK337*5</f>
        <v>1.0249999999999999</v>
      </c>
      <c r="BL338" s="260"/>
      <c r="BM338" s="260"/>
      <c r="BN338" s="260"/>
      <c r="BO338" s="260"/>
      <c r="BP338" s="260"/>
      <c r="BQ338" s="260"/>
      <c r="BR338" s="260"/>
      <c r="BS338" s="260"/>
      <c r="BT338" s="260"/>
      <c r="BU338" s="260"/>
      <c r="BV338" s="260"/>
      <c r="BW338" s="260"/>
      <c r="BX338" s="260"/>
      <c r="BY338" s="260"/>
      <c r="BZ338" s="260"/>
      <c r="CA338" s="260"/>
      <c r="CB338" s="260"/>
      <c r="CC338" s="260"/>
      <c r="CD338" s="260"/>
      <c r="CE338" s="260"/>
      <c r="CF338" s="260"/>
      <c r="CG338" s="260"/>
      <c r="CH338" s="260"/>
      <c r="CI338" s="260"/>
      <c r="CJ338" s="260"/>
      <c r="CK338" s="260"/>
      <c r="CL338" s="260"/>
      <c r="CM338" s="260"/>
      <c r="CN338" s="260"/>
      <c r="CO338" s="260"/>
      <c r="CP338" s="260"/>
      <c r="CQ338" s="260"/>
      <c r="CR338" s="260"/>
      <c r="CS338" s="260"/>
      <c r="CT338" s="260"/>
      <c r="CU338" s="260"/>
      <c r="CV338" s="260"/>
      <c r="CW338" s="260"/>
      <c r="CX338" s="260"/>
      <c r="CY338" s="260"/>
      <c r="CZ338" s="260"/>
      <c r="DA338" s="260"/>
      <c r="DB338" s="260"/>
      <c r="DC338" s="260"/>
      <c r="DD338" s="260"/>
      <c r="DE338" s="260"/>
      <c r="DF338" s="260"/>
      <c r="DG338" s="260"/>
      <c r="DH338" s="260"/>
      <c r="DI338" s="260"/>
      <c r="DJ338" s="260"/>
      <c r="DK338" s="260"/>
      <c r="DL338" s="260"/>
      <c r="DM338" s="260"/>
      <c r="DN338" s="260"/>
      <c r="DO338" s="260"/>
      <c r="DP338" s="260"/>
      <c r="DQ338" s="260"/>
      <c r="DR338" s="260"/>
      <c r="DS338" s="260"/>
      <c r="DT338" s="260"/>
      <c r="DU338" s="260"/>
      <c r="DV338" s="260"/>
      <c r="DW338" s="260"/>
      <c r="DX338" s="500"/>
      <c r="DY338" s="500"/>
      <c r="DZ338" s="500"/>
      <c r="EA338" s="500"/>
      <c r="EB338" s="500"/>
      <c r="EC338" s="500"/>
      <c r="ED338" s="500"/>
      <c r="EE338" s="500"/>
      <c r="EF338" s="500"/>
      <c r="EG338" s="500"/>
      <c r="EH338" s="500"/>
      <c r="EI338" s="500"/>
    </row>
    <row r="339" spans="1:139">
      <c r="A339" s="260"/>
      <c r="B339" s="260"/>
      <c r="C339" s="260"/>
      <c r="D339" s="260"/>
      <c r="E339" s="260"/>
      <c r="F339" s="260"/>
      <c r="G339" s="316"/>
      <c r="H339" s="260"/>
      <c r="I339" s="260"/>
      <c r="J339" s="260"/>
      <c r="K339" s="260"/>
      <c r="L339" s="260"/>
      <c r="M339" s="316"/>
      <c r="N339" s="260"/>
      <c r="O339" s="260"/>
      <c r="P339" s="260"/>
      <c r="Q339" s="260"/>
      <c r="R339" s="260"/>
      <c r="S339" s="316"/>
      <c r="T339" s="260"/>
      <c r="U339" s="260"/>
      <c r="V339" s="260"/>
      <c r="W339" s="260"/>
      <c r="X339" s="260"/>
      <c r="Y339" s="316"/>
      <c r="Z339" s="260"/>
      <c r="AA339" s="260"/>
      <c r="AB339" s="260"/>
      <c r="AC339" s="260"/>
      <c r="AD339" s="260"/>
      <c r="AE339" s="316"/>
      <c r="AF339" s="260"/>
      <c r="AG339" s="260"/>
      <c r="AH339" s="260"/>
      <c r="AI339" s="260"/>
      <c r="AJ339" s="260"/>
      <c r="AK339" s="316"/>
      <c r="AL339" s="260"/>
      <c r="AM339" s="260"/>
      <c r="AN339" s="260"/>
      <c r="AO339" s="260"/>
      <c r="AP339" s="260"/>
      <c r="AQ339" s="316"/>
      <c r="AR339" s="260"/>
      <c r="AS339" s="260"/>
      <c r="AT339" s="260"/>
      <c r="AU339" s="260"/>
      <c r="AV339" s="260"/>
      <c r="AW339" s="316"/>
      <c r="AX339" s="260"/>
      <c r="AY339" s="260"/>
      <c r="AZ339" s="260"/>
      <c r="BA339" s="260"/>
      <c r="BB339" s="260"/>
      <c r="BC339" s="316"/>
      <c r="BD339" s="260"/>
      <c r="BE339" s="260"/>
      <c r="BF339" s="260"/>
      <c r="BG339" s="260"/>
      <c r="BH339" s="260"/>
      <c r="BI339" s="316"/>
      <c r="BJ339" s="260"/>
      <c r="BK339" s="260"/>
      <c r="BL339" s="260"/>
      <c r="BM339" s="260"/>
      <c r="BN339" s="260"/>
      <c r="BO339" s="260"/>
      <c r="BP339" s="260"/>
      <c r="BQ339" s="260"/>
      <c r="BR339" s="260"/>
      <c r="BS339" s="260"/>
      <c r="BT339" s="260"/>
      <c r="BU339" s="260"/>
      <c r="BV339" s="260"/>
      <c r="BW339" s="260"/>
      <c r="BX339" s="260"/>
      <c r="BY339" s="260"/>
      <c r="BZ339" s="260"/>
      <c r="CA339" s="260"/>
      <c r="CB339" s="260"/>
      <c r="CC339" s="260"/>
      <c r="CD339" s="260"/>
      <c r="CE339" s="260"/>
      <c r="CF339" s="260"/>
      <c r="CG339" s="260"/>
      <c r="CH339" s="260"/>
      <c r="CI339" s="260"/>
      <c r="CJ339" s="260"/>
      <c r="CK339" s="260"/>
      <c r="CL339" s="260"/>
      <c r="CM339" s="260"/>
      <c r="CN339" s="260"/>
      <c r="CO339" s="260"/>
      <c r="CP339" s="260"/>
      <c r="CQ339" s="260"/>
      <c r="CR339" s="260"/>
      <c r="CS339" s="260"/>
      <c r="CT339" s="260"/>
      <c r="CU339" s="260"/>
      <c r="CV339" s="260"/>
      <c r="CW339" s="260"/>
      <c r="CX339" s="260"/>
      <c r="CY339" s="260"/>
      <c r="CZ339" s="260"/>
      <c r="DA339" s="260"/>
      <c r="DB339" s="260"/>
      <c r="DC339" s="260"/>
      <c r="DD339" s="260"/>
      <c r="DE339" s="260"/>
      <c r="DF339" s="260"/>
      <c r="DG339" s="260"/>
      <c r="DH339" s="260"/>
      <c r="DI339" s="260"/>
      <c r="DJ339" s="260"/>
      <c r="DK339" s="260"/>
      <c r="DL339" s="260"/>
      <c r="DM339" s="260"/>
      <c r="DN339" s="260"/>
      <c r="DO339" s="260"/>
      <c r="DP339" s="260"/>
      <c r="DQ339" s="260"/>
      <c r="DR339" s="260"/>
      <c r="DS339" s="260"/>
      <c r="DT339" s="260"/>
      <c r="DU339" s="260"/>
      <c r="DV339" s="260"/>
      <c r="DW339" s="260"/>
      <c r="DX339" s="500"/>
      <c r="DY339" s="500"/>
      <c r="DZ339" s="500"/>
      <c r="EA339" s="500"/>
      <c r="EB339" s="500"/>
      <c r="EC339" s="500"/>
      <c r="ED339" s="500"/>
      <c r="EE339" s="500"/>
      <c r="EF339" s="500"/>
      <c r="EG339" s="500"/>
      <c r="EH339" s="500"/>
      <c r="EI339" s="500"/>
    </row>
    <row r="340" spans="1:139">
      <c r="A340" s="260"/>
      <c r="B340" s="260"/>
      <c r="C340" s="260"/>
      <c r="D340" s="260"/>
      <c r="E340" s="260"/>
      <c r="F340" s="260"/>
      <c r="G340" s="316"/>
      <c r="H340" s="260"/>
      <c r="I340" s="260"/>
      <c r="J340" s="260"/>
      <c r="K340" s="260"/>
      <c r="L340" s="260"/>
      <c r="M340" s="316"/>
      <c r="N340" s="260"/>
      <c r="O340" s="260"/>
      <c r="P340" s="260"/>
      <c r="Q340" s="260"/>
      <c r="R340" s="260"/>
      <c r="S340" s="316"/>
      <c r="T340" s="260"/>
      <c r="U340" s="260"/>
      <c r="V340" s="260"/>
      <c r="W340" s="260"/>
      <c r="X340" s="260"/>
      <c r="Y340" s="316"/>
      <c r="Z340" s="260"/>
      <c r="AA340" s="260"/>
      <c r="AB340" s="260"/>
      <c r="AC340" s="260"/>
      <c r="AD340" s="260"/>
      <c r="AE340" s="316"/>
      <c r="AF340" s="260"/>
      <c r="AG340" s="260"/>
      <c r="AH340" s="260"/>
      <c r="AI340" s="260"/>
      <c r="AJ340" s="260"/>
      <c r="AK340" s="316"/>
      <c r="AL340" s="260"/>
      <c r="AM340" s="260"/>
      <c r="AN340" s="260"/>
      <c r="AO340" s="260"/>
      <c r="AP340" s="260"/>
      <c r="AQ340" s="316"/>
      <c r="AR340" s="260"/>
      <c r="AS340" s="260"/>
      <c r="AT340" s="260"/>
      <c r="AU340" s="260"/>
      <c r="AV340" s="260"/>
      <c r="AW340" s="316">
        <f>AW337+AW338</f>
        <v>390.95398799999998</v>
      </c>
      <c r="AX340" s="260"/>
      <c r="AY340" s="260"/>
      <c r="AZ340" s="260"/>
      <c r="BA340" s="260"/>
      <c r="BB340" s="260"/>
      <c r="BC340" s="316">
        <f>BC337+BC338</f>
        <v>580.41251480000005</v>
      </c>
      <c r="BD340" s="260"/>
      <c r="BE340" s="260"/>
      <c r="BF340" s="260"/>
      <c r="BG340" s="260"/>
      <c r="BH340" s="260"/>
      <c r="BI340" s="316">
        <f>BI337+BI338</f>
        <v>784.11600562499984</v>
      </c>
      <c r="BJ340" s="260"/>
      <c r="BK340" s="260"/>
      <c r="BL340" s="260"/>
      <c r="BM340" s="260"/>
      <c r="BN340" s="260"/>
      <c r="BO340" s="260"/>
      <c r="BP340" s="260"/>
      <c r="BQ340" s="260"/>
      <c r="BR340" s="260"/>
      <c r="BS340" s="260"/>
      <c r="BT340" s="260"/>
      <c r="BU340" s="260"/>
      <c r="BV340" s="260"/>
      <c r="BW340" s="260"/>
      <c r="BX340" s="260"/>
      <c r="BY340" s="260"/>
      <c r="BZ340" s="260"/>
      <c r="CA340" s="260"/>
      <c r="CB340" s="260"/>
      <c r="CC340" s="260"/>
      <c r="CD340" s="260"/>
      <c r="CE340" s="260"/>
      <c r="CF340" s="260"/>
      <c r="CG340" s="260"/>
      <c r="CH340" s="260"/>
      <c r="CI340" s="260"/>
      <c r="CJ340" s="260"/>
      <c r="CK340" s="260"/>
      <c r="CL340" s="260"/>
      <c r="CM340" s="260"/>
      <c r="CN340" s="260"/>
      <c r="CO340" s="260"/>
      <c r="CP340" s="260"/>
      <c r="CQ340" s="260"/>
      <c r="CR340" s="260"/>
      <c r="CS340" s="260"/>
      <c r="CT340" s="260"/>
      <c r="CU340" s="260"/>
      <c r="CV340" s="260"/>
      <c r="CW340" s="260"/>
      <c r="CX340" s="260"/>
      <c r="CY340" s="260"/>
      <c r="CZ340" s="260"/>
      <c r="DA340" s="260"/>
      <c r="DB340" s="260"/>
      <c r="DC340" s="260"/>
      <c r="DD340" s="260"/>
      <c r="DE340" s="260"/>
      <c r="DF340" s="260"/>
      <c r="DG340" s="260"/>
      <c r="DH340" s="260"/>
      <c r="DI340" s="260"/>
      <c r="DJ340" s="260"/>
      <c r="DK340" s="260"/>
      <c r="DL340" s="260"/>
      <c r="DM340" s="260"/>
      <c r="DN340" s="260"/>
      <c r="DO340" s="260"/>
      <c r="DP340" s="260"/>
      <c r="DQ340" s="260"/>
      <c r="DR340" s="260"/>
      <c r="DS340" s="260"/>
      <c r="DT340" s="260"/>
      <c r="DU340" s="260"/>
      <c r="DV340" s="260"/>
      <c r="DW340" s="260"/>
      <c r="DX340" s="500"/>
      <c r="DY340" s="500"/>
      <c r="DZ340" s="500"/>
      <c r="EA340" s="500"/>
      <c r="EB340" s="500"/>
      <c r="EC340" s="500"/>
      <c r="ED340" s="500"/>
      <c r="EE340" s="500"/>
      <c r="EF340" s="500"/>
      <c r="EG340" s="500"/>
      <c r="EH340" s="500"/>
      <c r="EI340" s="500"/>
    </row>
    <row r="341" spans="1:139">
      <c r="A341" s="260"/>
      <c r="B341" s="260"/>
      <c r="C341" s="260"/>
      <c r="D341" s="260"/>
      <c r="E341" s="260"/>
      <c r="F341" s="260"/>
      <c r="G341" s="316"/>
      <c r="H341" s="260"/>
      <c r="I341" s="260"/>
      <c r="J341" s="260"/>
      <c r="K341" s="260"/>
      <c r="L341" s="260"/>
      <c r="M341" s="316"/>
      <c r="N341" s="260"/>
      <c r="O341" s="260"/>
      <c r="P341" s="260"/>
      <c r="Q341" s="260"/>
      <c r="R341" s="260"/>
      <c r="S341" s="316"/>
      <c r="T341" s="260"/>
      <c r="U341" s="260"/>
      <c r="V341" s="260"/>
      <c r="W341" s="260"/>
      <c r="X341" s="260"/>
      <c r="Y341" s="316"/>
      <c r="Z341" s="260"/>
      <c r="AA341" s="260"/>
      <c r="AB341" s="260"/>
      <c r="AC341" s="260"/>
      <c r="AD341" s="260"/>
      <c r="AE341" s="316"/>
      <c r="AF341" s="260"/>
      <c r="AG341" s="260"/>
      <c r="AH341" s="260"/>
      <c r="AI341" s="260"/>
      <c r="AJ341" s="260"/>
      <c r="AK341" s="316"/>
      <c r="AL341" s="260"/>
      <c r="AM341" s="260"/>
      <c r="AN341" s="260"/>
      <c r="AO341" s="260"/>
      <c r="AP341" s="260"/>
      <c r="AQ341" s="316"/>
      <c r="AR341" s="260"/>
      <c r="AS341" s="260"/>
      <c r="AT341" s="260"/>
      <c r="AU341" s="260"/>
      <c r="AV341" s="260"/>
      <c r="AW341" s="316"/>
      <c r="AX341" s="260"/>
      <c r="AY341" s="260"/>
      <c r="AZ341" s="260"/>
      <c r="BA341" s="260"/>
      <c r="BB341" s="260"/>
      <c r="BC341" s="316"/>
      <c r="BD341" s="260"/>
      <c r="BE341" s="260"/>
      <c r="BF341" s="260"/>
      <c r="BG341" s="260"/>
      <c r="BH341" s="260"/>
      <c r="BI341" s="316"/>
      <c r="BJ341" s="260"/>
      <c r="BK341" s="260"/>
      <c r="BL341" s="260"/>
      <c r="BM341" s="260"/>
      <c r="BN341" s="260"/>
      <c r="BO341" s="260"/>
      <c r="BP341" s="260"/>
      <c r="BQ341" s="260"/>
      <c r="BR341" s="260"/>
      <c r="BS341" s="260"/>
      <c r="BT341" s="260"/>
      <c r="BU341" s="260"/>
      <c r="BV341" s="260"/>
      <c r="BW341" s="260"/>
      <c r="BX341" s="260"/>
      <c r="BY341" s="260"/>
      <c r="BZ341" s="260"/>
      <c r="CA341" s="260"/>
      <c r="CB341" s="260"/>
      <c r="CC341" s="260"/>
      <c r="CD341" s="260"/>
      <c r="CE341" s="260"/>
      <c r="CF341" s="260"/>
      <c r="CG341" s="260"/>
      <c r="CH341" s="260"/>
      <c r="CI341" s="260"/>
      <c r="CJ341" s="260"/>
      <c r="CK341" s="260"/>
      <c r="CL341" s="260"/>
      <c r="CM341" s="260"/>
      <c r="CN341" s="260"/>
      <c r="CO341" s="260"/>
      <c r="CP341" s="260"/>
      <c r="CQ341" s="260"/>
      <c r="CR341" s="260"/>
      <c r="CS341" s="260"/>
      <c r="CT341" s="260"/>
      <c r="CU341" s="260"/>
      <c r="CV341" s="260"/>
      <c r="CW341" s="260"/>
      <c r="CX341" s="260"/>
      <c r="CY341" s="260"/>
      <c r="CZ341" s="260"/>
      <c r="DA341" s="260"/>
      <c r="DB341" s="260"/>
      <c r="DC341" s="260"/>
      <c r="DD341" s="260"/>
      <c r="DE341" s="260"/>
      <c r="DF341" s="260"/>
      <c r="DG341" s="260"/>
      <c r="DH341" s="260"/>
      <c r="DI341" s="260"/>
      <c r="DJ341" s="260"/>
      <c r="DK341" s="260"/>
      <c r="DL341" s="260"/>
      <c r="DM341" s="260"/>
      <c r="DN341" s="260"/>
      <c r="DO341" s="260"/>
      <c r="DP341" s="260"/>
      <c r="DQ341" s="260"/>
      <c r="DR341" s="260"/>
      <c r="DS341" s="260"/>
      <c r="DT341" s="260"/>
      <c r="DU341" s="260"/>
      <c r="DV341" s="260"/>
      <c r="DW341" s="260"/>
      <c r="DX341" s="500"/>
      <c r="DY341" s="500"/>
      <c r="DZ341" s="500"/>
      <c r="EA341" s="500"/>
      <c r="EB341" s="500"/>
      <c r="EC341" s="500"/>
      <c r="ED341" s="500"/>
      <c r="EE341" s="500"/>
      <c r="EF341" s="500"/>
      <c r="EG341" s="500"/>
      <c r="EH341" s="500"/>
      <c r="EI341" s="500"/>
    </row>
    <row r="342" spans="1:139">
      <c r="A342" s="260"/>
      <c r="B342" s="260"/>
      <c r="C342" s="260"/>
      <c r="D342" s="260"/>
      <c r="E342" s="260"/>
      <c r="F342" s="260"/>
      <c r="G342" s="316"/>
      <c r="H342" s="260"/>
      <c r="I342" s="260"/>
      <c r="J342" s="260"/>
      <c r="K342" s="260"/>
      <c r="L342" s="260"/>
      <c r="M342" s="316"/>
      <c r="N342" s="260"/>
      <c r="O342" s="260"/>
      <c r="P342" s="260"/>
      <c r="Q342" s="260"/>
      <c r="R342" s="260"/>
      <c r="S342" s="316"/>
      <c r="T342" s="260"/>
      <c r="U342" s="260"/>
      <c r="V342" s="260"/>
      <c r="W342" s="260"/>
      <c r="X342" s="260"/>
      <c r="Y342" s="316"/>
      <c r="Z342" s="260"/>
      <c r="AA342" s="260"/>
      <c r="AB342" s="260"/>
      <c r="AC342" s="260"/>
      <c r="AD342" s="260"/>
      <c r="AE342" s="316"/>
      <c r="AF342" s="260"/>
      <c r="AG342" s="260"/>
      <c r="AH342" s="260"/>
      <c r="AI342" s="260"/>
      <c r="AJ342" s="260"/>
      <c r="AK342" s="316"/>
      <c r="AL342" s="260"/>
      <c r="AM342" s="260"/>
      <c r="AN342" s="260"/>
      <c r="AO342" s="260"/>
      <c r="AP342" s="260"/>
      <c r="AQ342" s="316"/>
      <c r="AR342" s="260"/>
      <c r="AS342" s="260"/>
      <c r="AT342" s="260"/>
      <c r="AU342" s="260"/>
      <c r="AV342" s="260"/>
      <c r="AW342" s="316"/>
      <c r="AX342" s="260"/>
      <c r="AY342" s="260"/>
      <c r="AZ342" s="260"/>
      <c r="BA342" s="260"/>
      <c r="BB342" s="260"/>
      <c r="BC342" s="316"/>
      <c r="BD342" s="260"/>
      <c r="BE342" s="260"/>
      <c r="BF342" s="260"/>
      <c r="BG342" s="260"/>
      <c r="BH342" s="260"/>
      <c r="BI342" s="316"/>
      <c r="BJ342" s="260"/>
      <c r="BK342" s="260"/>
      <c r="BL342" s="260"/>
      <c r="BM342" s="260"/>
      <c r="BN342" s="260"/>
      <c r="BO342" s="260"/>
      <c r="BP342" s="260"/>
      <c r="BQ342" s="260"/>
      <c r="BR342" s="260"/>
      <c r="BS342" s="260"/>
      <c r="BT342" s="260"/>
      <c r="BU342" s="260"/>
      <c r="BV342" s="260"/>
      <c r="BW342" s="260"/>
      <c r="BX342" s="260"/>
      <c r="BY342" s="260"/>
      <c r="BZ342" s="260"/>
      <c r="CA342" s="260"/>
      <c r="CB342" s="260"/>
      <c r="CC342" s="260"/>
      <c r="CD342" s="260"/>
      <c r="CE342" s="260"/>
      <c r="CF342" s="260"/>
      <c r="CG342" s="260"/>
      <c r="CH342" s="260"/>
      <c r="CI342" s="260"/>
      <c r="CJ342" s="260"/>
      <c r="CK342" s="260"/>
      <c r="CL342" s="260"/>
      <c r="CM342" s="260"/>
      <c r="CN342" s="260"/>
      <c r="CO342" s="260"/>
      <c r="CP342" s="260"/>
      <c r="CQ342" s="260"/>
      <c r="CR342" s="260"/>
      <c r="CS342" s="260"/>
      <c r="CT342" s="260"/>
      <c r="CU342" s="260"/>
      <c r="CV342" s="260"/>
      <c r="CW342" s="260"/>
      <c r="CX342" s="260"/>
      <c r="CY342" s="260"/>
      <c r="CZ342" s="260"/>
      <c r="DA342" s="260"/>
      <c r="DB342" s="260"/>
      <c r="DC342" s="260"/>
      <c r="DD342" s="260"/>
      <c r="DE342" s="260"/>
      <c r="DF342" s="260"/>
      <c r="DG342" s="260"/>
      <c r="DH342" s="260"/>
      <c r="DI342" s="260"/>
      <c r="DJ342" s="260"/>
      <c r="DK342" s="260"/>
      <c r="DL342" s="260"/>
      <c r="DM342" s="260"/>
      <c r="DN342" s="260"/>
      <c r="DO342" s="260"/>
      <c r="DP342" s="260"/>
      <c r="DQ342" s="260"/>
      <c r="DR342" s="260"/>
      <c r="DS342" s="260"/>
      <c r="DT342" s="260"/>
      <c r="DU342" s="260"/>
      <c r="DV342" s="260"/>
      <c r="DW342" s="260"/>
      <c r="DX342" s="500"/>
      <c r="DY342" s="500"/>
      <c r="DZ342" s="500"/>
      <c r="EA342" s="500"/>
      <c r="EB342" s="500"/>
      <c r="EC342" s="500"/>
      <c r="ED342" s="500"/>
      <c r="EE342" s="500"/>
      <c r="EF342" s="500"/>
      <c r="EG342" s="500"/>
      <c r="EH342" s="500"/>
      <c r="EI342" s="500"/>
    </row>
    <row r="343" spans="1:139">
      <c r="A343" s="260"/>
      <c r="B343" s="260"/>
      <c r="C343" s="260"/>
      <c r="D343" s="260"/>
      <c r="E343" s="260"/>
      <c r="F343" s="260"/>
      <c r="G343" s="316"/>
      <c r="H343" s="260"/>
      <c r="I343" s="260"/>
      <c r="J343" s="260"/>
      <c r="K343" s="260"/>
      <c r="L343" s="260"/>
      <c r="M343" s="316"/>
      <c r="N343" s="260"/>
      <c r="O343" s="260"/>
      <c r="P343" s="260"/>
      <c r="Q343" s="260"/>
      <c r="R343" s="260"/>
      <c r="S343" s="316"/>
      <c r="T343" s="260"/>
      <c r="U343" s="260"/>
      <c r="V343" s="260"/>
      <c r="W343" s="260"/>
      <c r="X343" s="260"/>
      <c r="Y343" s="316"/>
      <c r="Z343" s="260"/>
      <c r="AA343" s="260"/>
      <c r="AB343" s="260"/>
      <c r="AC343" s="260"/>
      <c r="AD343" s="260"/>
      <c r="AE343" s="316"/>
      <c r="AF343" s="260"/>
      <c r="AG343" s="260"/>
      <c r="AH343" s="260"/>
      <c r="AI343" s="260"/>
      <c r="AJ343" s="260"/>
      <c r="AK343" s="316"/>
      <c r="AL343" s="260"/>
      <c r="AM343" s="260"/>
      <c r="AN343" s="260"/>
      <c r="AO343" s="260"/>
      <c r="AP343" s="260"/>
      <c r="AQ343" s="316"/>
      <c r="AR343" s="260"/>
      <c r="AS343" s="260"/>
      <c r="AT343" s="260"/>
      <c r="AU343" s="260"/>
      <c r="AV343" s="260"/>
      <c r="AW343" s="316"/>
      <c r="AX343" s="260"/>
      <c r="AY343" s="260"/>
      <c r="AZ343" s="260"/>
      <c r="BA343" s="260"/>
      <c r="BB343" s="260"/>
      <c r="BC343" s="316"/>
      <c r="BD343" s="260"/>
      <c r="BE343" s="260"/>
      <c r="BF343" s="260"/>
      <c r="BG343" s="260"/>
      <c r="BH343" s="260"/>
      <c r="BI343" s="316"/>
      <c r="BJ343" s="260"/>
      <c r="BK343" s="260"/>
      <c r="BL343" s="260"/>
      <c r="BM343" s="260"/>
      <c r="BN343" s="260"/>
      <c r="BO343" s="260"/>
      <c r="BP343" s="260"/>
      <c r="BQ343" s="260"/>
      <c r="BR343" s="260"/>
      <c r="BS343" s="260"/>
      <c r="BT343" s="260"/>
      <c r="BU343" s="260"/>
      <c r="BV343" s="260"/>
      <c r="BW343" s="260"/>
      <c r="BX343" s="260"/>
      <c r="BY343" s="260"/>
      <c r="BZ343" s="260"/>
      <c r="CA343" s="260"/>
      <c r="CB343" s="260"/>
      <c r="CC343" s="260"/>
      <c r="CD343" s="260"/>
      <c r="CE343" s="260"/>
      <c r="CF343" s="260"/>
      <c r="CG343" s="260"/>
      <c r="CH343" s="260"/>
      <c r="CI343" s="260"/>
      <c r="CJ343" s="260"/>
      <c r="CK343" s="260"/>
      <c r="CL343" s="260"/>
      <c r="CM343" s="260"/>
      <c r="CN343" s="260"/>
      <c r="CO343" s="260"/>
      <c r="CP343" s="260"/>
      <c r="CQ343" s="260"/>
      <c r="CR343" s="260"/>
      <c r="CS343" s="260"/>
      <c r="CT343" s="260"/>
      <c r="CU343" s="260"/>
      <c r="CV343" s="260"/>
      <c r="CW343" s="260"/>
      <c r="CX343" s="260"/>
      <c r="CY343" s="260"/>
      <c r="CZ343" s="260"/>
      <c r="DA343" s="260"/>
      <c r="DB343" s="260"/>
      <c r="DC343" s="260"/>
      <c r="DD343" s="260"/>
      <c r="DE343" s="260"/>
      <c r="DF343" s="260"/>
      <c r="DG343" s="260"/>
      <c r="DH343" s="260"/>
      <c r="DI343" s="260"/>
      <c r="DJ343" s="260"/>
      <c r="DK343" s="260"/>
      <c r="DL343" s="260"/>
      <c r="DM343" s="260"/>
      <c r="DN343" s="260"/>
      <c r="DO343" s="260"/>
      <c r="DP343" s="260"/>
      <c r="DQ343" s="260"/>
      <c r="DR343" s="260"/>
      <c r="DS343" s="260"/>
      <c r="DT343" s="260"/>
      <c r="DU343" s="260"/>
      <c r="DV343" s="260"/>
      <c r="DW343" s="260"/>
      <c r="DX343" s="500"/>
      <c r="DY343" s="500"/>
      <c r="DZ343" s="500"/>
      <c r="EA343" s="500"/>
      <c r="EB343" s="500"/>
      <c r="EC343" s="500"/>
      <c r="ED343" s="500"/>
      <c r="EE343" s="500"/>
      <c r="EF343" s="500"/>
      <c r="EG343" s="500"/>
      <c r="EH343" s="500"/>
      <c r="EI343" s="500"/>
    </row>
    <row r="344" spans="1:139">
      <c r="A344" s="260"/>
      <c r="B344" s="260"/>
      <c r="C344" s="260"/>
      <c r="D344" s="260"/>
      <c r="E344" s="260"/>
      <c r="F344" s="260"/>
      <c r="G344" s="316"/>
      <c r="H344" s="260"/>
      <c r="I344" s="260"/>
      <c r="J344" s="260"/>
      <c r="K344" s="260"/>
      <c r="L344" s="260"/>
      <c r="M344" s="316"/>
      <c r="N344" s="260"/>
      <c r="O344" s="260"/>
      <c r="P344" s="260"/>
      <c r="Q344" s="260"/>
      <c r="R344" s="260"/>
      <c r="S344" s="316"/>
      <c r="T344" s="260"/>
      <c r="U344" s="260"/>
      <c r="V344" s="260"/>
      <c r="W344" s="260"/>
      <c r="X344" s="260"/>
      <c r="Y344" s="316"/>
      <c r="Z344" s="260"/>
      <c r="AA344" s="260"/>
      <c r="AB344" s="260"/>
      <c r="AC344" s="260"/>
      <c r="AD344" s="260"/>
      <c r="AE344" s="316"/>
      <c r="AF344" s="260"/>
      <c r="AG344" s="260"/>
      <c r="AH344" s="260"/>
      <c r="AI344" s="260"/>
      <c r="AJ344" s="260"/>
      <c r="AK344" s="316"/>
      <c r="AL344" s="260"/>
      <c r="AM344" s="260"/>
      <c r="AN344" s="260"/>
      <c r="AO344" s="260"/>
      <c r="AP344" s="260"/>
      <c r="AQ344" s="316"/>
      <c r="AR344" s="260"/>
      <c r="AS344" s="260"/>
      <c r="AT344" s="260"/>
      <c r="AU344" s="260"/>
      <c r="AV344" s="260"/>
      <c r="AW344" s="316"/>
      <c r="AX344" s="260"/>
      <c r="AY344" s="260"/>
      <c r="AZ344" s="260"/>
      <c r="BA344" s="260"/>
      <c r="BB344" s="260"/>
      <c r="BC344" s="316"/>
      <c r="BD344" s="260"/>
      <c r="BE344" s="260"/>
      <c r="BF344" s="260"/>
      <c r="BG344" s="260"/>
      <c r="BH344" s="260"/>
      <c r="BI344" s="316"/>
      <c r="BJ344" s="260"/>
      <c r="BK344" s="260"/>
      <c r="BL344" s="260"/>
      <c r="BM344" s="260"/>
      <c r="BN344" s="260"/>
      <c r="BO344" s="260"/>
      <c r="BP344" s="260"/>
      <c r="BQ344" s="260"/>
      <c r="BR344" s="260"/>
      <c r="BS344" s="260"/>
      <c r="BT344" s="260"/>
      <c r="BU344" s="260"/>
      <c r="BV344" s="260"/>
      <c r="BW344" s="260"/>
      <c r="BX344" s="260"/>
      <c r="BY344" s="260"/>
      <c r="BZ344" s="260"/>
      <c r="CA344" s="260"/>
      <c r="CB344" s="260"/>
      <c r="CC344" s="260"/>
      <c r="CD344" s="260"/>
      <c r="CE344" s="260"/>
      <c r="CF344" s="260"/>
      <c r="CG344" s="260"/>
      <c r="CH344" s="260"/>
      <c r="CI344" s="260"/>
      <c r="CJ344" s="260"/>
      <c r="CK344" s="260"/>
      <c r="CL344" s="260"/>
      <c r="CM344" s="260"/>
      <c r="CN344" s="260"/>
      <c r="CO344" s="260"/>
      <c r="CP344" s="260"/>
      <c r="CQ344" s="260"/>
      <c r="CR344" s="260"/>
      <c r="CS344" s="260"/>
      <c r="CT344" s="260"/>
      <c r="CU344" s="260"/>
      <c r="CV344" s="260"/>
      <c r="CW344" s="260"/>
      <c r="CX344" s="260"/>
      <c r="CY344" s="260"/>
      <c r="CZ344" s="260"/>
      <c r="DA344" s="260"/>
      <c r="DB344" s="260"/>
      <c r="DC344" s="260"/>
      <c r="DD344" s="260"/>
      <c r="DE344" s="260"/>
      <c r="DF344" s="260"/>
      <c r="DG344" s="260"/>
      <c r="DH344" s="260"/>
      <c r="DI344" s="260"/>
      <c r="DJ344" s="260"/>
      <c r="DK344" s="260"/>
      <c r="DL344" s="260"/>
      <c r="DM344" s="260"/>
      <c r="DN344" s="260"/>
      <c r="DO344" s="260"/>
      <c r="DP344" s="260"/>
      <c r="DQ344" s="260"/>
      <c r="DR344" s="260"/>
      <c r="DS344" s="260"/>
      <c r="DT344" s="260"/>
      <c r="DU344" s="260"/>
      <c r="DV344" s="260"/>
      <c r="DW344" s="260"/>
      <c r="DX344" s="500"/>
      <c r="DY344" s="500"/>
      <c r="DZ344" s="500"/>
      <c r="EA344" s="500"/>
      <c r="EB344" s="500"/>
      <c r="EC344" s="500"/>
      <c r="ED344" s="500"/>
      <c r="EE344" s="500"/>
      <c r="EF344" s="500"/>
      <c r="EG344" s="500"/>
      <c r="EH344" s="500"/>
      <c r="EI344" s="500"/>
    </row>
    <row r="345" spans="1:139">
      <c r="A345" s="260"/>
      <c r="B345" s="260"/>
      <c r="C345" s="260"/>
      <c r="D345" s="260"/>
      <c r="E345" s="260"/>
      <c r="F345" s="260"/>
      <c r="G345" s="316"/>
      <c r="H345" s="260"/>
      <c r="I345" s="260"/>
      <c r="J345" s="260"/>
      <c r="K345" s="260"/>
      <c r="L345" s="260"/>
      <c r="M345" s="316"/>
      <c r="N345" s="260"/>
      <c r="O345" s="260"/>
      <c r="P345" s="260"/>
      <c r="Q345" s="260"/>
      <c r="R345" s="260"/>
      <c r="S345" s="316"/>
      <c r="T345" s="260"/>
      <c r="U345" s="260"/>
      <c r="V345" s="260"/>
      <c r="W345" s="260"/>
      <c r="X345" s="260"/>
      <c r="Y345" s="316"/>
      <c r="Z345" s="260"/>
      <c r="AA345" s="260"/>
      <c r="AB345" s="260"/>
      <c r="AC345" s="260"/>
      <c r="AD345" s="260"/>
      <c r="AE345" s="316"/>
      <c r="AF345" s="260"/>
      <c r="AG345" s="260"/>
      <c r="AH345" s="260"/>
      <c r="AI345" s="260"/>
      <c r="AJ345" s="260"/>
      <c r="AK345" s="316"/>
      <c r="AL345" s="260"/>
      <c r="AM345" s="260"/>
      <c r="AN345" s="260"/>
      <c r="AO345" s="260"/>
      <c r="AP345" s="260"/>
      <c r="AQ345" s="316"/>
      <c r="AR345" s="260"/>
      <c r="AS345" s="260"/>
      <c r="AT345" s="260"/>
      <c r="AU345" s="260"/>
      <c r="AV345" s="260"/>
      <c r="AW345" s="316"/>
      <c r="AX345" s="260"/>
      <c r="AY345" s="260"/>
      <c r="AZ345" s="260"/>
      <c r="BA345" s="260"/>
      <c r="BB345" s="260"/>
      <c r="BC345" s="316"/>
      <c r="BD345" s="260"/>
      <c r="BE345" s="260"/>
      <c r="BF345" s="260"/>
      <c r="BG345" s="260"/>
      <c r="BH345" s="260"/>
      <c r="BI345" s="316"/>
      <c r="BJ345" s="260"/>
      <c r="BK345" s="260"/>
      <c r="BL345" s="260"/>
      <c r="BM345" s="260"/>
      <c r="BN345" s="260"/>
      <c r="BO345" s="260"/>
      <c r="BP345" s="260"/>
      <c r="BQ345" s="260"/>
      <c r="BR345" s="260"/>
      <c r="BS345" s="260"/>
      <c r="BT345" s="260"/>
      <c r="BU345" s="260"/>
      <c r="BV345" s="260"/>
      <c r="BW345" s="260"/>
      <c r="BX345" s="260"/>
      <c r="BY345" s="260"/>
      <c r="BZ345" s="260"/>
      <c r="CA345" s="260"/>
      <c r="CB345" s="260"/>
      <c r="CC345" s="260"/>
      <c r="CD345" s="260"/>
      <c r="CE345" s="260"/>
      <c r="CF345" s="260"/>
      <c r="CG345" s="260"/>
      <c r="CH345" s="260"/>
      <c r="CI345" s="260"/>
      <c r="CJ345" s="260"/>
      <c r="CK345" s="260"/>
      <c r="CL345" s="260"/>
      <c r="CM345" s="260"/>
      <c r="CN345" s="260"/>
      <c r="CO345" s="260"/>
      <c r="CP345" s="260"/>
      <c r="CQ345" s="260"/>
      <c r="CR345" s="260"/>
      <c r="CS345" s="260"/>
      <c r="CT345" s="260"/>
      <c r="CU345" s="260"/>
      <c r="CV345" s="260"/>
      <c r="CW345" s="260"/>
      <c r="CX345" s="260"/>
      <c r="CY345" s="260"/>
      <c r="CZ345" s="260"/>
      <c r="DA345" s="260"/>
      <c r="DB345" s="260"/>
      <c r="DC345" s="260"/>
      <c r="DD345" s="260"/>
      <c r="DE345" s="260"/>
      <c r="DF345" s="260"/>
      <c r="DG345" s="260"/>
      <c r="DH345" s="260"/>
      <c r="DI345" s="260"/>
      <c r="DJ345" s="260"/>
      <c r="DK345" s="260"/>
      <c r="DL345" s="260"/>
      <c r="DM345" s="260"/>
      <c r="DN345" s="260"/>
      <c r="DO345" s="260"/>
      <c r="DP345" s="260"/>
      <c r="DQ345" s="260"/>
      <c r="DR345" s="260"/>
      <c r="DS345" s="260"/>
      <c r="DT345" s="260"/>
      <c r="DU345" s="260"/>
      <c r="DV345" s="260"/>
      <c r="DW345" s="260"/>
      <c r="DX345" s="500"/>
      <c r="DY345" s="500"/>
      <c r="DZ345" s="500"/>
      <c r="EA345" s="500"/>
      <c r="EB345" s="500"/>
      <c r="EC345" s="500"/>
      <c r="ED345" s="500"/>
      <c r="EE345" s="500"/>
      <c r="EF345" s="500"/>
      <c r="EG345" s="500"/>
      <c r="EH345" s="500"/>
      <c r="EI345" s="500"/>
    </row>
    <row r="346" spans="1:139">
      <c r="A346" s="260"/>
      <c r="B346" s="260"/>
      <c r="C346" s="260"/>
      <c r="D346" s="260"/>
      <c r="E346" s="260"/>
      <c r="F346" s="260"/>
      <c r="G346" s="316"/>
      <c r="H346" s="260"/>
      <c r="I346" s="260"/>
      <c r="J346" s="260"/>
      <c r="K346" s="260"/>
      <c r="L346" s="260"/>
      <c r="M346" s="316"/>
      <c r="N346" s="260"/>
      <c r="O346" s="260"/>
      <c r="P346" s="260"/>
      <c r="Q346" s="260"/>
      <c r="R346" s="260"/>
      <c r="S346" s="316"/>
      <c r="T346" s="260"/>
      <c r="U346" s="260"/>
      <c r="V346" s="260"/>
      <c r="W346" s="260"/>
      <c r="X346" s="260"/>
      <c r="Y346" s="316"/>
      <c r="Z346" s="260"/>
      <c r="AA346" s="260"/>
      <c r="AB346" s="260"/>
      <c r="AC346" s="260"/>
      <c r="AD346" s="260"/>
      <c r="AE346" s="316"/>
      <c r="AF346" s="260"/>
      <c r="AG346" s="260"/>
      <c r="AH346" s="260"/>
      <c r="AI346" s="260"/>
      <c r="AJ346" s="260"/>
      <c r="AK346" s="316"/>
      <c r="AL346" s="260"/>
      <c r="AM346" s="260"/>
      <c r="AN346" s="260"/>
      <c r="AO346" s="260"/>
      <c r="AP346" s="260"/>
      <c r="AQ346" s="316"/>
      <c r="AR346" s="260"/>
      <c r="AS346" s="260"/>
      <c r="AT346" s="260"/>
      <c r="AU346" s="260"/>
      <c r="AV346" s="260"/>
      <c r="AW346" s="316"/>
      <c r="AX346" s="260"/>
      <c r="AY346" s="260"/>
      <c r="AZ346" s="260"/>
      <c r="BA346" s="260"/>
      <c r="BB346" s="260"/>
      <c r="BC346" s="316"/>
      <c r="BD346" s="260"/>
      <c r="BE346" s="260"/>
      <c r="BF346" s="260"/>
      <c r="BG346" s="260"/>
      <c r="BH346" s="260"/>
      <c r="BI346" s="316"/>
      <c r="BJ346" s="260"/>
      <c r="BK346" s="260"/>
      <c r="BL346" s="260"/>
      <c r="BM346" s="260"/>
      <c r="BN346" s="260"/>
      <c r="BO346" s="260"/>
      <c r="BP346" s="260"/>
      <c r="BQ346" s="260"/>
      <c r="BR346" s="260"/>
      <c r="BS346" s="260"/>
      <c r="BT346" s="260"/>
      <c r="BU346" s="260"/>
      <c r="BV346" s="260"/>
      <c r="BW346" s="260"/>
      <c r="BX346" s="260"/>
      <c r="BY346" s="260"/>
      <c r="BZ346" s="260"/>
      <c r="CA346" s="260"/>
      <c r="CB346" s="260"/>
      <c r="CC346" s="260"/>
      <c r="CD346" s="260"/>
      <c r="CE346" s="260"/>
      <c r="CF346" s="260"/>
      <c r="CG346" s="260"/>
      <c r="CH346" s="260"/>
      <c r="CI346" s="260"/>
      <c r="CJ346" s="260"/>
      <c r="CK346" s="260"/>
      <c r="CL346" s="260"/>
      <c r="CM346" s="260"/>
      <c r="CN346" s="260"/>
      <c r="CO346" s="260"/>
      <c r="CP346" s="260"/>
      <c r="CQ346" s="260"/>
      <c r="CR346" s="260"/>
      <c r="CS346" s="260"/>
      <c r="CT346" s="260"/>
      <c r="CU346" s="260"/>
      <c r="CV346" s="260"/>
      <c r="CW346" s="260"/>
      <c r="CX346" s="260"/>
      <c r="CY346" s="260"/>
      <c r="CZ346" s="260"/>
      <c r="DA346" s="260"/>
      <c r="DB346" s="260"/>
      <c r="DC346" s="260"/>
      <c r="DD346" s="260"/>
      <c r="DE346" s="260"/>
      <c r="DF346" s="260"/>
      <c r="DG346" s="260"/>
      <c r="DH346" s="260"/>
      <c r="DI346" s="260"/>
      <c r="DJ346" s="260"/>
      <c r="DK346" s="260"/>
      <c r="DL346" s="260"/>
      <c r="DM346" s="260"/>
      <c r="DN346" s="260"/>
      <c r="DO346" s="260"/>
      <c r="DP346" s="260"/>
      <c r="DQ346" s="260"/>
      <c r="DR346" s="260"/>
      <c r="DS346" s="260"/>
      <c r="DT346" s="260"/>
      <c r="DU346" s="260"/>
      <c r="DV346" s="260"/>
      <c r="DW346" s="260"/>
      <c r="DX346" s="500"/>
      <c r="DY346" s="500"/>
      <c r="DZ346" s="500"/>
      <c r="EA346" s="500"/>
      <c r="EB346" s="500"/>
      <c r="EC346" s="500"/>
      <c r="ED346" s="500"/>
      <c r="EE346" s="500"/>
      <c r="EF346" s="500"/>
      <c r="EG346" s="500"/>
      <c r="EH346" s="500"/>
      <c r="EI346" s="500"/>
    </row>
    <row r="347" spans="1:139">
      <c r="A347" s="260"/>
      <c r="B347" s="260"/>
      <c r="C347" s="260"/>
      <c r="D347" s="260"/>
      <c r="E347" s="260"/>
      <c r="F347" s="260"/>
      <c r="G347" s="316"/>
      <c r="H347" s="260"/>
      <c r="I347" s="260"/>
      <c r="J347" s="260"/>
      <c r="K347" s="260"/>
      <c r="L347" s="260"/>
      <c r="M347" s="316"/>
      <c r="N347" s="260"/>
      <c r="O347" s="260"/>
      <c r="P347" s="260"/>
      <c r="Q347" s="260"/>
      <c r="R347" s="260"/>
      <c r="S347" s="316"/>
      <c r="T347" s="260"/>
      <c r="U347" s="260"/>
      <c r="V347" s="260"/>
      <c r="W347" s="260"/>
      <c r="X347" s="260"/>
      <c r="Y347" s="316"/>
      <c r="Z347" s="260"/>
      <c r="AA347" s="260"/>
      <c r="AB347" s="260"/>
      <c r="AC347" s="260"/>
      <c r="AD347" s="260"/>
      <c r="AE347" s="316"/>
      <c r="AF347" s="260"/>
      <c r="AG347" s="260"/>
      <c r="AH347" s="260"/>
      <c r="AI347" s="260"/>
      <c r="AJ347" s="260"/>
      <c r="AK347" s="316"/>
      <c r="AL347" s="260"/>
      <c r="AM347" s="260"/>
      <c r="AN347" s="260"/>
      <c r="AO347" s="260"/>
      <c r="AP347" s="260"/>
      <c r="AQ347" s="316"/>
      <c r="AR347" s="260"/>
      <c r="AS347" s="260"/>
      <c r="AT347" s="260"/>
      <c r="AU347" s="260"/>
      <c r="AV347" s="260"/>
      <c r="AW347" s="316"/>
      <c r="AX347" s="260"/>
      <c r="AY347" s="260"/>
      <c r="AZ347" s="260"/>
      <c r="BA347" s="260"/>
      <c r="BB347" s="260"/>
      <c r="BC347" s="316"/>
      <c r="BD347" s="260"/>
      <c r="BE347" s="260"/>
      <c r="BF347" s="260"/>
      <c r="BG347" s="260"/>
      <c r="BH347" s="260"/>
      <c r="BI347" s="316"/>
      <c r="BJ347" s="260"/>
      <c r="BK347" s="260"/>
      <c r="BL347" s="260"/>
      <c r="BM347" s="260"/>
      <c r="BN347" s="260"/>
      <c r="BO347" s="260"/>
      <c r="BP347" s="260"/>
      <c r="BQ347" s="260"/>
      <c r="BR347" s="260"/>
      <c r="BS347" s="260"/>
      <c r="BT347" s="260"/>
      <c r="BU347" s="260"/>
      <c r="BV347" s="260"/>
      <c r="BW347" s="260"/>
      <c r="BX347" s="260"/>
      <c r="BY347" s="260"/>
      <c r="BZ347" s="260"/>
      <c r="CA347" s="260"/>
      <c r="CB347" s="260"/>
      <c r="CC347" s="260"/>
      <c r="CD347" s="260"/>
      <c r="CE347" s="260"/>
      <c r="CF347" s="260"/>
      <c r="CG347" s="260"/>
      <c r="CH347" s="260"/>
      <c r="CI347" s="260"/>
      <c r="CJ347" s="260"/>
      <c r="CK347" s="260"/>
      <c r="CL347" s="260"/>
      <c r="CM347" s="260"/>
      <c r="CN347" s="260"/>
      <c r="CO347" s="260"/>
      <c r="CP347" s="260"/>
      <c r="CQ347" s="260"/>
      <c r="CR347" s="260"/>
      <c r="CS347" s="260"/>
      <c r="CT347" s="260"/>
      <c r="CU347" s="260"/>
      <c r="CV347" s="260"/>
      <c r="CW347" s="260"/>
      <c r="CX347" s="260"/>
      <c r="CY347" s="260"/>
      <c r="CZ347" s="260"/>
      <c r="DA347" s="260"/>
      <c r="DB347" s="260"/>
      <c r="DC347" s="260"/>
      <c r="DD347" s="260"/>
      <c r="DE347" s="260"/>
      <c r="DF347" s="260"/>
      <c r="DG347" s="260"/>
      <c r="DH347" s="260"/>
      <c r="DI347" s="260"/>
      <c r="DJ347" s="260"/>
      <c r="DK347" s="260"/>
      <c r="DL347" s="260"/>
      <c r="DM347" s="260"/>
      <c r="DN347" s="260"/>
      <c r="DO347" s="260"/>
      <c r="DP347" s="260"/>
      <c r="DQ347" s="260"/>
      <c r="DR347" s="260"/>
      <c r="DS347" s="260"/>
      <c r="DT347" s="260"/>
      <c r="DU347" s="260"/>
      <c r="DV347" s="260"/>
      <c r="DW347" s="260"/>
      <c r="DX347" s="500"/>
      <c r="DY347" s="500"/>
      <c r="DZ347" s="500"/>
      <c r="EA347" s="500"/>
      <c r="EB347" s="500"/>
      <c r="EC347" s="500"/>
      <c r="ED347" s="500"/>
      <c r="EE347" s="500"/>
      <c r="EF347" s="500"/>
      <c r="EG347" s="500"/>
      <c r="EH347" s="500"/>
      <c r="EI347" s="500"/>
    </row>
    <row r="348" spans="1:139">
      <c r="A348" s="260"/>
      <c r="B348" s="260"/>
      <c r="C348" s="260"/>
      <c r="D348" s="260"/>
      <c r="E348" s="260"/>
      <c r="F348" s="260"/>
      <c r="G348" s="316"/>
      <c r="H348" s="260"/>
      <c r="I348" s="260"/>
      <c r="J348" s="260"/>
      <c r="K348" s="260"/>
      <c r="L348" s="260"/>
      <c r="M348" s="316"/>
      <c r="N348" s="260"/>
      <c r="O348" s="260"/>
      <c r="P348" s="260"/>
      <c r="Q348" s="260"/>
      <c r="R348" s="260"/>
      <c r="S348" s="316"/>
      <c r="T348" s="260"/>
      <c r="U348" s="260"/>
      <c r="V348" s="260"/>
      <c r="W348" s="260"/>
      <c r="X348" s="260"/>
      <c r="Y348" s="316"/>
      <c r="Z348" s="260"/>
      <c r="AA348" s="260"/>
      <c r="AB348" s="260"/>
      <c r="AC348" s="260"/>
      <c r="AD348" s="260"/>
      <c r="AE348" s="316"/>
      <c r="AF348" s="260"/>
      <c r="AG348" s="260"/>
      <c r="AH348" s="260"/>
      <c r="AI348" s="260"/>
      <c r="AJ348" s="260"/>
      <c r="AK348" s="316"/>
      <c r="AL348" s="260"/>
      <c r="AM348" s="260"/>
      <c r="AN348" s="260"/>
      <c r="AO348" s="260"/>
      <c r="AP348" s="260"/>
      <c r="AQ348" s="316"/>
      <c r="AR348" s="260"/>
      <c r="AS348" s="260"/>
      <c r="AT348" s="260"/>
      <c r="AU348" s="260"/>
      <c r="AV348" s="260"/>
      <c r="AW348" s="316"/>
      <c r="AX348" s="260"/>
      <c r="AY348" s="260"/>
      <c r="AZ348" s="260"/>
      <c r="BA348" s="260"/>
      <c r="BB348" s="260"/>
      <c r="BC348" s="316"/>
      <c r="BD348" s="260"/>
      <c r="BE348" s="260"/>
      <c r="BF348" s="260"/>
      <c r="BG348" s="260"/>
      <c r="BH348" s="260"/>
      <c r="BI348" s="316"/>
      <c r="BJ348" s="260"/>
      <c r="BK348" s="260"/>
      <c r="BL348" s="260"/>
      <c r="BM348" s="260"/>
      <c r="BN348" s="260"/>
      <c r="BO348" s="260"/>
      <c r="BP348" s="260"/>
      <c r="BQ348" s="260"/>
      <c r="BR348" s="260"/>
      <c r="BS348" s="260"/>
      <c r="BT348" s="260"/>
      <c r="BU348" s="260"/>
      <c r="BV348" s="260"/>
      <c r="BW348" s="260"/>
      <c r="BX348" s="260"/>
      <c r="BY348" s="260"/>
      <c r="BZ348" s="260"/>
      <c r="CA348" s="260"/>
      <c r="CB348" s="260"/>
      <c r="CC348" s="260"/>
      <c r="CD348" s="260"/>
      <c r="CE348" s="260"/>
      <c r="CF348" s="260"/>
      <c r="CG348" s="260"/>
      <c r="CH348" s="260"/>
      <c r="CI348" s="260"/>
      <c r="CJ348" s="260"/>
      <c r="CK348" s="260"/>
      <c r="CL348" s="260"/>
      <c r="CM348" s="260"/>
      <c r="CN348" s="260"/>
      <c r="CO348" s="260"/>
      <c r="CP348" s="260"/>
      <c r="CQ348" s="260"/>
      <c r="CR348" s="260"/>
      <c r="CS348" s="260"/>
      <c r="CT348" s="260"/>
      <c r="CU348" s="260"/>
      <c r="CV348" s="260"/>
      <c r="CW348" s="260"/>
      <c r="CX348" s="260"/>
      <c r="CY348" s="260"/>
      <c r="CZ348" s="260"/>
      <c r="DA348" s="260"/>
      <c r="DB348" s="260"/>
      <c r="DC348" s="260"/>
      <c r="DD348" s="260"/>
      <c r="DE348" s="260"/>
      <c r="DF348" s="260"/>
      <c r="DG348" s="260"/>
      <c r="DH348" s="260"/>
      <c r="DI348" s="260"/>
      <c r="DJ348" s="260"/>
      <c r="DK348" s="260"/>
      <c r="DL348" s="260"/>
      <c r="DM348" s="260"/>
      <c r="DN348" s="260"/>
      <c r="DO348" s="260"/>
      <c r="DP348" s="260"/>
      <c r="DQ348" s="260"/>
      <c r="DR348" s="260"/>
      <c r="DS348" s="260"/>
      <c r="DT348" s="260"/>
      <c r="DU348" s="260"/>
      <c r="DV348" s="260"/>
      <c r="DW348" s="260"/>
      <c r="DX348" s="500"/>
      <c r="DY348" s="500"/>
      <c r="DZ348" s="500"/>
      <c r="EA348" s="500"/>
      <c r="EB348" s="500"/>
      <c r="EC348" s="500"/>
      <c r="ED348" s="500"/>
      <c r="EE348" s="500"/>
      <c r="EF348" s="500"/>
      <c r="EG348" s="500"/>
      <c r="EH348" s="500"/>
      <c r="EI348" s="500"/>
    </row>
    <row r="349" spans="1:139">
      <c r="A349" s="260"/>
      <c r="B349" s="260"/>
      <c r="C349" s="260"/>
      <c r="D349" s="260"/>
      <c r="E349" s="260"/>
      <c r="F349" s="260"/>
      <c r="G349" s="316"/>
      <c r="H349" s="260"/>
      <c r="I349" s="260"/>
      <c r="J349" s="260"/>
      <c r="K349" s="260"/>
      <c r="L349" s="260"/>
      <c r="M349" s="316"/>
      <c r="N349" s="260"/>
      <c r="O349" s="260"/>
      <c r="P349" s="260"/>
      <c r="Q349" s="260"/>
      <c r="R349" s="260"/>
      <c r="S349" s="316"/>
      <c r="T349" s="260"/>
      <c r="U349" s="260"/>
      <c r="V349" s="260"/>
      <c r="W349" s="260"/>
      <c r="X349" s="260"/>
      <c r="Y349" s="316"/>
      <c r="Z349" s="260"/>
      <c r="AA349" s="260"/>
      <c r="AB349" s="260"/>
      <c r="AC349" s="260"/>
      <c r="AD349" s="260"/>
      <c r="AE349" s="316"/>
      <c r="AF349" s="260"/>
      <c r="AG349" s="260"/>
      <c r="AH349" s="260"/>
      <c r="AI349" s="260"/>
      <c r="AJ349" s="260"/>
      <c r="AK349" s="316"/>
      <c r="AL349" s="260"/>
      <c r="AM349" s="260"/>
      <c r="AN349" s="260"/>
      <c r="AO349" s="260"/>
      <c r="AP349" s="260"/>
      <c r="AQ349" s="316"/>
      <c r="AR349" s="260"/>
      <c r="AS349" s="260"/>
      <c r="AT349" s="260"/>
      <c r="AU349" s="260"/>
      <c r="AV349" s="260"/>
      <c r="AW349" s="316"/>
      <c r="AX349" s="260"/>
      <c r="AY349" s="260"/>
      <c r="AZ349" s="260"/>
      <c r="BA349" s="260"/>
      <c r="BB349" s="260"/>
      <c r="BC349" s="316"/>
      <c r="BD349" s="260"/>
      <c r="BE349" s="260"/>
      <c r="BF349" s="260"/>
      <c r="BG349" s="260"/>
      <c r="BH349" s="260"/>
      <c r="BI349" s="316"/>
      <c r="BJ349" s="260"/>
      <c r="BK349" s="260"/>
      <c r="BL349" s="260"/>
      <c r="BM349" s="260"/>
      <c r="BN349" s="260"/>
      <c r="BO349" s="260"/>
      <c r="BP349" s="260"/>
      <c r="BQ349" s="260"/>
      <c r="BR349" s="260"/>
      <c r="BS349" s="260"/>
      <c r="BT349" s="260"/>
      <c r="BU349" s="260"/>
      <c r="BV349" s="260"/>
      <c r="BW349" s="260"/>
      <c r="BX349" s="260"/>
      <c r="BY349" s="260"/>
      <c r="BZ349" s="260"/>
      <c r="CA349" s="260"/>
      <c r="CB349" s="260"/>
      <c r="CC349" s="260"/>
      <c r="CD349" s="260"/>
      <c r="CE349" s="260"/>
      <c r="CF349" s="260"/>
      <c r="CG349" s="260"/>
      <c r="CH349" s="260"/>
      <c r="CI349" s="260"/>
      <c r="CJ349" s="260"/>
      <c r="CK349" s="260"/>
      <c r="CL349" s="260"/>
      <c r="CM349" s="260"/>
      <c r="CN349" s="260"/>
      <c r="CO349" s="260"/>
      <c r="CP349" s="260"/>
      <c r="CQ349" s="260"/>
      <c r="CR349" s="260"/>
      <c r="CS349" s="260"/>
      <c r="CT349" s="260"/>
      <c r="CU349" s="260"/>
      <c r="CV349" s="260"/>
      <c r="CW349" s="260"/>
      <c r="CX349" s="260"/>
      <c r="CY349" s="260"/>
      <c r="CZ349" s="260"/>
      <c r="DA349" s="260"/>
      <c r="DB349" s="260"/>
      <c r="DC349" s="260"/>
      <c r="DD349" s="260"/>
      <c r="DE349" s="260"/>
      <c r="DF349" s="260"/>
      <c r="DG349" s="260"/>
      <c r="DH349" s="260"/>
      <c r="DI349" s="260"/>
      <c r="DJ349" s="260"/>
      <c r="DK349" s="260"/>
      <c r="DL349" s="260"/>
      <c r="DM349" s="260"/>
      <c r="DN349" s="260"/>
      <c r="DO349" s="260"/>
      <c r="DP349" s="260"/>
      <c r="DQ349" s="260"/>
      <c r="DR349" s="260"/>
      <c r="DS349" s="260"/>
      <c r="DT349" s="260"/>
      <c r="DU349" s="260"/>
      <c r="DV349" s="260"/>
      <c r="DW349" s="260"/>
      <c r="DX349" s="500"/>
      <c r="DY349" s="500"/>
      <c r="DZ349" s="500"/>
      <c r="EA349" s="500"/>
      <c r="EB349" s="500"/>
      <c r="EC349" s="500"/>
      <c r="ED349" s="500"/>
      <c r="EE349" s="500"/>
      <c r="EF349" s="500"/>
      <c r="EG349" s="500"/>
      <c r="EH349" s="500"/>
      <c r="EI349" s="500"/>
    </row>
    <row r="350" spans="1:139">
      <c r="A350" s="260"/>
      <c r="B350" s="260"/>
      <c r="C350" s="260"/>
      <c r="D350" s="260"/>
      <c r="E350" s="260"/>
      <c r="F350" s="260"/>
      <c r="G350" s="316"/>
      <c r="H350" s="260"/>
      <c r="I350" s="260"/>
      <c r="J350" s="260"/>
      <c r="K350" s="260"/>
      <c r="L350" s="260"/>
      <c r="M350" s="316"/>
      <c r="N350" s="260"/>
      <c r="O350" s="260"/>
      <c r="P350" s="260"/>
      <c r="Q350" s="260"/>
      <c r="R350" s="260"/>
      <c r="S350" s="316"/>
      <c r="T350" s="260"/>
      <c r="U350" s="260"/>
      <c r="V350" s="260"/>
      <c r="W350" s="260"/>
      <c r="X350" s="260"/>
      <c r="Y350" s="316"/>
      <c r="Z350" s="260"/>
      <c r="AA350" s="260"/>
      <c r="AB350" s="260"/>
      <c r="AC350" s="260"/>
      <c r="AD350" s="260"/>
      <c r="AE350" s="316"/>
      <c r="AF350" s="260"/>
      <c r="AG350" s="260"/>
      <c r="AH350" s="260"/>
      <c r="AI350" s="260"/>
      <c r="AJ350" s="260"/>
      <c r="AK350" s="316"/>
      <c r="AL350" s="260"/>
      <c r="AM350" s="260"/>
      <c r="AN350" s="260"/>
      <c r="AO350" s="260"/>
      <c r="AP350" s="260"/>
      <c r="AQ350" s="316"/>
      <c r="AR350" s="260"/>
      <c r="AS350" s="260"/>
      <c r="AT350" s="260"/>
      <c r="AU350" s="260"/>
      <c r="AV350" s="260"/>
      <c r="AW350" s="316"/>
      <c r="AX350" s="260"/>
      <c r="AY350" s="260"/>
      <c r="AZ350" s="260"/>
      <c r="BA350" s="260"/>
      <c r="BB350" s="260"/>
      <c r="BC350" s="316"/>
      <c r="BD350" s="260"/>
      <c r="BE350" s="260"/>
      <c r="BF350" s="260"/>
      <c r="BG350" s="260"/>
      <c r="BH350" s="260"/>
      <c r="BI350" s="316"/>
      <c r="BJ350" s="260"/>
      <c r="BK350" s="260"/>
      <c r="BL350" s="260"/>
      <c r="BM350" s="260"/>
      <c r="BN350" s="260"/>
      <c r="BO350" s="260"/>
      <c r="BP350" s="260"/>
      <c r="BQ350" s="260"/>
      <c r="BR350" s="260"/>
      <c r="BS350" s="260"/>
      <c r="BT350" s="260"/>
      <c r="BU350" s="260"/>
      <c r="BV350" s="260"/>
      <c r="BW350" s="260"/>
      <c r="BX350" s="260"/>
      <c r="BY350" s="260"/>
      <c r="BZ350" s="260"/>
      <c r="CA350" s="260"/>
      <c r="CB350" s="260"/>
      <c r="CC350" s="260"/>
      <c r="CD350" s="260"/>
      <c r="CE350" s="260"/>
      <c r="CF350" s="260"/>
      <c r="CG350" s="260"/>
      <c r="CH350" s="260"/>
      <c r="CI350" s="260"/>
      <c r="CJ350" s="260"/>
      <c r="CK350" s="260"/>
      <c r="CL350" s="260"/>
      <c r="CM350" s="260"/>
      <c r="CN350" s="260"/>
      <c r="CO350" s="260"/>
      <c r="CP350" s="260"/>
      <c r="CQ350" s="260"/>
      <c r="CR350" s="260"/>
      <c r="CS350" s="260"/>
      <c r="CT350" s="260"/>
      <c r="CU350" s="260"/>
      <c r="CV350" s="260"/>
      <c r="CW350" s="260"/>
      <c r="CX350" s="260"/>
      <c r="CY350" s="260"/>
      <c r="CZ350" s="260"/>
      <c r="DA350" s="260"/>
      <c r="DB350" s="260"/>
      <c r="DC350" s="260"/>
      <c r="DD350" s="260"/>
      <c r="DE350" s="260"/>
      <c r="DF350" s="260"/>
      <c r="DG350" s="260"/>
      <c r="DH350" s="260"/>
      <c r="DI350" s="260"/>
      <c r="DJ350" s="260"/>
      <c r="DK350" s="260"/>
      <c r="DL350" s="260"/>
      <c r="DM350" s="260"/>
      <c r="DN350" s="260"/>
      <c r="DO350" s="260"/>
      <c r="DP350" s="260"/>
      <c r="DQ350" s="260"/>
      <c r="DR350" s="260"/>
      <c r="DS350" s="260"/>
      <c r="DT350" s="260"/>
      <c r="DU350" s="260"/>
      <c r="DV350" s="260"/>
      <c r="DW350" s="260"/>
      <c r="DX350" s="500"/>
      <c r="DY350" s="500"/>
      <c r="DZ350" s="500"/>
      <c r="EA350" s="500"/>
      <c r="EB350" s="500"/>
      <c r="EC350" s="500"/>
      <c r="ED350" s="500"/>
      <c r="EE350" s="500"/>
      <c r="EF350" s="500"/>
      <c r="EG350" s="500"/>
      <c r="EH350" s="500"/>
      <c r="EI350" s="500"/>
    </row>
    <row r="351" spans="1:139">
      <c r="A351" s="260"/>
      <c r="B351" s="260"/>
      <c r="C351" s="260"/>
      <c r="D351" s="260"/>
      <c r="E351" s="260"/>
      <c r="F351" s="260"/>
      <c r="G351" s="316"/>
      <c r="H351" s="260"/>
      <c r="I351" s="260"/>
      <c r="J351" s="260"/>
      <c r="K351" s="260"/>
      <c r="L351" s="260"/>
      <c r="M351" s="316"/>
      <c r="N351" s="260"/>
      <c r="O351" s="260"/>
      <c r="P351" s="260"/>
      <c r="Q351" s="260"/>
      <c r="R351" s="260"/>
      <c r="S351" s="316"/>
      <c r="T351" s="260"/>
      <c r="U351" s="260"/>
      <c r="V351" s="260"/>
      <c r="W351" s="260"/>
      <c r="X351" s="260"/>
      <c r="Y351" s="316"/>
      <c r="Z351" s="260"/>
      <c r="AA351" s="260"/>
      <c r="AB351" s="260"/>
      <c r="AC351" s="260"/>
      <c r="AD351" s="260"/>
      <c r="AE351" s="316"/>
      <c r="AF351" s="260"/>
      <c r="AG351" s="260"/>
      <c r="AH351" s="260"/>
      <c r="AI351" s="260"/>
      <c r="AJ351" s="260"/>
      <c r="AK351" s="316"/>
      <c r="AL351" s="260"/>
      <c r="AM351" s="260"/>
      <c r="AN351" s="260"/>
      <c r="AO351" s="260"/>
      <c r="AP351" s="260"/>
      <c r="AQ351" s="316"/>
      <c r="AR351" s="260"/>
      <c r="AS351" s="260"/>
      <c r="AT351" s="260"/>
      <c r="AU351" s="260"/>
      <c r="AV351" s="260"/>
      <c r="AW351" s="316"/>
      <c r="AX351" s="260"/>
      <c r="AY351" s="260"/>
      <c r="AZ351" s="260"/>
      <c r="BA351" s="260"/>
      <c r="BB351" s="260"/>
      <c r="BC351" s="316"/>
      <c r="BD351" s="260"/>
      <c r="BE351" s="260"/>
      <c r="BF351" s="260"/>
      <c r="BG351" s="260"/>
      <c r="BH351" s="260"/>
      <c r="BI351" s="316"/>
      <c r="BJ351" s="260"/>
      <c r="BK351" s="260"/>
      <c r="BL351" s="260"/>
      <c r="BM351" s="260"/>
      <c r="BN351" s="260"/>
      <c r="BO351" s="260"/>
      <c r="BP351" s="260"/>
      <c r="BQ351" s="260"/>
      <c r="BR351" s="260"/>
      <c r="BS351" s="260"/>
      <c r="BT351" s="260"/>
      <c r="BU351" s="260"/>
      <c r="BV351" s="260"/>
      <c r="BW351" s="260"/>
      <c r="BX351" s="260"/>
      <c r="BY351" s="260"/>
      <c r="BZ351" s="260"/>
      <c r="CA351" s="260"/>
      <c r="CB351" s="260"/>
      <c r="CC351" s="260"/>
      <c r="CD351" s="260"/>
      <c r="CE351" s="260"/>
      <c r="CF351" s="260"/>
      <c r="CG351" s="260"/>
      <c r="CH351" s="260"/>
      <c r="CI351" s="260"/>
      <c r="CJ351" s="260"/>
      <c r="CK351" s="260"/>
      <c r="CL351" s="260"/>
      <c r="CM351" s="260"/>
      <c r="CN351" s="260"/>
      <c r="CO351" s="260"/>
      <c r="CP351" s="260"/>
      <c r="CQ351" s="260"/>
      <c r="CR351" s="260"/>
      <c r="CS351" s="260"/>
      <c r="CT351" s="260"/>
      <c r="CU351" s="260"/>
      <c r="CV351" s="260"/>
      <c r="CW351" s="260"/>
      <c r="CX351" s="260"/>
      <c r="CY351" s="260"/>
      <c r="CZ351" s="260"/>
      <c r="DA351" s="260"/>
      <c r="DB351" s="260"/>
      <c r="DC351" s="260"/>
      <c r="DD351" s="260"/>
      <c r="DE351" s="260"/>
      <c r="DF351" s="260"/>
      <c r="DG351" s="260"/>
      <c r="DH351" s="260"/>
      <c r="DI351" s="260"/>
      <c r="DJ351" s="260"/>
      <c r="DK351" s="260"/>
      <c r="DL351" s="260"/>
      <c r="DM351" s="260"/>
      <c r="DN351" s="260"/>
      <c r="DO351" s="260"/>
      <c r="DP351" s="260"/>
      <c r="DQ351" s="260"/>
      <c r="DR351" s="260"/>
      <c r="DS351" s="260"/>
      <c r="DT351" s="260"/>
      <c r="DU351" s="260"/>
      <c r="DV351" s="260"/>
      <c r="DW351" s="260"/>
      <c r="DX351" s="500"/>
      <c r="DY351" s="500"/>
      <c r="DZ351" s="500"/>
      <c r="EA351" s="500"/>
      <c r="EB351" s="500"/>
      <c r="EC351" s="500"/>
      <c r="ED351" s="500"/>
      <c r="EE351" s="500"/>
      <c r="EF351" s="500"/>
      <c r="EG351" s="500"/>
      <c r="EH351" s="500"/>
      <c r="EI351" s="500"/>
    </row>
    <row r="352" spans="1:139">
      <c r="A352" s="260"/>
      <c r="B352" s="260"/>
      <c r="C352" s="260"/>
      <c r="D352" s="260"/>
      <c r="E352" s="260"/>
      <c r="F352" s="260"/>
      <c r="G352" s="316"/>
      <c r="H352" s="260"/>
      <c r="I352" s="260"/>
      <c r="J352" s="260"/>
      <c r="K352" s="260"/>
      <c r="L352" s="260"/>
      <c r="M352" s="316"/>
      <c r="N352" s="260"/>
      <c r="O352" s="260"/>
      <c r="P352" s="260"/>
      <c r="Q352" s="260"/>
      <c r="R352" s="260"/>
      <c r="S352" s="316"/>
      <c r="T352" s="260"/>
      <c r="U352" s="260"/>
      <c r="V352" s="260"/>
      <c r="W352" s="260"/>
      <c r="X352" s="260"/>
      <c r="Y352" s="316"/>
      <c r="Z352" s="260"/>
      <c r="AA352" s="260"/>
      <c r="AB352" s="260"/>
      <c r="AC352" s="260"/>
      <c r="AD352" s="260"/>
      <c r="AE352" s="316"/>
      <c r="AF352" s="260"/>
      <c r="AG352" s="260"/>
      <c r="AH352" s="260"/>
      <c r="AI352" s="260"/>
      <c r="AJ352" s="260"/>
      <c r="AK352" s="316"/>
      <c r="AL352" s="260"/>
      <c r="AM352" s="260"/>
      <c r="AN352" s="260"/>
      <c r="AO352" s="260"/>
      <c r="AP352" s="260"/>
      <c r="AQ352" s="316"/>
      <c r="AR352" s="260"/>
      <c r="AS352" s="260"/>
      <c r="AT352" s="260"/>
      <c r="AU352" s="260"/>
      <c r="AV352" s="260"/>
      <c r="AW352" s="316"/>
      <c r="AX352" s="260"/>
      <c r="AY352" s="260"/>
      <c r="AZ352" s="260"/>
      <c r="BA352" s="260"/>
      <c r="BB352" s="260"/>
      <c r="BC352" s="316"/>
      <c r="BD352" s="260"/>
      <c r="BE352" s="260"/>
      <c r="BF352" s="260"/>
      <c r="BG352" s="260"/>
      <c r="BH352" s="260"/>
      <c r="BI352" s="316"/>
      <c r="BJ352" s="260"/>
      <c r="BK352" s="260"/>
      <c r="BL352" s="260"/>
      <c r="BM352" s="260"/>
      <c r="BN352" s="260"/>
      <c r="BO352" s="260"/>
      <c r="BP352" s="260"/>
      <c r="BQ352" s="260"/>
      <c r="BR352" s="260"/>
      <c r="BS352" s="260"/>
      <c r="BT352" s="260"/>
      <c r="BU352" s="260"/>
      <c r="BV352" s="260"/>
      <c r="BW352" s="260"/>
      <c r="BX352" s="260"/>
      <c r="BY352" s="260"/>
      <c r="BZ352" s="260"/>
      <c r="CA352" s="260"/>
      <c r="CB352" s="260"/>
      <c r="CC352" s="260"/>
      <c r="CD352" s="260"/>
      <c r="CE352" s="260"/>
      <c r="CF352" s="260"/>
      <c r="CG352" s="260"/>
      <c r="CH352" s="260"/>
      <c r="CI352" s="260"/>
      <c r="CJ352" s="260"/>
      <c r="CK352" s="260"/>
      <c r="CL352" s="260"/>
      <c r="CM352" s="260"/>
      <c r="CN352" s="260"/>
      <c r="CO352" s="260"/>
      <c r="CP352" s="260"/>
      <c r="CQ352" s="260"/>
      <c r="CR352" s="260"/>
      <c r="CS352" s="260"/>
      <c r="CT352" s="260"/>
      <c r="CU352" s="260"/>
      <c r="CV352" s="260"/>
      <c r="CW352" s="260"/>
      <c r="CX352" s="260"/>
      <c r="CY352" s="260"/>
      <c r="CZ352" s="260"/>
      <c r="DA352" s="260"/>
      <c r="DB352" s="260"/>
      <c r="DC352" s="260"/>
      <c r="DD352" s="260"/>
      <c r="DE352" s="260"/>
      <c r="DF352" s="260"/>
      <c r="DG352" s="260"/>
      <c r="DH352" s="260"/>
      <c r="DI352" s="260"/>
      <c r="DJ352" s="260"/>
      <c r="DK352" s="260"/>
      <c r="DL352" s="260"/>
      <c r="DM352" s="260"/>
      <c r="DN352" s="260"/>
      <c r="DO352" s="260"/>
      <c r="DP352" s="260"/>
      <c r="DQ352" s="260"/>
      <c r="DR352" s="260"/>
      <c r="DS352" s="260"/>
      <c r="DT352" s="260"/>
      <c r="DU352" s="260"/>
      <c r="DV352" s="260"/>
      <c r="DW352" s="260"/>
      <c r="DX352" s="500"/>
      <c r="DY352" s="500"/>
      <c r="DZ352" s="500"/>
      <c r="EA352" s="500"/>
      <c r="EB352" s="500"/>
      <c r="EC352" s="500"/>
      <c r="ED352" s="500"/>
      <c r="EE352" s="500"/>
      <c r="EF352" s="500"/>
      <c r="EG352" s="500"/>
      <c r="EH352" s="500"/>
      <c r="EI352" s="500"/>
    </row>
    <row r="353" spans="1:139">
      <c r="A353" s="260"/>
      <c r="B353" s="260"/>
      <c r="C353" s="260"/>
      <c r="D353" s="260"/>
      <c r="E353" s="260"/>
      <c r="F353" s="260"/>
      <c r="G353" s="316"/>
      <c r="H353" s="260"/>
      <c r="I353" s="260"/>
      <c r="J353" s="260"/>
      <c r="K353" s="260"/>
      <c r="L353" s="260"/>
      <c r="M353" s="316"/>
      <c r="N353" s="260"/>
      <c r="O353" s="260"/>
      <c r="P353" s="260"/>
      <c r="Q353" s="260"/>
      <c r="R353" s="260"/>
      <c r="S353" s="316"/>
      <c r="T353" s="260"/>
      <c r="U353" s="260"/>
      <c r="V353" s="260"/>
      <c r="W353" s="260"/>
      <c r="X353" s="260"/>
      <c r="Y353" s="316"/>
      <c r="Z353" s="260"/>
      <c r="AA353" s="260"/>
      <c r="AB353" s="260"/>
      <c r="AC353" s="260"/>
      <c r="AD353" s="260"/>
      <c r="AE353" s="316"/>
      <c r="AF353" s="260"/>
      <c r="AG353" s="260"/>
      <c r="AH353" s="260"/>
      <c r="AI353" s="260"/>
      <c r="AJ353" s="260"/>
      <c r="AK353" s="316"/>
      <c r="AL353" s="260"/>
      <c r="AM353" s="260"/>
      <c r="AN353" s="260"/>
      <c r="AO353" s="260"/>
      <c r="AP353" s="260"/>
      <c r="AQ353" s="316"/>
      <c r="AR353" s="260"/>
      <c r="AS353" s="260"/>
      <c r="AT353" s="260"/>
      <c r="AU353" s="260"/>
      <c r="AV353" s="260"/>
      <c r="AW353" s="316"/>
      <c r="AX353" s="260"/>
      <c r="AY353" s="260"/>
      <c r="AZ353" s="260"/>
      <c r="BA353" s="260"/>
      <c r="BB353" s="260"/>
      <c r="BC353" s="316"/>
      <c r="BD353" s="260"/>
      <c r="BE353" s="260"/>
      <c r="BF353" s="260"/>
      <c r="BG353" s="260"/>
      <c r="BH353" s="260"/>
      <c r="BI353" s="316"/>
      <c r="BJ353" s="260"/>
      <c r="BK353" s="260"/>
      <c r="BL353" s="260"/>
      <c r="BM353" s="260"/>
      <c r="BN353" s="260"/>
      <c r="BO353" s="260"/>
      <c r="BP353" s="260"/>
      <c r="BQ353" s="260"/>
      <c r="BR353" s="260"/>
      <c r="BS353" s="260"/>
      <c r="BT353" s="260"/>
      <c r="BU353" s="260"/>
      <c r="BV353" s="260"/>
      <c r="BW353" s="260"/>
      <c r="BX353" s="260"/>
      <c r="BY353" s="260"/>
      <c r="BZ353" s="260"/>
      <c r="CA353" s="260"/>
      <c r="CB353" s="260"/>
      <c r="CC353" s="260"/>
      <c r="CD353" s="260"/>
      <c r="CE353" s="260"/>
      <c r="CF353" s="260"/>
      <c r="CG353" s="260"/>
      <c r="CH353" s="260"/>
      <c r="CI353" s="260"/>
      <c r="CJ353" s="260"/>
      <c r="CK353" s="260"/>
      <c r="CL353" s="260"/>
      <c r="CM353" s="260"/>
      <c r="CN353" s="260"/>
      <c r="CO353" s="260"/>
      <c r="CP353" s="260"/>
      <c r="CQ353" s="260"/>
      <c r="CR353" s="260"/>
      <c r="CS353" s="260"/>
      <c r="CT353" s="260"/>
      <c r="CU353" s="260"/>
      <c r="CV353" s="260"/>
      <c r="CW353" s="260"/>
      <c r="CX353" s="260"/>
      <c r="CY353" s="260"/>
      <c r="CZ353" s="260"/>
      <c r="DA353" s="260"/>
      <c r="DB353" s="260"/>
      <c r="DC353" s="260"/>
      <c r="DD353" s="260"/>
      <c r="DE353" s="260"/>
      <c r="DF353" s="260"/>
      <c r="DG353" s="260"/>
      <c r="DH353" s="260"/>
      <c r="DI353" s="260"/>
      <c r="DJ353" s="260"/>
      <c r="DK353" s="260"/>
      <c r="DL353" s="260"/>
      <c r="DM353" s="260"/>
      <c r="DN353" s="260"/>
      <c r="DO353" s="260"/>
      <c r="DP353" s="260"/>
      <c r="DQ353" s="260"/>
      <c r="DR353" s="260"/>
      <c r="DS353" s="260"/>
      <c r="DT353" s="260"/>
      <c r="DU353" s="260"/>
      <c r="DV353" s="260"/>
      <c r="DW353" s="260"/>
      <c r="DX353" s="500"/>
      <c r="DY353" s="500"/>
      <c r="DZ353" s="500"/>
      <c r="EA353" s="500"/>
      <c r="EB353" s="500"/>
      <c r="EC353" s="500"/>
      <c r="ED353" s="500"/>
      <c r="EE353" s="500"/>
      <c r="EF353" s="500"/>
      <c r="EG353" s="500"/>
      <c r="EH353" s="500"/>
      <c r="EI353" s="500"/>
    </row>
    <row r="354" spans="1:139">
      <c r="A354" s="260"/>
      <c r="B354" s="260"/>
      <c r="C354" s="260"/>
      <c r="D354" s="260"/>
      <c r="E354" s="260"/>
      <c r="F354" s="260"/>
      <c r="G354" s="316"/>
      <c r="H354" s="260"/>
      <c r="I354" s="260"/>
      <c r="J354" s="260"/>
      <c r="K354" s="260"/>
      <c r="L354" s="260"/>
      <c r="M354" s="316"/>
      <c r="N354" s="260"/>
      <c r="O354" s="260"/>
      <c r="P354" s="260"/>
      <c r="Q354" s="260"/>
      <c r="R354" s="260"/>
      <c r="S354" s="316"/>
      <c r="T354" s="260"/>
      <c r="U354" s="260"/>
      <c r="V354" s="260"/>
      <c r="W354" s="260"/>
      <c r="X354" s="260"/>
      <c r="Y354" s="316"/>
      <c r="Z354" s="260"/>
      <c r="AA354" s="260"/>
      <c r="AB354" s="260"/>
      <c r="AC354" s="260"/>
      <c r="AD354" s="260"/>
      <c r="AE354" s="316"/>
      <c r="AF354" s="260"/>
      <c r="AG354" s="260"/>
      <c r="AH354" s="260"/>
      <c r="AI354" s="260"/>
      <c r="AJ354" s="260"/>
      <c r="AK354" s="316"/>
      <c r="AL354" s="260"/>
      <c r="AM354" s="260"/>
      <c r="AN354" s="260"/>
      <c r="AO354" s="260"/>
      <c r="AP354" s="260"/>
      <c r="AQ354" s="316"/>
      <c r="AR354" s="260"/>
      <c r="AS354" s="260"/>
      <c r="AT354" s="260"/>
      <c r="AU354" s="260"/>
      <c r="AV354" s="260"/>
      <c r="AW354" s="316"/>
      <c r="AX354" s="260"/>
      <c r="AY354" s="260"/>
      <c r="AZ354" s="260"/>
      <c r="BA354" s="260"/>
      <c r="BB354" s="260"/>
      <c r="BC354" s="316"/>
      <c r="BD354" s="260"/>
      <c r="BE354" s="260"/>
      <c r="BF354" s="260"/>
      <c r="BG354" s="260"/>
      <c r="BH354" s="316"/>
      <c r="BI354" s="719"/>
      <c r="BJ354" s="260"/>
      <c r="BK354" s="261">
        <f>1.7/0.15</f>
        <v>11.333333333333334</v>
      </c>
      <c r="BL354" s="263">
        <f>BK354*0.8</f>
        <v>9.0666666666666682</v>
      </c>
      <c r="BM354" s="260">
        <f>BL354*15*12</f>
        <v>1632.0000000000005</v>
      </c>
      <c r="BN354" s="260">
        <f>BK354*0.1*15*12</f>
        <v>204.00000000000006</v>
      </c>
      <c r="BO354" s="260"/>
      <c r="BP354" s="260"/>
      <c r="BQ354" s="260"/>
      <c r="BR354" s="260"/>
      <c r="BS354" s="260"/>
      <c r="BT354" s="260"/>
      <c r="BU354" s="260"/>
      <c r="BV354" s="260"/>
      <c r="BW354" s="260"/>
      <c r="BX354" s="260"/>
      <c r="BY354" s="260"/>
      <c r="BZ354" s="260"/>
      <c r="CA354" s="260"/>
      <c r="CB354" s="260"/>
      <c r="CC354" s="260"/>
      <c r="CD354" s="260"/>
      <c r="CE354" s="260"/>
      <c r="CF354" s="260"/>
      <c r="CG354" s="260"/>
      <c r="CH354" s="260"/>
      <c r="CI354" s="260"/>
      <c r="CJ354" s="260"/>
      <c r="CK354" s="260"/>
      <c r="CL354" s="260"/>
      <c r="CM354" s="260"/>
      <c r="CN354" s="260"/>
      <c r="CO354" s="260"/>
      <c r="CP354" s="260"/>
      <c r="CQ354" s="260"/>
      <c r="CR354" s="260"/>
      <c r="CS354" s="260"/>
      <c r="CT354" s="260"/>
      <c r="CU354" s="260"/>
      <c r="CV354" s="260"/>
      <c r="CW354" s="260"/>
      <c r="CX354" s="260"/>
      <c r="CY354" s="260"/>
      <c r="CZ354" s="260"/>
      <c r="DA354" s="260"/>
      <c r="DB354" s="260"/>
      <c r="DC354" s="260"/>
      <c r="DD354" s="260"/>
      <c r="DE354" s="260"/>
      <c r="DF354" s="260"/>
      <c r="DG354" s="260"/>
      <c r="DH354" s="260"/>
      <c r="DI354" s="260"/>
      <c r="DJ354" s="260"/>
      <c r="DK354" s="260"/>
      <c r="DL354" s="260"/>
      <c r="DM354" s="260"/>
      <c r="DN354" s="260"/>
      <c r="DO354" s="260"/>
      <c r="DP354" s="260"/>
      <c r="DQ354" s="260"/>
      <c r="DR354" s="260"/>
      <c r="DS354" s="260"/>
      <c r="DT354" s="260"/>
      <c r="DU354" s="260"/>
      <c r="DV354" s="260"/>
      <c r="DW354" s="260"/>
      <c r="DX354" s="500"/>
      <c r="DY354" s="500"/>
      <c r="DZ354" s="500"/>
      <c r="EA354" s="500"/>
      <c r="EB354" s="500"/>
      <c r="EC354" s="500"/>
      <c r="ED354" s="500"/>
      <c r="EE354" s="500"/>
      <c r="EF354" s="500"/>
      <c r="EG354" s="500"/>
      <c r="EH354" s="500"/>
      <c r="EI354" s="500"/>
    </row>
    <row r="355" spans="1:139">
      <c r="A355" s="260"/>
      <c r="B355" s="260"/>
      <c r="C355" s="260"/>
      <c r="D355" s="260"/>
      <c r="E355" s="260"/>
      <c r="F355" s="260"/>
      <c r="G355" s="316"/>
      <c r="H355" s="260"/>
      <c r="I355" s="260"/>
      <c r="J355" s="260"/>
      <c r="K355" s="260"/>
      <c r="L355" s="260"/>
      <c r="M355" s="316"/>
      <c r="N355" s="260"/>
      <c r="O355" s="260"/>
      <c r="P355" s="260"/>
      <c r="Q355" s="260"/>
      <c r="R355" s="260"/>
      <c r="S355" s="316"/>
      <c r="T355" s="260"/>
      <c r="U355" s="260"/>
      <c r="V355" s="260"/>
      <c r="W355" s="260"/>
      <c r="X355" s="260"/>
      <c r="Y355" s="316"/>
      <c r="Z355" s="260"/>
      <c r="AA355" s="260"/>
      <c r="AB355" s="260"/>
      <c r="AC355" s="260"/>
      <c r="AD355" s="260"/>
      <c r="AE355" s="316"/>
      <c r="AF355" s="260"/>
      <c r="AG355" s="260"/>
      <c r="AH355" s="260"/>
      <c r="AI355" s="260"/>
      <c r="AJ355" s="260"/>
      <c r="AK355" s="316"/>
      <c r="AL355" s="260"/>
      <c r="AM355" s="260"/>
      <c r="AN355" s="260"/>
      <c r="AO355" s="260"/>
      <c r="AP355" s="260"/>
      <c r="AQ355" s="316"/>
      <c r="AR355" s="260"/>
      <c r="AS355" s="260"/>
      <c r="AT355" s="260"/>
      <c r="AU355" s="260"/>
      <c r="AV355" s="260"/>
      <c r="AW355" s="316"/>
      <c r="AX355" s="260"/>
      <c r="AY355" s="260"/>
      <c r="AZ355" s="260"/>
      <c r="BA355" s="260"/>
      <c r="BB355" s="260"/>
      <c r="BC355" s="316"/>
      <c r="BD355" s="260"/>
      <c r="BE355" s="260"/>
      <c r="BF355" s="260"/>
      <c r="BG355" s="260"/>
      <c r="BH355" s="316"/>
      <c r="BI355" s="316"/>
      <c r="BJ355" s="260"/>
      <c r="BK355" s="260">
        <f>1.7/0.2</f>
        <v>8.5</v>
      </c>
      <c r="BL355" s="260">
        <f>BK355*0.8</f>
        <v>6.8000000000000007</v>
      </c>
      <c r="BM355" s="260">
        <f>BL355*15*12</f>
        <v>1224.0000000000002</v>
      </c>
      <c r="BN355" s="260">
        <f>BK355*0.1*15*12</f>
        <v>153.00000000000003</v>
      </c>
      <c r="BO355" s="260"/>
      <c r="BP355" s="260"/>
      <c r="BQ355" s="260"/>
      <c r="BR355" s="260"/>
      <c r="BS355" s="260"/>
      <c r="BT355" s="260"/>
      <c r="BU355" s="260"/>
      <c r="BV355" s="260"/>
      <c r="BW355" s="260"/>
      <c r="BX355" s="260"/>
      <c r="BY355" s="260"/>
      <c r="BZ355" s="260"/>
      <c r="CA355" s="260"/>
      <c r="CB355" s="260"/>
      <c r="CC355" s="260"/>
      <c r="CD355" s="260"/>
      <c r="CE355" s="260"/>
      <c r="CF355" s="260"/>
      <c r="CG355" s="260"/>
      <c r="CH355" s="260"/>
      <c r="CI355" s="260"/>
      <c r="CJ355" s="260"/>
      <c r="CK355" s="260"/>
      <c r="CL355" s="260"/>
      <c r="CM355" s="260"/>
      <c r="CN355" s="260"/>
      <c r="CO355" s="260"/>
      <c r="CP355" s="260"/>
      <c r="CQ355" s="260"/>
      <c r="CR355" s="260"/>
      <c r="CS355" s="260"/>
      <c r="CT355" s="260"/>
      <c r="CU355" s="260"/>
      <c r="CV355" s="260"/>
      <c r="CW355" s="260"/>
      <c r="CX355" s="260"/>
      <c r="CY355" s="260"/>
      <c r="CZ355" s="260"/>
      <c r="DA355" s="260"/>
      <c r="DB355" s="260"/>
      <c r="DC355" s="260"/>
      <c r="DD355" s="260"/>
      <c r="DE355" s="260"/>
      <c r="DF355" s="260"/>
      <c r="DG355" s="260"/>
      <c r="DH355" s="260"/>
      <c r="DI355" s="260"/>
      <c r="DJ355" s="260"/>
      <c r="DK355" s="260"/>
      <c r="DL355" s="260"/>
      <c r="DM355" s="260"/>
      <c r="DN355" s="260"/>
      <c r="DO355" s="260"/>
      <c r="DP355" s="260"/>
      <c r="DQ355" s="260"/>
      <c r="DR355" s="260"/>
      <c r="DS355" s="260"/>
      <c r="DT355" s="260"/>
      <c r="DU355" s="260"/>
      <c r="DV355" s="260"/>
      <c r="DW355" s="260"/>
      <c r="DX355" s="500"/>
      <c r="DY355" s="500"/>
      <c r="DZ355" s="500"/>
      <c r="EA355" s="500"/>
      <c r="EB355" s="500"/>
      <c r="EC355" s="500"/>
      <c r="ED355" s="500"/>
      <c r="EE355" s="500"/>
      <c r="EF355" s="500"/>
      <c r="EG355" s="500"/>
      <c r="EH355" s="500"/>
      <c r="EI355" s="500"/>
    </row>
  </sheetData>
  <mergeCells count="10">
    <mergeCell ref="BQ3:BT3"/>
    <mergeCell ref="DA3:DD3"/>
    <mergeCell ref="CU3:CX3"/>
    <mergeCell ref="CO3:CR3"/>
    <mergeCell ref="CI3:CL3"/>
    <mergeCell ref="DS3:DV3"/>
    <mergeCell ref="DM3:DP3"/>
    <mergeCell ref="DG3:DJ3"/>
    <mergeCell ref="CC3:CF3"/>
    <mergeCell ref="BW3:BZ3"/>
  </mergeCells>
  <phoneticPr fontId="4" type="noConversion"/>
  <conditionalFormatting sqref="AY74:BC74 AS74:AW74 I74:M74 AM74:AQ74 AG74:AK74 AA74:AE74 U74:Y74 O74:S74 C74:G74 BE74:BI74 BK74:BO74 BQ74:BU74 BW74:CA74 CC74:CG74 CI74:CM74 CP74:CS74">
    <cfRule type="cellIs" dxfId="8" priority="14" stopIfTrue="1" operator="notBetween">
      <formula>0.05</formula>
      <formula>-0.05</formula>
    </cfRule>
  </conditionalFormatting>
  <conditionalFormatting sqref="CU74:CY74">
    <cfRule type="cellIs" dxfId="7" priority="12" stopIfTrue="1" operator="notBetween">
      <formula>0.05</formula>
      <formula>-0.05</formula>
    </cfRule>
  </conditionalFormatting>
  <conditionalFormatting sqref="DC74:DE74">
    <cfRule type="cellIs" dxfId="6" priority="11" stopIfTrue="1" operator="notBetween">
      <formula>0.05</formula>
      <formula>-0.05</formula>
    </cfRule>
  </conditionalFormatting>
  <conditionalFormatting sqref="CO74">
    <cfRule type="cellIs" dxfId="5" priority="10" stopIfTrue="1" operator="notBetween">
      <formula>0.05</formula>
      <formula>-0.05</formula>
    </cfRule>
  </conditionalFormatting>
  <conditionalFormatting sqref="DG74:DK74">
    <cfRule type="cellIs" dxfId="4" priority="9" stopIfTrue="1" operator="notBetween">
      <formula>0.05</formula>
      <formula>-0.05</formula>
    </cfRule>
  </conditionalFormatting>
  <conditionalFormatting sqref="DM74:DQ74">
    <cfRule type="cellIs" dxfId="3" priority="7" stopIfTrue="1" operator="notBetween">
      <formula>0.05</formula>
      <formula>-0.05</formula>
    </cfRule>
  </conditionalFormatting>
  <conditionalFormatting sqref="DA74">
    <cfRule type="cellIs" dxfId="2" priority="6" stopIfTrue="1" operator="notBetween">
      <formula>0.05</formula>
      <formula>-0.05</formula>
    </cfRule>
  </conditionalFormatting>
  <conditionalFormatting sqref="DB74">
    <cfRule type="cellIs" dxfId="1" priority="5" stopIfTrue="1" operator="notBetween">
      <formula>0.05</formula>
      <formula>-0.05</formula>
    </cfRule>
  </conditionalFormatting>
  <conditionalFormatting sqref="DS74:DW74">
    <cfRule type="cellIs" dxfId="0" priority="1" stopIfTrue="1" operator="notBetween">
      <formula>0.05</formula>
      <formula>-0.05</formula>
    </cfRule>
  </conditionalFormatting>
  <pageMargins left="0" right="0" top="0" bottom="0" header="0" footer="0"/>
  <pageSetup paperSize="5" scale="27" orientation="landscape" r:id="rId1"/>
  <headerFooter alignWithMargins="0">
    <oddFooter>&amp;L&amp;8Morgan Stanley Equity Research</oddFooter>
  </headerFooter>
  <rowBreaks count="1" manualBreakCount="1">
    <brk id="220" max="84" man="1"/>
  </rowBreaks>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4"/>
    <pageSetUpPr fitToPage="1"/>
  </sheetPr>
  <dimension ref="A1:Z266"/>
  <sheetViews>
    <sheetView zoomScale="80" zoomScaleNormal="80" workbookViewId="0">
      <pane ySplit="2" topLeftCell="A3" activePane="bottomLeft" state="frozen"/>
      <selection pane="bottomLeft" activeCell="N71" sqref="N71"/>
    </sheetView>
  </sheetViews>
  <sheetFormatPr defaultColWidth="8" defaultRowHeight="12.75" outlineLevelRow="3" outlineLevelCol="1"/>
  <cols>
    <col min="1" max="1" width="31.42578125" style="145" customWidth="1" collapsed="1"/>
    <col min="2" max="4" width="9.5703125" style="145" hidden="1" customWidth="1" outlineLevel="1"/>
    <col min="5" max="5" width="8.42578125" style="145" hidden="1" customWidth="1" outlineLevel="1"/>
    <col min="6" max="6" width="8.140625" style="145" hidden="1" customWidth="1" outlineLevel="1"/>
    <col min="7" max="9" width="8.7109375" style="145" hidden="1" customWidth="1" outlineLevel="1"/>
    <col min="10" max="10" width="8.7109375" style="145" customWidth="1" collapsed="1"/>
    <col min="11" max="11" width="8.7109375" style="145" customWidth="1"/>
    <col min="12" max="12" width="9.5703125" style="145" bestFit="1" customWidth="1"/>
    <col min="13" max="13" width="9.28515625" style="145" customWidth="1"/>
    <col min="14" max="15" width="9.5703125" style="145" customWidth="1"/>
    <col min="16" max="18" width="9.5703125" style="538" customWidth="1"/>
    <col min="19" max="19" width="10.5703125" style="538" bestFit="1" customWidth="1"/>
    <col min="20" max="20" width="10.140625" style="538" bestFit="1" customWidth="1"/>
    <col min="21" max="21" width="8" style="145" customWidth="1"/>
    <col min="22" max="22" width="8.5703125" style="145" bestFit="1" customWidth="1"/>
    <col min="23" max="23" width="10.7109375" style="145" bestFit="1" customWidth="1"/>
    <col min="24" max="16384" width="8" style="145"/>
  </cols>
  <sheetData>
    <row r="1" spans="1:23" ht="13.5" thickBot="1">
      <c r="O1" s="2000"/>
      <c r="P1" s="2001"/>
      <c r="Q1" s="2001"/>
      <c r="R1" s="2001"/>
      <c r="S1" s="2001"/>
    </row>
    <row r="2" spans="1:23">
      <c r="A2" s="144" t="s">
        <v>627</v>
      </c>
      <c r="B2" s="156">
        <v>2008</v>
      </c>
      <c r="C2" s="156">
        <v>2009</v>
      </c>
      <c r="D2" s="156">
        <v>2010</v>
      </c>
      <c r="E2" s="156">
        <v>2011</v>
      </c>
      <c r="F2" s="156">
        <v>2012</v>
      </c>
      <c r="G2" s="156">
        <v>2013</v>
      </c>
      <c r="H2" s="156">
        <v>2014</v>
      </c>
      <c r="I2" s="156">
        <v>2015</v>
      </c>
      <c r="J2" s="156">
        <v>2016</v>
      </c>
      <c r="K2" s="156">
        <v>2017</v>
      </c>
      <c r="L2" s="156">
        <v>2018</v>
      </c>
      <c r="M2" s="156" t="s">
        <v>101</v>
      </c>
      <c r="N2" s="156" t="s">
        <v>102</v>
      </c>
      <c r="O2" s="156" t="s">
        <v>103</v>
      </c>
      <c r="P2" s="156" t="s">
        <v>104</v>
      </c>
      <c r="Q2" s="156" t="s">
        <v>105</v>
      </c>
      <c r="R2" s="1826" t="s">
        <v>106</v>
      </c>
      <c r="S2" s="156" t="s">
        <v>1010</v>
      </c>
      <c r="T2" s="156" t="s">
        <v>1248</v>
      </c>
      <c r="V2" s="144" t="s">
        <v>124</v>
      </c>
    </row>
    <row r="3" spans="1:23" outlineLevel="1">
      <c r="A3" s="147" t="s">
        <v>620</v>
      </c>
      <c r="B3" s="148"/>
      <c r="C3" s="148"/>
      <c r="D3" s="148"/>
      <c r="E3" s="148"/>
      <c r="F3" s="148"/>
      <c r="G3" s="157"/>
      <c r="H3" s="157"/>
      <c r="I3" s="157"/>
      <c r="J3" s="148"/>
      <c r="K3" s="148"/>
      <c r="L3" s="148"/>
      <c r="M3" s="148"/>
      <c r="N3" s="148"/>
      <c r="O3" s="148"/>
      <c r="P3" s="148"/>
      <c r="Q3" s="148"/>
      <c r="R3" s="1840"/>
      <c r="S3" s="148"/>
      <c r="T3" s="148"/>
      <c r="V3" s="1824">
        <v>2.5000000000000001E-2</v>
      </c>
    </row>
    <row r="4" spans="1:23" s="656" customFormat="1" outlineLevel="1">
      <c r="A4" s="655"/>
      <c r="R4" s="1841"/>
    </row>
    <row r="5" spans="1:23" s="656" customFormat="1" hidden="1" outlineLevel="2">
      <c r="A5" s="655" t="s">
        <v>1148</v>
      </c>
      <c r="I5" s="1823"/>
      <c r="J5" s="1823"/>
      <c r="K5" s="1823"/>
      <c r="L5" s="1823"/>
      <c r="M5" s="1823"/>
      <c r="N5" s="1823"/>
      <c r="O5" s="1823"/>
      <c r="P5" s="1823"/>
      <c r="Q5" s="1823"/>
      <c r="R5" s="1842"/>
      <c r="S5" s="1825"/>
      <c r="T5" s="1825"/>
    </row>
    <row r="6" spans="1:23" s="656" customFormat="1" hidden="1" outlineLevel="2">
      <c r="A6" s="655" t="s">
        <v>1158</v>
      </c>
      <c r="I6" s="656">
        <f>J6*(1-V3)</f>
        <v>160888.86664472101</v>
      </c>
      <c r="J6" s="1823">
        <v>165014.22219971387</v>
      </c>
      <c r="K6" s="1825">
        <f t="shared" ref="K6:S6" si="0">J6*(1+$V$3)</f>
        <v>169139.5777547067</v>
      </c>
      <c r="L6" s="1825">
        <f t="shared" si="0"/>
        <v>173368.06719857434</v>
      </c>
      <c r="M6" s="1825">
        <f t="shared" si="0"/>
        <v>177702.26887853869</v>
      </c>
      <c r="N6" s="1825">
        <f t="shared" si="0"/>
        <v>182144.82560050214</v>
      </c>
      <c r="O6" s="1825">
        <f t="shared" si="0"/>
        <v>186698.44624051466</v>
      </c>
      <c r="P6" s="1825">
        <f t="shared" si="0"/>
        <v>191365.9073965275</v>
      </c>
      <c r="Q6" s="1825">
        <f t="shared" si="0"/>
        <v>196150.05508144066</v>
      </c>
      <c r="R6" s="1843">
        <f t="shared" si="0"/>
        <v>201053.80645847667</v>
      </c>
      <c r="S6" s="1825">
        <f t="shared" si="0"/>
        <v>206080.15161993858</v>
      </c>
      <c r="T6" s="1825">
        <f t="shared" ref="T6" si="1">S6*(1+$V$3)</f>
        <v>211232.15541043703</v>
      </c>
    </row>
    <row r="7" spans="1:23" s="656" customFormat="1" ht="6" hidden="1" customHeight="1" outlineLevel="2">
      <c r="A7" s="655"/>
      <c r="R7" s="1841"/>
    </row>
    <row r="8" spans="1:23" s="656" customFormat="1" hidden="1" outlineLevel="2">
      <c r="A8" s="655" t="s">
        <v>1149</v>
      </c>
      <c r="I8" s="1578"/>
      <c r="J8" s="1578"/>
      <c r="K8" s="1578"/>
      <c r="L8" s="1578"/>
      <c r="M8" s="1578"/>
      <c r="N8" s="1578"/>
      <c r="O8" s="1578"/>
      <c r="P8" s="1578"/>
      <c r="Q8" s="1578"/>
      <c r="R8" s="1844"/>
      <c r="S8" s="1578"/>
      <c r="T8" s="1578"/>
    </row>
    <row r="9" spans="1:23" s="656" customFormat="1" hidden="1" outlineLevel="2">
      <c r="A9" s="655" t="s">
        <v>1159</v>
      </c>
      <c r="I9" s="1578">
        <f t="shared" ref="I9:O9" si="2">I11/I6</f>
        <v>3.1162902098574193E-2</v>
      </c>
      <c r="J9" s="1578">
        <f t="shared" si="2"/>
        <v>3.7606449415550802E-2</v>
      </c>
      <c r="K9" s="1578">
        <f t="shared" si="2"/>
        <v>4.5856830807798121E-2</v>
      </c>
      <c r="L9" s="1578">
        <f t="shared" si="2"/>
        <v>5.6011110678632813E-2</v>
      </c>
      <c r="M9" s="1578">
        <f t="shared" si="2"/>
        <v>6.6288138761443308E-2</v>
      </c>
      <c r="N9" s="1578">
        <f t="shared" si="2"/>
        <v>7.7718890829425985E-2</v>
      </c>
      <c r="O9" s="1578">
        <f t="shared" si="2"/>
        <v>9.0584262195997273E-2</v>
      </c>
      <c r="P9" s="1578">
        <f t="shared" ref="P9:S9" si="3">P11/P6</f>
        <v>0.10486030123212603</v>
      </c>
      <c r="Q9" s="1578">
        <f t="shared" si="3"/>
        <v>0.1205564457799209</v>
      </c>
      <c r="R9" s="1844">
        <f t="shared" si="3"/>
        <v>0.13765102738852253</v>
      </c>
      <c r="S9" s="1578">
        <f t="shared" si="3"/>
        <v>0.15427702948918903</v>
      </c>
      <c r="T9" s="1578">
        <f t="shared" ref="T9" si="4">T11/T6</f>
        <v>0.16969936683706874</v>
      </c>
    </row>
    <row r="10" spans="1:23" s="656" customFormat="1" ht="6" hidden="1" customHeight="1" outlineLevel="2">
      <c r="R10" s="1841"/>
    </row>
    <row r="11" spans="1:23" outlineLevel="1" collapsed="1">
      <c r="A11" s="1856" t="s">
        <v>501</v>
      </c>
      <c r="B11" s="1623">
        <v>680.5809999999999</v>
      </c>
      <c r="C11" s="1623">
        <v>984.57400000000007</v>
      </c>
      <c r="D11" s="1623">
        <v>1209.472</v>
      </c>
      <c r="E11" s="1623">
        <v>1551.145</v>
      </c>
      <c r="F11" s="1623">
        <v>2126.2340000000004</v>
      </c>
      <c r="G11" s="1608">
        <v>2868.808</v>
      </c>
      <c r="H11" s="1608">
        <v>3824.5420000000004</v>
      </c>
      <c r="I11" s="1608">
        <v>5013.7640000000001</v>
      </c>
      <c r="J11" s="1608">
        <f>Model!CK13</f>
        <v>6205.5990000000002</v>
      </c>
      <c r="K11" s="1608">
        <f>Model!CQ13</f>
        <v>7756.2049999999999</v>
      </c>
      <c r="L11" s="1608">
        <f>Model!CW13</f>
        <v>9710.5379999999986</v>
      </c>
      <c r="M11" s="1608">
        <f>Model!DC13</f>
        <v>11779.552657643881</v>
      </c>
      <c r="N11" s="1608">
        <f>Model!DI13</f>
        <v>14156.093815990262</v>
      </c>
      <c r="O11" s="1608">
        <f>Model!DO13</f>
        <v>16911.941005836081</v>
      </c>
      <c r="P11" s="1608">
        <f t="shared" ref="P11:S11" si="5">P14*P19/1000000</f>
        <v>20066.686695159009</v>
      </c>
      <c r="Q11" s="1608">
        <f t="shared" si="5"/>
        <v>23647.1534801542</v>
      </c>
      <c r="R11" s="1857">
        <f t="shared" si="5"/>
        <v>27675.263019382481</v>
      </c>
      <c r="S11" s="1608">
        <f t="shared" si="5"/>
        <v>31793.43362860581</v>
      </c>
      <c r="T11" s="1608">
        <f t="shared" ref="T11" si="6">T14*T19/1000000</f>
        <v>35845.963028780468</v>
      </c>
    </row>
    <row r="12" spans="1:23" outlineLevel="1">
      <c r="A12" s="158" t="s">
        <v>107</v>
      </c>
      <c r="B12" s="160"/>
      <c r="C12" s="161">
        <f t="shared" ref="C12:T12" si="7">C11/B11-1</f>
        <v>0.44666689196436615</v>
      </c>
      <c r="D12" s="161">
        <f t="shared" si="7"/>
        <v>0.22842163209672406</v>
      </c>
      <c r="E12" s="161">
        <f t="shared" si="7"/>
        <v>0.28249765186792253</v>
      </c>
      <c r="F12" s="161">
        <f t="shared" si="7"/>
        <v>0.37075128372911648</v>
      </c>
      <c r="G12" s="161">
        <f t="shared" si="7"/>
        <v>0.34924378031768821</v>
      </c>
      <c r="H12" s="161">
        <f t="shared" si="7"/>
        <v>0.33314672853673044</v>
      </c>
      <c r="I12" s="161">
        <f t="shared" si="7"/>
        <v>0.3109449445188468</v>
      </c>
      <c r="J12" s="161">
        <f t="shared" si="7"/>
        <v>0.23771262468676224</v>
      </c>
      <c r="K12" s="161">
        <f t="shared" si="7"/>
        <v>0.2498720913162451</v>
      </c>
      <c r="L12" s="1609">
        <f t="shared" si="7"/>
        <v>0.25197026122955735</v>
      </c>
      <c r="M12" s="1609">
        <f t="shared" si="7"/>
        <v>0.21306900376105653</v>
      </c>
      <c r="N12" s="161">
        <f t="shared" si="7"/>
        <v>0.20175139306365919</v>
      </c>
      <c r="O12" s="161">
        <f t="shared" si="7"/>
        <v>0.19467568000523583</v>
      </c>
      <c r="P12" s="1609">
        <f t="shared" si="7"/>
        <v>0.18653953962080805</v>
      </c>
      <c r="Q12" s="1609">
        <f t="shared" si="7"/>
        <v>0.17842839923638021</v>
      </c>
      <c r="R12" s="1964">
        <f t="shared" si="7"/>
        <v>0.17034225885195275</v>
      </c>
      <c r="S12" s="1609">
        <f t="shared" si="7"/>
        <v>0.14880330518771046</v>
      </c>
      <c r="T12" s="1609">
        <f t="shared" si="7"/>
        <v>0.12746435152346791</v>
      </c>
    </row>
    <row r="13" spans="1:23" ht="9.75" customHeight="1" outlineLevel="1">
      <c r="B13" s="162"/>
      <c r="C13" s="162"/>
      <c r="D13" s="162"/>
      <c r="E13" s="162"/>
      <c r="F13" s="162"/>
      <c r="L13" s="538"/>
      <c r="M13" s="538"/>
      <c r="R13" s="1965"/>
    </row>
    <row r="14" spans="1:23" outlineLevel="1">
      <c r="A14" s="145" t="s">
        <v>100</v>
      </c>
      <c r="B14" s="145">
        <v>41000</v>
      </c>
      <c r="C14" s="163">
        <v>55400</v>
      </c>
      <c r="D14" s="163">
        <v>72500</v>
      </c>
      <c r="E14" s="163">
        <v>92300</v>
      </c>
      <c r="F14" s="163">
        <v>117103</v>
      </c>
      <c r="G14" s="163">
        <v>136403</v>
      </c>
      <c r="H14" s="163">
        <v>163404.31873974524</v>
      </c>
      <c r="I14" s="163">
        <v>186955.49333360666</v>
      </c>
      <c r="J14" s="163">
        <f>'MS Revenue Analysis'!CS8</f>
        <v>207219.73046371629</v>
      </c>
      <c r="K14" s="163">
        <f>'MS Revenue Analysis'!CY8</f>
        <v>227009.61336143222</v>
      </c>
      <c r="L14" s="163">
        <f>'MS Revenue Analysis'!DE8</f>
        <v>243213.02331819822</v>
      </c>
      <c r="M14" s="163">
        <f>'MS Revenue Analysis'!DK8</f>
        <v>260386.18102975981</v>
      </c>
      <c r="N14" s="163">
        <f>'MS Revenue Analysis'!DQ8</f>
        <v>278971.93030104972</v>
      </c>
      <c r="O14" s="163">
        <f>'MS Revenue Analysis'!DW8</f>
        <v>299353.83917652286</v>
      </c>
      <c r="P14" s="1610">
        <f t="shared" ref="P14:T14" si="8">O14*(1+P15)</f>
        <v>320476.48176412907</v>
      </c>
      <c r="Q14" s="1610">
        <f t="shared" si="8"/>
        <v>342288.36343915318</v>
      </c>
      <c r="R14" s="1966">
        <f t="shared" si="8"/>
        <v>364729.05804589845</v>
      </c>
      <c r="S14" s="1610">
        <f t="shared" si="8"/>
        <v>384993.69167921378</v>
      </c>
      <c r="T14" s="1610">
        <f t="shared" si="8"/>
        <v>402534.30739570002</v>
      </c>
      <c r="V14" s="151"/>
      <c r="W14" s="151"/>
    </row>
    <row r="15" spans="1:23" outlineLevel="1">
      <c r="A15" s="145" t="s">
        <v>107</v>
      </c>
      <c r="C15" s="151">
        <f t="shared" ref="C15:J15" si="9">C14/B14-1</f>
        <v>0.35121951219512204</v>
      </c>
      <c r="D15" s="151">
        <f t="shared" si="9"/>
        <v>0.30866425992779778</v>
      </c>
      <c r="E15" s="151">
        <f t="shared" si="9"/>
        <v>0.27310344827586208</v>
      </c>
      <c r="F15" s="151">
        <f t="shared" si="9"/>
        <v>0.26872156013001081</v>
      </c>
      <c r="G15" s="151">
        <f t="shared" si="9"/>
        <v>0.16481217389819225</v>
      </c>
      <c r="H15" s="151">
        <f t="shared" si="9"/>
        <v>0.19795252846158262</v>
      </c>
      <c r="I15" s="151">
        <f t="shared" si="9"/>
        <v>0.1441282260805572</v>
      </c>
      <c r="J15" s="151">
        <f t="shared" si="9"/>
        <v>0.10839070181238153</v>
      </c>
      <c r="K15" s="209">
        <f>K14/J14-1</f>
        <v>9.5501923747464357E-2</v>
      </c>
      <c r="L15" s="1611">
        <f>L14/K14-1</f>
        <v>7.1377637787382264E-2</v>
      </c>
      <c r="M15" s="1611">
        <f>M14/L14-1</f>
        <v>7.0609531830430727E-2</v>
      </c>
      <c r="N15" s="1949">
        <f>N14/M14-1</f>
        <v>7.1377633013349984E-2</v>
      </c>
      <c r="O15" s="1949">
        <f>O14/N14-1</f>
        <v>7.3060787346878264E-2</v>
      </c>
      <c r="P15" s="1948">
        <f>O15-0.0025</f>
        <v>7.0560787346878262E-2</v>
      </c>
      <c r="Q15" s="1948">
        <f>P15-0.0025</f>
        <v>6.806078734687826E-2</v>
      </c>
      <c r="R15" s="1947">
        <f>Q15-0.0025</f>
        <v>6.5560787346878258E-2</v>
      </c>
      <c r="S15" s="1948">
        <f>R15-0.01</f>
        <v>5.5560787346878256E-2</v>
      </c>
      <c r="T15" s="1948">
        <f>S15-0.01</f>
        <v>4.5560787346878254E-2</v>
      </c>
    </row>
    <row r="16" spans="1:23" ht="6" customHeight="1" outlineLevel="1">
      <c r="L16" s="538"/>
      <c r="M16" s="538"/>
      <c r="R16" s="1965"/>
      <c r="W16" s="151"/>
    </row>
    <row r="17" spans="1:26" hidden="1" outlineLevel="3">
      <c r="A17" s="152" t="s">
        <v>626</v>
      </c>
      <c r="B17" s="165"/>
      <c r="C17" s="165">
        <f>SUM($B11:C11)</f>
        <v>1665.155</v>
      </c>
      <c r="D17" s="165">
        <f>SUM($B11:D11)</f>
        <v>2874.627</v>
      </c>
      <c r="E17" s="165">
        <f>SUM($B11:E11)</f>
        <v>4425.7719999999999</v>
      </c>
      <c r="F17" s="165">
        <f>SUM($B11:F11)</f>
        <v>6552.0060000000003</v>
      </c>
      <c r="G17" s="165">
        <f>SUM($B11:G11)</f>
        <v>9420.8140000000003</v>
      </c>
      <c r="H17" s="165">
        <f>SUM($B11:H11)</f>
        <v>13245.356</v>
      </c>
      <c r="I17" s="165">
        <f>SUM($B11:I11)</f>
        <v>18259.12</v>
      </c>
      <c r="J17" s="165">
        <f>SUM($B11:J11)</f>
        <v>24464.718999999997</v>
      </c>
      <c r="K17" s="165">
        <f>SUM($B11:K11)</f>
        <v>32220.923999999999</v>
      </c>
      <c r="L17" s="1612">
        <f>SUM($B11:L11)</f>
        <v>41931.462</v>
      </c>
      <c r="M17" s="1612">
        <f>SUM($B11:M11)</f>
        <v>53711.014657643878</v>
      </c>
      <c r="N17" s="1612">
        <f>SUM($B11:N11)</f>
        <v>67867.108473634144</v>
      </c>
      <c r="O17" s="1612">
        <f>SUM($B11:O11)</f>
        <v>84779.049479470224</v>
      </c>
      <c r="P17" s="1612">
        <f>SUM($B11:P11)</f>
        <v>104845.73617462923</v>
      </c>
      <c r="Q17" s="1612">
        <f>SUM($B11:Q11)</f>
        <v>128492.88965478343</v>
      </c>
      <c r="R17" s="1845">
        <f>SUM($B11:R11)</f>
        <v>156168.1526741659</v>
      </c>
      <c r="S17" s="1612">
        <f>SUM($B11:S11)</f>
        <v>187961.5863027717</v>
      </c>
      <c r="T17" s="1800">
        <f>SUM($B11:T11)</f>
        <v>223807.54933155217</v>
      </c>
    </row>
    <row r="18" spans="1:26" hidden="1" outlineLevel="3">
      <c r="A18" s="166"/>
      <c r="B18" s="167"/>
      <c r="C18" s="168" t="e">
        <f t="shared" ref="C18:M18" si="10">C17/B17-1</f>
        <v>#DIV/0!</v>
      </c>
      <c r="D18" s="168">
        <f t="shared" si="10"/>
        <v>0.72634199218691342</v>
      </c>
      <c r="E18" s="168">
        <f t="shared" si="10"/>
        <v>0.5395987027186484</v>
      </c>
      <c r="F18" s="168">
        <f t="shared" si="10"/>
        <v>0.48042104292765209</v>
      </c>
      <c r="G18" s="168">
        <f t="shared" si="10"/>
        <v>0.43785185788901893</v>
      </c>
      <c r="H18" s="168">
        <f t="shared" si="10"/>
        <v>0.40596725505885156</v>
      </c>
      <c r="I18" s="168">
        <f t="shared" si="10"/>
        <v>0.3785299541967766</v>
      </c>
      <c r="J18" s="168">
        <f t="shared" si="10"/>
        <v>0.33986298353918465</v>
      </c>
      <c r="K18" s="168">
        <f t="shared" si="10"/>
        <v>0.31703634118993973</v>
      </c>
      <c r="L18" s="1613">
        <f t="shared" si="10"/>
        <v>0.30137366637902741</v>
      </c>
      <c r="M18" s="1613">
        <f t="shared" si="10"/>
        <v>0.28092396725026858</v>
      </c>
      <c r="N18" s="168">
        <f t="shared" ref="N18:T18" si="11">N17/M17-1</f>
        <v>0.26356034988766752</v>
      </c>
      <c r="O18" s="168">
        <f t="shared" si="11"/>
        <v>0.24919200753051451</v>
      </c>
      <c r="P18" s="1613">
        <f t="shared" si="11"/>
        <v>0.2366939334465914</v>
      </c>
      <c r="Q18" s="1613">
        <f t="shared" si="11"/>
        <v>0.22554234767132453</v>
      </c>
      <c r="R18" s="1967">
        <f t="shared" si="11"/>
        <v>0.21538361456214794</v>
      </c>
      <c r="S18" s="1613">
        <f t="shared" si="11"/>
        <v>0.20358461750482904</v>
      </c>
      <c r="T18" s="1818">
        <f t="shared" si="11"/>
        <v>0.19070898332938735</v>
      </c>
    </row>
    <row r="19" spans="1:26" ht="13.5" outlineLevel="1" collapsed="1" thickBot="1">
      <c r="A19" s="154" t="s">
        <v>623</v>
      </c>
      <c r="B19" s="155"/>
      <c r="C19" s="155">
        <f>C11/C14*1000000</f>
        <v>17772.093862815887</v>
      </c>
      <c r="D19" s="155">
        <f t="shared" ref="D19:J19" si="12">D11/D14*1000000</f>
        <v>16682.372413793106</v>
      </c>
      <c r="E19" s="155">
        <f t="shared" si="12"/>
        <v>16805.471289274108</v>
      </c>
      <c r="F19" s="155">
        <f t="shared" si="12"/>
        <v>18156.955842292686</v>
      </c>
      <c r="G19" s="155">
        <f t="shared" si="12"/>
        <v>21031.854138105467</v>
      </c>
      <c r="H19" s="155">
        <f t="shared" si="12"/>
        <v>23405.391176296664</v>
      </c>
      <c r="I19" s="155">
        <f t="shared" si="12"/>
        <v>26817.954961362659</v>
      </c>
      <c r="J19" s="155">
        <f t="shared" si="12"/>
        <v>29946.950447783671</v>
      </c>
      <c r="K19" s="155">
        <f>K11/K14*1000000</f>
        <v>34166.857011694025</v>
      </c>
      <c r="L19" s="155">
        <f>L11/L14*1000000</f>
        <v>39926.060979455026</v>
      </c>
      <c r="M19" s="155">
        <f>M11/M14*1000000</f>
        <v>45238.778075928625</v>
      </c>
      <c r="N19" s="155">
        <f>N11/N14*1000000</f>
        <v>50743.792756188253</v>
      </c>
      <c r="O19" s="155">
        <f>O11/O14*1000000</f>
        <v>56494.819148998635</v>
      </c>
      <c r="P19" s="1614">
        <f t="shared" ref="P19:T19" si="13">O19*(1+P20)</f>
        <v>62615.161601555847</v>
      </c>
      <c r="Q19" s="1614">
        <f t="shared" si="13"/>
        <v>69085.472969512251</v>
      </c>
      <c r="R19" s="1968">
        <f t="shared" si="13"/>
        <v>75878.963874328198</v>
      </c>
      <c r="S19" s="1614">
        <f t="shared" si="13"/>
        <v>82581.700208991679</v>
      </c>
      <c r="T19" s="1969">
        <f t="shared" si="13"/>
        <v>89050.702934354136</v>
      </c>
      <c r="V19" s="151"/>
      <c r="W19" s="151"/>
    </row>
    <row r="20" spans="1:26" outlineLevel="1">
      <c r="A20" s="145" t="s">
        <v>107</v>
      </c>
      <c r="C20" s="151" t="e">
        <f t="shared" ref="C20:O20" si="14">C19/B19-1</f>
        <v>#DIV/0!</v>
      </c>
      <c r="D20" s="151">
        <f t="shared" si="14"/>
        <v>-6.1316435611606712E-2</v>
      </c>
      <c r="E20" s="151">
        <f t="shared" si="14"/>
        <v>7.3789789861795629E-3</v>
      </c>
      <c r="F20" s="151">
        <f t="shared" si="14"/>
        <v>8.0419318789419769E-2</v>
      </c>
      <c r="G20" s="151">
        <f t="shared" si="14"/>
        <v>0.15833591934592528</v>
      </c>
      <c r="H20" s="151">
        <f t="shared" si="14"/>
        <v>0.11285438851968954</v>
      </c>
      <c r="I20" s="151">
        <f t="shared" si="14"/>
        <v>0.14580246744698711</v>
      </c>
      <c r="J20" s="151">
        <f t="shared" si="14"/>
        <v>0.11667539493332124</v>
      </c>
      <c r="K20" s="151">
        <f t="shared" si="14"/>
        <v>0.14091273070586263</v>
      </c>
      <c r="L20" s="151">
        <f t="shared" si="14"/>
        <v>0.16856112828258807</v>
      </c>
      <c r="M20" s="151">
        <f t="shared" si="14"/>
        <v>0.13306389275935326</v>
      </c>
      <c r="N20" s="151">
        <f t="shared" si="14"/>
        <v>0.12168796139939997</v>
      </c>
      <c r="O20" s="151">
        <f t="shared" si="14"/>
        <v>0.11333457907734013</v>
      </c>
      <c r="P20" s="169">
        <f>O20-0.005</f>
        <v>0.10833457907734012</v>
      </c>
      <c r="Q20" s="169">
        <f>P20-0.005</f>
        <v>0.10333457907734012</v>
      </c>
      <c r="R20" s="1915">
        <f>Q20-0.005</f>
        <v>9.8334579077340112E-2</v>
      </c>
      <c r="S20" s="169">
        <f>R20-0.01</f>
        <v>8.8334579077340117E-2</v>
      </c>
      <c r="T20" s="169">
        <f>S20-0.01</f>
        <v>7.8334579077340122E-2</v>
      </c>
    </row>
    <row r="21" spans="1:26" ht="7.5" customHeight="1" outlineLevel="1">
      <c r="L21" s="1615"/>
      <c r="M21" s="538"/>
      <c r="R21" s="1965"/>
    </row>
    <row r="22" spans="1:26" outlineLevel="1">
      <c r="A22" s="158" t="s">
        <v>169</v>
      </c>
      <c r="B22" s="159">
        <v>68.119</v>
      </c>
      <c r="C22" s="159">
        <v>92.194999999999993</v>
      </c>
      <c r="D22" s="159">
        <v>96.111000000000004</v>
      </c>
      <c r="E22" s="159">
        <v>105.994</v>
      </c>
      <c r="F22" s="159">
        <v>140.30500000000001</v>
      </c>
      <c r="G22" s="233">
        <v>181.387</v>
      </c>
      <c r="H22" s="233">
        <v>246.46100000000001</v>
      </c>
      <c r="I22" s="233">
        <v>359.82200000000006</v>
      </c>
      <c r="J22" s="233">
        <f>Model!CK16</f>
        <v>461.61700000000002</v>
      </c>
      <c r="K22" s="233">
        <f>Model!CQ16</f>
        <v>635.779</v>
      </c>
      <c r="L22" s="233">
        <f>Model!CW16</f>
        <v>769.47399999999993</v>
      </c>
      <c r="M22" s="233">
        <f>Model!DC16</f>
        <v>930.08208170396699</v>
      </c>
      <c r="N22" s="233">
        <f>Model!DI16</f>
        <v>1106.7601339305277</v>
      </c>
      <c r="O22" s="233">
        <f>Model!DO16</f>
        <v>1311.269957298035</v>
      </c>
      <c r="P22" s="1624">
        <f t="shared" ref="P22:S22" si="15">P11*P25</f>
        <v>1545.8403081034278</v>
      </c>
      <c r="Q22" s="1624">
        <f t="shared" si="15"/>
        <v>1809.838543013318</v>
      </c>
      <c r="R22" s="1970">
        <f t="shared" si="15"/>
        <v>2104.2928970778421</v>
      </c>
      <c r="S22" s="1624">
        <f t="shared" si="15"/>
        <v>2401.5219184317448</v>
      </c>
      <c r="T22" s="1624">
        <f t="shared" ref="T22" si="16">T11*T25</f>
        <v>2689.707370919652</v>
      </c>
    </row>
    <row r="23" spans="1:26" outlineLevel="1">
      <c r="A23" s="158" t="s">
        <v>107</v>
      </c>
      <c r="B23" s="159"/>
      <c r="C23" s="161">
        <f t="shared" ref="C23:M23" si="17">C22/B22-1</f>
        <v>0.35344030299916307</v>
      </c>
      <c r="D23" s="161">
        <f t="shared" si="17"/>
        <v>4.2475188459244029E-2</v>
      </c>
      <c r="E23" s="161">
        <f t="shared" si="17"/>
        <v>0.1028290206115845</v>
      </c>
      <c r="F23" s="161">
        <f t="shared" si="17"/>
        <v>0.32370700228314808</v>
      </c>
      <c r="G23" s="161">
        <f t="shared" si="17"/>
        <v>0.29280496062150307</v>
      </c>
      <c r="H23" s="161">
        <f t="shared" si="17"/>
        <v>0.35875779410872899</v>
      </c>
      <c r="I23" s="161">
        <f t="shared" si="17"/>
        <v>0.45995512474590328</v>
      </c>
      <c r="J23" s="161">
        <f t="shared" si="17"/>
        <v>0.2829037690858256</v>
      </c>
      <c r="K23" s="161">
        <f t="shared" si="17"/>
        <v>0.37728679836314516</v>
      </c>
      <c r="L23" s="1616">
        <f t="shared" si="17"/>
        <v>0.21028533499848212</v>
      </c>
      <c r="M23" s="1609">
        <f t="shared" si="17"/>
        <v>0.20872450752587746</v>
      </c>
      <c r="N23" s="161">
        <f t="shared" ref="N23:T23" si="18">N22/M22-1</f>
        <v>0.1899596344258947</v>
      </c>
      <c r="O23" s="161">
        <f t="shared" si="18"/>
        <v>0.18478242674066592</v>
      </c>
      <c r="P23" s="1609">
        <f t="shared" si="18"/>
        <v>0.17888791663368964</v>
      </c>
      <c r="Q23" s="1609">
        <f t="shared" si="18"/>
        <v>0.1707797587667943</v>
      </c>
      <c r="R23" s="1964">
        <f t="shared" si="18"/>
        <v>0.16269647654550878</v>
      </c>
      <c r="S23" s="1609">
        <f t="shared" si="18"/>
        <v>0.14124888306502115</v>
      </c>
      <c r="T23" s="1609">
        <f t="shared" si="18"/>
        <v>0.12000117520313935</v>
      </c>
    </row>
    <row r="24" spans="1:26" ht="4.5" customHeight="1" outlineLevel="1" thickBot="1">
      <c r="L24" s="1615"/>
      <c r="M24" s="538"/>
      <c r="R24" s="1965"/>
    </row>
    <row r="25" spans="1:26" hidden="1" outlineLevel="2">
      <c r="A25" s="538" t="s">
        <v>1141</v>
      </c>
      <c r="B25" s="171">
        <f>B22/B27</f>
        <v>9.0983037264591962E-2</v>
      </c>
      <c r="C25" s="171">
        <f t="shared" ref="C25:H25" si="19">C22/C27</f>
        <v>8.5621892903677568E-2</v>
      </c>
      <c r="D25" s="171">
        <f t="shared" si="19"/>
        <v>7.36153886807656E-2</v>
      </c>
      <c r="E25" s="171">
        <f t="shared" si="19"/>
        <v>6.3962045428898842E-2</v>
      </c>
      <c r="F25" s="171">
        <f t="shared" si="19"/>
        <v>6.190275128731515E-2</v>
      </c>
      <c r="G25" s="171">
        <f t="shared" si="19"/>
        <v>5.9467345530367727E-2</v>
      </c>
      <c r="H25" s="171">
        <f t="shared" si="19"/>
        <v>6.0540608788546696E-2</v>
      </c>
      <c r="I25" s="171">
        <f>I22/I11</f>
        <v>7.1766840242181329E-2</v>
      </c>
      <c r="J25" s="171">
        <f t="shared" ref="J25:N25" si="20">J22/J11</f>
        <v>7.4387178417425939E-2</v>
      </c>
      <c r="K25" s="171">
        <f t="shared" si="20"/>
        <v>8.1970370819234403E-2</v>
      </c>
      <c r="L25" s="171">
        <f t="shared" si="20"/>
        <v>7.9241129585199091E-2</v>
      </c>
      <c r="M25" s="171">
        <f t="shared" si="20"/>
        <v>7.8957334691349801E-2</v>
      </c>
      <c r="N25" s="171">
        <f t="shared" si="20"/>
        <v>7.8182593893265068E-2</v>
      </c>
      <c r="O25" s="171">
        <f t="shared" ref="O25" si="21">O22/O11</f>
        <v>7.7535154412230606E-2</v>
      </c>
      <c r="P25" s="1617">
        <f t="shared" ref="P25:T25" si="22">O25-0.05%</f>
        <v>7.7035154412230605E-2</v>
      </c>
      <c r="Q25" s="1617">
        <f t="shared" si="22"/>
        <v>7.6535154412230605E-2</v>
      </c>
      <c r="R25" s="1971">
        <f t="shared" si="22"/>
        <v>7.6035154412230604E-2</v>
      </c>
      <c r="S25" s="1617">
        <f t="shared" si="22"/>
        <v>7.5535154412230604E-2</v>
      </c>
      <c r="T25" s="1617">
        <f t="shared" si="22"/>
        <v>7.5035154412230604E-2</v>
      </c>
    </row>
    <row r="26" spans="1:26" ht="13.5" hidden="1" outlineLevel="2" thickBot="1">
      <c r="L26" s="1615"/>
      <c r="M26" s="538"/>
      <c r="R26" s="1965"/>
    </row>
    <row r="27" spans="1:26" outlineLevel="1" collapsed="1">
      <c r="A27" s="173" t="s">
        <v>91</v>
      </c>
      <c r="B27" s="174">
        <f t="shared" ref="B27:J27" si="23">B11+B22</f>
        <v>748.69999999999993</v>
      </c>
      <c r="C27" s="174">
        <f t="shared" si="23"/>
        <v>1076.769</v>
      </c>
      <c r="D27" s="174">
        <f t="shared" si="23"/>
        <v>1305.5830000000001</v>
      </c>
      <c r="E27" s="174">
        <f t="shared" si="23"/>
        <v>1657.1389999999999</v>
      </c>
      <c r="F27" s="174">
        <f t="shared" si="23"/>
        <v>2266.5390000000002</v>
      </c>
      <c r="G27" s="174">
        <f t="shared" si="23"/>
        <v>3050.1950000000002</v>
      </c>
      <c r="H27" s="174">
        <f t="shared" si="23"/>
        <v>4071.0030000000006</v>
      </c>
      <c r="I27" s="174">
        <f t="shared" si="23"/>
        <v>5373.5860000000002</v>
      </c>
      <c r="J27" s="174">
        <f t="shared" si="23"/>
        <v>6667.2160000000003</v>
      </c>
      <c r="K27" s="174">
        <f>K11+K22</f>
        <v>8391.9840000000004</v>
      </c>
      <c r="L27" s="174">
        <f>L11+L22</f>
        <v>10480.011999999999</v>
      </c>
      <c r="M27" s="174">
        <f>M11+M22</f>
        <v>12709.634739347848</v>
      </c>
      <c r="N27" s="174">
        <f t="shared" ref="N27:S27" si="24">N11+N22</f>
        <v>15262.853949920789</v>
      </c>
      <c r="O27" s="174">
        <f t="shared" ref="O27" si="25">O11+O22</f>
        <v>18223.210963134115</v>
      </c>
      <c r="P27" s="174">
        <f t="shared" si="24"/>
        <v>21612.527003262436</v>
      </c>
      <c r="Q27" s="174">
        <f t="shared" si="24"/>
        <v>25456.992023167517</v>
      </c>
      <c r="R27" s="1846">
        <f t="shared" si="24"/>
        <v>29779.555916460322</v>
      </c>
      <c r="S27" s="174">
        <f t="shared" si="24"/>
        <v>34194.955547037556</v>
      </c>
      <c r="T27" s="175">
        <f t="shared" ref="T27" si="26">T11+T22</f>
        <v>38535.670399700117</v>
      </c>
      <c r="V27" s="171"/>
      <c r="W27" s="1813"/>
      <c r="X27" s="1813"/>
      <c r="Z27" s="176"/>
    </row>
    <row r="28" spans="1:26" ht="13.5" outlineLevel="1" thickBot="1">
      <c r="A28" s="177"/>
      <c r="B28" s="178"/>
      <c r="C28" s="179">
        <f t="shared" ref="C28:M28" si="27">C27/B27-1</f>
        <v>0.43818485374649407</v>
      </c>
      <c r="D28" s="179">
        <f t="shared" si="27"/>
        <v>0.21250054561377607</v>
      </c>
      <c r="E28" s="179">
        <f t="shared" si="27"/>
        <v>0.26927127574424592</v>
      </c>
      <c r="F28" s="179">
        <f t="shared" si="27"/>
        <v>0.36774223526209959</v>
      </c>
      <c r="G28" s="179">
        <f t="shared" si="27"/>
        <v>0.34575006209908588</v>
      </c>
      <c r="H28" s="179">
        <f t="shared" si="27"/>
        <v>0.33466975062250137</v>
      </c>
      <c r="I28" s="179">
        <f t="shared" si="27"/>
        <v>0.31996611154548393</v>
      </c>
      <c r="J28" s="179">
        <f t="shared" si="27"/>
        <v>0.24073867990574627</v>
      </c>
      <c r="K28" s="179">
        <f t="shared" si="27"/>
        <v>0.25869388362398937</v>
      </c>
      <c r="L28" s="1954">
        <f t="shared" si="27"/>
        <v>0.24881219983260205</v>
      </c>
      <c r="M28" s="1954">
        <f t="shared" si="27"/>
        <v>0.2127500177812629</v>
      </c>
      <c r="N28" s="108">
        <f t="shared" ref="N28:T28" si="28">N27/M27-1</f>
        <v>0.20088848050592767</v>
      </c>
      <c r="O28" s="108">
        <f t="shared" si="28"/>
        <v>0.19395828741640364</v>
      </c>
      <c r="P28" s="108">
        <f t="shared" si="28"/>
        <v>0.18598895918973701</v>
      </c>
      <c r="Q28" s="108">
        <f t="shared" si="28"/>
        <v>0.17788132870000606</v>
      </c>
      <c r="R28" s="2015">
        <f t="shared" si="28"/>
        <v>0.16979868985931224</v>
      </c>
      <c r="S28" s="108">
        <f t="shared" si="28"/>
        <v>0.14826949209597418</v>
      </c>
      <c r="T28" s="2016">
        <f t="shared" si="28"/>
        <v>0.12694021042640635</v>
      </c>
      <c r="W28" s="149"/>
      <c r="X28" s="149"/>
    </row>
    <row r="29" spans="1:26" ht="3.75" customHeight="1" outlineLevel="1">
      <c r="A29" s="181"/>
      <c r="B29" s="153"/>
      <c r="C29" s="153"/>
      <c r="D29" s="153"/>
      <c r="E29" s="153"/>
      <c r="F29" s="153"/>
      <c r="G29" s="153"/>
      <c r="H29" s="153"/>
      <c r="I29" s="153"/>
      <c r="J29" s="153"/>
      <c r="K29" s="153"/>
      <c r="L29" s="1618"/>
      <c r="M29" s="538"/>
      <c r="R29" s="1965"/>
    </row>
    <row r="30" spans="1:26" ht="13.5" outlineLevel="1" thickBot="1">
      <c r="A30" s="226" t="s">
        <v>108</v>
      </c>
      <c r="B30" s="170"/>
      <c r="C30" s="170"/>
      <c r="D30" s="170"/>
      <c r="E30" s="170"/>
      <c r="F30" s="170"/>
      <c r="G30" s="170"/>
      <c r="H30" s="170"/>
      <c r="I30" s="170"/>
      <c r="J30" s="170"/>
      <c r="K30" s="170"/>
      <c r="L30" s="1615"/>
      <c r="M30" s="1615"/>
      <c r="R30" s="1965"/>
    </row>
    <row r="31" spans="1:26" outlineLevel="1">
      <c r="A31" s="223" t="s">
        <v>625</v>
      </c>
      <c r="B31" s="181"/>
      <c r="C31" s="1791">
        <f>C36-C33</f>
        <v>139.88849999999999</v>
      </c>
      <c r="D31" s="1791">
        <f t="shared" ref="D31:J31" si="29">D36-D33</f>
        <v>202.6609</v>
      </c>
      <c r="E31" s="1791">
        <f t="shared" si="29"/>
        <v>226.99460000000005</v>
      </c>
      <c r="F31" s="1791">
        <f t="shared" si="29"/>
        <v>247.46150000000009</v>
      </c>
      <c r="G31" s="1801">
        <f t="shared" si="29"/>
        <v>338.67230000000006</v>
      </c>
      <c r="H31" s="1801">
        <f t="shared" si="29"/>
        <v>339.0949</v>
      </c>
      <c r="I31" s="1801">
        <f t="shared" si="29"/>
        <v>538.12280000000021</v>
      </c>
      <c r="J31" s="1801">
        <f t="shared" si="29"/>
        <v>783.84230000000025</v>
      </c>
      <c r="K31" s="1801">
        <f>K36-K33</f>
        <v>1046.2940999999992</v>
      </c>
      <c r="L31" s="1801">
        <f>L36-L33</f>
        <v>1411.9396399999996</v>
      </c>
      <c r="M31" s="1801">
        <f>M36-M33</f>
        <v>2105.2515784366133</v>
      </c>
      <c r="N31" s="1801">
        <f>N36-N33</f>
        <v>2912.8228715091286</v>
      </c>
      <c r="O31" s="1801">
        <f>O36-O33</f>
        <v>3928.0566264812169</v>
      </c>
      <c r="P31" s="1791">
        <f t="shared" ref="P31:S31" si="30">P11*P32</f>
        <v>5102.2616084829851</v>
      </c>
      <c r="Q31" s="1791">
        <f t="shared" si="30"/>
        <v>6509.2402028530823</v>
      </c>
      <c r="R31" s="1847">
        <f t="shared" si="30"/>
        <v>8226.8946688434335</v>
      </c>
      <c r="S31" s="1791">
        <f t="shared" si="30"/>
        <v>10086.952459570608</v>
      </c>
      <c r="T31" s="1793">
        <f t="shared" ref="T31" si="31">T11*T32</f>
        <v>11731.13894396563</v>
      </c>
    </row>
    <row r="32" spans="1:26" outlineLevel="1">
      <c r="A32" s="1796" t="s">
        <v>367</v>
      </c>
      <c r="B32" s="1797"/>
      <c r="C32" s="1798">
        <f t="shared" ref="C32:J32" si="32">C31/C11</f>
        <v>0.14208022962215128</v>
      </c>
      <c r="D32" s="1798">
        <f t="shared" si="32"/>
        <v>0.16756146483754894</v>
      </c>
      <c r="E32" s="1798">
        <f t="shared" si="32"/>
        <v>0.14634002623868178</v>
      </c>
      <c r="F32" s="1798">
        <f t="shared" si="32"/>
        <v>0.11638488520078225</v>
      </c>
      <c r="G32" s="1798">
        <f t="shared" si="32"/>
        <v>0.11805331691768849</v>
      </c>
      <c r="H32" s="1798">
        <f t="shared" si="32"/>
        <v>8.8662877803407564E-2</v>
      </c>
      <c r="I32" s="1798">
        <f t="shared" si="32"/>
        <v>0.10732910444129405</v>
      </c>
      <c r="J32" s="1798">
        <f t="shared" si="32"/>
        <v>0.12631210943536639</v>
      </c>
      <c r="K32" s="1798">
        <f>K31/K11</f>
        <v>0.13489768514370096</v>
      </c>
      <c r="L32" s="1798">
        <f>L31/L11</f>
        <v>0.145402823200939</v>
      </c>
      <c r="M32" s="1798">
        <f>M31/M11</f>
        <v>0.17872084277075603</v>
      </c>
      <c r="N32" s="1798">
        <f>N31/N11</f>
        <v>0.20576459222238969</v>
      </c>
      <c r="O32" s="1798">
        <f>O31/O11</f>
        <v>0.23226527488037582</v>
      </c>
      <c r="P32" s="1814">
        <f>O32+2.2%</f>
        <v>0.25426527488037581</v>
      </c>
      <c r="Q32" s="1814">
        <f>P32+2.1%</f>
        <v>0.27526527488037583</v>
      </c>
      <c r="R32" s="2017">
        <f>Q32+0.022</f>
        <v>0.29726527488037585</v>
      </c>
      <c r="S32" s="1814">
        <f>R32+0.02</f>
        <v>0.31726527488037587</v>
      </c>
      <c r="T32" s="1815">
        <f>S32+0.01</f>
        <v>0.32726527488037588</v>
      </c>
      <c r="V32" s="171"/>
      <c r="W32" s="1598"/>
    </row>
    <row r="33" spans="1:26" outlineLevel="1">
      <c r="A33" s="225" t="s">
        <v>109</v>
      </c>
      <c r="B33" s="182">
        <f>B34*B22</f>
        <v>6.8119000000000005</v>
      </c>
      <c r="C33" s="182">
        <f>C34*C22</f>
        <v>9.2195</v>
      </c>
      <c r="D33" s="182">
        <f t="shared" ref="D33:J33" si="33">D34*D22</f>
        <v>9.6111000000000004</v>
      </c>
      <c r="E33" s="182">
        <f t="shared" si="33"/>
        <v>10.599400000000001</v>
      </c>
      <c r="F33" s="182">
        <f t="shared" si="33"/>
        <v>14.030500000000002</v>
      </c>
      <c r="G33" s="1802">
        <f t="shared" si="33"/>
        <v>18.1387</v>
      </c>
      <c r="H33" s="1802">
        <f t="shared" si="33"/>
        <v>24.646100000000004</v>
      </c>
      <c r="I33" s="1802">
        <f t="shared" si="33"/>
        <v>35.982200000000006</v>
      </c>
      <c r="J33" s="1802">
        <f t="shared" si="33"/>
        <v>46.161700000000003</v>
      </c>
      <c r="K33" s="1802">
        <f>K34*K22</f>
        <v>63.5779</v>
      </c>
      <c r="L33" s="1802">
        <f>L34*L22</f>
        <v>107.72636</v>
      </c>
      <c r="M33" s="1802">
        <f>M34*M22</f>
        <v>130.21149143855538</v>
      </c>
      <c r="N33" s="182">
        <f t="shared" ref="N33:S33" si="34">N34*N22</f>
        <v>154.94641875027389</v>
      </c>
      <c r="O33" s="182">
        <f t="shared" ref="O33" si="35">O34*O22</f>
        <v>183.57779402172491</v>
      </c>
      <c r="P33" s="182">
        <f t="shared" si="34"/>
        <v>216.4176431344799</v>
      </c>
      <c r="Q33" s="182">
        <f t="shared" si="34"/>
        <v>253.37739602186454</v>
      </c>
      <c r="R33" s="1848">
        <f t="shared" si="34"/>
        <v>294.6010055908979</v>
      </c>
      <c r="S33" s="182">
        <f t="shared" si="34"/>
        <v>336.21306858044431</v>
      </c>
      <c r="T33" s="1795">
        <f t="shared" ref="T33" si="36">T34*T22</f>
        <v>376.55903192875132</v>
      </c>
    </row>
    <row r="34" spans="1:26" outlineLevel="1">
      <c r="A34" s="1796" t="s">
        <v>110</v>
      </c>
      <c r="B34" s="1798">
        <v>0.1</v>
      </c>
      <c r="C34" s="1798">
        <v>0.1</v>
      </c>
      <c r="D34" s="1798">
        <v>0.1</v>
      </c>
      <c r="E34" s="1798">
        <v>0.1</v>
      </c>
      <c r="F34" s="1798">
        <v>0.1</v>
      </c>
      <c r="G34" s="1798">
        <v>0.1</v>
      </c>
      <c r="H34" s="1798">
        <v>0.1</v>
      </c>
      <c r="I34" s="1798">
        <v>0.1</v>
      </c>
      <c r="J34" s="1798">
        <v>0.1</v>
      </c>
      <c r="K34" s="1798">
        <v>0.1</v>
      </c>
      <c r="L34" s="1798">
        <v>0.14000000000000001</v>
      </c>
      <c r="M34" s="1798">
        <v>0.14000000000000001</v>
      </c>
      <c r="N34" s="1798">
        <f t="shared" ref="N34:T34" si="37">M34</f>
        <v>0.14000000000000001</v>
      </c>
      <c r="O34" s="1798">
        <f t="shared" si="37"/>
        <v>0.14000000000000001</v>
      </c>
      <c r="P34" s="184">
        <f t="shared" si="37"/>
        <v>0.14000000000000001</v>
      </c>
      <c r="Q34" s="184">
        <f t="shared" si="37"/>
        <v>0.14000000000000001</v>
      </c>
      <c r="R34" s="1849">
        <f t="shared" si="37"/>
        <v>0.14000000000000001</v>
      </c>
      <c r="S34" s="184">
        <f t="shared" si="37"/>
        <v>0.14000000000000001</v>
      </c>
      <c r="T34" s="1794">
        <f t="shared" si="37"/>
        <v>0.14000000000000001</v>
      </c>
    </row>
    <row r="35" spans="1:26" ht="5.25" customHeight="1" outlineLevel="1">
      <c r="A35" s="166"/>
      <c r="B35" s="170"/>
      <c r="C35" s="170"/>
      <c r="D35" s="170"/>
      <c r="E35" s="170"/>
      <c r="F35" s="170"/>
      <c r="G35" s="170"/>
      <c r="H35" s="170"/>
      <c r="I35" s="170"/>
      <c r="J35" s="170"/>
      <c r="K35" s="170"/>
      <c r="L35" s="170"/>
      <c r="M35" s="170"/>
      <c r="N35" s="170"/>
      <c r="O35" s="170"/>
      <c r="P35" s="1615"/>
      <c r="Q35" s="1615"/>
      <c r="R35" s="1965"/>
      <c r="S35" s="1615"/>
      <c r="T35" s="1660"/>
    </row>
    <row r="36" spans="1:26" outlineLevel="1">
      <c r="A36" s="225" t="s">
        <v>111</v>
      </c>
      <c r="B36" s="182">
        <v>80.316000000000031</v>
      </c>
      <c r="C36" s="182">
        <v>149.108</v>
      </c>
      <c r="D36" s="182">
        <v>212.27199999999999</v>
      </c>
      <c r="E36" s="182">
        <v>237.59400000000005</v>
      </c>
      <c r="F36" s="182">
        <v>261.49200000000008</v>
      </c>
      <c r="G36" s="1802">
        <v>356.81100000000004</v>
      </c>
      <c r="H36" s="1802">
        <v>363.74099999999999</v>
      </c>
      <c r="I36" s="1802">
        <v>574.10500000000025</v>
      </c>
      <c r="J36" s="1802">
        <f>Model!CK64</f>
        <v>830.00400000000025</v>
      </c>
      <c r="K36" s="1802">
        <f>Model!CQ64</f>
        <v>1109.8719999999992</v>
      </c>
      <c r="L36" s="1802">
        <f>Model!CW64</f>
        <v>1519.6659999999997</v>
      </c>
      <c r="M36" s="1802">
        <f>Model!DC64</f>
        <v>2235.4630698751685</v>
      </c>
      <c r="N36" s="1802">
        <f>Model!DI64</f>
        <v>3067.7692902594026</v>
      </c>
      <c r="O36" s="1802">
        <f>Model!DO64</f>
        <v>4111.6344205029418</v>
      </c>
      <c r="P36" s="182">
        <f t="shared" ref="P36:S36" si="38">P31+P33</f>
        <v>5318.6792516174646</v>
      </c>
      <c r="Q36" s="182">
        <f t="shared" si="38"/>
        <v>6762.6175988749465</v>
      </c>
      <c r="R36" s="1848">
        <f t="shared" si="38"/>
        <v>8521.4956744343308</v>
      </c>
      <c r="S36" s="182">
        <f t="shared" si="38"/>
        <v>10423.165528151052</v>
      </c>
      <c r="T36" s="1795">
        <f t="shared" ref="T36" si="39">T31+T33</f>
        <v>12107.697975894382</v>
      </c>
    </row>
    <row r="37" spans="1:26" outlineLevel="1">
      <c r="A37" s="166" t="s">
        <v>112</v>
      </c>
      <c r="B37" s="170"/>
      <c r="C37" s="1669">
        <f t="shared" ref="C37:J37" si="40">C36/C27</f>
        <v>0.13847724070808132</v>
      </c>
      <c r="D37" s="1669">
        <f t="shared" si="40"/>
        <v>0.16258790134369089</v>
      </c>
      <c r="E37" s="1669">
        <f t="shared" si="40"/>
        <v>0.14337602337522687</v>
      </c>
      <c r="F37" s="150">
        <f t="shared" si="40"/>
        <v>0.11537061572732701</v>
      </c>
      <c r="G37" s="150">
        <f t="shared" si="40"/>
        <v>0.11697973408257506</v>
      </c>
      <c r="H37" s="150">
        <f t="shared" si="40"/>
        <v>8.9349234083099402E-2</v>
      </c>
      <c r="I37" s="150">
        <f t="shared" si="40"/>
        <v>0.10683833849500134</v>
      </c>
      <c r="J37" s="150">
        <f t="shared" si="40"/>
        <v>0.12449034199581957</v>
      </c>
      <c r="K37" s="150">
        <f>K36/K27</f>
        <v>0.13225382698537069</v>
      </c>
      <c r="L37" s="150">
        <f>L36/L27</f>
        <v>0.14500613167236831</v>
      </c>
      <c r="M37" s="150">
        <f>M36/M27</f>
        <v>0.17588727888098801</v>
      </c>
      <c r="N37" s="150">
        <f t="shared" ref="N37:S37" si="41">N36/N27</f>
        <v>0.20099578364079962</v>
      </c>
      <c r="O37" s="150">
        <f t="shared" ref="O37" si="42">O36/O27</f>
        <v>0.22562623177775049</v>
      </c>
      <c r="P37" s="110">
        <f t="shared" si="41"/>
        <v>0.24609242828543854</v>
      </c>
      <c r="Q37" s="110">
        <f t="shared" si="41"/>
        <v>0.26564872993323502</v>
      </c>
      <c r="R37" s="1972">
        <f t="shared" si="41"/>
        <v>0.28615254365576914</v>
      </c>
      <c r="S37" s="110">
        <f t="shared" si="41"/>
        <v>0.30481588179909336</v>
      </c>
      <c r="T37" s="1973">
        <f t="shared" ref="T37" si="43">T36/T27</f>
        <v>0.31419455923072775</v>
      </c>
    </row>
    <row r="38" spans="1:26" ht="5.25" customHeight="1" outlineLevel="1">
      <c r="A38" s="166"/>
      <c r="B38" s="170"/>
      <c r="C38" s="170"/>
      <c r="D38" s="170"/>
      <c r="E38" s="170"/>
      <c r="F38" s="170"/>
      <c r="G38" s="170"/>
      <c r="H38" s="170"/>
      <c r="I38" s="170"/>
      <c r="J38" s="170"/>
      <c r="K38" s="170"/>
      <c r="L38" s="170"/>
      <c r="M38" s="170"/>
      <c r="N38" s="170"/>
      <c r="O38" s="170"/>
      <c r="P38" s="1615"/>
      <c r="Q38" s="1615"/>
      <c r="R38" s="1965"/>
      <c r="S38" s="1615"/>
      <c r="T38" s="1660"/>
    </row>
    <row r="39" spans="1:26" outlineLevel="1">
      <c r="A39" s="225" t="s">
        <v>84</v>
      </c>
      <c r="B39" s="182">
        <v>53.949000000000019</v>
      </c>
      <c r="C39" s="182">
        <v>92.239666741991172</v>
      </c>
      <c r="D39" s="182">
        <v>139.17765999999997</v>
      </c>
      <c r="E39" s="182">
        <v>166.10600000000002</v>
      </c>
      <c r="F39" s="182">
        <v>193.60300000000007</v>
      </c>
      <c r="G39" s="1802">
        <v>242.55300000000003</v>
      </c>
      <c r="H39" s="1802">
        <v>221.85299999999998</v>
      </c>
      <c r="I39" s="1802">
        <v>341.58500000000021</v>
      </c>
      <c r="J39" s="1802">
        <f>Model!CK84</f>
        <v>506.78300000000024</v>
      </c>
      <c r="K39" s="1802">
        <f>Model!CQ84</f>
        <v>705.22399999999914</v>
      </c>
      <c r="L39" s="1802">
        <f>Model!CW84</f>
        <v>991.33699999999953</v>
      </c>
      <c r="M39" s="1802">
        <f>Model!DC84</f>
        <v>1729.20005128708</v>
      </c>
      <c r="N39" s="1802">
        <f>Model!DI84</f>
        <v>2415.9672128318975</v>
      </c>
      <c r="O39" s="1802">
        <f>Model!DO84</f>
        <v>3239.2029068773509</v>
      </c>
      <c r="P39" s="182">
        <f>P36*0.79</f>
        <v>4201.7566087777968</v>
      </c>
      <c r="Q39" s="182">
        <f>Q36*0.79</f>
        <v>5342.4679031112082</v>
      </c>
      <c r="R39" s="1848">
        <f>R36*0.79</f>
        <v>6731.9815828031215</v>
      </c>
      <c r="S39" s="182">
        <f>S36*0.79</f>
        <v>8234.3007672393323</v>
      </c>
      <c r="T39" s="1795">
        <f>T36*0.79</f>
        <v>9565.081400956562</v>
      </c>
    </row>
    <row r="40" spans="1:26" outlineLevel="1">
      <c r="A40" s="225"/>
      <c r="B40" s="182"/>
      <c r="C40" s="182"/>
      <c r="D40" s="182"/>
      <c r="E40" s="182"/>
      <c r="F40" s="182"/>
      <c r="G40" s="1802"/>
      <c r="H40" s="1802"/>
      <c r="I40" s="1802"/>
      <c r="J40" s="1802"/>
      <c r="K40" s="1802"/>
      <c r="L40" s="1802"/>
      <c r="M40" s="1802"/>
      <c r="N40" s="182"/>
      <c r="O40" s="182"/>
      <c r="P40" s="182"/>
      <c r="Q40" s="182"/>
      <c r="R40" s="1848"/>
      <c r="S40" s="182"/>
      <c r="T40" s="1795"/>
    </row>
    <row r="41" spans="1:26" hidden="1" outlineLevel="2">
      <c r="A41" s="225" t="s">
        <v>351</v>
      </c>
      <c r="B41" s="182"/>
      <c r="C41" s="182"/>
      <c r="D41" s="182"/>
      <c r="E41" s="182"/>
      <c r="F41" s="182"/>
      <c r="G41" s="1802"/>
      <c r="H41" s="1802"/>
      <c r="I41" s="1872">
        <f>'MS Revenue Analysis'!CM139</f>
        <v>6172.4160000000002</v>
      </c>
      <c r="J41" s="1872">
        <f>'MS Revenue Analysis'!CS139</f>
        <v>7636.902</v>
      </c>
      <c r="K41" s="1872">
        <f>'MS Revenue Analysis'!CY139</f>
        <v>9627.7540000000008</v>
      </c>
      <c r="L41" s="1872">
        <f>'MS Revenue Analysis'!DE139</f>
        <v>12031.916000000001</v>
      </c>
      <c r="M41" s="1872">
        <f>'MS Revenue Analysis'!DK139</f>
        <v>14537.141021799998</v>
      </c>
      <c r="N41" s="1872">
        <f>'MS Revenue Analysis'!DQ139</f>
        <v>17454.778195385203</v>
      </c>
      <c r="O41" s="1872">
        <f>'MS Revenue Analysis'!DW139</f>
        <v>20852.76352419324</v>
      </c>
      <c r="P41" s="1872">
        <f t="shared" ref="P41:T41" si="44">O41*(1+P42)</f>
        <v>24703.719414158502</v>
      </c>
      <c r="Q41" s="1872">
        <f t="shared" si="44"/>
        <v>29018.808178604144</v>
      </c>
      <c r="R41" s="1876">
        <f t="shared" si="44"/>
        <v>33797.441152862448</v>
      </c>
      <c r="S41" s="1872">
        <f t="shared" si="44"/>
        <v>39025.014635120264</v>
      </c>
      <c r="T41" s="1877">
        <f t="shared" si="44"/>
        <v>44670.905826469112</v>
      </c>
    </row>
    <row r="42" spans="1:26" hidden="1" outlineLevel="2">
      <c r="A42" s="145" t="s">
        <v>107</v>
      </c>
      <c r="B42" s="182"/>
      <c r="C42" s="182"/>
      <c r="D42" s="182"/>
      <c r="E42" s="182"/>
      <c r="F42" s="182"/>
      <c r="G42" s="1802"/>
      <c r="H42" s="1802"/>
      <c r="I42" s="1873">
        <f>'MS Revenue Analysis'!CM140</f>
        <v>0.31795002974369191</v>
      </c>
      <c r="J42" s="1873">
        <f>J41/I41-1</f>
        <v>0.23726301014059969</v>
      </c>
      <c r="K42" s="1873">
        <f t="shared" ref="K42:O42" si="45">K41/J41-1</f>
        <v>0.26068843098942485</v>
      </c>
      <c r="L42" s="1873">
        <f t="shared" si="45"/>
        <v>0.24971161498310002</v>
      </c>
      <c r="M42" s="1873">
        <f t="shared" si="45"/>
        <v>0.20821496940304418</v>
      </c>
      <c r="N42" s="1873">
        <f t="shared" si="45"/>
        <v>0.20070226801885571</v>
      </c>
      <c r="O42" s="1873">
        <f t="shared" si="45"/>
        <v>0.1946736469963517</v>
      </c>
      <c r="P42" s="1885">
        <f>O42-0.01</f>
        <v>0.18467364699635169</v>
      </c>
      <c r="Q42" s="1885">
        <f t="shared" ref="Q42:T42" si="46">P42-0.01</f>
        <v>0.17467364699635168</v>
      </c>
      <c r="R42" s="1887">
        <f t="shared" si="46"/>
        <v>0.16467364699635167</v>
      </c>
      <c r="S42" s="1885">
        <f t="shared" si="46"/>
        <v>0.15467364699635167</v>
      </c>
      <c r="T42" s="1886">
        <f t="shared" si="46"/>
        <v>0.14467364699635166</v>
      </c>
    </row>
    <row r="43" spans="1:26" hidden="1" outlineLevel="2">
      <c r="A43" s="1817" t="s">
        <v>1160</v>
      </c>
      <c r="B43" s="182"/>
      <c r="C43" s="182"/>
      <c r="D43" s="182"/>
      <c r="E43" s="182"/>
      <c r="F43" s="182"/>
      <c r="G43" s="1802"/>
      <c r="H43" s="1802"/>
      <c r="I43" s="1830">
        <f>BS!CE12</f>
        <v>1905.5060000000001</v>
      </c>
      <c r="J43" s="1830">
        <f>BS!CK12</f>
        <v>2496.165</v>
      </c>
      <c r="K43" s="1830">
        <f>BS!CQ12</f>
        <v>3196.643</v>
      </c>
      <c r="L43" s="1830">
        <f>BS!CW12</f>
        <v>3917.4009999999998</v>
      </c>
      <c r="M43" s="1830">
        <f>BS!DC12</f>
        <v>5021.0005141465417</v>
      </c>
      <c r="N43" s="1830">
        <f>BS!DI12</f>
        <v>6238.2112843624473</v>
      </c>
      <c r="O43" s="1830">
        <f>BS!DO12</f>
        <v>7752.7196792341429</v>
      </c>
      <c r="P43" s="1830">
        <f t="shared" ref="P43:S43" si="47">P41*P45/365</f>
        <v>9522.849811801143</v>
      </c>
      <c r="Q43" s="1830">
        <f t="shared" si="47"/>
        <v>11583.758638481821</v>
      </c>
      <c r="R43" s="1891">
        <f t="shared" si="47"/>
        <v>13907.979200742777</v>
      </c>
      <c r="S43" s="1830">
        <f t="shared" si="47"/>
        <v>16593.766307648057</v>
      </c>
      <c r="T43" s="1892">
        <f t="shared" ref="T43" si="48">T41*T45/365</f>
        <v>19606.377213581633</v>
      </c>
    </row>
    <row r="44" spans="1:26" hidden="1" outlineLevel="2">
      <c r="A44" s="1888" t="s">
        <v>1171</v>
      </c>
      <c r="B44" s="182"/>
      <c r="C44" s="182"/>
      <c r="D44" s="182"/>
      <c r="E44" s="182"/>
      <c r="F44" s="182"/>
      <c r="G44" s="1802"/>
      <c r="H44" s="1802"/>
      <c r="I44" s="1830">
        <f>-CF!CE25</f>
        <v>544.61</v>
      </c>
      <c r="J44" s="1830">
        <f>J43-I43</f>
        <v>590.65899999999988</v>
      </c>
      <c r="K44" s="1830">
        <f t="shared" ref="K44:M44" si="49">K43-J43</f>
        <v>700.47800000000007</v>
      </c>
      <c r="L44" s="1830">
        <f t="shared" si="49"/>
        <v>720.75799999999981</v>
      </c>
      <c r="M44" s="1830">
        <f t="shared" si="49"/>
        <v>1103.5995141465419</v>
      </c>
      <c r="N44" s="1830">
        <f t="shared" ref="N44:O44" si="50">N43-M43</f>
        <v>1217.2107702159055</v>
      </c>
      <c r="O44" s="1830">
        <f t="shared" si="50"/>
        <v>1514.5083948716956</v>
      </c>
      <c r="P44" s="1830">
        <f t="shared" ref="P44" si="51">P43-O43</f>
        <v>1770.1301325670001</v>
      </c>
      <c r="Q44" s="1830">
        <f t="shared" ref="Q44" si="52">Q43-P43</f>
        <v>2060.9088266806775</v>
      </c>
      <c r="R44" s="1891">
        <f t="shared" ref="R44" si="53">R43-Q43</f>
        <v>2324.2205622609563</v>
      </c>
      <c r="S44" s="1830">
        <f t="shared" ref="S44:T44" si="54">S43-R43</f>
        <v>2685.7871069052799</v>
      </c>
      <c r="T44" s="1892">
        <f t="shared" si="54"/>
        <v>3012.6109059335759</v>
      </c>
    </row>
    <row r="45" spans="1:26" hidden="1" outlineLevel="2">
      <c r="A45" s="1889" t="s">
        <v>1163</v>
      </c>
      <c r="B45" s="182"/>
      <c r="C45" s="182"/>
      <c r="D45" s="182"/>
      <c r="E45" s="182"/>
      <c r="F45" s="182"/>
      <c r="G45" s="1802"/>
      <c r="H45" s="1802"/>
      <c r="I45" s="1830">
        <f>(I43*365)/I41</f>
        <v>112.68030055006014</v>
      </c>
      <c r="J45" s="1830">
        <f t="shared" ref="J45:N45" si="55">(J43*365)/J41</f>
        <v>119.30233293552804</v>
      </c>
      <c r="K45" s="1830">
        <f t="shared" si="55"/>
        <v>121.18866923687497</v>
      </c>
      <c r="L45" s="1830">
        <f t="shared" si="55"/>
        <v>118.83821038976667</v>
      </c>
      <c r="M45" s="1830">
        <f t="shared" si="55"/>
        <v>126.06778629410076</v>
      </c>
      <c r="N45" s="1830">
        <f t="shared" si="55"/>
        <v>130.44835593466811</v>
      </c>
      <c r="O45" s="1830">
        <f t="shared" ref="O45" si="56">(O43*365)/O41</f>
        <v>135.70108727495102</v>
      </c>
      <c r="P45" s="1893">
        <f>O45+5</f>
        <v>140.70108727495102</v>
      </c>
      <c r="Q45" s="1893">
        <f>P45+5</f>
        <v>145.70108727495102</v>
      </c>
      <c r="R45" s="1894">
        <f>Q45+4.5</f>
        <v>150.20108727495102</v>
      </c>
      <c r="S45" s="1893">
        <f>R45+5</f>
        <v>155.20108727495102</v>
      </c>
      <c r="T45" s="1895">
        <f>S45+5</f>
        <v>160.20108727495102</v>
      </c>
      <c r="Z45" s="171"/>
    </row>
    <row r="46" spans="1:26" hidden="1" outlineLevel="2">
      <c r="A46" s="1868" t="s">
        <v>1172</v>
      </c>
      <c r="B46" s="182"/>
      <c r="C46" s="182"/>
      <c r="D46" s="182"/>
      <c r="E46" s="182"/>
      <c r="F46" s="182"/>
      <c r="G46" s="1802"/>
      <c r="H46" s="1802"/>
      <c r="I46" s="1872">
        <f>I41-I44</f>
        <v>5627.8060000000005</v>
      </c>
      <c r="J46" s="1872">
        <f t="shared" ref="J46:S46" si="57">J41-J44</f>
        <v>7046.2430000000004</v>
      </c>
      <c r="K46" s="1872">
        <f t="shared" si="57"/>
        <v>8927.2760000000017</v>
      </c>
      <c r="L46" s="1872">
        <f t="shared" si="57"/>
        <v>11311.158000000001</v>
      </c>
      <c r="M46" s="1872">
        <f t="shared" si="57"/>
        <v>13433.541507653455</v>
      </c>
      <c r="N46" s="1872">
        <f t="shared" si="57"/>
        <v>16237.567425169298</v>
      </c>
      <c r="O46" s="1872">
        <f t="shared" ref="O46" si="58">O41-O44</f>
        <v>19338.255129321544</v>
      </c>
      <c r="P46" s="1872">
        <f t="shared" si="57"/>
        <v>22933.589281591503</v>
      </c>
      <c r="Q46" s="1872">
        <f t="shared" si="57"/>
        <v>26957.899351923465</v>
      </c>
      <c r="R46" s="1876">
        <f t="shared" si="57"/>
        <v>31473.220590601493</v>
      </c>
      <c r="S46" s="1872">
        <f t="shared" si="57"/>
        <v>36339.227528214986</v>
      </c>
      <c r="T46" s="1877">
        <f t="shared" ref="T46" si="59">T41-T44</f>
        <v>41658.29492053554</v>
      </c>
    </row>
    <row r="47" spans="1:26" hidden="1" outlineLevel="2">
      <c r="A47" s="1890" t="s">
        <v>1162</v>
      </c>
      <c r="B47" s="182"/>
      <c r="C47" s="182"/>
      <c r="D47" s="182"/>
      <c r="E47" s="182"/>
      <c r="F47" s="182"/>
      <c r="G47" s="1802"/>
      <c r="H47" s="1802"/>
      <c r="I47" s="1830">
        <f>I27-I36</f>
        <v>4799.4809999999998</v>
      </c>
      <c r="J47" s="1830">
        <f t="shared" ref="J47:S47" si="60">J27-J36</f>
        <v>5837.2120000000004</v>
      </c>
      <c r="K47" s="1830">
        <f t="shared" si="60"/>
        <v>7282.112000000001</v>
      </c>
      <c r="L47" s="1830">
        <f t="shared" si="60"/>
        <v>8960.3459999999995</v>
      </c>
      <c r="M47" s="1830">
        <f t="shared" si="60"/>
        <v>10474.17166947268</v>
      </c>
      <c r="N47" s="1830">
        <f t="shared" si="60"/>
        <v>12195.084659661386</v>
      </c>
      <c r="O47" s="1830">
        <f t="shared" ref="O47" si="61">O27-O36</f>
        <v>14111.576542631174</v>
      </c>
      <c r="P47" s="1830">
        <f t="shared" si="60"/>
        <v>16293.847751644971</v>
      </c>
      <c r="Q47" s="1830">
        <f t="shared" si="60"/>
        <v>18694.374424292571</v>
      </c>
      <c r="R47" s="1891">
        <f t="shared" si="60"/>
        <v>21258.060242025989</v>
      </c>
      <c r="S47" s="1830">
        <f t="shared" si="60"/>
        <v>23771.790018886502</v>
      </c>
      <c r="T47" s="1892">
        <f t="shared" ref="T47" si="62">T27-T36</f>
        <v>26427.972423805735</v>
      </c>
    </row>
    <row r="48" spans="1:26" hidden="1" outlineLevel="2">
      <c r="A48" s="1890" t="s">
        <v>1169</v>
      </c>
      <c r="B48" s="182"/>
      <c r="C48" s="182"/>
      <c r="D48" s="182"/>
      <c r="E48" s="182"/>
      <c r="F48" s="182"/>
      <c r="G48" s="1802"/>
      <c r="H48" s="1802"/>
      <c r="I48" s="1830">
        <f>Model!CE71</f>
        <v>-36.176000000000002</v>
      </c>
      <c r="J48" s="1830">
        <f>Model!CK71</f>
        <v>-44.295000000000002</v>
      </c>
      <c r="K48" s="1830">
        <f>Model!CQ71</f>
        <v>-24.913</v>
      </c>
      <c r="L48" s="1830">
        <f>Model!CW71</f>
        <v>-6.2840000000000025</v>
      </c>
      <c r="M48" s="1830">
        <f>Model!DC71</f>
        <v>-32.660456770608072</v>
      </c>
      <c r="N48" s="1830">
        <f>Model!DI71</f>
        <v>9.8959490168998236</v>
      </c>
      <c r="O48" s="1830">
        <f>Model!DO71</f>
        <v>14.738709277122979</v>
      </c>
      <c r="P48" s="1893">
        <v>0</v>
      </c>
      <c r="Q48" s="1893">
        <f t="shared" ref="Q48:T48" si="63">P48</f>
        <v>0</v>
      </c>
      <c r="R48" s="1894">
        <f t="shared" si="63"/>
        <v>0</v>
      </c>
      <c r="S48" s="1893">
        <f t="shared" si="63"/>
        <v>0</v>
      </c>
      <c r="T48" s="1895">
        <f t="shared" si="63"/>
        <v>0</v>
      </c>
    </row>
    <row r="49" spans="1:26" hidden="1" outlineLevel="2">
      <c r="A49" s="1890" t="s">
        <v>1164</v>
      </c>
      <c r="B49" s="182"/>
      <c r="C49" s="182"/>
      <c r="D49" s="182"/>
      <c r="E49" s="182"/>
      <c r="F49" s="182"/>
      <c r="G49" s="1802"/>
      <c r="H49" s="1802"/>
      <c r="I49" s="1872">
        <v>36.219000000000001</v>
      </c>
      <c r="J49" s="1872">
        <v>31.462</v>
      </c>
      <c r="K49" s="1872">
        <v>36.219000000000001</v>
      </c>
      <c r="L49" s="1872">
        <f t="shared" ref="L49:M49" si="64">(L48+L36)*L50</f>
        <v>65.654791445003937</v>
      </c>
      <c r="M49" s="1872">
        <f t="shared" si="64"/>
        <v>139.61985978582922</v>
      </c>
      <c r="N49" s="1872">
        <f t="shared" ref="N49:O49" si="65">(N48+N36)*N50</f>
        <v>287.40108457715655</v>
      </c>
      <c r="O49" s="1872">
        <f t="shared" si="65"/>
        <v>509.12358733710562</v>
      </c>
      <c r="P49" s="1872">
        <f t="shared" ref="P49" si="66">(P48+P36)*P50</f>
        <v>815.79406638684884</v>
      </c>
      <c r="Q49" s="1872">
        <f t="shared" ref="Q49" si="67">(Q48+Q36)*Q50</f>
        <v>1240.1479419335813</v>
      </c>
      <c r="R49" s="1876">
        <f t="shared" ref="R49" si="68">(R48+R36)*R50</f>
        <v>1818.3408482820871</v>
      </c>
      <c r="S49" s="1872">
        <f t="shared" ref="S49:T49" si="69">(S48+S36)*S50</f>
        <v>2224.1245401442875</v>
      </c>
      <c r="T49" s="1877">
        <f t="shared" si="69"/>
        <v>2583.5748381920698</v>
      </c>
    </row>
    <row r="50" spans="1:26" hidden="1" outlineLevel="2">
      <c r="A50" s="1889" t="s">
        <v>1165</v>
      </c>
      <c r="B50" s="182"/>
      <c r="C50" s="182"/>
      <c r="D50" s="182"/>
      <c r="E50" s="182"/>
      <c r="F50" s="182"/>
      <c r="G50" s="1802"/>
      <c r="H50" s="1802"/>
      <c r="I50" s="1870">
        <f>I49/(I36+I48)</f>
        <v>6.7330446954895512E-2</v>
      </c>
      <c r="J50" s="1613">
        <f>J49/(J36+J48)</f>
        <v>4.0042814833481592E-2</v>
      </c>
      <c r="K50" s="1613">
        <f>K49/(K36+K48)</f>
        <v>3.3382828291207346E-2</v>
      </c>
      <c r="L50" s="1874">
        <f>K50+0.01</f>
        <v>4.3382828291207348E-2</v>
      </c>
      <c r="M50" s="1874">
        <f>L50+0.02</f>
        <v>6.3382828291207352E-2</v>
      </c>
      <c r="N50" s="1874">
        <f>M50+0.03</f>
        <v>9.3382828291207351E-2</v>
      </c>
      <c r="O50" s="1874">
        <f>N50+0.03</f>
        <v>0.12338282829120735</v>
      </c>
      <c r="P50" s="1874">
        <f>O50+0.03</f>
        <v>0.15338282829120736</v>
      </c>
      <c r="Q50" s="1874">
        <f>P50+0.03</f>
        <v>0.18338282829120736</v>
      </c>
      <c r="R50" s="1878">
        <f>Q50+0.03</f>
        <v>0.21338282829120736</v>
      </c>
      <c r="S50" s="1874">
        <f>R50</f>
        <v>0.21338282829120736</v>
      </c>
      <c r="T50" s="1879">
        <f>S50</f>
        <v>0.21338282829120736</v>
      </c>
    </row>
    <row r="51" spans="1:26" hidden="1" outlineLevel="2">
      <c r="A51" s="1890" t="s">
        <v>1170</v>
      </c>
      <c r="B51" s="182"/>
      <c r="C51" s="182"/>
      <c r="D51" s="182"/>
      <c r="E51" s="182"/>
      <c r="F51" s="182"/>
      <c r="G51" s="1802"/>
      <c r="H51" s="1802"/>
      <c r="I51" s="1830">
        <f>CF!CE85</f>
        <v>448.29599999999999</v>
      </c>
      <c r="J51" s="1830">
        <f>CF!CK85</f>
        <v>525.75</v>
      </c>
      <c r="K51" s="1830">
        <f>CF!CQ85</f>
        <v>632.245</v>
      </c>
      <c r="L51" s="1830">
        <f>CF!CW85</f>
        <v>752.6</v>
      </c>
      <c r="M51" s="1830">
        <f>CF!DC85</f>
        <v>886.55253757215303</v>
      </c>
      <c r="N51" s="1830">
        <f>CF!DI85</f>
        <v>975.0159203457232</v>
      </c>
      <c r="O51" s="1830">
        <f>CF!DO85</f>
        <v>1074.8112695743378</v>
      </c>
      <c r="P51" s="1830">
        <f t="shared" ref="P51:S51" si="70">P52*P41</f>
        <v>1273.3005865594096</v>
      </c>
      <c r="Q51" s="1830">
        <f t="shared" si="70"/>
        <v>1495.7126437363356</v>
      </c>
      <c r="R51" s="1891">
        <f t="shared" si="70"/>
        <v>1742.0170996389529</v>
      </c>
      <c r="S51" s="1830">
        <f t="shared" si="70"/>
        <v>2011.4612375701167</v>
      </c>
      <c r="T51" s="1892">
        <f t="shared" ref="T51" si="71">T52*T41</f>
        <v>2302.4666706011803</v>
      </c>
    </row>
    <row r="52" spans="1:26" hidden="1" outlineLevel="2">
      <c r="A52" s="1889" t="s">
        <v>1145</v>
      </c>
      <c r="B52" s="182"/>
      <c r="C52" s="182"/>
      <c r="D52" s="182"/>
      <c r="E52" s="182"/>
      <c r="F52" s="182"/>
      <c r="G52" s="1802"/>
      <c r="H52" s="1802"/>
      <c r="I52" s="1870">
        <f>I51/I41</f>
        <v>7.2628934925967392E-2</v>
      </c>
      <c r="J52" s="1870">
        <f t="shared" ref="J52:N52" si="72">J51/J41</f>
        <v>6.884336082877586E-2</v>
      </c>
      <c r="K52" s="1870">
        <f t="shared" si="72"/>
        <v>6.5669002344679761E-2</v>
      </c>
      <c r="L52" s="1870">
        <f t="shared" si="72"/>
        <v>6.2550303708902216E-2</v>
      </c>
      <c r="M52" s="1870">
        <f t="shared" si="72"/>
        <v>6.098534342087434E-2</v>
      </c>
      <c r="N52" s="1870">
        <f t="shared" si="72"/>
        <v>5.5859542265825166E-2</v>
      </c>
      <c r="O52" s="1870">
        <f t="shared" ref="O52" si="73">O51/O41</f>
        <v>5.1542869525535488E-2</v>
      </c>
      <c r="P52" s="1874">
        <f t="shared" ref="P52:T52" si="74">O52</f>
        <v>5.1542869525535488E-2</v>
      </c>
      <c r="Q52" s="1874">
        <f t="shared" si="74"/>
        <v>5.1542869525535488E-2</v>
      </c>
      <c r="R52" s="1878">
        <f t="shared" si="74"/>
        <v>5.1542869525535488E-2</v>
      </c>
      <c r="S52" s="1874">
        <f t="shared" si="74"/>
        <v>5.1542869525535488E-2</v>
      </c>
      <c r="T52" s="1879">
        <f t="shared" si="74"/>
        <v>5.1542869525535488E-2</v>
      </c>
    </row>
    <row r="53" spans="1:26" hidden="1" outlineLevel="2">
      <c r="A53" s="1890" t="s">
        <v>1161</v>
      </c>
      <c r="B53" s="182"/>
      <c r="C53" s="182"/>
      <c r="D53" s="182"/>
      <c r="E53" s="182"/>
      <c r="F53" s="182"/>
      <c r="G53" s="1802"/>
      <c r="H53" s="1802"/>
      <c r="I53" s="1830">
        <f>(I46-I47+I48-I49+I51)-I54</f>
        <v>30.512000000000626</v>
      </c>
      <c r="J53" s="1830">
        <f t="shared" ref="J53:N53" si="75">(J46-J47+J48-J49+J51)-J54</f>
        <v>46.438999999999851</v>
      </c>
      <c r="K53" s="1830">
        <f t="shared" si="75"/>
        <v>54.079000000000633</v>
      </c>
      <c r="L53" s="1830">
        <f t="shared" si="75"/>
        <v>293.50820855499796</v>
      </c>
      <c r="M53" s="1830">
        <f t="shared" si="75"/>
        <v>192.39288020675667</v>
      </c>
      <c r="N53" s="1830">
        <f t="shared" si="75"/>
        <v>289.46856257705349</v>
      </c>
      <c r="O53" s="1830">
        <f t="shared" ref="O53" si="76">(O46-O47+O48-O49+O51)-O54</f>
        <v>209.45662124934552</v>
      </c>
      <c r="P53" s="1893">
        <v>0</v>
      </c>
      <c r="Q53" s="1893">
        <f t="shared" ref="Q53:T53" si="77">P53</f>
        <v>0</v>
      </c>
      <c r="R53" s="1894">
        <f t="shared" si="77"/>
        <v>0</v>
      </c>
      <c r="S53" s="1893">
        <f t="shared" si="77"/>
        <v>0</v>
      </c>
      <c r="T53" s="1895">
        <f t="shared" si="77"/>
        <v>0</v>
      </c>
    </row>
    <row r="54" spans="1:26" hidden="1" outlineLevel="2">
      <c r="A54" s="1868" t="s">
        <v>1166</v>
      </c>
      <c r="B54" s="182"/>
      <c r="C54" s="182"/>
      <c r="D54" s="182"/>
      <c r="E54" s="182"/>
      <c r="F54" s="182"/>
      <c r="G54" s="1802"/>
      <c r="H54" s="1802"/>
      <c r="I54" s="1872">
        <f>CF!CE30</f>
        <v>1173.7139999999999</v>
      </c>
      <c r="J54" s="1872">
        <f>CF!CK30</f>
        <v>1612.585</v>
      </c>
      <c r="K54" s="1872">
        <f>CF!CQ30</f>
        <v>2162.1979999999999</v>
      </c>
      <c r="L54" s="1872">
        <f>CF!CW30</f>
        <v>2737.9649999999997</v>
      </c>
      <c r="M54" s="1872">
        <f>CF!DC30</f>
        <v>3481.2491789897344</v>
      </c>
      <c r="N54" s="1872">
        <f>CF!DI30</f>
        <v>4450.5249877163251</v>
      </c>
      <c r="O54" s="1872">
        <f>CF!DO30</f>
        <v>5597.6483569553802</v>
      </c>
      <c r="P54" s="1872">
        <f t="shared" ref="P54:S54" si="78">(P46-P47+P48-P49+P51)</f>
        <v>7097.248050119093</v>
      </c>
      <c r="Q54" s="1872">
        <f t="shared" si="78"/>
        <v>8519.0896294336471</v>
      </c>
      <c r="R54" s="1876">
        <f t="shared" si="78"/>
        <v>10138.836599932371</v>
      </c>
      <c r="S54" s="1872">
        <f t="shared" si="78"/>
        <v>12354.774206754313</v>
      </c>
      <c r="T54" s="1877">
        <f t="shared" ref="T54" si="79">(T46-T47+T48-T49+T51)</f>
        <v>14949.214329138915</v>
      </c>
    </row>
    <row r="55" spans="1:26" ht="1.5" hidden="1" customHeight="1" outlineLevel="2">
      <c r="A55" s="1868"/>
      <c r="B55" s="182"/>
      <c r="C55" s="182"/>
      <c r="D55" s="182"/>
      <c r="E55" s="182"/>
      <c r="F55" s="182"/>
      <c r="G55" s="1802"/>
      <c r="H55" s="1802"/>
      <c r="I55" s="1871"/>
      <c r="J55" s="1871"/>
      <c r="K55" s="1871"/>
      <c r="L55" s="1871"/>
      <c r="M55" s="1871"/>
      <c r="N55" s="1872"/>
      <c r="O55" s="1872"/>
      <c r="P55" s="1872"/>
      <c r="Q55" s="1872"/>
      <c r="R55" s="1876"/>
      <c r="S55" s="1872"/>
      <c r="T55" s="1877"/>
    </row>
    <row r="56" spans="1:26" hidden="1" outlineLevel="2">
      <c r="A56" s="1890" t="s">
        <v>1167</v>
      </c>
      <c r="B56" s="182"/>
      <c r="C56" s="182"/>
      <c r="D56" s="182"/>
      <c r="E56" s="182"/>
      <c r="F56" s="182"/>
      <c r="G56" s="1802"/>
      <c r="H56" s="1802"/>
      <c r="I56" s="1830">
        <f>BS!CE115</f>
        <v>290.45400000000001</v>
      </c>
      <c r="J56" s="1830">
        <f>BS!CK115</f>
        <v>284.476</v>
      </c>
      <c r="K56" s="1830">
        <f>BS!CQ115</f>
        <v>463.95800000000003</v>
      </c>
      <c r="L56" s="1830">
        <f>BS!CW115</f>
        <v>534.02700000000004</v>
      </c>
      <c r="M56" s="1830">
        <f>BS!DC115</f>
        <v>493.54149668127252</v>
      </c>
      <c r="N56" s="1830">
        <f>BS!DI115</f>
        <v>574.66299027099194</v>
      </c>
      <c r="O56" s="1830">
        <f>BS!DO115</f>
        <v>667.82476278130866</v>
      </c>
      <c r="P56" s="1830">
        <f t="shared" ref="P56:S56" si="80">P57*P27</f>
        <v>792.03279533213731</v>
      </c>
      <c r="Q56" s="1830">
        <f t="shared" si="80"/>
        <v>932.92064133979784</v>
      </c>
      <c r="R56" s="1891">
        <f t="shared" si="80"/>
        <v>1091.3293439820047</v>
      </c>
      <c r="S56" s="1830">
        <f t="shared" si="80"/>
        <v>1253.1401915236493</v>
      </c>
      <c r="T56" s="1892">
        <f t="shared" ref="T56" si="81">T57*T27</f>
        <v>1412.2140711294485</v>
      </c>
    </row>
    <row r="57" spans="1:26" hidden="1" outlineLevel="2">
      <c r="A57" s="1889" t="s">
        <v>1168</v>
      </c>
      <c r="B57" s="182"/>
      <c r="C57" s="182"/>
      <c r="D57" s="182"/>
      <c r="E57" s="182"/>
      <c r="F57" s="182"/>
      <c r="G57" s="1802"/>
      <c r="H57" s="1802"/>
      <c r="I57" s="1873">
        <f>I56/I27</f>
        <v>5.4052172980947916E-2</v>
      </c>
      <c r="J57" s="1880">
        <f t="shared" ref="J57:N57" si="82">J56/J27</f>
        <v>4.2667884166344691E-2</v>
      </c>
      <c r="K57" s="1880">
        <f t="shared" si="82"/>
        <v>5.5285853738519998E-2</v>
      </c>
      <c r="L57" s="1880">
        <f t="shared" si="82"/>
        <v>5.0956716461775055E-2</v>
      </c>
      <c r="M57" s="1880">
        <f t="shared" si="82"/>
        <v>3.8832075571244698E-2</v>
      </c>
      <c r="N57" s="1880">
        <f t="shared" si="82"/>
        <v>3.7651083614933911E-2</v>
      </c>
      <c r="O57" s="1880">
        <f t="shared" ref="O57" si="83">O56/O27</f>
        <v>3.6646931439927366E-2</v>
      </c>
      <c r="P57" s="1884">
        <f>O57</f>
        <v>3.6646931439927366E-2</v>
      </c>
      <c r="Q57" s="1884">
        <f t="shared" ref="Q57:T57" si="84">P57</f>
        <v>3.6646931439927366E-2</v>
      </c>
      <c r="R57" s="1887">
        <f t="shared" si="84"/>
        <v>3.6646931439927366E-2</v>
      </c>
      <c r="S57" s="1885">
        <f t="shared" si="84"/>
        <v>3.6646931439927366E-2</v>
      </c>
      <c r="T57" s="1886">
        <f t="shared" si="84"/>
        <v>3.6646931439927366E-2</v>
      </c>
    </row>
    <row r="58" spans="1:26" hidden="1" outlineLevel="2">
      <c r="A58" s="1869" t="s">
        <v>1173</v>
      </c>
      <c r="B58" s="182"/>
      <c r="C58" s="182"/>
      <c r="D58" s="182"/>
      <c r="E58" s="182"/>
      <c r="F58" s="182"/>
      <c r="G58" s="1802"/>
      <c r="H58" s="1802"/>
      <c r="I58" s="1871">
        <f>I54-I56-(Model!CE71*(1-Model!CE80))</f>
        <v>906.23176571629347</v>
      </c>
      <c r="J58" s="1871">
        <f>J54-J56-(Model!CK71*(1-Model!CK80))</f>
        <v>1356.6793141812045</v>
      </c>
      <c r="K58" s="1871">
        <f>K54-K56-(Model!CQ71*(1-Model!CQ80))</f>
        <v>1714.4334649254024</v>
      </c>
      <c r="L58" s="1871">
        <f>L54-L56-(Model!CW71*(1-Model!CW80))</f>
        <v>2208.0543180928539</v>
      </c>
      <c r="M58" s="1871">
        <f>M54-M56-(Model!DC71*(1-Model!DC80))</f>
        <v>3013.3461408733892</v>
      </c>
      <c r="N58" s="1871">
        <f>N54-N56-(Model!DI71*(1-Model!DI80))</f>
        <v>3868.0936774670668</v>
      </c>
      <c r="O58" s="1871">
        <f>O54-O56-(Model!DO71*(1-Model!DO80))</f>
        <v>4918.25370739153</v>
      </c>
      <c r="P58" s="1871">
        <f t="shared" ref="P58:S58" si="85">P54-P56</f>
        <v>6305.2152547869555</v>
      </c>
      <c r="Q58" s="1871">
        <f t="shared" si="85"/>
        <v>7586.1689880938493</v>
      </c>
      <c r="R58" s="1875">
        <f t="shared" si="85"/>
        <v>9047.507255950366</v>
      </c>
      <c r="S58" s="1871">
        <f t="shared" si="85"/>
        <v>11101.634015230664</v>
      </c>
      <c r="T58" s="1877">
        <f t="shared" ref="T58" si="86">T54-T56</f>
        <v>13537.000258009466</v>
      </c>
    </row>
    <row r="59" spans="1:26" ht="9.75" customHeight="1" outlineLevel="1" collapsed="1" thickBot="1">
      <c r="A59" s="154"/>
      <c r="B59" s="1792"/>
      <c r="C59" s="1792"/>
      <c r="D59" s="1792"/>
      <c r="E59" s="1792"/>
      <c r="F59" s="1792"/>
      <c r="G59" s="1792"/>
      <c r="H59" s="1792"/>
      <c r="I59" s="1792"/>
      <c r="J59" s="1792"/>
      <c r="K59" s="1799"/>
      <c r="L59" s="1799"/>
      <c r="M59" s="1799"/>
      <c r="N59" s="1792"/>
      <c r="O59" s="1792"/>
      <c r="P59" s="1799"/>
      <c r="Q59" s="1799"/>
      <c r="R59" s="1974"/>
      <c r="S59" s="1799"/>
      <c r="T59" s="1975"/>
    </row>
    <row r="60" spans="1:26" outlineLevel="1">
      <c r="A60" s="173" t="s">
        <v>125</v>
      </c>
      <c r="B60" s="185">
        <v>160.66500000000005</v>
      </c>
      <c r="C60" s="185">
        <v>165.78300000000007</v>
      </c>
      <c r="D60" s="185">
        <v>215.63900000000007</v>
      </c>
      <c r="E60" s="185">
        <v>89.673999999999864</v>
      </c>
      <c r="F60" s="185">
        <v>420.88700000000011</v>
      </c>
      <c r="G60" s="232">
        <v>552.8811806959086</v>
      </c>
      <c r="H60" s="232">
        <v>593.37665011161448</v>
      </c>
      <c r="I60" s="185">
        <v>906.23176650960954</v>
      </c>
      <c r="J60" s="185">
        <f>CF!CK146</f>
        <v>1356.8254350112404</v>
      </c>
      <c r="K60" s="185">
        <f>CF!CQ146</f>
        <v>1714.4334789869367</v>
      </c>
      <c r="L60" s="185">
        <f>CF!CW146</f>
        <v>2208.0509199927565</v>
      </c>
      <c r="M60" s="185">
        <f>CF!DC146</f>
        <v>3013.3461408733892</v>
      </c>
      <c r="N60" s="185">
        <f>CF!DI146</f>
        <v>3868.0936774670663</v>
      </c>
      <c r="O60" s="185">
        <f>CF!DO146</f>
        <v>4918.25370739153</v>
      </c>
      <c r="P60" s="185">
        <f t="shared" ref="P60:S60" si="87">P58</f>
        <v>6305.2152547869555</v>
      </c>
      <c r="Q60" s="185">
        <f t="shared" si="87"/>
        <v>7586.1689880938493</v>
      </c>
      <c r="R60" s="1850">
        <f t="shared" si="87"/>
        <v>9047.507255950366</v>
      </c>
      <c r="S60" s="185">
        <f t="shared" si="87"/>
        <v>11101.634015230664</v>
      </c>
      <c r="T60" s="1881">
        <f t="shared" ref="T60" si="88">T58</f>
        <v>13537.000258009466</v>
      </c>
      <c r="V60" s="151"/>
      <c r="W60" s="1780"/>
    </row>
    <row r="61" spans="1:26" outlineLevel="1">
      <c r="A61" s="186" t="s">
        <v>870</v>
      </c>
      <c r="B61" s="187"/>
      <c r="C61" s="187"/>
      <c r="D61" s="188"/>
      <c r="E61" s="188"/>
      <c r="F61" s="188"/>
      <c r="G61" s="189">
        <f t="shared" ref="G61:M61" si="89">G60/F60-1</f>
        <v>0.31360954530766794</v>
      </c>
      <c r="H61" s="189">
        <f t="shared" si="89"/>
        <v>7.3244434481807508E-2</v>
      </c>
      <c r="I61" s="189">
        <f t="shared" si="89"/>
        <v>0.52724541206524878</v>
      </c>
      <c r="J61" s="189">
        <f t="shared" si="89"/>
        <v>0.4972168104822805</v>
      </c>
      <c r="K61" s="189">
        <f t="shared" si="89"/>
        <v>0.26356230856826013</v>
      </c>
      <c r="L61" s="189">
        <f t="shared" si="89"/>
        <v>0.28791868979221036</v>
      </c>
      <c r="M61" s="189">
        <f t="shared" si="89"/>
        <v>0.36470862768113821</v>
      </c>
      <c r="N61" s="189">
        <f t="shared" ref="N61:T61" si="90">N60/M60-1</f>
        <v>0.28365395033772556</v>
      </c>
      <c r="O61" s="189">
        <f t="shared" si="90"/>
        <v>0.27149291550046883</v>
      </c>
      <c r="P61" s="189">
        <f t="shared" si="90"/>
        <v>0.28200284692735411</v>
      </c>
      <c r="Q61" s="189">
        <f t="shared" si="90"/>
        <v>0.20315781167572133</v>
      </c>
      <c r="R61" s="1851">
        <f t="shared" si="90"/>
        <v>0.19263191607648356</v>
      </c>
      <c r="S61" s="189">
        <f t="shared" si="90"/>
        <v>0.2270378681298475</v>
      </c>
      <c r="T61" s="1882">
        <f t="shared" si="90"/>
        <v>0.2193700710577966</v>
      </c>
      <c r="W61" s="1752"/>
    </row>
    <row r="62" spans="1:26" ht="13.5" outlineLevel="1" thickBot="1">
      <c r="A62" s="190" t="s">
        <v>406</v>
      </c>
      <c r="B62" s="191"/>
      <c r="C62" s="191"/>
      <c r="D62" s="109">
        <f t="shared" ref="D62:J62" si="91">D60/D27</f>
        <v>0.16516682585480974</v>
      </c>
      <c r="E62" s="109">
        <f t="shared" si="91"/>
        <v>5.4113746644065389E-2</v>
      </c>
      <c r="F62" s="109">
        <f t="shared" si="91"/>
        <v>0.1856959002249686</v>
      </c>
      <c r="G62" s="109">
        <f t="shared" si="91"/>
        <v>0.18126092944743158</v>
      </c>
      <c r="H62" s="109">
        <f t="shared" si="91"/>
        <v>0.14575686878924293</v>
      </c>
      <c r="I62" s="109">
        <f t="shared" si="91"/>
        <v>0.16864562445071307</v>
      </c>
      <c r="J62" s="109">
        <f t="shared" si="91"/>
        <v>0.20350704627107333</v>
      </c>
      <c r="K62" s="109">
        <f>K60/K27</f>
        <v>0.20429417870517111</v>
      </c>
      <c r="L62" s="109">
        <f>L60/L27</f>
        <v>0.21069164042872821</v>
      </c>
      <c r="M62" s="109">
        <f>M60/M27</f>
        <v>0.23709148238102781</v>
      </c>
      <c r="N62" s="109">
        <f>N60/N27</f>
        <v>0.25343187389191657</v>
      </c>
      <c r="O62" s="109">
        <f>O60/O27</f>
        <v>0.26988952261713078</v>
      </c>
      <c r="P62" s="1836">
        <f t="shared" ref="P62:S62" si="92">P60/P27</f>
        <v>0.29173891853716022</v>
      </c>
      <c r="Q62" s="1836">
        <f t="shared" si="92"/>
        <v>0.29799942511628802</v>
      </c>
      <c r="R62" s="1852">
        <f t="shared" si="92"/>
        <v>0.30381605693956826</v>
      </c>
      <c r="S62" s="1837">
        <f t="shared" si="92"/>
        <v>0.324657068202928</v>
      </c>
      <c r="T62" s="1883">
        <f t="shared" ref="T62" si="93">T60/T27</f>
        <v>0.35128492945888418</v>
      </c>
      <c r="Z62" s="1833"/>
    </row>
    <row r="63" spans="1:26" ht="18" hidden="1" customHeight="1" outlineLevel="2">
      <c r="A63" s="145" t="s">
        <v>596</v>
      </c>
      <c r="H63" s="162">
        <f>Model!BY49</f>
        <v>503.28</v>
      </c>
      <c r="I63" s="162">
        <f>Model!CE49</f>
        <v>564.7650000000001</v>
      </c>
      <c r="J63" s="162">
        <f>Model!CK49</f>
        <v>593.62800000000004</v>
      </c>
      <c r="K63" s="162">
        <f>Model!CQ49</f>
        <v>820.36699999999996</v>
      </c>
      <c r="L63" s="162">
        <f>Model!CW49</f>
        <v>997.01299999999992</v>
      </c>
      <c r="M63" s="162">
        <f>Model!DC49</f>
        <v>1084.1358500000001</v>
      </c>
      <c r="N63" s="162">
        <f>Model!DI49</f>
        <v>1138.3426425</v>
      </c>
      <c r="O63" s="162">
        <f>Model!DO49</f>
        <v>1195.2597746250001</v>
      </c>
      <c r="P63" s="1620">
        <f>O63/N63*O63</f>
        <v>1255.0227633562502</v>
      </c>
      <c r="Q63" s="1995">
        <f>P63/O63*P63</f>
        <v>1317.7739015240627</v>
      </c>
      <c r="R63" s="1999">
        <f>Q63/P63*Q63</f>
        <v>1383.6625966002659</v>
      </c>
      <c r="S63" s="1620"/>
    </row>
    <row r="64" spans="1:26" ht="3.95" hidden="1" customHeight="1" outlineLevel="2">
      <c r="H64" s="162"/>
      <c r="I64" s="162"/>
      <c r="J64" s="162"/>
      <c r="K64" s="162"/>
      <c r="L64" s="1620"/>
      <c r="M64" s="1620"/>
      <c r="Q64" s="1619"/>
      <c r="R64" s="1965"/>
      <c r="S64" s="1817"/>
      <c r="T64" s="1615"/>
    </row>
    <row r="65" spans="1:23" outlineLevel="1" collapsed="1">
      <c r="A65" s="193" t="s">
        <v>114</v>
      </c>
      <c r="B65" s="194"/>
      <c r="C65" s="194"/>
      <c r="D65" s="194"/>
      <c r="E65" s="194"/>
      <c r="F65" s="194"/>
      <c r="G65" s="194"/>
      <c r="H65" s="194"/>
      <c r="I65" s="194"/>
      <c r="J65" s="194"/>
      <c r="K65" s="194"/>
      <c r="L65" s="194"/>
      <c r="M65" s="195"/>
      <c r="N65" s="195"/>
      <c r="O65" s="195"/>
      <c r="P65" s="195"/>
      <c r="Q65" s="195"/>
      <c r="R65" s="1853">
        <v>20</v>
      </c>
      <c r="S65" s="1998"/>
    </row>
    <row r="66" spans="1:23" outlineLevel="1">
      <c r="A66" s="196" t="s">
        <v>115</v>
      </c>
      <c r="B66" s="170"/>
      <c r="C66" s="170"/>
      <c r="D66" s="170"/>
      <c r="E66" s="170"/>
      <c r="F66" s="170"/>
      <c r="G66" s="170"/>
      <c r="H66" s="170"/>
      <c r="I66" s="170"/>
      <c r="J66" s="170"/>
      <c r="K66" s="170"/>
      <c r="L66" s="197"/>
      <c r="M66" s="198"/>
      <c r="N66" s="198"/>
      <c r="O66" s="198"/>
      <c r="Q66" s="1615"/>
      <c r="R66" s="1854">
        <f>_WACC</f>
        <v>9.7388373722812893E-2</v>
      </c>
      <c r="S66" s="198"/>
    </row>
    <row r="67" spans="1:23" ht="13.5" outlineLevel="1" thickBot="1">
      <c r="A67" s="199" t="s">
        <v>116</v>
      </c>
      <c r="B67" s="146"/>
      <c r="C67" s="146"/>
      <c r="D67" s="146"/>
      <c r="E67" s="146"/>
      <c r="F67" s="146"/>
      <c r="G67" s="200"/>
      <c r="H67" s="234"/>
      <c r="I67" s="1621"/>
      <c r="J67" s="1621"/>
      <c r="K67" s="1621"/>
      <c r="L67" s="1621">
        <f t="shared" ref="L67:O67" si="94">M67/(1+$R66)</f>
        <v>103608.83900621373</v>
      </c>
      <c r="M67" s="1621">
        <f t="shared" si="94"/>
        <v>113699.13534033764</v>
      </c>
      <c r="N67" s="1621">
        <f t="shared" si="94"/>
        <v>124772.10922482313</v>
      </c>
      <c r="O67" s="1621">
        <f t="shared" si="94"/>
        <v>136923.46202819384</v>
      </c>
      <c r="P67" s="1621">
        <f>Q67/(1+$R66)</f>
        <v>150258.21531961698</v>
      </c>
      <c r="Q67" s="1621">
        <f>R67/(1+$R66)</f>
        <v>164891.61854808673</v>
      </c>
      <c r="R67" s="1855">
        <f>(R60)*R65</f>
        <v>180950.14511900733</v>
      </c>
      <c r="S67" s="1830"/>
    </row>
    <row r="68" spans="1:23" ht="4.5" customHeight="1" outlineLevel="1">
      <c r="L68" s="1615"/>
      <c r="M68" s="538"/>
    </row>
    <row r="69" spans="1:23" outlineLevel="1">
      <c r="A69" s="145" t="s">
        <v>117</v>
      </c>
      <c r="G69" s="162"/>
      <c r="H69" s="162"/>
      <c r="I69" s="162"/>
      <c r="J69" s="162"/>
      <c r="K69" s="162"/>
      <c r="L69" s="1622">
        <f>L67/L27</f>
        <v>9.8863282796063352</v>
      </c>
      <c r="M69" s="1622">
        <f>M67/M27</f>
        <v>8.9459010956731646</v>
      </c>
      <c r="N69" s="1622">
        <f>N67/N27</f>
        <v>8.1748871891335018</v>
      </c>
      <c r="O69" s="1622">
        <f t="shared" ref="O69:Q69" si="95">O67/O27</f>
        <v>7.5136847345504849</v>
      </c>
      <c r="P69" s="1622">
        <f t="shared" si="95"/>
        <v>6.9523668054612644</v>
      </c>
      <c r="Q69" s="1622">
        <f t="shared" si="95"/>
        <v>6.4772624510399597</v>
      </c>
      <c r="R69" s="1622">
        <f>R67/R27</f>
        <v>6.0763211387913652</v>
      </c>
    </row>
    <row r="70" spans="1:23" ht="3" customHeight="1" outlineLevel="1">
      <c r="L70" s="538"/>
      <c r="M70" s="538"/>
    </row>
    <row r="71" spans="1:23" ht="15.75" outlineLevel="1" thickBot="1">
      <c r="A71" s="201" t="s">
        <v>9</v>
      </c>
      <c r="B71" s="201"/>
      <c r="C71" s="201"/>
      <c r="D71" s="201"/>
      <c r="E71" s="201"/>
      <c r="F71" s="201"/>
      <c r="G71" s="201"/>
      <c r="H71" s="202"/>
      <c r="I71" s="203"/>
      <c r="J71" s="202"/>
      <c r="K71" s="202"/>
      <c r="L71" s="202">
        <f>BS!CW10+BS!CW11+BS!CW22-BS!CW35-BS!CW34-BS!CW40-BS!CW41</f>
        <v>3479.4900000000007</v>
      </c>
      <c r="M71" s="202">
        <f>L71</f>
        <v>3479.4900000000007</v>
      </c>
      <c r="N71" s="202">
        <f>M71</f>
        <v>3479.4900000000007</v>
      </c>
      <c r="V71" s="1950"/>
      <c r="W71" s="538"/>
    </row>
    <row r="72" spans="1:23" ht="15.75" outlineLevel="1" thickBot="1">
      <c r="A72" s="205" t="s">
        <v>118</v>
      </c>
      <c r="B72" s="206"/>
      <c r="C72" s="206"/>
      <c r="D72" s="206"/>
      <c r="E72" s="206"/>
      <c r="F72" s="206"/>
      <c r="G72" s="206"/>
      <c r="H72" s="537"/>
      <c r="I72" s="537"/>
      <c r="J72" s="1963"/>
      <c r="K72" s="1916"/>
      <c r="L72" s="1916">
        <f>(L67+L71)/Q73</f>
        <v>121.80693044778225</v>
      </c>
      <c r="M72" s="1916">
        <f>(M67+M71)/R73</f>
        <v>128.15776255463706</v>
      </c>
      <c r="N72" s="207">
        <f>(N67+N71)/R73</f>
        <v>140.26822684571354</v>
      </c>
      <c r="O72" s="1950"/>
      <c r="R72" s="1957"/>
      <c r="S72" s="1860"/>
      <c r="V72" s="204"/>
    </row>
    <row r="73" spans="1:23">
      <c r="A73" s="145" t="s">
        <v>136</v>
      </c>
      <c r="H73" s="162"/>
      <c r="I73" s="162"/>
      <c r="J73" s="162">
        <f>Model!$CK$111</f>
        <v>674.40800000000002</v>
      </c>
      <c r="K73" s="162">
        <f>Model!$CQ$111</f>
        <v>699.66849999999988</v>
      </c>
      <c r="L73" s="162">
        <f>Model!$CW$111</f>
        <v>730.78250000000003</v>
      </c>
      <c r="M73" s="162">
        <f>Model!$DC$111</f>
        <v>763.3995000000001</v>
      </c>
      <c r="N73" s="162">
        <f>Model!$DI$111</f>
        <v>782.8370000000001</v>
      </c>
      <c r="O73" s="162">
        <f>Model!$DO$111</f>
        <v>812.8370000000001</v>
      </c>
      <c r="P73" s="1620">
        <f>O73*1.04</f>
        <v>845.35048000000018</v>
      </c>
      <c r="Q73" s="1620">
        <f t="shared" ref="Q73:T73" si="96">P73*1.04</f>
        <v>879.16449920000025</v>
      </c>
      <c r="R73" s="1620">
        <f t="shared" si="96"/>
        <v>914.33107916800031</v>
      </c>
      <c r="S73" s="1620">
        <f t="shared" si="96"/>
        <v>950.9043223347204</v>
      </c>
      <c r="T73" s="1620">
        <f t="shared" si="96"/>
        <v>988.94049522810928</v>
      </c>
      <c r="V73" s="538"/>
      <c r="W73" s="538"/>
    </row>
    <row r="74" spans="1:23">
      <c r="H74" s="162"/>
      <c r="I74" s="162"/>
      <c r="J74" s="151"/>
      <c r="K74" s="151">
        <f t="shared" ref="K74:P74" si="97">K73/J73-1</f>
        <v>3.745581309830226E-2</v>
      </c>
      <c r="L74" s="151">
        <f t="shared" si="97"/>
        <v>4.4469630975240593E-2</v>
      </c>
      <c r="M74" s="151">
        <f t="shared" si="97"/>
        <v>4.463297903274932E-2</v>
      </c>
      <c r="N74" s="151">
        <f t="shared" si="97"/>
        <v>2.5461766742053138E-2</v>
      </c>
      <c r="O74" s="151">
        <f t="shared" si="97"/>
        <v>3.8322153909434498E-2</v>
      </c>
      <c r="P74" s="1978">
        <f t="shared" si="97"/>
        <v>4.0000000000000036E-2</v>
      </c>
      <c r="Q74" s="1978">
        <f t="shared" ref="Q74" si="98">Q73/P73-1</f>
        <v>4.0000000000000036E-2</v>
      </c>
      <c r="R74" s="1978">
        <f t="shared" ref="R74" si="99">R73/Q73-1</f>
        <v>4.0000000000000036E-2</v>
      </c>
      <c r="S74" s="1978">
        <f t="shared" ref="S74:T74" si="100">S73/R73-1</f>
        <v>4.0000000000000036E-2</v>
      </c>
      <c r="T74" s="1978">
        <f t="shared" si="100"/>
        <v>4.0000000000000036E-2</v>
      </c>
      <c r="V74" s="538"/>
      <c r="W74" s="538"/>
    </row>
    <row r="75" spans="1:23" hidden="1" outlineLevel="1">
      <c r="A75" s="173" t="s">
        <v>95</v>
      </c>
      <c r="B75" s="185">
        <v>160.66500000000005</v>
      </c>
      <c r="C75" s="185">
        <v>165.78300000000007</v>
      </c>
      <c r="D75" s="185">
        <v>215.63900000000007</v>
      </c>
      <c r="E75" s="185">
        <v>89.673999999999864</v>
      </c>
      <c r="F75" s="185">
        <v>420.88700000000011</v>
      </c>
      <c r="G75" s="232">
        <v>552.8811806959086</v>
      </c>
      <c r="H75" s="232">
        <v>593.37665011161448</v>
      </c>
      <c r="I75" s="232"/>
      <c r="J75" s="1827">
        <f t="shared" ref="J75:T75" si="101">J39/J73</f>
        <v>0.75144867795162607</v>
      </c>
      <c r="K75" s="1827">
        <f t="shared" si="101"/>
        <v>1.0079401888179891</v>
      </c>
      <c r="L75" s="1827">
        <f t="shared" si="101"/>
        <v>1.3565417891096181</v>
      </c>
      <c r="M75" s="1827">
        <f t="shared" si="101"/>
        <v>2.2651312337604095</v>
      </c>
      <c r="N75" s="1827">
        <f t="shared" si="101"/>
        <v>3.0861689123430511</v>
      </c>
      <c r="O75" s="1827">
        <f t="shared" si="101"/>
        <v>3.9850583903997365</v>
      </c>
      <c r="P75" s="1827">
        <f t="shared" si="101"/>
        <v>4.9704314461119088</v>
      </c>
      <c r="Q75" s="1827">
        <f t="shared" si="101"/>
        <v>6.0767557242957508</v>
      </c>
      <c r="R75" s="1827">
        <f t="shared" si="101"/>
        <v>7.3627395329588037</v>
      </c>
      <c r="S75" s="1827">
        <f t="shared" si="101"/>
        <v>8.6594419373570162</v>
      </c>
      <c r="T75" s="1827">
        <f t="shared" si="101"/>
        <v>9.6720494783159605</v>
      </c>
      <c r="V75" s="538"/>
      <c r="W75" s="538"/>
    </row>
    <row r="76" spans="1:23" hidden="1" outlineLevel="1">
      <c r="A76" s="186" t="s">
        <v>870</v>
      </c>
      <c r="B76" s="187"/>
      <c r="C76" s="187"/>
      <c r="D76" s="188"/>
      <c r="E76" s="188"/>
      <c r="F76" s="188"/>
      <c r="G76" s="189">
        <f t="shared" ref="G76" si="102">G75/F75-1</f>
        <v>0.31360954530766794</v>
      </c>
      <c r="H76" s="189">
        <f t="shared" ref="H76" si="103">H75/G75-1</f>
        <v>7.3244434481807508E-2</v>
      </c>
      <c r="I76" s="189"/>
      <c r="J76" s="189"/>
      <c r="K76" s="189">
        <f t="shared" ref="K76" si="104">K75/J75-1</f>
        <v>0.34132937936032204</v>
      </c>
      <c r="L76" s="189">
        <f t="shared" ref="L76" si="105">L75/K75-1</f>
        <v>0.34585544277228775</v>
      </c>
      <c r="M76" s="189">
        <f t="shared" ref="M76" si="106">M75/L75-1</f>
        <v>0.66978360117247449</v>
      </c>
      <c r="N76" s="189">
        <f t="shared" ref="N76:O76" si="107">N75/M75-1</f>
        <v>0.3624680399729483</v>
      </c>
      <c r="O76" s="189">
        <f t="shared" si="107"/>
        <v>0.29126386260376114</v>
      </c>
      <c r="P76" s="189">
        <f t="shared" ref="P76" si="108">P75/O75-1</f>
        <v>0.2472669053196308</v>
      </c>
      <c r="Q76" s="1832">
        <f t="shared" ref="Q76" si="109">Q75/P75-1</f>
        <v>0.22258113610021879</v>
      </c>
      <c r="R76" s="189">
        <f t="shared" ref="R76" si="110">R75/Q75-1</f>
        <v>0.21162341667306173</v>
      </c>
      <c r="S76" s="189">
        <f t="shared" ref="S76:T76" si="111">S75/R75-1</f>
        <v>0.17611683784189469</v>
      </c>
      <c r="T76" s="189">
        <f t="shared" si="111"/>
        <v>0.1169368128205277</v>
      </c>
      <c r="V76" s="538"/>
      <c r="W76" s="538"/>
    </row>
    <row r="77" spans="1:23" hidden="1" outlineLevel="1">
      <c r="H77" s="162"/>
      <c r="I77" s="162"/>
      <c r="J77" s="162"/>
      <c r="K77" s="162"/>
      <c r="L77" s="162"/>
      <c r="M77" s="162"/>
      <c r="N77" s="162"/>
      <c r="O77" s="162"/>
      <c r="P77" s="1620"/>
      <c r="Q77" s="1620"/>
      <c r="R77" s="1620"/>
      <c r="S77" s="1620"/>
      <c r="T77" s="1620"/>
      <c r="V77" s="538"/>
      <c r="W77" s="538"/>
    </row>
    <row r="78" spans="1:23" hidden="1" outlineLevel="1">
      <c r="A78" s="193" t="s">
        <v>114</v>
      </c>
      <c r="B78" s="194"/>
      <c r="C78" s="194"/>
      <c r="D78" s="194"/>
      <c r="E78" s="194"/>
      <c r="F78" s="194"/>
      <c r="G78" s="194"/>
      <c r="H78" s="194"/>
      <c r="I78" s="194"/>
      <c r="J78" s="195"/>
      <c r="K78" s="195"/>
      <c r="L78" s="195">
        <f t="shared" ref="L78:N78" si="112">L80/L75/1000</f>
        <v>96.61098960230585</v>
      </c>
      <c r="M78" s="195">
        <f t="shared" si="112"/>
        <v>63.493123713145799</v>
      </c>
      <c r="N78" s="195">
        <f t="shared" si="112"/>
        <v>51.140000154083509</v>
      </c>
      <c r="O78" s="195">
        <f t="shared" ref="O78:P78" si="113">O80/O75/1000</f>
        <v>43.461637258329517</v>
      </c>
      <c r="P78" s="195">
        <f t="shared" si="113"/>
        <v>38.239045088770844</v>
      </c>
      <c r="Q78" s="195">
        <f>Q80/Q75/1000</f>
        <v>34.323352670509152</v>
      </c>
      <c r="R78" s="1917">
        <v>34</v>
      </c>
      <c r="S78" s="1620"/>
      <c r="T78" s="1620"/>
      <c r="V78" s="538"/>
      <c r="W78" s="538"/>
    </row>
    <row r="79" spans="1:23" hidden="1" outlineLevel="1">
      <c r="A79" s="196" t="s">
        <v>115</v>
      </c>
      <c r="B79" s="170"/>
      <c r="C79" s="170"/>
      <c r="D79" s="170"/>
      <c r="E79" s="170"/>
      <c r="F79" s="170"/>
      <c r="G79" s="170"/>
      <c r="H79" s="170"/>
      <c r="I79" s="170"/>
      <c r="J79" s="170"/>
      <c r="K79" s="170"/>
      <c r="L79" s="197"/>
      <c r="M79" s="198"/>
      <c r="N79" s="198"/>
      <c r="O79" s="198"/>
      <c r="Q79" s="198"/>
      <c r="R79" s="1918">
        <f>_WACC</f>
        <v>9.7388373722812893E-2</v>
      </c>
      <c r="S79" s="1620"/>
      <c r="T79" s="1620"/>
      <c r="V79" s="538"/>
      <c r="W79" s="538"/>
    </row>
    <row r="80" spans="1:23" hidden="1" outlineLevel="1">
      <c r="A80" s="199" t="s">
        <v>116</v>
      </c>
      <c r="B80" s="146"/>
      <c r="C80" s="146"/>
      <c r="D80" s="146"/>
      <c r="E80" s="146"/>
      <c r="F80" s="146"/>
      <c r="G80" s="200"/>
      <c r="H80" s="234"/>
      <c r="I80" s="1621"/>
      <c r="J80" s="1621"/>
      <c r="K80" s="1621"/>
      <c r="L80" s="1621">
        <f t="shared" ref="L80:P80" si="114">M80/(1+$R79)</f>
        <v>131056.84468276269</v>
      </c>
      <c r="M80" s="1621">
        <f t="shared" si="114"/>
        <v>143820.25765166024</v>
      </c>
      <c r="N80" s="1621">
        <f t="shared" si="114"/>
        <v>157826.67865275138</v>
      </c>
      <c r="O80" s="1621">
        <f t="shared" si="114"/>
        <v>173197.16221681584</v>
      </c>
      <c r="P80" s="1621">
        <f t="shared" si="114"/>
        <v>190064.55217851774</v>
      </c>
      <c r="Q80" s="1621">
        <f>R80/(1+$R79)</f>
        <v>208574.62981753831</v>
      </c>
      <c r="R80" s="1919">
        <f>(R75)*R78*R84</f>
        <v>228887.37381530611</v>
      </c>
      <c r="S80" s="1620"/>
      <c r="T80" s="1620"/>
      <c r="V80" s="1860"/>
      <c r="W80" s="538"/>
    </row>
    <row r="81" spans="1:23" hidden="1" outlineLevel="1">
      <c r="A81" s="170"/>
      <c r="B81" s="170"/>
      <c r="C81" s="170"/>
      <c r="D81" s="170"/>
      <c r="E81" s="170"/>
      <c r="F81" s="170"/>
      <c r="G81" s="1828"/>
      <c r="H81" s="1829"/>
      <c r="I81" s="1830"/>
      <c r="J81" s="1830"/>
      <c r="K81" s="1830"/>
      <c r="L81" s="1830"/>
      <c r="M81" s="1830"/>
      <c r="N81" s="1830"/>
      <c r="O81" s="1830"/>
      <c r="P81" s="1830"/>
      <c r="Q81" s="1830"/>
      <c r="R81" s="1620"/>
      <c r="S81" s="1620"/>
      <c r="T81" s="1620"/>
      <c r="V81" s="538"/>
      <c r="W81" s="538"/>
    </row>
    <row r="82" spans="1:23" ht="13.5" hidden="1" outlineLevel="1" thickBot="1">
      <c r="A82" s="538" t="s">
        <v>1142</v>
      </c>
      <c r="H82" s="162"/>
      <c r="I82" s="162"/>
      <c r="J82" s="162"/>
      <c r="K82" s="162">
        <f t="shared" ref="K82:P82" si="115">K78/(K76*100)</f>
        <v>0</v>
      </c>
      <c r="L82" s="162">
        <f t="shared" si="115"/>
        <v>2.7933921995819162</v>
      </c>
      <c r="M82" s="162">
        <f t="shared" si="115"/>
        <v>0.9479647396860621</v>
      </c>
      <c r="N82" s="162">
        <f t="shared" si="115"/>
        <v>1.4108830162764194</v>
      </c>
      <c r="O82" s="162">
        <f t="shared" ref="O82" si="116">O78/(O76*100)</f>
        <v>1.492174033187744</v>
      </c>
      <c r="P82" s="1620">
        <f t="shared" si="115"/>
        <v>1.5464683815790452</v>
      </c>
      <c r="Q82" s="1620">
        <f>Q78/(Q76*100)</f>
        <v>1.5420602694315841</v>
      </c>
      <c r="R82" s="1620">
        <f>R78/(R76*100)</f>
        <v>1.6066274958846734</v>
      </c>
      <c r="S82" s="1620"/>
      <c r="T82" s="1620"/>
      <c r="V82" s="538"/>
      <c r="W82" s="538"/>
    </row>
    <row r="83" spans="1:23" ht="15.75" hidden="1" outlineLevel="1" thickBot="1">
      <c r="A83" s="1831" t="s">
        <v>1143</v>
      </c>
      <c r="B83" s="206"/>
      <c r="C83" s="206"/>
      <c r="D83" s="206"/>
      <c r="E83" s="206"/>
      <c r="F83" s="206"/>
      <c r="G83" s="206"/>
      <c r="H83" s="537"/>
      <c r="I83" s="537"/>
      <c r="J83" s="1963"/>
      <c r="K83" s="1916"/>
      <c r="L83" s="1858">
        <f>L80/P84</f>
        <v>155.03255487920543</v>
      </c>
      <c r="M83" s="1858">
        <f>M80/Q84</f>
        <v>163.58742622402309</v>
      </c>
      <c r="N83" s="207">
        <f>N80/R84</f>
        <v>172.61436502450127</v>
      </c>
      <c r="O83" s="162"/>
      <c r="P83" s="1620"/>
      <c r="Q83" s="1950"/>
      <c r="R83" s="1620"/>
      <c r="S83" s="1620"/>
      <c r="T83" s="1620"/>
      <c r="V83" s="538"/>
      <c r="W83" s="538"/>
    </row>
    <row r="84" spans="1:23" hidden="1" outlineLevel="1">
      <c r="H84" s="162"/>
      <c r="I84" s="162"/>
      <c r="J84" s="162">
        <f t="shared" ref="J84:R84" si="117">J73</f>
        <v>674.40800000000002</v>
      </c>
      <c r="K84" s="162">
        <f t="shared" si="117"/>
        <v>699.66849999999988</v>
      </c>
      <c r="L84" s="162">
        <f t="shared" si="117"/>
        <v>730.78250000000003</v>
      </c>
      <c r="M84" s="162">
        <f t="shared" si="117"/>
        <v>763.3995000000001</v>
      </c>
      <c r="N84" s="162">
        <f t="shared" si="117"/>
        <v>782.8370000000001</v>
      </c>
      <c r="O84" s="162">
        <f t="shared" ref="O84" si="118">O73</f>
        <v>812.8370000000001</v>
      </c>
      <c r="P84" s="1620">
        <f t="shared" si="117"/>
        <v>845.35048000000018</v>
      </c>
      <c r="Q84" s="1620">
        <f>Q73</f>
        <v>879.16449920000025</v>
      </c>
      <c r="R84" s="1620">
        <f t="shared" si="117"/>
        <v>914.33107916800031</v>
      </c>
      <c r="S84" s="1620">
        <f>S73</f>
        <v>950.9043223347204</v>
      </c>
      <c r="T84" s="1620">
        <f>T73</f>
        <v>988.94049522810928</v>
      </c>
      <c r="V84" s="538"/>
      <c r="W84" s="538"/>
    </row>
    <row r="85" spans="1:23" collapsed="1">
      <c r="L85" s="538"/>
      <c r="M85" s="538"/>
      <c r="W85" s="539"/>
    </row>
    <row r="86" spans="1:23" outlineLevel="1">
      <c r="A86" s="147" t="s">
        <v>621</v>
      </c>
      <c r="B86" s="148"/>
      <c r="C86" s="148"/>
      <c r="D86" s="148"/>
      <c r="E86" s="148"/>
      <c r="F86" s="148"/>
      <c r="G86" s="157"/>
      <c r="H86" s="157"/>
      <c r="I86" s="157"/>
      <c r="J86" s="148"/>
      <c r="K86" s="148"/>
      <c r="L86" s="148"/>
      <c r="M86" s="148"/>
      <c r="N86" s="148"/>
      <c r="O86" s="148"/>
      <c r="P86" s="148"/>
      <c r="Q86" s="148"/>
      <c r="R86" s="148"/>
      <c r="S86" s="148"/>
      <c r="T86" s="148"/>
    </row>
    <row r="87" spans="1:23" outlineLevel="1">
      <c r="A87" s="158" t="s">
        <v>501</v>
      </c>
      <c r="B87" s="159">
        <f t="shared" ref="B87:J87" si="119">B11</f>
        <v>680.5809999999999</v>
      </c>
      <c r="C87" s="159">
        <f t="shared" si="119"/>
        <v>984.57400000000007</v>
      </c>
      <c r="D87" s="159">
        <f t="shared" si="119"/>
        <v>1209.472</v>
      </c>
      <c r="E87" s="159">
        <f t="shared" si="119"/>
        <v>1551.145</v>
      </c>
      <c r="F87" s="159">
        <f t="shared" si="119"/>
        <v>2126.2340000000004</v>
      </c>
      <c r="G87" s="159">
        <f t="shared" si="119"/>
        <v>2868.808</v>
      </c>
      <c r="H87" s="159">
        <f t="shared" si="119"/>
        <v>3824.5420000000004</v>
      </c>
      <c r="I87" s="159">
        <f t="shared" si="119"/>
        <v>5013.7640000000001</v>
      </c>
      <c r="J87" s="159">
        <f t="shared" si="119"/>
        <v>6205.5990000000002</v>
      </c>
      <c r="K87" s="159">
        <f t="shared" ref="K87:L87" si="120">K11</f>
        <v>7756.2049999999999</v>
      </c>
      <c r="L87" s="159">
        <f t="shared" si="120"/>
        <v>9710.5379999999986</v>
      </c>
      <c r="M87" s="1608">
        <f>M90*M95/1000000</f>
        <v>11994.512256734573</v>
      </c>
      <c r="N87" s="159">
        <f t="shared" ref="N87:S87" si="121">N90*N95/1000000</f>
        <v>14678.668786395647</v>
      </c>
      <c r="O87" s="159">
        <f t="shared" ref="O87" si="122">O90*O95/1000000</f>
        <v>17842.752324463007</v>
      </c>
      <c r="P87" s="1623">
        <f t="shared" si="121"/>
        <v>21465.289415008378</v>
      </c>
      <c r="Q87" s="1623">
        <f t="shared" si="121"/>
        <v>25624.704152318238</v>
      </c>
      <c r="R87" s="1623">
        <f>R90*R95/1000000</f>
        <v>30340.02144396232</v>
      </c>
      <c r="S87" s="1623">
        <f t="shared" si="121"/>
        <v>35265.740701808922</v>
      </c>
      <c r="T87" s="1623">
        <f t="shared" ref="T87" si="123">T90*T95/1000000</f>
        <v>40234.210980469063</v>
      </c>
    </row>
    <row r="88" spans="1:23" outlineLevel="1">
      <c r="A88" s="158" t="s">
        <v>107</v>
      </c>
      <c r="B88" s="160"/>
      <c r="C88" s="161">
        <f t="shared" ref="C88:T88" si="124">C87/B87-1</f>
        <v>0.44666689196436615</v>
      </c>
      <c r="D88" s="161">
        <f t="shared" si="124"/>
        <v>0.22842163209672406</v>
      </c>
      <c r="E88" s="161">
        <f t="shared" si="124"/>
        <v>0.28249765186792253</v>
      </c>
      <c r="F88" s="161">
        <f t="shared" si="124"/>
        <v>0.37075128372911648</v>
      </c>
      <c r="G88" s="161">
        <f t="shared" si="124"/>
        <v>0.34924378031768821</v>
      </c>
      <c r="H88" s="161">
        <f t="shared" si="124"/>
        <v>0.33314672853673044</v>
      </c>
      <c r="I88" s="161">
        <f t="shared" si="124"/>
        <v>0.3109449445188468</v>
      </c>
      <c r="J88" s="161">
        <f t="shared" si="124"/>
        <v>0.23771262468676224</v>
      </c>
      <c r="K88" s="161">
        <f t="shared" si="124"/>
        <v>0.2498720913162451</v>
      </c>
      <c r="L88" s="161">
        <f t="shared" si="124"/>
        <v>0.25197026122955735</v>
      </c>
      <c r="M88" s="1609">
        <f t="shared" si="124"/>
        <v>0.23520573800695432</v>
      </c>
      <c r="N88" s="161">
        <f t="shared" si="124"/>
        <v>0.22378204900778664</v>
      </c>
      <c r="O88" s="161">
        <f t="shared" si="124"/>
        <v>0.21555657288213137</v>
      </c>
      <c r="P88" s="1609">
        <f t="shared" si="124"/>
        <v>0.203025689348316</v>
      </c>
      <c r="Q88" s="1609">
        <f t="shared" si="124"/>
        <v>0.19377398817654079</v>
      </c>
      <c r="R88" s="1609">
        <f t="shared" si="124"/>
        <v>0.18401450661109364</v>
      </c>
      <c r="S88" s="1609">
        <f t="shared" si="124"/>
        <v>0.16235055294685119</v>
      </c>
      <c r="T88" s="1609">
        <f t="shared" si="124"/>
        <v>0.14088659928260872</v>
      </c>
    </row>
    <row r="89" spans="1:23" ht="9.75" customHeight="1" outlineLevel="1">
      <c r="B89" s="162"/>
      <c r="C89" s="162"/>
      <c r="D89" s="162"/>
      <c r="E89" s="162"/>
      <c r="F89" s="162"/>
      <c r="M89" s="538"/>
    </row>
    <row r="90" spans="1:23" outlineLevel="1">
      <c r="A90" s="145" t="s">
        <v>100</v>
      </c>
      <c r="B90" s="145">
        <f t="shared" ref="B90:J90" si="125">B14</f>
        <v>41000</v>
      </c>
      <c r="C90" s="163">
        <f t="shared" si="125"/>
        <v>55400</v>
      </c>
      <c r="D90" s="163">
        <f t="shared" si="125"/>
        <v>72500</v>
      </c>
      <c r="E90" s="163">
        <f t="shared" si="125"/>
        <v>92300</v>
      </c>
      <c r="F90" s="163">
        <f t="shared" si="125"/>
        <v>117103</v>
      </c>
      <c r="G90" s="163">
        <f t="shared" si="125"/>
        <v>136403</v>
      </c>
      <c r="H90" s="163">
        <f t="shared" si="125"/>
        <v>163404.31873974524</v>
      </c>
      <c r="I90" s="163">
        <f t="shared" si="125"/>
        <v>186955.49333360666</v>
      </c>
      <c r="J90" s="163">
        <f t="shared" si="125"/>
        <v>207219.73046371629</v>
      </c>
      <c r="K90" s="163">
        <f t="shared" ref="K90:L90" si="126">K14</f>
        <v>227009.61336143222</v>
      </c>
      <c r="L90" s="163">
        <f t="shared" si="126"/>
        <v>243213.02331819822</v>
      </c>
      <c r="M90" s="1610">
        <f t="shared" ref="M90:T90" si="127">L90*(1+M91)</f>
        <v>262818.3112629418</v>
      </c>
      <c r="N90" s="163">
        <f>M90*(1+N91)</f>
        <v>284205.84334608587</v>
      </c>
      <c r="O90" s="163">
        <f t="shared" si="127"/>
        <v>307812.20446299529</v>
      </c>
      <c r="P90" s="1610">
        <f t="shared" si="127"/>
        <v>332609.79800951248</v>
      </c>
      <c r="Q90" s="1610">
        <f t="shared" si="127"/>
        <v>358573.58072142111</v>
      </c>
      <c r="R90" s="1610">
        <f t="shared" si="127"/>
        <v>385667.6828025211</v>
      </c>
      <c r="S90" s="1610">
        <f t="shared" si="127"/>
        <v>410952.35974130046</v>
      </c>
      <c r="T90" s="1610">
        <f t="shared" si="127"/>
        <v>433785.19641058467</v>
      </c>
      <c r="V90" s="171"/>
      <c r="W90" s="151"/>
    </row>
    <row r="91" spans="1:23" outlineLevel="1">
      <c r="A91" s="145" t="s">
        <v>107</v>
      </c>
      <c r="C91" s="151">
        <f t="shared" ref="C91:L91" si="128">C90/B90-1</f>
        <v>0.35121951219512204</v>
      </c>
      <c r="D91" s="151">
        <f t="shared" si="128"/>
        <v>0.30866425992779778</v>
      </c>
      <c r="E91" s="151">
        <f t="shared" si="128"/>
        <v>0.27310344827586208</v>
      </c>
      <c r="F91" s="151">
        <f t="shared" si="128"/>
        <v>0.26872156013001081</v>
      </c>
      <c r="G91" s="151">
        <f t="shared" si="128"/>
        <v>0.16481217389819225</v>
      </c>
      <c r="H91" s="151">
        <f t="shared" si="128"/>
        <v>0.19795252846158262</v>
      </c>
      <c r="I91" s="151">
        <f t="shared" si="128"/>
        <v>0.1441282260805572</v>
      </c>
      <c r="J91" s="151">
        <f t="shared" si="128"/>
        <v>0.10839070181238153</v>
      </c>
      <c r="K91" s="151">
        <f t="shared" si="128"/>
        <v>9.5501923747464357E-2</v>
      </c>
      <c r="L91" s="151">
        <f t="shared" si="128"/>
        <v>7.1377637787382264E-2</v>
      </c>
      <c r="M91" s="164">
        <f t="shared" ref="M91:S91" si="129">M15+1%</f>
        <v>8.0609531830430722E-2</v>
      </c>
      <c r="N91" s="164">
        <f t="shared" si="129"/>
        <v>8.1377633013349979E-2</v>
      </c>
      <c r="O91" s="164">
        <f t="shared" ref="O91" si="130">O15+1%</f>
        <v>8.3060787346878259E-2</v>
      </c>
      <c r="P91" s="164">
        <f>P15+1%</f>
        <v>8.0560787346878257E-2</v>
      </c>
      <c r="Q91" s="1946">
        <f t="shared" si="129"/>
        <v>7.8060787346878255E-2</v>
      </c>
      <c r="R91" s="164">
        <f t="shared" si="129"/>
        <v>7.5560787346878253E-2</v>
      </c>
      <c r="S91" s="164">
        <f t="shared" si="129"/>
        <v>6.5560787346878258E-2</v>
      </c>
      <c r="T91" s="164">
        <f t="shared" ref="T91" si="131">T15+1%</f>
        <v>5.5560787346878256E-2</v>
      </c>
    </row>
    <row r="92" spans="1:23" ht="6" customHeight="1" outlineLevel="1">
      <c r="M92" s="538"/>
    </row>
    <row r="93" spans="1:23" hidden="1" outlineLevel="3">
      <c r="A93" s="152" t="s">
        <v>626</v>
      </c>
      <c r="B93" s="165"/>
      <c r="C93" s="165">
        <f>SUM($B87:C87)</f>
        <v>1665.155</v>
      </c>
      <c r="D93" s="165">
        <f>SUM($B87:D87)</f>
        <v>2874.627</v>
      </c>
      <c r="E93" s="165">
        <f>SUM($B87:E87)</f>
        <v>4425.7719999999999</v>
      </c>
      <c r="F93" s="165">
        <f>SUM($B87:F87)</f>
        <v>6552.0060000000003</v>
      </c>
      <c r="G93" s="165">
        <f>SUM($B87:G87)</f>
        <v>9420.8140000000003</v>
      </c>
      <c r="H93" s="165">
        <f>SUM($B87:H87)</f>
        <v>13245.356</v>
      </c>
      <c r="I93" s="165">
        <f>SUM($B87:I87)</f>
        <v>18259.12</v>
      </c>
      <c r="J93" s="165">
        <f>SUM($B87:J87)</f>
        <v>24464.718999999997</v>
      </c>
      <c r="K93" s="165">
        <f>SUM($B87:K87)</f>
        <v>32220.923999999999</v>
      </c>
      <c r="L93" s="165">
        <f>SUM($B87:L87)</f>
        <v>41931.462</v>
      </c>
      <c r="M93" s="1612">
        <f>SUM($B87:M87)</f>
        <v>53925.974256734575</v>
      </c>
      <c r="N93" s="1612">
        <f>SUM($B87:N87)</f>
        <v>68604.643043130229</v>
      </c>
      <c r="O93" s="1612">
        <f>SUM($B87:O87)</f>
        <v>86447.395367593243</v>
      </c>
      <c r="P93" s="1612">
        <f>SUM($B87:P87)</f>
        <v>107912.68478260162</v>
      </c>
      <c r="Q93" s="1612">
        <f>SUM($B87:Q87)</f>
        <v>133537.38893491984</v>
      </c>
      <c r="R93" s="1612">
        <f>SUM($B87:R87)</f>
        <v>163877.41037888217</v>
      </c>
      <c r="S93" s="1612">
        <f>SUM($B87:S87)</f>
        <v>199143.15108069108</v>
      </c>
      <c r="T93" s="1800">
        <f>SUM($B87:T87)</f>
        <v>239377.36206116015</v>
      </c>
    </row>
    <row r="94" spans="1:23" hidden="1" outlineLevel="3">
      <c r="A94" s="166"/>
      <c r="B94" s="167"/>
      <c r="C94" s="168" t="e">
        <f t="shared" ref="C94:T94" si="132">C93/B93-1</f>
        <v>#DIV/0!</v>
      </c>
      <c r="D94" s="168">
        <f t="shared" si="132"/>
        <v>0.72634199218691342</v>
      </c>
      <c r="E94" s="168">
        <f t="shared" si="132"/>
        <v>0.5395987027186484</v>
      </c>
      <c r="F94" s="168">
        <f t="shared" si="132"/>
        <v>0.48042104292765209</v>
      </c>
      <c r="G94" s="168">
        <f t="shared" si="132"/>
        <v>0.43785185788901893</v>
      </c>
      <c r="H94" s="168">
        <f t="shared" si="132"/>
        <v>0.40596725505885156</v>
      </c>
      <c r="I94" s="168">
        <f t="shared" si="132"/>
        <v>0.3785299541967766</v>
      </c>
      <c r="J94" s="168">
        <f t="shared" si="132"/>
        <v>0.33986298353918465</v>
      </c>
      <c r="K94" s="168">
        <f t="shared" si="132"/>
        <v>0.31703634118993973</v>
      </c>
      <c r="L94" s="168">
        <f t="shared" si="132"/>
        <v>0.30137366637902741</v>
      </c>
      <c r="M94" s="1613">
        <f t="shared" si="132"/>
        <v>0.28605041857912261</v>
      </c>
      <c r="N94" s="168">
        <f t="shared" si="132"/>
        <v>0.27220034480067823</v>
      </c>
      <c r="O94" s="168">
        <f t="shared" si="132"/>
        <v>0.26008082737557081</v>
      </c>
      <c r="P94" s="1613">
        <f t="shared" si="132"/>
        <v>0.2483046403391711</v>
      </c>
      <c r="Q94" s="1613">
        <f t="shared" si="132"/>
        <v>0.23745775766714683</v>
      </c>
      <c r="R94" s="1613">
        <f t="shared" si="132"/>
        <v>0.22720244634069253</v>
      </c>
      <c r="S94" s="1613">
        <f t="shared" si="132"/>
        <v>0.2151958626895254</v>
      </c>
      <c r="T94" s="1818">
        <f t="shared" si="132"/>
        <v>0.20203662923946863</v>
      </c>
    </row>
    <row r="95" spans="1:23" ht="13.5" outlineLevel="1" collapsed="1" thickBot="1">
      <c r="A95" s="154" t="s">
        <v>623</v>
      </c>
      <c r="B95" s="155"/>
      <c r="C95" s="155">
        <f t="shared" ref="C95:I95" si="133">C87/C90*1000000</f>
        <v>17772.093862815887</v>
      </c>
      <c r="D95" s="155">
        <f t="shared" si="133"/>
        <v>16682.372413793106</v>
      </c>
      <c r="E95" s="155">
        <f t="shared" si="133"/>
        <v>16805.471289274108</v>
      </c>
      <c r="F95" s="155">
        <f t="shared" si="133"/>
        <v>18156.955842292686</v>
      </c>
      <c r="G95" s="155">
        <f t="shared" si="133"/>
        <v>21031.854138105467</v>
      </c>
      <c r="H95" s="155">
        <f t="shared" si="133"/>
        <v>23405.391176296664</v>
      </c>
      <c r="I95" s="155">
        <f t="shared" si="133"/>
        <v>26817.954961362659</v>
      </c>
      <c r="J95" s="155">
        <f t="shared" ref="J95:K95" si="134">J87/J90*1000000</f>
        <v>29946.950447783671</v>
      </c>
      <c r="K95" s="155">
        <f t="shared" si="134"/>
        <v>34166.857011694025</v>
      </c>
      <c r="L95" s="155">
        <f t="shared" ref="L95" si="135">L87/L90*1000000</f>
        <v>39926.060979455026</v>
      </c>
      <c r="M95" s="1614">
        <f t="shared" ref="M95:T95" si="136">L95*(1+M96)</f>
        <v>45638.038685723179</v>
      </c>
      <c r="N95" s="155">
        <f t="shared" si="136"/>
        <v>51648.018962513015</v>
      </c>
      <c r="O95" s="155">
        <f t="shared" si="136"/>
        <v>57966.357622470532</v>
      </c>
      <c r="P95" s="1614">
        <f t="shared" si="136"/>
        <v>64535.950364259799</v>
      </c>
      <c r="Q95" s="1614">
        <f t="shared" si="136"/>
        <v>71462.889431963733</v>
      </c>
      <c r="R95" s="1614">
        <f t="shared" si="136"/>
        <v>78668.819807486303</v>
      </c>
      <c r="S95" s="1614">
        <f t="shared" si="136"/>
        <v>85814.668941210446</v>
      </c>
      <c r="T95" s="1969">
        <f t="shared" si="136"/>
        <v>92751.46158373449</v>
      </c>
      <c r="V95" s="151"/>
      <c r="W95" s="151"/>
    </row>
    <row r="96" spans="1:23" outlineLevel="1">
      <c r="A96" s="145" t="s">
        <v>107</v>
      </c>
      <c r="C96" s="151" t="e">
        <f t="shared" ref="C96:L96" si="137">C95/B95-1</f>
        <v>#DIV/0!</v>
      </c>
      <c r="D96" s="151">
        <f t="shared" si="137"/>
        <v>-6.1316435611606712E-2</v>
      </c>
      <c r="E96" s="151">
        <f t="shared" si="137"/>
        <v>7.3789789861795629E-3</v>
      </c>
      <c r="F96" s="151">
        <f t="shared" si="137"/>
        <v>8.0419318789419769E-2</v>
      </c>
      <c r="G96" s="151">
        <f t="shared" si="137"/>
        <v>0.15833591934592528</v>
      </c>
      <c r="H96" s="151">
        <f t="shared" si="137"/>
        <v>0.11285438851968954</v>
      </c>
      <c r="I96" s="151">
        <f t="shared" si="137"/>
        <v>0.14580246744698711</v>
      </c>
      <c r="J96" s="151">
        <f t="shared" si="137"/>
        <v>0.11667539493332124</v>
      </c>
      <c r="K96" s="151">
        <f t="shared" si="137"/>
        <v>0.14091273070586263</v>
      </c>
      <c r="L96" s="151">
        <f t="shared" si="137"/>
        <v>0.16856112828258807</v>
      </c>
      <c r="M96" s="1962">
        <f>M20+1%</f>
        <v>0.14306389275935327</v>
      </c>
      <c r="N96" s="1962">
        <f>N20+1%</f>
        <v>0.13168796139939998</v>
      </c>
      <c r="O96" s="220">
        <f>O20+0.9%</f>
        <v>0.12233457907734013</v>
      </c>
      <c r="P96" s="220">
        <f>P20+0.5%</f>
        <v>0.11333457907734013</v>
      </c>
      <c r="Q96" s="220">
        <f>Q20+0.4%</f>
        <v>0.10733457907734012</v>
      </c>
      <c r="R96" s="220">
        <f>R20+0.25%</f>
        <v>0.10083457907734011</v>
      </c>
      <c r="S96" s="220">
        <f t="shared" ref="S96:T96" si="138">S20+0.25%</f>
        <v>9.0834579077340119E-2</v>
      </c>
      <c r="T96" s="220">
        <f t="shared" si="138"/>
        <v>8.0834579077340124E-2</v>
      </c>
    </row>
    <row r="97" spans="1:26" ht="7.5" customHeight="1" outlineLevel="1">
      <c r="M97" s="538"/>
    </row>
    <row r="98" spans="1:26" outlineLevel="1">
      <c r="A98" s="158" t="s">
        <v>169</v>
      </c>
      <c r="B98" s="159">
        <f t="shared" ref="B98:J98" si="139">B22</f>
        <v>68.119</v>
      </c>
      <c r="C98" s="159">
        <f t="shared" si="139"/>
        <v>92.194999999999993</v>
      </c>
      <c r="D98" s="159">
        <f t="shared" si="139"/>
        <v>96.111000000000004</v>
      </c>
      <c r="E98" s="159">
        <f t="shared" si="139"/>
        <v>105.994</v>
      </c>
      <c r="F98" s="159">
        <f t="shared" si="139"/>
        <v>140.30500000000001</v>
      </c>
      <c r="G98" s="160">
        <f t="shared" si="139"/>
        <v>181.387</v>
      </c>
      <c r="H98" s="160">
        <f t="shared" si="139"/>
        <v>246.46100000000001</v>
      </c>
      <c r="I98" s="160">
        <f t="shared" si="139"/>
        <v>359.82200000000006</v>
      </c>
      <c r="J98" s="160">
        <f t="shared" si="139"/>
        <v>461.61700000000002</v>
      </c>
      <c r="K98" s="160">
        <f t="shared" ref="K98:L98" si="140">K22</f>
        <v>635.779</v>
      </c>
      <c r="L98" s="160">
        <f t="shared" si="140"/>
        <v>769.47399999999993</v>
      </c>
      <c r="M98" s="1624">
        <f>M87*M101</f>
        <v>880.67316375578389</v>
      </c>
      <c r="N98" s="160">
        <f t="shared" ref="N98:S98" si="141">N87*N101</f>
        <v>1063.0733400608276</v>
      </c>
      <c r="O98" s="160">
        <f t="shared" ref="O98" si="142">O87*O101</f>
        <v>1274.383033642237</v>
      </c>
      <c r="P98" s="1624">
        <f t="shared" si="141"/>
        <v>1511.6502381262421</v>
      </c>
      <c r="Q98" s="1624">
        <f t="shared" si="141"/>
        <v>1778.9440293436635</v>
      </c>
      <c r="R98" s="1624">
        <f t="shared" si="141"/>
        <v>2075.9555157481259</v>
      </c>
      <c r="S98" s="1624">
        <f t="shared" si="141"/>
        <v>2377.7223009210907</v>
      </c>
      <c r="T98" s="1624">
        <f t="shared" ref="T98" si="143">T87*T101</f>
        <v>2672.4772989558141</v>
      </c>
    </row>
    <row r="99" spans="1:26" outlineLevel="1">
      <c r="A99" s="158" t="s">
        <v>107</v>
      </c>
      <c r="B99" s="159"/>
      <c r="C99" s="161">
        <f t="shared" ref="C99:T99" si="144">C98/B98-1</f>
        <v>0.35344030299916307</v>
      </c>
      <c r="D99" s="161">
        <f t="shared" si="144"/>
        <v>4.2475188459244029E-2</v>
      </c>
      <c r="E99" s="161">
        <f t="shared" si="144"/>
        <v>0.1028290206115845</v>
      </c>
      <c r="F99" s="161">
        <f t="shared" si="144"/>
        <v>0.32370700228314808</v>
      </c>
      <c r="G99" s="161">
        <f t="shared" si="144"/>
        <v>0.29280496062150307</v>
      </c>
      <c r="H99" s="161">
        <f t="shared" si="144"/>
        <v>0.35875779410872899</v>
      </c>
      <c r="I99" s="161">
        <f t="shared" si="144"/>
        <v>0.45995512474590328</v>
      </c>
      <c r="J99" s="161">
        <f t="shared" si="144"/>
        <v>0.2829037690858256</v>
      </c>
      <c r="K99" s="161">
        <f t="shared" si="144"/>
        <v>0.37728679836314516</v>
      </c>
      <c r="L99" s="161">
        <f t="shared" si="144"/>
        <v>0.21028533499848212</v>
      </c>
      <c r="M99" s="1609">
        <f t="shared" si="144"/>
        <v>0.14451321780304993</v>
      </c>
      <c r="N99" s="161">
        <f t="shared" si="144"/>
        <v>0.20711449356213651</v>
      </c>
      <c r="O99" s="161">
        <f t="shared" si="144"/>
        <v>0.19877245117380005</v>
      </c>
      <c r="P99" s="1609">
        <f t="shared" si="144"/>
        <v>0.18618201766692244</v>
      </c>
      <c r="Q99" s="1609">
        <f t="shared" si="144"/>
        <v>0.17682251123695392</v>
      </c>
      <c r="R99" s="1609">
        <f t="shared" si="144"/>
        <v>0.16695943295868831</v>
      </c>
      <c r="S99" s="1609">
        <f t="shared" si="144"/>
        <v>0.14536283792392113</v>
      </c>
      <c r="T99" s="1609">
        <f t="shared" si="144"/>
        <v>0.12396527463301332</v>
      </c>
    </row>
    <row r="100" spans="1:26" ht="4.5" customHeight="1" outlineLevel="1" thickBot="1">
      <c r="M100" s="538"/>
    </row>
    <row r="101" spans="1:26" hidden="1" outlineLevel="2">
      <c r="A101" s="145" t="s">
        <v>624</v>
      </c>
      <c r="B101" s="171">
        <f t="shared" ref="B101:G101" si="145">B98/B87</f>
        <v>0.10008948236874084</v>
      </c>
      <c r="C101" s="171">
        <f t="shared" si="145"/>
        <v>9.3639482659505516E-2</v>
      </c>
      <c r="D101" s="171">
        <f t="shared" si="145"/>
        <v>7.946525425971003E-2</v>
      </c>
      <c r="E101" s="171">
        <f t="shared" si="145"/>
        <v>6.8332747744408159E-2</v>
      </c>
      <c r="F101" s="171">
        <f t="shared" si="145"/>
        <v>6.5987562986952505E-2</v>
      </c>
      <c r="G101" s="171">
        <f t="shared" si="145"/>
        <v>6.3227305556872407E-2</v>
      </c>
      <c r="H101" s="171">
        <f t="shared" ref="H101:J101" si="146">H98/H103</f>
        <v>6.0540608788546696E-2</v>
      </c>
      <c r="I101" s="171">
        <f t="shared" si="146"/>
        <v>6.6961243385701849E-2</v>
      </c>
      <c r="J101" s="171">
        <f t="shared" si="146"/>
        <v>6.923684488398156E-2</v>
      </c>
      <c r="K101" s="171">
        <f t="shared" ref="K101:L101" si="147">K98/K103</f>
        <v>7.5760273136841055E-2</v>
      </c>
      <c r="L101" s="171">
        <f t="shared" si="147"/>
        <v>7.3423007530907414E-2</v>
      </c>
      <c r="M101" s="1617">
        <f>L101+0%</f>
        <v>7.3423007530907414E-2</v>
      </c>
      <c r="N101" s="172">
        <f t="shared" ref="N101:T101" si="148">M101-0.1%</f>
        <v>7.2423007530907413E-2</v>
      </c>
      <c r="O101" s="172">
        <f t="shared" si="148"/>
        <v>7.1423007530907412E-2</v>
      </c>
      <c r="P101" s="1617">
        <f t="shared" si="148"/>
        <v>7.0423007530907411E-2</v>
      </c>
      <c r="Q101" s="1617">
        <f t="shared" si="148"/>
        <v>6.942300753090741E-2</v>
      </c>
      <c r="R101" s="1617">
        <f t="shared" si="148"/>
        <v>6.8423007530907409E-2</v>
      </c>
      <c r="S101" s="1617">
        <f t="shared" si="148"/>
        <v>6.7423007530907408E-2</v>
      </c>
      <c r="T101" s="1617">
        <f t="shared" si="148"/>
        <v>6.6423007530907408E-2</v>
      </c>
    </row>
    <row r="102" spans="1:26" ht="13.5" hidden="1" outlineLevel="2" thickBot="1">
      <c r="M102" s="538"/>
    </row>
    <row r="103" spans="1:26" outlineLevel="1" collapsed="1">
      <c r="A103" s="173" t="s">
        <v>91</v>
      </c>
      <c r="B103" s="174">
        <f t="shared" ref="B103:M103" si="149">B87+B98</f>
        <v>748.69999999999993</v>
      </c>
      <c r="C103" s="174">
        <f t="shared" si="149"/>
        <v>1076.769</v>
      </c>
      <c r="D103" s="174">
        <f t="shared" si="149"/>
        <v>1305.5830000000001</v>
      </c>
      <c r="E103" s="174">
        <f t="shared" si="149"/>
        <v>1657.1389999999999</v>
      </c>
      <c r="F103" s="174">
        <f t="shared" si="149"/>
        <v>2266.5390000000002</v>
      </c>
      <c r="G103" s="174">
        <f t="shared" si="149"/>
        <v>3050.1950000000002</v>
      </c>
      <c r="H103" s="174">
        <f t="shared" si="149"/>
        <v>4071.0030000000006</v>
      </c>
      <c r="I103" s="174">
        <f t="shared" si="149"/>
        <v>5373.5860000000002</v>
      </c>
      <c r="J103" s="174">
        <f t="shared" si="149"/>
        <v>6667.2160000000003</v>
      </c>
      <c r="K103" s="174">
        <f t="shared" ref="K103:L103" si="150">K87+K98</f>
        <v>8391.9840000000004</v>
      </c>
      <c r="L103" s="174">
        <f t="shared" si="150"/>
        <v>10480.011999999999</v>
      </c>
      <c r="M103" s="174">
        <f t="shared" si="149"/>
        <v>12875.185420490358</v>
      </c>
      <c r="N103" s="174">
        <f t="shared" ref="N103:S103" si="151">N87+N98</f>
        <v>15741.742126456475</v>
      </c>
      <c r="O103" s="174">
        <f t="shared" ref="O103" si="152">O87+O98</f>
        <v>19117.135358105243</v>
      </c>
      <c r="P103" s="174">
        <f t="shared" si="151"/>
        <v>22976.939653134621</v>
      </c>
      <c r="Q103" s="174">
        <f t="shared" si="151"/>
        <v>27403.648181661902</v>
      </c>
      <c r="R103" s="174">
        <f t="shared" si="151"/>
        <v>32415.976959710446</v>
      </c>
      <c r="S103" s="174">
        <f t="shared" si="151"/>
        <v>37643.463002730015</v>
      </c>
      <c r="T103" s="175">
        <f t="shared" ref="T103" si="153">T87+T98</f>
        <v>42906.688279424874</v>
      </c>
      <c r="V103" s="151"/>
      <c r="W103" s="151"/>
      <c r="Z103" s="176"/>
    </row>
    <row r="104" spans="1:26" ht="13.5" outlineLevel="1" thickBot="1">
      <c r="A104" s="177"/>
      <c r="B104" s="178"/>
      <c r="C104" s="179">
        <f t="shared" ref="C104:T104" si="154">C103/B103-1</f>
        <v>0.43818485374649407</v>
      </c>
      <c r="D104" s="179">
        <f t="shared" si="154"/>
        <v>0.21250054561377607</v>
      </c>
      <c r="E104" s="179">
        <f t="shared" si="154"/>
        <v>0.26927127574424592</v>
      </c>
      <c r="F104" s="179">
        <f t="shared" si="154"/>
        <v>0.36774223526209959</v>
      </c>
      <c r="G104" s="179">
        <f t="shared" si="154"/>
        <v>0.34575006209908588</v>
      </c>
      <c r="H104" s="179">
        <f t="shared" si="154"/>
        <v>0.33466975062250137</v>
      </c>
      <c r="I104" s="179">
        <f t="shared" si="154"/>
        <v>0.31996611154548393</v>
      </c>
      <c r="J104" s="179">
        <f t="shared" si="154"/>
        <v>0.24073867990574627</v>
      </c>
      <c r="K104" s="179">
        <f t="shared" si="154"/>
        <v>0.25869388362398937</v>
      </c>
      <c r="L104" s="179">
        <f t="shared" si="154"/>
        <v>0.24881219983260205</v>
      </c>
      <c r="M104" s="179">
        <f t="shared" si="154"/>
        <v>0.2285468204130261</v>
      </c>
      <c r="N104" s="179">
        <f t="shared" si="154"/>
        <v>0.22264197464714597</v>
      </c>
      <c r="O104" s="179">
        <f t="shared" si="154"/>
        <v>0.21442310543099863</v>
      </c>
      <c r="P104" s="179">
        <f t="shared" si="154"/>
        <v>0.20190285954076836</v>
      </c>
      <c r="Q104" s="179">
        <f t="shared" si="154"/>
        <v>0.19265875244283759</v>
      </c>
      <c r="R104" s="179">
        <f t="shared" si="154"/>
        <v>0.18290735397058255</v>
      </c>
      <c r="S104" s="179">
        <f t="shared" si="154"/>
        <v>0.16126264062677387</v>
      </c>
      <c r="T104" s="180">
        <f t="shared" si="154"/>
        <v>0.13981777596586031</v>
      </c>
      <c r="V104" s="1598"/>
    </row>
    <row r="105" spans="1:26" ht="3.75" customHeight="1" outlineLevel="1">
      <c r="A105" s="181"/>
      <c r="B105" s="153"/>
      <c r="C105" s="153"/>
      <c r="D105" s="153"/>
      <c r="E105" s="153"/>
      <c r="F105" s="153"/>
      <c r="G105" s="153"/>
      <c r="H105" s="153"/>
      <c r="I105" s="153"/>
      <c r="J105" s="153"/>
      <c r="K105" s="153"/>
      <c r="L105" s="153"/>
      <c r="M105" s="538"/>
    </row>
    <row r="106" spans="1:26" ht="13.5" outlineLevel="1" thickBot="1">
      <c r="A106" s="226" t="s">
        <v>108</v>
      </c>
      <c r="B106" s="170"/>
      <c r="C106" s="170"/>
      <c r="D106" s="170"/>
      <c r="E106" s="170"/>
      <c r="F106" s="170"/>
      <c r="G106" s="170"/>
      <c r="H106" s="170"/>
      <c r="I106" s="170"/>
      <c r="J106" s="170"/>
      <c r="K106" s="170"/>
      <c r="L106" s="170"/>
      <c r="M106" s="1615"/>
    </row>
    <row r="107" spans="1:26" outlineLevel="1">
      <c r="A107" s="223" t="s">
        <v>625</v>
      </c>
      <c r="B107" s="181"/>
      <c r="C107" s="1791">
        <f t="shared" ref="C107:J107" si="155">C112-C109</f>
        <v>139.88849999999999</v>
      </c>
      <c r="D107" s="1791">
        <f t="shared" si="155"/>
        <v>202.6609</v>
      </c>
      <c r="E107" s="1791">
        <f t="shared" si="155"/>
        <v>226.99460000000005</v>
      </c>
      <c r="F107" s="1791">
        <f t="shared" si="155"/>
        <v>247.46150000000009</v>
      </c>
      <c r="G107" s="1791">
        <f t="shared" si="155"/>
        <v>338.67230000000006</v>
      </c>
      <c r="H107" s="1791">
        <f t="shared" si="155"/>
        <v>339.0949</v>
      </c>
      <c r="I107" s="1791">
        <f t="shared" si="155"/>
        <v>538.12280000000021</v>
      </c>
      <c r="J107" s="1791">
        <f t="shared" si="155"/>
        <v>783.84230000000025</v>
      </c>
      <c r="K107" s="1791">
        <f t="shared" ref="K107:L107" si="156">K112-K109</f>
        <v>1046.2940999999992</v>
      </c>
      <c r="L107" s="1791">
        <f t="shared" si="156"/>
        <v>673.24459999999976</v>
      </c>
      <c r="M107" s="1791">
        <f t="shared" ref="M107:S107" si="157">M87*M108</f>
        <v>2143.6693391477656</v>
      </c>
      <c r="N107" s="1791">
        <f t="shared" si="157"/>
        <v>3020.3502972002198</v>
      </c>
      <c r="O107" s="1791">
        <f t="shared" ref="O107" si="158">O87*O108</f>
        <v>4144.2517732638653</v>
      </c>
      <c r="P107" s="1791">
        <f t="shared" si="157"/>
        <v>5457.8777134939264</v>
      </c>
      <c r="Q107" s="1791">
        <f t="shared" si="157"/>
        <v>7053.5912322161876</v>
      </c>
      <c r="R107" s="1791">
        <f t="shared" si="157"/>
        <v>9019.0348144159561</v>
      </c>
      <c r="S107" s="1791">
        <f t="shared" si="157"/>
        <v>11188.594917619466</v>
      </c>
      <c r="T107" s="1793">
        <f t="shared" ref="T107" si="159">T87*T108</f>
        <v>13167.260116118245</v>
      </c>
    </row>
    <row r="108" spans="1:26" outlineLevel="1">
      <c r="A108" s="1796" t="s">
        <v>367</v>
      </c>
      <c r="B108" s="1797"/>
      <c r="C108" s="1798">
        <f t="shared" ref="C108:I108" si="160">C107/C87</f>
        <v>0.14208022962215128</v>
      </c>
      <c r="D108" s="1798">
        <f t="shared" si="160"/>
        <v>0.16756146483754894</v>
      </c>
      <c r="E108" s="1798">
        <f t="shared" si="160"/>
        <v>0.14634002623868178</v>
      </c>
      <c r="F108" s="1798">
        <f t="shared" si="160"/>
        <v>0.11638488520078225</v>
      </c>
      <c r="G108" s="1798">
        <f t="shared" si="160"/>
        <v>0.11805331691768849</v>
      </c>
      <c r="H108" s="1798">
        <f t="shared" si="160"/>
        <v>8.8662877803407564E-2</v>
      </c>
      <c r="I108" s="1798">
        <f t="shared" si="160"/>
        <v>0.10732910444129405</v>
      </c>
      <c r="J108" s="1798">
        <f t="shared" ref="J108:K108" si="161">J107/J87</f>
        <v>0.12631210943536639</v>
      </c>
      <c r="K108" s="1798">
        <f t="shared" si="161"/>
        <v>0.13489768514370096</v>
      </c>
      <c r="L108" s="1798">
        <f t="shared" ref="L108" si="162">L107/L87</f>
        <v>6.9331338799147879E-2</v>
      </c>
      <c r="M108" s="184">
        <f t="shared" ref="M108:S108" si="163">M32</f>
        <v>0.17872084277075603</v>
      </c>
      <c r="N108" s="1814">
        <f t="shared" si="163"/>
        <v>0.20576459222238969</v>
      </c>
      <c r="O108" s="1814">
        <f t="shared" ref="O108" si="164">O32</f>
        <v>0.23226527488037582</v>
      </c>
      <c r="P108" s="1906">
        <f t="shared" si="163"/>
        <v>0.25426527488037581</v>
      </c>
      <c r="Q108" s="1814">
        <f t="shared" si="163"/>
        <v>0.27526527488037583</v>
      </c>
      <c r="R108" s="1814">
        <f t="shared" si="163"/>
        <v>0.29726527488037585</v>
      </c>
      <c r="S108" s="1814">
        <f t="shared" si="163"/>
        <v>0.31726527488037587</v>
      </c>
      <c r="T108" s="1815">
        <f t="shared" ref="T108" si="165">T32</f>
        <v>0.32726527488037588</v>
      </c>
      <c r="V108" s="1598"/>
      <c r="W108" s="1598"/>
    </row>
    <row r="109" spans="1:26" outlineLevel="1">
      <c r="A109" s="225" t="s">
        <v>109</v>
      </c>
      <c r="B109" s="182">
        <f t="shared" ref="B109:S109" si="166">B110*B98</f>
        <v>6.8119000000000005</v>
      </c>
      <c r="C109" s="182">
        <f t="shared" si="166"/>
        <v>9.2195</v>
      </c>
      <c r="D109" s="182">
        <f t="shared" si="166"/>
        <v>9.6111000000000004</v>
      </c>
      <c r="E109" s="182">
        <f t="shared" si="166"/>
        <v>10.599400000000001</v>
      </c>
      <c r="F109" s="182">
        <f t="shared" si="166"/>
        <v>14.030500000000002</v>
      </c>
      <c r="G109" s="182">
        <f t="shared" si="166"/>
        <v>18.1387</v>
      </c>
      <c r="H109" s="182">
        <f t="shared" si="166"/>
        <v>24.646100000000004</v>
      </c>
      <c r="I109" s="182">
        <f t="shared" si="166"/>
        <v>35.982200000000006</v>
      </c>
      <c r="J109" s="182">
        <f t="shared" ref="J109:K109" si="167">J110*J98</f>
        <v>46.161700000000003</v>
      </c>
      <c r="K109" s="182">
        <f t="shared" si="167"/>
        <v>63.5779</v>
      </c>
      <c r="L109" s="182">
        <f t="shared" ref="L109" si="168">L110*L98</f>
        <v>846.42139999999995</v>
      </c>
      <c r="M109" s="182">
        <f t="shared" si="166"/>
        <v>123.29424292580975</v>
      </c>
      <c r="N109" s="182">
        <f t="shared" si="166"/>
        <v>148.83026760851587</v>
      </c>
      <c r="O109" s="182">
        <f t="shared" ref="O109" si="169">O110*O98</f>
        <v>178.41362470991319</v>
      </c>
      <c r="P109" s="182">
        <f t="shared" si="166"/>
        <v>211.63103333767393</v>
      </c>
      <c r="Q109" s="182">
        <f t="shared" si="166"/>
        <v>249.05216410811292</v>
      </c>
      <c r="R109" s="182">
        <f t="shared" si="166"/>
        <v>290.63377220473762</v>
      </c>
      <c r="S109" s="182">
        <f t="shared" si="166"/>
        <v>332.88112212895271</v>
      </c>
      <c r="T109" s="1795">
        <f t="shared" ref="T109" si="170">T110*T98</f>
        <v>374.146821853814</v>
      </c>
    </row>
    <row r="110" spans="1:26" outlineLevel="1">
      <c r="A110" s="1796" t="s">
        <v>110</v>
      </c>
      <c r="B110" s="1798">
        <v>0.1</v>
      </c>
      <c r="C110" s="1798">
        <v>0.1</v>
      </c>
      <c r="D110" s="1798">
        <v>0.1</v>
      </c>
      <c r="E110" s="1798">
        <v>0.1</v>
      </c>
      <c r="F110" s="1798">
        <v>0.1</v>
      </c>
      <c r="G110" s="1798">
        <v>0.1</v>
      </c>
      <c r="H110" s="1798">
        <v>0.1</v>
      </c>
      <c r="I110" s="1798">
        <v>0.1</v>
      </c>
      <c r="J110" s="1798">
        <v>0.1</v>
      </c>
      <c r="K110" s="1798">
        <v>0.1</v>
      </c>
      <c r="L110" s="1798">
        <v>1.1000000000000001</v>
      </c>
      <c r="M110" s="184">
        <f t="shared" ref="M110:S110" si="171">M34</f>
        <v>0.14000000000000001</v>
      </c>
      <c r="N110" s="184">
        <f t="shared" si="171"/>
        <v>0.14000000000000001</v>
      </c>
      <c r="O110" s="184">
        <f t="shared" ref="O110" si="172">O34</f>
        <v>0.14000000000000001</v>
      </c>
      <c r="P110" s="184">
        <f t="shared" si="171"/>
        <v>0.14000000000000001</v>
      </c>
      <c r="Q110" s="184">
        <f t="shared" si="171"/>
        <v>0.14000000000000001</v>
      </c>
      <c r="R110" s="184">
        <f t="shared" si="171"/>
        <v>0.14000000000000001</v>
      </c>
      <c r="S110" s="184">
        <f t="shared" si="171"/>
        <v>0.14000000000000001</v>
      </c>
      <c r="T110" s="1794">
        <f t="shared" ref="T110" si="173">T34</f>
        <v>0.14000000000000001</v>
      </c>
    </row>
    <row r="111" spans="1:26" ht="5.25" customHeight="1" outlineLevel="1">
      <c r="A111" s="166"/>
      <c r="B111" s="170"/>
      <c r="C111" s="170"/>
      <c r="D111" s="170"/>
      <c r="E111" s="170"/>
      <c r="F111" s="170"/>
      <c r="G111" s="170"/>
      <c r="H111" s="170"/>
      <c r="I111" s="170"/>
      <c r="J111" s="170"/>
      <c r="K111" s="170"/>
      <c r="L111" s="170"/>
      <c r="M111" s="1615"/>
      <c r="N111" s="170"/>
      <c r="O111" s="170"/>
      <c r="P111" s="1615"/>
      <c r="Q111" s="1615"/>
      <c r="R111" s="1615"/>
      <c r="S111" s="1615"/>
      <c r="T111" s="1660"/>
    </row>
    <row r="112" spans="1:26" outlineLevel="1">
      <c r="A112" s="225" t="s">
        <v>111</v>
      </c>
      <c r="B112" s="182">
        <f t="shared" ref="B112:J112" si="174">B36</f>
        <v>80.316000000000031</v>
      </c>
      <c r="C112" s="182">
        <f t="shared" si="174"/>
        <v>149.108</v>
      </c>
      <c r="D112" s="182">
        <f t="shared" si="174"/>
        <v>212.27199999999999</v>
      </c>
      <c r="E112" s="182">
        <f t="shared" si="174"/>
        <v>237.59400000000005</v>
      </c>
      <c r="F112" s="182">
        <f t="shared" si="174"/>
        <v>261.49200000000008</v>
      </c>
      <c r="G112" s="182">
        <f t="shared" si="174"/>
        <v>356.81100000000004</v>
      </c>
      <c r="H112" s="182">
        <f t="shared" si="174"/>
        <v>363.74099999999999</v>
      </c>
      <c r="I112" s="182">
        <f t="shared" si="174"/>
        <v>574.10500000000025</v>
      </c>
      <c r="J112" s="182">
        <f t="shared" si="174"/>
        <v>830.00400000000025</v>
      </c>
      <c r="K112" s="182">
        <f t="shared" ref="K112:L112" si="175">K36</f>
        <v>1109.8719999999992</v>
      </c>
      <c r="L112" s="182">
        <f t="shared" si="175"/>
        <v>1519.6659999999997</v>
      </c>
      <c r="M112" s="182">
        <f>M107+M109</f>
        <v>2266.9635820735753</v>
      </c>
      <c r="N112" s="182">
        <f t="shared" ref="N112:S112" si="176">N107+N109</f>
        <v>3169.1805648087357</v>
      </c>
      <c r="O112" s="182">
        <f t="shared" ref="O112" si="177">O107+O109</f>
        <v>4322.6653979737785</v>
      </c>
      <c r="P112" s="182">
        <f t="shared" si="176"/>
        <v>5669.5087468316005</v>
      </c>
      <c r="Q112" s="182">
        <f t="shared" si="176"/>
        <v>7302.6433963243007</v>
      </c>
      <c r="R112" s="182">
        <f t="shared" si="176"/>
        <v>9309.6685866206935</v>
      </c>
      <c r="S112" s="182">
        <f t="shared" si="176"/>
        <v>11521.476039748419</v>
      </c>
      <c r="T112" s="1795">
        <f t="shared" ref="T112" si="178">T107+T109</f>
        <v>13541.406937972059</v>
      </c>
    </row>
    <row r="113" spans="1:23" outlineLevel="1">
      <c r="A113" s="166" t="s">
        <v>112</v>
      </c>
      <c r="B113" s="170"/>
      <c r="C113" s="1669">
        <f t="shared" ref="C113:S113" si="179">C112/C103</f>
        <v>0.13847724070808132</v>
      </c>
      <c r="D113" s="1669">
        <f t="shared" si="179"/>
        <v>0.16258790134369089</v>
      </c>
      <c r="E113" s="1669">
        <f t="shared" si="179"/>
        <v>0.14337602337522687</v>
      </c>
      <c r="F113" s="150">
        <f t="shared" si="179"/>
        <v>0.11537061572732701</v>
      </c>
      <c r="G113" s="150">
        <f t="shared" si="179"/>
        <v>0.11697973408257506</v>
      </c>
      <c r="H113" s="150">
        <f t="shared" si="179"/>
        <v>8.9349234083099402E-2</v>
      </c>
      <c r="I113" s="150">
        <f t="shared" si="179"/>
        <v>0.10683833849500134</v>
      </c>
      <c r="J113" s="150">
        <f t="shared" si="179"/>
        <v>0.12449034199581957</v>
      </c>
      <c r="K113" s="150">
        <f t="shared" ref="K113:L113" si="180">K112/K103</f>
        <v>0.13225382698537069</v>
      </c>
      <c r="L113" s="150">
        <f t="shared" si="180"/>
        <v>0.14500613167236831</v>
      </c>
      <c r="M113" s="110">
        <f t="shared" si="179"/>
        <v>0.17607230560468595</v>
      </c>
      <c r="N113" s="150">
        <f t="shared" si="179"/>
        <v>0.20132336937996392</v>
      </c>
      <c r="O113" s="150">
        <f t="shared" ref="O113" si="181">O112/O103</f>
        <v>0.22611470374618989</v>
      </c>
      <c r="P113" s="110">
        <f t="shared" si="179"/>
        <v>0.24674777548358751</v>
      </c>
      <c r="Q113" s="110">
        <f t="shared" si="179"/>
        <v>0.26648435083950306</v>
      </c>
      <c r="R113" s="110">
        <f t="shared" si="179"/>
        <v>0.28719383031989454</v>
      </c>
      <c r="S113" s="110">
        <f t="shared" si="179"/>
        <v>0.3060684411238373</v>
      </c>
      <c r="T113" s="1973">
        <f t="shared" ref="T113" si="182">T112/T103</f>
        <v>0.31560130788433738</v>
      </c>
    </row>
    <row r="114" spans="1:23" ht="5.25" customHeight="1" outlineLevel="1">
      <c r="A114" s="166"/>
      <c r="B114" s="170"/>
      <c r="C114" s="170"/>
      <c r="D114" s="170"/>
      <c r="E114" s="170"/>
      <c r="F114" s="170"/>
      <c r="G114" s="170"/>
      <c r="H114" s="170"/>
      <c r="I114" s="170"/>
      <c r="J114" s="170"/>
      <c r="K114" s="170"/>
      <c r="L114" s="170"/>
      <c r="M114" s="1615"/>
      <c r="N114" s="170"/>
      <c r="O114" s="170"/>
      <c r="P114" s="1615"/>
      <c r="Q114" s="1615"/>
      <c r="R114" s="1615"/>
      <c r="S114" s="1615"/>
      <c r="T114" s="1660"/>
    </row>
    <row r="115" spans="1:23" outlineLevel="1">
      <c r="A115" s="225" t="s">
        <v>84</v>
      </c>
      <c r="B115" s="182">
        <f t="shared" ref="B115:J115" si="183">B39</f>
        <v>53.949000000000019</v>
      </c>
      <c r="C115" s="182">
        <f t="shared" si="183"/>
        <v>92.239666741991172</v>
      </c>
      <c r="D115" s="182">
        <f t="shared" si="183"/>
        <v>139.17765999999997</v>
      </c>
      <c r="E115" s="182">
        <f t="shared" si="183"/>
        <v>166.10600000000002</v>
      </c>
      <c r="F115" s="182">
        <f t="shared" si="183"/>
        <v>193.60300000000007</v>
      </c>
      <c r="G115" s="182">
        <f t="shared" si="183"/>
        <v>242.55300000000003</v>
      </c>
      <c r="H115" s="182">
        <f t="shared" si="183"/>
        <v>221.85299999999998</v>
      </c>
      <c r="I115" s="182">
        <f t="shared" si="183"/>
        <v>341.58500000000021</v>
      </c>
      <c r="J115" s="182">
        <f t="shared" si="183"/>
        <v>506.78300000000024</v>
      </c>
      <c r="K115" s="182">
        <f t="shared" ref="K115:L115" si="184">K39</f>
        <v>705.22399999999914</v>
      </c>
      <c r="L115" s="182">
        <f t="shared" si="184"/>
        <v>991.33699999999953</v>
      </c>
      <c r="M115" s="182">
        <f>M112*0.79</f>
        <v>1790.9012298381244</v>
      </c>
      <c r="N115" s="182">
        <f t="shared" ref="N115:T115" si="185">N112*0.79</f>
        <v>2503.6526461989015</v>
      </c>
      <c r="O115" s="182">
        <f t="shared" si="185"/>
        <v>3414.9056643992853</v>
      </c>
      <c r="P115" s="182">
        <f t="shared" si="185"/>
        <v>4478.9119099969648</v>
      </c>
      <c r="Q115" s="182">
        <f t="shared" si="185"/>
        <v>5769.0882830961982</v>
      </c>
      <c r="R115" s="182">
        <f t="shared" si="185"/>
        <v>7354.6381834303484</v>
      </c>
      <c r="S115" s="182">
        <f t="shared" si="185"/>
        <v>9101.9660714012516</v>
      </c>
      <c r="T115" s="1795">
        <f t="shared" si="185"/>
        <v>10697.711480997927</v>
      </c>
    </row>
    <row r="116" spans="1:23" ht="9.75" customHeight="1" outlineLevel="1" thickBot="1">
      <c r="A116" s="154"/>
      <c r="B116" s="1792"/>
      <c r="C116" s="1792"/>
      <c r="D116" s="1792"/>
      <c r="E116" s="1792"/>
      <c r="F116" s="1792"/>
      <c r="G116" s="1792"/>
      <c r="H116" s="1792"/>
      <c r="I116" s="1792"/>
      <c r="J116" s="1792"/>
      <c r="K116" s="1792"/>
      <c r="L116" s="1792"/>
      <c r="M116" s="1799"/>
      <c r="N116" s="1792"/>
      <c r="O116" s="1792"/>
      <c r="P116" s="1799"/>
      <c r="Q116" s="1799"/>
      <c r="R116" s="1799"/>
      <c r="S116" s="1799"/>
      <c r="T116" s="1975"/>
    </row>
    <row r="117" spans="1:23" outlineLevel="1">
      <c r="A117" s="173" t="s">
        <v>125</v>
      </c>
      <c r="B117" s="185">
        <f t="shared" ref="B117:J117" si="186">B60</f>
        <v>160.66500000000005</v>
      </c>
      <c r="C117" s="185">
        <f t="shared" si="186"/>
        <v>165.78300000000007</v>
      </c>
      <c r="D117" s="185">
        <f t="shared" si="186"/>
        <v>215.63900000000007</v>
      </c>
      <c r="E117" s="185">
        <f t="shared" si="186"/>
        <v>89.673999999999864</v>
      </c>
      <c r="F117" s="185">
        <f t="shared" si="186"/>
        <v>420.88700000000011</v>
      </c>
      <c r="G117" s="185">
        <f t="shared" si="186"/>
        <v>552.8811806959086</v>
      </c>
      <c r="H117" s="185">
        <f t="shared" si="186"/>
        <v>593.37665011161448</v>
      </c>
      <c r="I117" s="185">
        <f t="shared" si="186"/>
        <v>906.23176650960954</v>
      </c>
      <c r="J117" s="185">
        <f t="shared" si="186"/>
        <v>1356.8254350112404</v>
      </c>
      <c r="K117" s="185">
        <f t="shared" ref="K117:L117" si="187">K60</f>
        <v>1714.4334789869367</v>
      </c>
      <c r="L117" s="185">
        <f t="shared" si="187"/>
        <v>2208.0509199927565</v>
      </c>
      <c r="M117" s="185">
        <f>M103*M119</f>
        <v>3054.9790506500126</v>
      </c>
      <c r="N117" s="185">
        <f t="shared" ref="N117:S117" si="188">N103*N119</f>
        <v>3994.615975661417</v>
      </c>
      <c r="O117" s="185">
        <f t="shared" ref="O117" si="189">O103*O119</f>
        <v>5168.8527203453923</v>
      </c>
      <c r="P117" s="185">
        <f t="shared" si="188"/>
        <v>6718.3253987228072</v>
      </c>
      <c r="Q117" s="185">
        <f t="shared" si="188"/>
        <v>8189.1704655528692</v>
      </c>
      <c r="R117" s="185">
        <f t="shared" si="188"/>
        <v>9882.248626255865</v>
      </c>
      <c r="S117" s="185">
        <f t="shared" si="188"/>
        <v>12268.367006071439</v>
      </c>
      <c r="T117" s="185">
        <f t="shared" ref="T117" si="190">T103*T119</f>
        <v>15132.831891520029</v>
      </c>
      <c r="V117" s="1598"/>
      <c r="W117" s="151"/>
    </row>
    <row r="118" spans="1:23" outlineLevel="1">
      <c r="A118" s="186" t="s">
        <v>870</v>
      </c>
      <c r="B118" s="187"/>
      <c r="C118" s="187"/>
      <c r="D118" s="188"/>
      <c r="E118" s="188"/>
      <c r="F118" s="188"/>
      <c r="G118" s="189">
        <f t="shared" ref="G118:T118" si="191">G117/F117-1</f>
        <v>0.31360954530766794</v>
      </c>
      <c r="H118" s="189">
        <f t="shared" si="191"/>
        <v>7.3244434481807508E-2</v>
      </c>
      <c r="I118" s="189">
        <f t="shared" si="191"/>
        <v>0.52724541206524878</v>
      </c>
      <c r="J118" s="189">
        <f t="shared" si="191"/>
        <v>0.4972168104822805</v>
      </c>
      <c r="K118" s="189">
        <f t="shared" si="191"/>
        <v>0.26356230856826013</v>
      </c>
      <c r="L118" s="189">
        <f t="shared" si="191"/>
        <v>0.28791868979221036</v>
      </c>
      <c r="M118" s="189">
        <f t="shared" si="191"/>
        <v>0.38356367735397812</v>
      </c>
      <c r="N118" s="189">
        <f t="shared" si="191"/>
        <v>0.30757557071020702</v>
      </c>
      <c r="O118" s="189">
        <f t="shared" si="191"/>
        <v>0.29395485118930575</v>
      </c>
      <c r="P118" s="189">
        <f t="shared" si="191"/>
        <v>0.2997711024495735</v>
      </c>
      <c r="Q118" s="189">
        <f t="shared" si="191"/>
        <v>0.21893031068570723</v>
      </c>
      <c r="R118" s="189">
        <f t="shared" si="191"/>
        <v>0.20674599067448929</v>
      </c>
      <c r="S118" s="189">
        <f t="shared" si="191"/>
        <v>0.24145500382129259</v>
      </c>
      <c r="T118" s="189">
        <f t="shared" si="191"/>
        <v>0.23348379487107018</v>
      </c>
    </row>
    <row r="119" spans="1:23" ht="13.5" outlineLevel="1" thickBot="1">
      <c r="A119" s="190" t="s">
        <v>113</v>
      </c>
      <c r="B119" s="191"/>
      <c r="C119" s="191"/>
      <c r="D119" s="109">
        <f t="shared" ref="D119:I119" si="192">D117/D103</f>
        <v>0.16516682585480974</v>
      </c>
      <c r="E119" s="109">
        <f t="shared" si="192"/>
        <v>5.4113746644065389E-2</v>
      </c>
      <c r="F119" s="109">
        <f t="shared" si="192"/>
        <v>0.1856959002249686</v>
      </c>
      <c r="G119" s="109">
        <f t="shared" si="192"/>
        <v>0.18126092944743158</v>
      </c>
      <c r="H119" s="109">
        <f t="shared" si="192"/>
        <v>0.14575686878924293</v>
      </c>
      <c r="I119" s="109">
        <f t="shared" si="192"/>
        <v>0.16864562445071307</v>
      </c>
      <c r="J119" s="109">
        <f t="shared" ref="J119:K119" si="193">J117/J103</f>
        <v>0.20350704627107333</v>
      </c>
      <c r="K119" s="109">
        <f t="shared" si="193"/>
        <v>0.20429417870517111</v>
      </c>
      <c r="L119" s="109">
        <f t="shared" ref="L119" si="194">L117/L103</f>
        <v>0.21069164042872821</v>
      </c>
      <c r="M119" s="1836">
        <f t="shared" ref="M119:T119" si="195">M62+(M113-M37)</f>
        <v>0.23727650910472575</v>
      </c>
      <c r="N119" s="1836">
        <f t="shared" si="195"/>
        <v>0.25375945963108087</v>
      </c>
      <c r="O119" s="1836">
        <f t="shared" si="195"/>
        <v>0.27037799458557021</v>
      </c>
      <c r="P119" s="1836">
        <f t="shared" si="195"/>
        <v>0.29239426573530919</v>
      </c>
      <c r="Q119" s="1836">
        <f t="shared" si="195"/>
        <v>0.29883504602255606</v>
      </c>
      <c r="R119" s="1836">
        <f t="shared" si="195"/>
        <v>0.30485734360369365</v>
      </c>
      <c r="S119" s="1836">
        <f t="shared" si="195"/>
        <v>0.32590962752767194</v>
      </c>
      <c r="T119" s="1836">
        <f t="shared" si="195"/>
        <v>0.3526916781124938</v>
      </c>
    </row>
    <row r="120" spans="1:23" ht="5.25" customHeight="1" outlineLevel="1">
      <c r="L120" s="1615"/>
      <c r="M120" s="538"/>
    </row>
    <row r="121" spans="1:23" outlineLevel="1">
      <c r="A121" s="193" t="s">
        <v>114</v>
      </c>
      <c r="B121" s="194"/>
      <c r="C121" s="194"/>
      <c r="D121" s="194"/>
      <c r="E121" s="194"/>
      <c r="F121" s="194"/>
      <c r="G121" s="194"/>
      <c r="H121" s="194"/>
      <c r="I121" s="194"/>
      <c r="J121" s="194"/>
      <c r="K121" s="194"/>
      <c r="L121" s="194"/>
      <c r="M121" s="195"/>
      <c r="N121" s="195"/>
      <c r="O121" s="195"/>
      <c r="P121" s="195"/>
      <c r="Q121" s="195"/>
      <c r="R121" s="1917">
        <v>21.5</v>
      </c>
    </row>
    <row r="122" spans="1:23" outlineLevel="1">
      <c r="A122" s="196" t="s">
        <v>115</v>
      </c>
      <c r="B122" s="170"/>
      <c r="C122" s="170"/>
      <c r="D122" s="170"/>
      <c r="E122" s="170"/>
      <c r="F122" s="170"/>
      <c r="G122" s="170"/>
      <c r="H122" s="170"/>
      <c r="I122" s="170"/>
      <c r="J122" s="170"/>
      <c r="K122" s="170"/>
      <c r="L122" s="197"/>
      <c r="M122" s="198"/>
      <c r="N122" s="198"/>
      <c r="O122" s="198"/>
      <c r="P122" s="1615"/>
      <c r="Q122" s="1615"/>
      <c r="R122" s="1918">
        <f>_WACC</f>
        <v>9.7388373722812893E-2</v>
      </c>
      <c r="S122" s="1976"/>
    </row>
    <row r="123" spans="1:23" outlineLevel="1">
      <c r="A123" s="199" t="s">
        <v>116</v>
      </c>
      <c r="B123" s="146"/>
      <c r="C123" s="146"/>
      <c r="D123" s="146"/>
      <c r="E123" s="146"/>
      <c r="F123" s="146"/>
      <c r="G123" s="200"/>
      <c r="H123" s="234"/>
      <c r="I123" s="1621"/>
      <c r="J123" s="1621"/>
      <c r="K123" s="1621"/>
      <c r="L123" s="1621">
        <f t="shared" ref="L123:P123" si="196">M123/(1+$R122)</f>
        <v>121655.60068863272</v>
      </c>
      <c r="M123" s="1621">
        <f t="shared" si="196"/>
        <v>133503.44179397059</v>
      </c>
      <c r="N123" s="1621">
        <f t="shared" si="196"/>
        <v>146505.12487668361</v>
      </c>
      <c r="O123" s="1621">
        <f t="shared" si="196"/>
        <v>160773.02073048145</v>
      </c>
      <c r="P123" s="1621">
        <f t="shared" si="196"/>
        <v>176430.44375792713</v>
      </c>
      <c r="Q123" s="1621">
        <f>R123/(1+$R122)</f>
        <v>193612.71775070587</v>
      </c>
      <c r="R123" s="1919">
        <f>(R117)*R121</f>
        <v>212468.34546450109</v>
      </c>
      <c r="S123" s="1976"/>
    </row>
    <row r="124" spans="1:23" ht="4.5" customHeight="1" outlineLevel="1">
      <c r="L124" s="1615"/>
      <c r="M124" s="538"/>
    </row>
    <row r="125" spans="1:23" outlineLevel="1">
      <c r="A125" s="145" t="s">
        <v>117</v>
      </c>
      <c r="G125" s="162"/>
      <c r="H125" s="162"/>
      <c r="I125" s="162"/>
      <c r="J125" s="162"/>
      <c r="K125" s="162"/>
      <c r="L125" s="1622">
        <f>L123/L103</f>
        <v>11.608345552336461</v>
      </c>
      <c r="M125" s="1622">
        <f t="shared" ref="M125:Q125" si="197">M123/M103</f>
        <v>10.369050031815856</v>
      </c>
      <c r="N125" s="1622">
        <f t="shared" si="197"/>
        <v>9.3067923295769592</v>
      </c>
      <c r="O125" s="1622">
        <f t="shared" ref="O125" si="198">O123/O103</f>
        <v>8.4098907979075044</v>
      </c>
      <c r="P125" s="1622">
        <f t="shared" si="197"/>
        <v>7.6785875935334875</v>
      </c>
      <c r="Q125" s="1622">
        <f t="shared" si="197"/>
        <v>7.0652168816073369</v>
      </c>
      <c r="R125" s="1622">
        <f>R123/R103</f>
        <v>6.5544328874794138</v>
      </c>
    </row>
    <row r="126" spans="1:23" ht="3" customHeight="1" outlineLevel="1">
      <c r="L126" s="538"/>
      <c r="M126" s="538"/>
    </row>
    <row r="127" spans="1:23" ht="15.75" outlineLevel="1" thickBot="1">
      <c r="A127" s="201" t="s">
        <v>9</v>
      </c>
      <c r="B127" s="201"/>
      <c r="C127" s="201"/>
      <c r="D127" s="201"/>
      <c r="E127" s="201"/>
      <c r="F127" s="201"/>
      <c r="G127" s="201"/>
      <c r="H127" s="202"/>
      <c r="I127" s="203"/>
      <c r="J127" s="202"/>
      <c r="K127" s="202"/>
      <c r="L127" s="202">
        <f>L71</f>
        <v>3479.4900000000007</v>
      </c>
      <c r="M127" s="202">
        <f>M71</f>
        <v>3479.4900000000007</v>
      </c>
      <c r="N127" s="202">
        <f>N71</f>
        <v>3479.4900000000007</v>
      </c>
      <c r="O127" s="1752"/>
      <c r="P127" s="1977"/>
      <c r="Q127" s="1977"/>
      <c r="R127" s="1620"/>
      <c r="V127" s="538"/>
      <c r="W127" s="538"/>
    </row>
    <row r="128" spans="1:23" ht="15.75" outlineLevel="1" thickBot="1">
      <c r="A128" s="205" t="s">
        <v>137</v>
      </c>
      <c r="B128" s="206"/>
      <c r="C128" s="206"/>
      <c r="D128" s="206"/>
      <c r="E128" s="206"/>
      <c r="F128" s="206"/>
      <c r="G128" s="206"/>
      <c r="H128" s="537"/>
      <c r="I128" s="537"/>
      <c r="J128" s="1963"/>
      <c r="K128" s="1916"/>
      <c r="L128" s="1916">
        <f>(L123+L127)/($P$73)</f>
        <v>148.02746748145537</v>
      </c>
      <c r="M128" s="1916">
        <f>(M123+M127)/($P$73)</f>
        <v>162.04276810012641</v>
      </c>
      <c r="N128" s="207">
        <f>(N123+N127)/($P$73)</f>
        <v>177.42299605328617</v>
      </c>
      <c r="O128" s="1859"/>
      <c r="P128" s="1979"/>
      <c r="Q128" s="1979"/>
      <c r="R128" s="1980"/>
      <c r="V128" s="204"/>
    </row>
    <row r="129" spans="1:23">
      <c r="L129" s="538"/>
      <c r="M129" s="538"/>
      <c r="P129" s="1978"/>
      <c r="Q129" s="1978"/>
      <c r="W129" s="538"/>
    </row>
    <row r="130" spans="1:23" outlineLevel="1">
      <c r="A130" s="147" t="s">
        <v>622</v>
      </c>
      <c r="B130" s="148"/>
      <c r="C130" s="148"/>
      <c r="D130" s="148"/>
      <c r="E130" s="148"/>
      <c r="F130" s="148"/>
      <c r="G130" s="157"/>
      <c r="H130" s="157"/>
      <c r="I130" s="157"/>
      <c r="J130" s="148"/>
      <c r="K130" s="148"/>
      <c r="L130" s="148"/>
      <c r="M130" s="148"/>
      <c r="N130" s="148"/>
      <c r="O130" s="148"/>
      <c r="P130" s="148"/>
      <c r="Q130" s="148"/>
      <c r="R130" s="148"/>
      <c r="S130" s="148"/>
      <c r="T130" s="148"/>
      <c r="W130" s="539"/>
    </row>
    <row r="131" spans="1:23" outlineLevel="1">
      <c r="A131" s="158" t="s">
        <v>501</v>
      </c>
      <c r="B131" s="159">
        <f t="shared" ref="B131:H131" si="199">B87</f>
        <v>680.5809999999999</v>
      </c>
      <c r="C131" s="159">
        <f t="shared" si="199"/>
        <v>984.57400000000007</v>
      </c>
      <c r="D131" s="159">
        <f t="shared" si="199"/>
        <v>1209.472</v>
      </c>
      <c r="E131" s="159">
        <f t="shared" si="199"/>
        <v>1551.145</v>
      </c>
      <c r="F131" s="159">
        <f t="shared" si="199"/>
        <v>2126.2340000000004</v>
      </c>
      <c r="G131" s="159">
        <f t="shared" si="199"/>
        <v>2868.808</v>
      </c>
      <c r="H131" s="159">
        <f t="shared" si="199"/>
        <v>3824.5420000000004</v>
      </c>
      <c r="I131" s="159">
        <f t="shared" ref="I131:J131" si="200">I87</f>
        <v>5013.7640000000001</v>
      </c>
      <c r="J131" s="159">
        <f t="shared" si="200"/>
        <v>6205.5990000000002</v>
      </c>
      <c r="K131" s="159">
        <f t="shared" ref="K131:L131" si="201">K87</f>
        <v>7756.2049999999999</v>
      </c>
      <c r="L131" s="159">
        <f t="shared" si="201"/>
        <v>9710.5379999999986</v>
      </c>
      <c r="M131" s="1623">
        <f>M134*M139/1000000</f>
        <v>11566.535166153191</v>
      </c>
      <c r="N131" s="159">
        <f t="shared" ref="N131:S131" si="202">N134*N139/1000000</f>
        <v>13541.280329646701</v>
      </c>
      <c r="O131" s="159">
        <f t="shared" ref="O131" si="203">O134*O139/1000000</f>
        <v>15621.994908760633</v>
      </c>
      <c r="P131" s="1623">
        <f t="shared" si="202"/>
        <v>17854.962745717512</v>
      </c>
      <c r="Q131" s="1623">
        <f t="shared" si="202"/>
        <v>20216.597808302329</v>
      </c>
      <c r="R131" s="1623">
        <f t="shared" si="202"/>
        <v>22565.894204566121</v>
      </c>
      <c r="S131" s="1623">
        <f t="shared" si="202"/>
        <v>24713.419883027247</v>
      </c>
      <c r="T131" s="2003">
        <f t="shared" ref="T131" si="204">T134*T139/1000000</f>
        <v>26550.305015357142</v>
      </c>
    </row>
    <row r="132" spans="1:23" outlineLevel="1">
      <c r="A132" s="158" t="s">
        <v>107</v>
      </c>
      <c r="B132" s="160"/>
      <c r="C132" s="161">
        <f t="shared" ref="C132:T132" si="205">C131/B131-1</f>
        <v>0.44666689196436615</v>
      </c>
      <c r="D132" s="161">
        <f t="shared" si="205"/>
        <v>0.22842163209672406</v>
      </c>
      <c r="E132" s="161">
        <f t="shared" si="205"/>
        <v>0.28249765186792253</v>
      </c>
      <c r="F132" s="161">
        <f t="shared" si="205"/>
        <v>0.37075128372911648</v>
      </c>
      <c r="G132" s="161">
        <f t="shared" si="205"/>
        <v>0.34924378031768821</v>
      </c>
      <c r="H132" s="161">
        <f t="shared" si="205"/>
        <v>0.33314672853673044</v>
      </c>
      <c r="I132" s="161">
        <f t="shared" si="205"/>
        <v>0.3109449445188468</v>
      </c>
      <c r="J132" s="161">
        <f t="shared" si="205"/>
        <v>0.23771262468676224</v>
      </c>
      <c r="K132" s="161">
        <f t="shared" si="205"/>
        <v>0.2498720913162451</v>
      </c>
      <c r="L132" s="161">
        <f t="shared" si="205"/>
        <v>0.25197026122955735</v>
      </c>
      <c r="M132" s="1609">
        <f t="shared" si="205"/>
        <v>0.19113226951515894</v>
      </c>
      <c r="N132" s="161">
        <f t="shared" si="205"/>
        <v>0.17072918857084773</v>
      </c>
      <c r="O132" s="161">
        <f t="shared" si="205"/>
        <v>0.15365715268138302</v>
      </c>
      <c r="P132" s="1609">
        <f t="shared" si="205"/>
        <v>0.14293743212684418</v>
      </c>
      <c r="Q132" s="1609">
        <f t="shared" si="205"/>
        <v>0.13226771157230521</v>
      </c>
      <c r="R132" s="1609">
        <f t="shared" si="205"/>
        <v>0.11620631812238003</v>
      </c>
      <c r="S132" s="1609">
        <f t="shared" si="205"/>
        <v>9.5166877013301843E-2</v>
      </c>
      <c r="T132" s="1609">
        <f t="shared" si="205"/>
        <v>7.4327435904224526E-2</v>
      </c>
    </row>
    <row r="133" spans="1:23" ht="9.75" customHeight="1" outlineLevel="1">
      <c r="B133" s="162"/>
      <c r="C133" s="162"/>
      <c r="D133" s="162"/>
      <c r="E133" s="162"/>
      <c r="F133" s="162"/>
      <c r="M133" s="538"/>
    </row>
    <row r="134" spans="1:23" outlineLevel="1">
      <c r="A134" s="145" t="s">
        <v>100</v>
      </c>
      <c r="B134" s="145">
        <f t="shared" ref="B134:H134" si="206">B90</f>
        <v>41000</v>
      </c>
      <c r="C134" s="163">
        <f t="shared" si="206"/>
        <v>55400</v>
      </c>
      <c r="D134" s="163">
        <f t="shared" si="206"/>
        <v>72500</v>
      </c>
      <c r="E134" s="163">
        <f t="shared" si="206"/>
        <v>92300</v>
      </c>
      <c r="F134" s="163">
        <f t="shared" si="206"/>
        <v>117103</v>
      </c>
      <c r="G134" s="163">
        <f t="shared" si="206"/>
        <v>136403</v>
      </c>
      <c r="H134" s="163">
        <f t="shared" si="206"/>
        <v>163404.31873974524</v>
      </c>
      <c r="I134" s="163">
        <f t="shared" ref="I134:J134" si="207">I90</f>
        <v>186955.49333360666</v>
      </c>
      <c r="J134" s="163">
        <f t="shared" si="207"/>
        <v>207219.73046371629</v>
      </c>
      <c r="K134" s="163">
        <f t="shared" ref="K134:L134" si="208">K90</f>
        <v>227009.61336143222</v>
      </c>
      <c r="L134" s="163">
        <f t="shared" si="208"/>
        <v>243213.02331819822</v>
      </c>
      <c r="M134" s="1610">
        <f t="shared" ref="M134:T134" si="209">L134*(1+M135)</f>
        <v>257954.05079657785</v>
      </c>
      <c r="N134" s="163">
        <f t="shared" si="209"/>
        <v>271653.86966814724</v>
      </c>
      <c r="O134" s="163">
        <f t="shared" si="209"/>
        <v>284043.87548363628</v>
      </c>
      <c r="P134" s="1610">
        <f t="shared" si="209"/>
        <v>295578.76428632787</v>
      </c>
      <c r="Q134" s="1610">
        <f t="shared" si="209"/>
        <v>306104.1857015813</v>
      </c>
      <c r="R134" s="1610">
        <f t="shared" si="209"/>
        <v>313943.37058873405</v>
      </c>
      <c r="S134" s="1610">
        <f t="shared" si="209"/>
        <v>318843.87962489162</v>
      </c>
      <c r="T134" s="1610">
        <f t="shared" si="209"/>
        <v>320632.4445165855</v>
      </c>
      <c r="V134" s="151"/>
    </row>
    <row r="135" spans="1:23" outlineLevel="1">
      <c r="A135" s="145" t="s">
        <v>107</v>
      </c>
      <c r="C135" s="151">
        <f t="shared" ref="C135:L135" si="210">C134/B134-1</f>
        <v>0.35121951219512204</v>
      </c>
      <c r="D135" s="151">
        <f t="shared" si="210"/>
        <v>0.30866425992779778</v>
      </c>
      <c r="E135" s="151">
        <f t="shared" si="210"/>
        <v>0.27310344827586208</v>
      </c>
      <c r="F135" s="151">
        <f t="shared" si="210"/>
        <v>0.26872156013001081</v>
      </c>
      <c r="G135" s="151">
        <f t="shared" si="210"/>
        <v>0.16481217389819225</v>
      </c>
      <c r="H135" s="151">
        <f t="shared" si="210"/>
        <v>0.19795252846158262</v>
      </c>
      <c r="I135" s="151">
        <f t="shared" si="210"/>
        <v>0.1441282260805572</v>
      </c>
      <c r="J135" s="151">
        <f t="shared" si="210"/>
        <v>0.10839070181238153</v>
      </c>
      <c r="K135" s="151">
        <f t="shared" si="210"/>
        <v>9.5501923747464357E-2</v>
      </c>
      <c r="L135" s="151">
        <f t="shared" si="210"/>
        <v>7.1377637787382264E-2</v>
      </c>
      <c r="M135" s="1816">
        <f>M15-1%</f>
        <v>6.0609531830430725E-2</v>
      </c>
      <c r="N135" s="164">
        <f>M135-0.0075</f>
        <v>5.3109531830430726E-2</v>
      </c>
      <c r="O135" s="164">
        <f>N135-0.0075</f>
        <v>4.5609531830430726E-2</v>
      </c>
      <c r="P135" s="164">
        <f>O135-0.005</f>
        <v>4.0609531830430728E-2</v>
      </c>
      <c r="Q135" s="164">
        <f>P135-0.005</f>
        <v>3.5609531830430731E-2</v>
      </c>
      <c r="R135" s="164">
        <f t="shared" ref="R135:T135" si="211">Q135-0.01</f>
        <v>2.5609531830430729E-2</v>
      </c>
      <c r="S135" s="164">
        <f t="shared" si="211"/>
        <v>1.5609531830430729E-2</v>
      </c>
      <c r="T135" s="164">
        <f t="shared" si="211"/>
        <v>5.6095318304307286E-3</v>
      </c>
    </row>
    <row r="136" spans="1:23" ht="6" customHeight="1" outlineLevel="1">
      <c r="M136" s="538"/>
    </row>
    <row r="137" spans="1:23" hidden="1" outlineLevel="3">
      <c r="A137" s="152" t="s">
        <v>626</v>
      </c>
      <c r="B137" s="165"/>
      <c r="C137" s="165">
        <f>SUM($B131:C131)</f>
        <v>1665.155</v>
      </c>
      <c r="D137" s="165">
        <f>SUM($B131:D131)</f>
        <v>2874.627</v>
      </c>
      <c r="E137" s="165">
        <f>SUM($B131:E131)</f>
        <v>4425.7719999999999</v>
      </c>
      <c r="F137" s="165">
        <f>SUM($B131:F131)</f>
        <v>6552.0060000000003</v>
      </c>
      <c r="G137" s="165">
        <f>SUM($B131:G131)</f>
        <v>9420.8140000000003</v>
      </c>
      <c r="H137" s="165">
        <f>SUM($B131:H131)</f>
        <v>13245.356</v>
      </c>
      <c r="I137" s="165">
        <f>SUM($B131:I131)</f>
        <v>18259.12</v>
      </c>
      <c r="J137" s="165">
        <f>SUM($B131:J131)</f>
        <v>24464.718999999997</v>
      </c>
      <c r="K137" s="165">
        <f>SUM($B131:K131)</f>
        <v>32220.923999999999</v>
      </c>
      <c r="L137" s="165">
        <f>SUM($B131:L131)</f>
        <v>41931.462</v>
      </c>
      <c r="M137" s="1612">
        <f>SUM($B131:M131)</f>
        <v>53497.997166153189</v>
      </c>
      <c r="N137" s="1612">
        <f>SUM($B131:N131)</f>
        <v>67039.277495799892</v>
      </c>
      <c r="O137" s="1612">
        <f>SUM($B131:O131)</f>
        <v>82661.272404560528</v>
      </c>
      <c r="P137" s="1612">
        <f>SUM($B131:P131)</f>
        <v>100516.23515027804</v>
      </c>
      <c r="Q137" s="1612">
        <f>SUM($B131:Q131)</f>
        <v>120732.83295858037</v>
      </c>
      <c r="R137" s="1612">
        <f>SUM($B131:R131)</f>
        <v>143298.72716314648</v>
      </c>
      <c r="S137" s="1612">
        <f>SUM($B131:S131)</f>
        <v>168012.14704617372</v>
      </c>
      <c r="T137" s="1800">
        <f>SUM($B131:T131)</f>
        <v>194562.45206153087</v>
      </c>
    </row>
    <row r="138" spans="1:23" hidden="1" outlineLevel="3">
      <c r="A138" s="166"/>
      <c r="B138" s="167"/>
      <c r="C138" s="168" t="e">
        <f t="shared" ref="C138:T138" si="212">C137/B137-1</f>
        <v>#DIV/0!</v>
      </c>
      <c r="D138" s="168">
        <f t="shared" si="212"/>
        <v>0.72634199218691342</v>
      </c>
      <c r="E138" s="168">
        <f t="shared" si="212"/>
        <v>0.5395987027186484</v>
      </c>
      <c r="F138" s="168">
        <f t="shared" si="212"/>
        <v>0.48042104292765209</v>
      </c>
      <c r="G138" s="168">
        <f t="shared" si="212"/>
        <v>0.43785185788901893</v>
      </c>
      <c r="H138" s="168">
        <f t="shared" si="212"/>
        <v>0.40596725505885156</v>
      </c>
      <c r="I138" s="168">
        <f t="shared" si="212"/>
        <v>0.3785299541967766</v>
      </c>
      <c r="J138" s="168">
        <f t="shared" si="212"/>
        <v>0.33986298353918465</v>
      </c>
      <c r="K138" s="168">
        <f t="shared" si="212"/>
        <v>0.31703634118993973</v>
      </c>
      <c r="L138" s="168">
        <f t="shared" si="212"/>
        <v>0.30137366637902741</v>
      </c>
      <c r="M138" s="1613">
        <f t="shared" si="212"/>
        <v>0.27584383216004227</v>
      </c>
      <c r="N138" s="168">
        <f t="shared" si="212"/>
        <v>0.25311751928937487</v>
      </c>
      <c r="O138" s="168">
        <f t="shared" si="212"/>
        <v>0.23302749510895882</v>
      </c>
      <c r="P138" s="1613">
        <f t="shared" si="212"/>
        <v>0.21600154735499122</v>
      </c>
      <c r="Q138" s="1613">
        <f t="shared" si="212"/>
        <v>0.20112768626955901</v>
      </c>
      <c r="R138" s="1613">
        <f t="shared" si="212"/>
        <v>0.18690768411197434</v>
      </c>
      <c r="S138" s="1613">
        <f t="shared" si="212"/>
        <v>0.17246084715665932</v>
      </c>
      <c r="T138" s="1818">
        <f t="shared" si="212"/>
        <v>0.15802610395818872</v>
      </c>
    </row>
    <row r="139" spans="1:23" ht="13.5" outlineLevel="1" collapsed="1" thickBot="1">
      <c r="A139" s="154" t="s">
        <v>623</v>
      </c>
      <c r="B139" s="155"/>
      <c r="C139" s="155">
        <f t="shared" ref="C139:H139" si="213">C131/C134*1000000</f>
        <v>17772.093862815887</v>
      </c>
      <c r="D139" s="155">
        <f t="shared" si="213"/>
        <v>16682.372413793106</v>
      </c>
      <c r="E139" s="155">
        <f t="shared" si="213"/>
        <v>16805.471289274108</v>
      </c>
      <c r="F139" s="155">
        <f t="shared" si="213"/>
        <v>18156.955842292686</v>
      </c>
      <c r="G139" s="155">
        <f t="shared" si="213"/>
        <v>21031.854138105467</v>
      </c>
      <c r="H139" s="155">
        <f t="shared" si="213"/>
        <v>23405.391176296664</v>
      </c>
      <c r="I139" s="155">
        <f t="shared" ref="I139:J139" si="214">I131/I134*1000000</f>
        <v>26817.954961362659</v>
      </c>
      <c r="J139" s="155">
        <f t="shared" si="214"/>
        <v>29946.950447783671</v>
      </c>
      <c r="K139" s="155">
        <f t="shared" ref="K139:L139" si="215">K131/K134*1000000</f>
        <v>34166.857011694025</v>
      </c>
      <c r="L139" s="155">
        <f t="shared" si="215"/>
        <v>39926.060979455026</v>
      </c>
      <c r="M139" s="1614">
        <f t="shared" ref="M139:T139" si="216">L139*(1+M140)</f>
        <v>44839.517466134079</v>
      </c>
      <c r="N139" s="155">
        <f t="shared" si="216"/>
        <v>49847.551762059382</v>
      </c>
      <c r="O139" s="155">
        <f t="shared" si="216"/>
        <v>54998.527541427713</v>
      </c>
      <c r="P139" s="1614">
        <f t="shared" si="216"/>
        <v>60406.784597087513</v>
      </c>
      <c r="Q139" s="1614">
        <f t="shared" si="216"/>
        <v>66044.826410872221</v>
      </c>
      <c r="R139" s="1614">
        <f t="shared" si="216"/>
        <v>71878.868352112622</v>
      </c>
      <c r="S139" s="1614">
        <f t="shared" si="216"/>
        <v>77509.46924903091</v>
      </c>
      <c r="T139" s="1969">
        <f t="shared" si="216"/>
        <v>82806.046204671482</v>
      </c>
      <c r="V139" s="151"/>
    </row>
    <row r="140" spans="1:23" outlineLevel="1">
      <c r="A140" s="145" t="s">
        <v>107</v>
      </c>
      <c r="C140" s="151" t="e">
        <f t="shared" ref="C140:L140" si="217">C139/B139-1</f>
        <v>#DIV/0!</v>
      </c>
      <c r="D140" s="151">
        <f t="shared" si="217"/>
        <v>-6.1316435611606712E-2</v>
      </c>
      <c r="E140" s="151">
        <f t="shared" si="217"/>
        <v>7.3789789861795629E-3</v>
      </c>
      <c r="F140" s="151">
        <f t="shared" si="217"/>
        <v>8.0419318789419769E-2</v>
      </c>
      <c r="G140" s="151">
        <f t="shared" si="217"/>
        <v>0.15833591934592528</v>
      </c>
      <c r="H140" s="151">
        <f t="shared" si="217"/>
        <v>0.11285438851968954</v>
      </c>
      <c r="I140" s="151">
        <f t="shared" si="217"/>
        <v>0.14580246744698711</v>
      </c>
      <c r="J140" s="151">
        <f t="shared" si="217"/>
        <v>0.11667539493332124</v>
      </c>
      <c r="K140" s="151">
        <f t="shared" si="217"/>
        <v>0.14091273070586263</v>
      </c>
      <c r="L140" s="151">
        <f t="shared" si="217"/>
        <v>0.16856112828258807</v>
      </c>
      <c r="M140" s="220">
        <f>M20-0.01</f>
        <v>0.12306389275935327</v>
      </c>
      <c r="N140" s="220">
        <f t="shared" ref="N140:T140" si="218">N20-0.01</f>
        <v>0.11168796139939997</v>
      </c>
      <c r="O140" s="220">
        <f t="shared" si="218"/>
        <v>0.10333457907734013</v>
      </c>
      <c r="P140" s="220">
        <f t="shared" si="218"/>
        <v>9.8334579077340126E-2</v>
      </c>
      <c r="Q140" s="220">
        <f t="shared" si="218"/>
        <v>9.3334579077340121E-2</v>
      </c>
      <c r="R140" s="220">
        <f t="shared" si="218"/>
        <v>8.8334579077340117E-2</v>
      </c>
      <c r="S140" s="220">
        <f t="shared" si="218"/>
        <v>7.8334579077340122E-2</v>
      </c>
      <c r="T140" s="220">
        <f t="shared" si="218"/>
        <v>6.8334579077340127E-2</v>
      </c>
    </row>
    <row r="141" spans="1:23" ht="7.5" customHeight="1" outlineLevel="1">
      <c r="M141" s="538"/>
    </row>
    <row r="142" spans="1:23" outlineLevel="1">
      <c r="A142" s="158" t="s">
        <v>169</v>
      </c>
      <c r="B142" s="159">
        <f t="shared" ref="B142:H142" si="219">B98</f>
        <v>68.119</v>
      </c>
      <c r="C142" s="159">
        <f t="shared" si="219"/>
        <v>92.194999999999993</v>
      </c>
      <c r="D142" s="159">
        <f t="shared" si="219"/>
        <v>96.111000000000004</v>
      </c>
      <c r="E142" s="159">
        <f t="shared" si="219"/>
        <v>105.994</v>
      </c>
      <c r="F142" s="159">
        <f t="shared" si="219"/>
        <v>140.30500000000001</v>
      </c>
      <c r="G142" s="160">
        <f t="shared" si="219"/>
        <v>181.387</v>
      </c>
      <c r="H142" s="160">
        <f t="shared" si="219"/>
        <v>246.46100000000001</v>
      </c>
      <c r="I142" s="160">
        <f t="shared" ref="I142:J142" si="220">I98</f>
        <v>359.82200000000006</v>
      </c>
      <c r="J142" s="160">
        <f t="shared" si="220"/>
        <v>461.61700000000002</v>
      </c>
      <c r="K142" s="160">
        <f t="shared" ref="K142:L142" si="221">K98</f>
        <v>635.779</v>
      </c>
      <c r="L142" s="160">
        <f t="shared" si="221"/>
        <v>769.47399999999993</v>
      </c>
      <c r="M142" s="1624">
        <f>M131*M145</f>
        <v>904.97877678675411</v>
      </c>
      <c r="N142" s="160">
        <f t="shared" ref="N142:S142" si="222">N131*N145</f>
        <v>1045.9437886917483</v>
      </c>
      <c r="O142" s="160">
        <f t="shared" ref="O142" si="223">O131*O145</f>
        <v>1191.0385382181398</v>
      </c>
      <c r="P142" s="1624">
        <f t="shared" si="222"/>
        <v>1343.4275656894333</v>
      </c>
      <c r="Q142" s="1624">
        <f t="shared" si="222"/>
        <v>1500.9030576580251</v>
      </c>
      <c r="R142" s="1624">
        <f t="shared" si="222"/>
        <v>1652.7515816425203</v>
      </c>
      <c r="S142" s="1624">
        <f t="shared" si="222"/>
        <v>1785.3253682632069</v>
      </c>
      <c r="T142" s="1624">
        <f t="shared" ref="T142" si="224">T131*T145</f>
        <v>1891.4737201256194</v>
      </c>
    </row>
    <row r="143" spans="1:23" outlineLevel="1">
      <c r="A143" s="158" t="s">
        <v>107</v>
      </c>
      <c r="B143" s="159"/>
      <c r="C143" s="161">
        <f t="shared" ref="C143:T143" si="225">C142/B142-1</f>
        <v>0.35344030299916307</v>
      </c>
      <c r="D143" s="161">
        <f t="shared" si="225"/>
        <v>4.2475188459244029E-2</v>
      </c>
      <c r="E143" s="161">
        <f t="shared" si="225"/>
        <v>0.1028290206115845</v>
      </c>
      <c r="F143" s="161">
        <f t="shared" si="225"/>
        <v>0.32370700228314808</v>
      </c>
      <c r="G143" s="161">
        <f t="shared" si="225"/>
        <v>0.29280496062150307</v>
      </c>
      <c r="H143" s="161">
        <f t="shared" si="225"/>
        <v>0.35875779410872899</v>
      </c>
      <c r="I143" s="161">
        <f t="shared" si="225"/>
        <v>0.45995512474590328</v>
      </c>
      <c r="J143" s="161">
        <f t="shared" si="225"/>
        <v>0.2829037690858256</v>
      </c>
      <c r="K143" s="161">
        <f t="shared" si="225"/>
        <v>0.37728679836314516</v>
      </c>
      <c r="L143" s="161">
        <f t="shared" si="225"/>
        <v>0.21028533499848212</v>
      </c>
      <c r="M143" s="1609">
        <f t="shared" si="225"/>
        <v>0.17610052683619482</v>
      </c>
      <c r="N143" s="161">
        <f t="shared" si="225"/>
        <v>0.15576609697468147</v>
      </c>
      <c r="O143" s="161">
        <f t="shared" si="225"/>
        <v>0.13872136447014416</v>
      </c>
      <c r="P143" s="1609">
        <f t="shared" si="225"/>
        <v>0.12794634479189559</v>
      </c>
      <c r="Q143" s="1609">
        <f t="shared" si="225"/>
        <v>0.1172191906660609</v>
      </c>
      <c r="R143" s="1609">
        <f t="shared" si="225"/>
        <v>0.10117144022708313</v>
      </c>
      <c r="S143" s="1609">
        <f t="shared" si="225"/>
        <v>8.0213982605258582E-2</v>
      </c>
      <c r="T143" s="1609">
        <f t="shared" si="225"/>
        <v>5.9456026195200185E-2</v>
      </c>
    </row>
    <row r="144" spans="1:23" ht="4.5" customHeight="1" outlineLevel="1" thickBot="1">
      <c r="M144" s="538"/>
    </row>
    <row r="145" spans="1:26" hidden="1" outlineLevel="2">
      <c r="A145" s="145" t="s">
        <v>624</v>
      </c>
      <c r="B145" s="171">
        <f t="shared" ref="B145:H145" si="226">B142/B131</f>
        <v>0.10008948236874084</v>
      </c>
      <c r="C145" s="171">
        <f t="shared" si="226"/>
        <v>9.3639482659505516E-2</v>
      </c>
      <c r="D145" s="171">
        <f t="shared" si="226"/>
        <v>7.946525425971003E-2</v>
      </c>
      <c r="E145" s="171">
        <f t="shared" si="226"/>
        <v>6.8332747744408159E-2</v>
      </c>
      <c r="F145" s="171">
        <f t="shared" si="226"/>
        <v>6.5987562986952505E-2</v>
      </c>
      <c r="G145" s="171">
        <f t="shared" si="226"/>
        <v>6.3227305556872407E-2</v>
      </c>
      <c r="H145" s="171">
        <f t="shared" si="226"/>
        <v>6.4441964554187145E-2</v>
      </c>
      <c r="I145" s="171">
        <f t="shared" ref="I145:J145" si="227">I142/I131</f>
        <v>7.1766840242181329E-2</v>
      </c>
      <c r="J145" s="171">
        <f t="shared" si="227"/>
        <v>7.4387178417425939E-2</v>
      </c>
      <c r="K145" s="171">
        <f t="shared" ref="K145:L145" si="228">K142/K131</f>
        <v>8.1970370819234403E-2</v>
      </c>
      <c r="L145" s="171">
        <f t="shared" si="228"/>
        <v>7.9241129585199091E-2</v>
      </c>
      <c r="M145" s="172">
        <f t="shared" ref="M145" si="229">L145-0.1%</f>
        <v>7.824112958519909E-2</v>
      </c>
      <c r="N145" s="172">
        <f t="shared" ref="N145:T145" si="230">M145-0.1%</f>
        <v>7.7241129585199089E-2</v>
      </c>
      <c r="O145" s="172">
        <f t="shared" si="230"/>
        <v>7.6241129585199088E-2</v>
      </c>
      <c r="P145" s="1617">
        <f t="shared" si="230"/>
        <v>7.5241129585199087E-2</v>
      </c>
      <c r="Q145" s="1617">
        <f t="shared" si="230"/>
        <v>7.4241129585199087E-2</v>
      </c>
      <c r="R145" s="1617">
        <f t="shared" si="230"/>
        <v>7.3241129585199086E-2</v>
      </c>
      <c r="S145" s="1617">
        <f t="shared" si="230"/>
        <v>7.2241129585199085E-2</v>
      </c>
      <c r="T145" s="1617">
        <f t="shared" si="230"/>
        <v>7.1241129585199084E-2</v>
      </c>
    </row>
    <row r="146" spans="1:26" ht="13.5" hidden="1" outlineLevel="2" thickBot="1">
      <c r="M146" s="538"/>
    </row>
    <row r="147" spans="1:26" outlineLevel="1" collapsed="1">
      <c r="A147" s="173" t="s">
        <v>91</v>
      </c>
      <c r="B147" s="174">
        <f t="shared" ref="B147:J147" si="231">B131+B142</f>
        <v>748.69999999999993</v>
      </c>
      <c r="C147" s="174">
        <f t="shared" si="231"/>
        <v>1076.769</v>
      </c>
      <c r="D147" s="174">
        <f t="shared" si="231"/>
        <v>1305.5830000000001</v>
      </c>
      <c r="E147" s="174">
        <f t="shared" si="231"/>
        <v>1657.1389999999999</v>
      </c>
      <c r="F147" s="174">
        <f t="shared" si="231"/>
        <v>2266.5390000000002</v>
      </c>
      <c r="G147" s="174">
        <f t="shared" si="231"/>
        <v>3050.1950000000002</v>
      </c>
      <c r="H147" s="174">
        <f t="shared" si="231"/>
        <v>4071.0030000000006</v>
      </c>
      <c r="I147" s="174">
        <f t="shared" si="231"/>
        <v>5373.5860000000002</v>
      </c>
      <c r="J147" s="174">
        <f t="shared" si="231"/>
        <v>6667.2160000000003</v>
      </c>
      <c r="K147" s="174">
        <f t="shared" ref="K147:L147" si="232">K131+K142</f>
        <v>8391.9840000000004</v>
      </c>
      <c r="L147" s="174">
        <f t="shared" si="232"/>
        <v>10480.011999999999</v>
      </c>
      <c r="M147" s="174">
        <f>M131+M142</f>
        <v>12471.513942939946</v>
      </c>
      <c r="N147" s="174">
        <f t="shared" ref="N147:S147" si="233">N131+N142</f>
        <v>14587.224118338449</v>
      </c>
      <c r="O147" s="174">
        <f t="shared" ref="O147" si="234">O131+O142</f>
        <v>16813.033446978774</v>
      </c>
      <c r="P147" s="174">
        <f t="shared" si="233"/>
        <v>19198.390311406947</v>
      </c>
      <c r="Q147" s="174">
        <f t="shared" si="233"/>
        <v>21717.500865960355</v>
      </c>
      <c r="R147" s="174">
        <f t="shared" si="233"/>
        <v>24218.645786208639</v>
      </c>
      <c r="S147" s="174">
        <f t="shared" si="233"/>
        <v>26498.745251290453</v>
      </c>
      <c r="T147" s="175">
        <f t="shared" ref="T147" si="235">T131+T142</f>
        <v>28441.77873548276</v>
      </c>
      <c r="V147" s="151"/>
      <c r="W147" s="151"/>
      <c r="Z147" s="176"/>
    </row>
    <row r="148" spans="1:26" ht="13.5" outlineLevel="1" thickBot="1">
      <c r="A148" s="177"/>
      <c r="B148" s="178"/>
      <c r="C148" s="179">
        <f t="shared" ref="C148:T148" si="236">C147/B147-1</f>
        <v>0.43818485374649407</v>
      </c>
      <c r="D148" s="179">
        <f t="shared" si="236"/>
        <v>0.21250054561377607</v>
      </c>
      <c r="E148" s="179">
        <f t="shared" si="236"/>
        <v>0.26927127574424592</v>
      </c>
      <c r="F148" s="179">
        <f t="shared" si="236"/>
        <v>0.36774223526209959</v>
      </c>
      <c r="G148" s="179">
        <f t="shared" si="236"/>
        <v>0.34575006209908588</v>
      </c>
      <c r="H148" s="179">
        <f t="shared" si="236"/>
        <v>0.33466975062250137</v>
      </c>
      <c r="I148" s="179">
        <f t="shared" si="236"/>
        <v>0.31996611154548393</v>
      </c>
      <c r="J148" s="179">
        <f t="shared" si="236"/>
        <v>0.24073867990574627</v>
      </c>
      <c r="K148" s="179">
        <f t="shared" si="236"/>
        <v>0.25869388362398937</v>
      </c>
      <c r="L148" s="179">
        <f t="shared" si="236"/>
        <v>0.24881219983260205</v>
      </c>
      <c r="M148" s="179">
        <f t="shared" si="236"/>
        <v>0.19002859375923875</v>
      </c>
      <c r="N148" s="179">
        <f t="shared" si="236"/>
        <v>0.1696434117845167</v>
      </c>
      <c r="O148" s="179">
        <f t="shared" si="236"/>
        <v>0.15258621589573917</v>
      </c>
      <c r="P148" s="179">
        <f t="shared" si="236"/>
        <v>0.14187546060326262</v>
      </c>
      <c r="Q148" s="179">
        <f t="shared" si="236"/>
        <v>0.13121467548540511</v>
      </c>
      <c r="R148" s="179">
        <f t="shared" si="236"/>
        <v>0.11516725316072329</v>
      </c>
      <c r="S148" s="179">
        <f t="shared" si="236"/>
        <v>9.4146447543331346E-2</v>
      </c>
      <c r="T148" s="180">
        <f t="shared" si="236"/>
        <v>7.3325490160621287E-2</v>
      </c>
    </row>
    <row r="149" spans="1:26" ht="3.75" customHeight="1" outlineLevel="1">
      <c r="A149" s="181"/>
      <c r="B149" s="153"/>
      <c r="C149" s="153"/>
      <c r="D149" s="153"/>
      <c r="E149" s="153"/>
      <c r="F149" s="153"/>
      <c r="G149" s="153"/>
      <c r="H149" s="153"/>
      <c r="I149" s="153"/>
      <c r="J149" s="153"/>
      <c r="K149" s="153"/>
      <c r="L149" s="153"/>
      <c r="M149" s="538"/>
    </row>
    <row r="150" spans="1:26" outlineLevel="1">
      <c r="A150" s="226" t="s">
        <v>108</v>
      </c>
      <c r="B150" s="170"/>
      <c r="C150" s="170"/>
      <c r="D150" s="170"/>
      <c r="E150" s="170"/>
      <c r="F150" s="170"/>
      <c r="G150" s="170"/>
      <c r="H150" s="170"/>
      <c r="I150" s="170"/>
      <c r="J150" s="170"/>
      <c r="K150" s="170"/>
      <c r="L150" s="170"/>
      <c r="M150" s="1615"/>
    </row>
    <row r="151" spans="1:26" outlineLevel="1">
      <c r="A151" s="1897" t="s">
        <v>625</v>
      </c>
      <c r="B151" s="1898"/>
      <c r="C151" s="1899">
        <f t="shared" ref="C151:I151" si="237">C156-C153</f>
        <v>258.68964547089371</v>
      </c>
      <c r="D151" s="1899">
        <f t="shared" si="237"/>
        <v>349.33407921588719</v>
      </c>
      <c r="E151" s="1899">
        <f t="shared" si="237"/>
        <v>451.28444891106437</v>
      </c>
      <c r="F151" s="1899">
        <f t="shared" si="237"/>
        <v>247.46150000000009</v>
      </c>
      <c r="G151" s="1899">
        <f t="shared" si="237"/>
        <v>338.67230000000006</v>
      </c>
      <c r="H151" s="1899">
        <f t="shared" si="237"/>
        <v>339.0949</v>
      </c>
      <c r="I151" s="1899">
        <f t="shared" si="237"/>
        <v>538.12280000000021</v>
      </c>
      <c r="J151" s="1899">
        <f t="shared" ref="J151:K151" si="238">J156-J153</f>
        <v>783.84230000000025</v>
      </c>
      <c r="K151" s="1899">
        <f t="shared" si="238"/>
        <v>1046.2940999999992</v>
      </c>
      <c r="L151" s="1899">
        <f t="shared" ref="L151" si="239">L156-L153</f>
        <v>1442.7185999999997</v>
      </c>
      <c r="M151" s="1899">
        <f t="shared" ref="M151:S151" si="240">M131*M152</f>
        <v>2034.4063964559414</v>
      </c>
      <c r="N151" s="1899">
        <f t="shared" si="240"/>
        <v>2721.7402513570842</v>
      </c>
      <c r="O151" s="1899">
        <f t="shared" ref="O151" si="241">O131*O152</f>
        <v>3524.7318441148645</v>
      </c>
      <c r="P151" s="1899">
        <f t="shared" si="240"/>
        <v>4393.9711390396633</v>
      </c>
      <c r="Q151" s="1899">
        <f t="shared" si="240"/>
        <v>5370.5135313465362</v>
      </c>
      <c r="R151" s="1899">
        <f t="shared" si="240"/>
        <v>6457.2880265035747</v>
      </c>
      <c r="S151" s="1899">
        <f t="shared" si="240"/>
        <v>7533.0428739161971</v>
      </c>
      <c r="T151" s="1900">
        <f t="shared" ref="T151" si="242">T131*T152</f>
        <v>8341.9613817415175</v>
      </c>
    </row>
    <row r="152" spans="1:26" outlineLevel="1">
      <c r="A152" s="1901" t="s">
        <v>367</v>
      </c>
      <c r="B152" s="1797"/>
      <c r="C152" s="1798">
        <f t="shared" ref="C152:I152" si="243">C151/C131</f>
        <v>0.26274271458609882</v>
      </c>
      <c r="D152" s="1798">
        <f t="shared" si="243"/>
        <v>0.28883188632385637</v>
      </c>
      <c r="E152" s="1798">
        <f t="shared" si="243"/>
        <v>0.29093633987220047</v>
      </c>
      <c r="F152" s="1798">
        <f t="shared" si="243"/>
        <v>0.11638488520078225</v>
      </c>
      <c r="G152" s="1798">
        <f t="shared" si="243"/>
        <v>0.11805331691768849</v>
      </c>
      <c r="H152" s="1798">
        <f t="shared" si="243"/>
        <v>8.8662877803407564E-2</v>
      </c>
      <c r="I152" s="1798">
        <f t="shared" si="243"/>
        <v>0.10732910444129405</v>
      </c>
      <c r="J152" s="1798">
        <f t="shared" ref="J152:K152" si="244">J151/J131</f>
        <v>0.12631210943536639</v>
      </c>
      <c r="K152" s="1798">
        <f t="shared" si="244"/>
        <v>0.13489768514370096</v>
      </c>
      <c r="L152" s="1798">
        <f t="shared" ref="L152" si="245">L151/L131</f>
        <v>0.14857246838434698</v>
      </c>
      <c r="M152" s="1906">
        <f t="shared" ref="M152:T152" si="246">M37</f>
        <v>0.17588727888098801</v>
      </c>
      <c r="N152" s="1906">
        <f t="shared" si="246"/>
        <v>0.20099578364079962</v>
      </c>
      <c r="O152" s="1906">
        <f t="shared" si="246"/>
        <v>0.22562623177775049</v>
      </c>
      <c r="P152" s="1906">
        <f t="shared" si="246"/>
        <v>0.24609242828543854</v>
      </c>
      <c r="Q152" s="1906">
        <f t="shared" si="246"/>
        <v>0.26564872993323502</v>
      </c>
      <c r="R152" s="1906">
        <f t="shared" si="246"/>
        <v>0.28615254365576914</v>
      </c>
      <c r="S152" s="1906">
        <f t="shared" si="246"/>
        <v>0.30481588179909336</v>
      </c>
      <c r="T152" s="1951">
        <f t="shared" si="246"/>
        <v>0.31419455923072775</v>
      </c>
      <c r="V152" s="184"/>
      <c r="W152" s="184"/>
    </row>
    <row r="153" spans="1:26" outlineLevel="1">
      <c r="A153" s="1902" t="s">
        <v>109</v>
      </c>
      <c r="B153" s="182">
        <f t="shared" ref="B153:S153" si="247">B154*B142</f>
        <v>6.8119000000000005</v>
      </c>
      <c r="C153" s="182">
        <f t="shared" si="247"/>
        <v>9.2195</v>
      </c>
      <c r="D153" s="182">
        <f t="shared" si="247"/>
        <v>9.6111000000000004</v>
      </c>
      <c r="E153" s="182">
        <f t="shared" si="247"/>
        <v>10.599400000000001</v>
      </c>
      <c r="F153" s="182">
        <f t="shared" si="247"/>
        <v>14.030500000000002</v>
      </c>
      <c r="G153" s="182">
        <f t="shared" si="247"/>
        <v>18.1387</v>
      </c>
      <c r="H153" s="182">
        <f t="shared" si="247"/>
        <v>24.646100000000004</v>
      </c>
      <c r="I153" s="182">
        <f t="shared" si="247"/>
        <v>35.982200000000006</v>
      </c>
      <c r="J153" s="182">
        <f t="shared" ref="J153:K153" si="248">J154*J142</f>
        <v>46.161700000000003</v>
      </c>
      <c r="K153" s="182">
        <f t="shared" si="248"/>
        <v>63.5779</v>
      </c>
      <c r="L153" s="182">
        <f t="shared" ref="L153" si="249">L154*L142</f>
        <v>76.947400000000002</v>
      </c>
      <c r="M153" s="182">
        <f t="shared" si="247"/>
        <v>90.497877678675422</v>
      </c>
      <c r="N153" s="182">
        <f t="shared" si="247"/>
        <v>104.59437886917483</v>
      </c>
      <c r="O153" s="182">
        <f t="shared" ref="O153" si="250">O154*O142</f>
        <v>119.10385382181398</v>
      </c>
      <c r="P153" s="182">
        <f t="shared" si="247"/>
        <v>134.34275656894334</v>
      </c>
      <c r="Q153" s="182">
        <f t="shared" si="247"/>
        <v>150.09030576580253</v>
      </c>
      <c r="R153" s="182">
        <f t="shared" si="247"/>
        <v>165.27515816425205</v>
      </c>
      <c r="S153" s="182">
        <f t="shared" si="247"/>
        <v>178.53253682632069</v>
      </c>
      <c r="T153" s="1903">
        <f t="shared" ref="T153" si="251">T154*T142</f>
        <v>189.14737201256196</v>
      </c>
    </row>
    <row r="154" spans="1:26" outlineLevel="1">
      <c r="A154" s="1901" t="s">
        <v>110</v>
      </c>
      <c r="B154" s="1798">
        <v>0.1</v>
      </c>
      <c r="C154" s="1798">
        <v>0.1</v>
      </c>
      <c r="D154" s="1798">
        <v>0.1</v>
      </c>
      <c r="E154" s="1798">
        <v>0.1</v>
      </c>
      <c r="F154" s="1798">
        <v>0.1</v>
      </c>
      <c r="G154" s="1798">
        <v>0.1</v>
      </c>
      <c r="H154" s="1798">
        <v>0.1</v>
      </c>
      <c r="I154" s="1798">
        <v>0.1</v>
      </c>
      <c r="J154" s="1798">
        <v>0.1</v>
      </c>
      <c r="K154" s="1798">
        <v>0.1</v>
      </c>
      <c r="L154" s="1798">
        <v>0.1</v>
      </c>
      <c r="M154" s="184">
        <f t="shared" ref="M154" si="252">L154</f>
        <v>0.1</v>
      </c>
      <c r="N154" s="184">
        <f t="shared" ref="N154:T154" si="253">M154</f>
        <v>0.1</v>
      </c>
      <c r="O154" s="184">
        <f t="shared" si="253"/>
        <v>0.1</v>
      </c>
      <c r="P154" s="184">
        <f t="shared" si="253"/>
        <v>0.1</v>
      </c>
      <c r="Q154" s="184">
        <f t="shared" si="253"/>
        <v>0.1</v>
      </c>
      <c r="R154" s="184">
        <f t="shared" si="253"/>
        <v>0.1</v>
      </c>
      <c r="S154" s="184">
        <f t="shared" si="253"/>
        <v>0.1</v>
      </c>
      <c r="T154" s="1904">
        <f t="shared" si="253"/>
        <v>0.1</v>
      </c>
    </row>
    <row r="155" spans="1:26" ht="5.25" customHeight="1" outlineLevel="1">
      <c r="A155" s="196"/>
      <c r="B155" s="170"/>
      <c r="C155" s="170"/>
      <c r="D155" s="170"/>
      <c r="E155" s="170"/>
      <c r="F155" s="170"/>
      <c r="G155" s="170"/>
      <c r="H155" s="170"/>
      <c r="I155" s="170"/>
      <c r="J155" s="170"/>
      <c r="K155" s="170"/>
      <c r="L155" s="170"/>
      <c r="M155" s="1615"/>
      <c r="N155" s="170"/>
      <c r="O155" s="170"/>
      <c r="P155" s="1615"/>
      <c r="Q155" s="1615"/>
      <c r="R155" s="1615"/>
      <c r="S155" s="1615"/>
      <c r="T155" s="1981"/>
    </row>
    <row r="156" spans="1:26" outlineLevel="1">
      <c r="A156" s="1902" t="s">
        <v>111</v>
      </c>
      <c r="B156" s="182">
        <v>0</v>
      </c>
      <c r="C156" s="182">
        <v>267.90914547089369</v>
      </c>
      <c r="D156" s="182">
        <v>358.94517921588721</v>
      </c>
      <c r="E156" s="182">
        <v>461.88384891106438</v>
      </c>
      <c r="F156" s="182">
        <f t="shared" ref="F156:K156" si="254">F112</f>
        <v>261.49200000000008</v>
      </c>
      <c r="G156" s="182">
        <f t="shared" si="254"/>
        <v>356.81100000000004</v>
      </c>
      <c r="H156" s="182">
        <f t="shared" si="254"/>
        <v>363.74099999999999</v>
      </c>
      <c r="I156" s="182">
        <f t="shared" si="254"/>
        <v>574.10500000000025</v>
      </c>
      <c r="J156" s="182">
        <f t="shared" si="254"/>
        <v>830.00400000000025</v>
      </c>
      <c r="K156" s="182">
        <f t="shared" si="254"/>
        <v>1109.8719999999992</v>
      </c>
      <c r="L156" s="182">
        <f t="shared" ref="L156" si="255">L112</f>
        <v>1519.6659999999997</v>
      </c>
      <c r="M156" s="182">
        <f>M151+M153</f>
        <v>2124.9042741346166</v>
      </c>
      <c r="N156" s="182">
        <f t="shared" ref="N156:S156" si="256">N151+N153</f>
        <v>2826.3346302262589</v>
      </c>
      <c r="O156" s="182">
        <f t="shared" ref="O156" si="257">O151+O153</f>
        <v>3643.8356979366786</v>
      </c>
      <c r="P156" s="182">
        <f t="shared" si="256"/>
        <v>4528.3138956086068</v>
      </c>
      <c r="Q156" s="182">
        <f t="shared" si="256"/>
        <v>5520.6038371123386</v>
      </c>
      <c r="R156" s="182">
        <f t="shared" si="256"/>
        <v>6622.563184667827</v>
      </c>
      <c r="S156" s="182">
        <f t="shared" si="256"/>
        <v>7711.5754107425182</v>
      </c>
      <c r="T156" s="1903">
        <f t="shared" ref="T156" si="258">T151+T153</f>
        <v>8531.1087537540789</v>
      </c>
    </row>
    <row r="157" spans="1:26" outlineLevel="1">
      <c r="A157" s="196" t="s">
        <v>112</v>
      </c>
      <c r="B157" s="170"/>
      <c r="C157" s="1669">
        <f t="shared" ref="C157:S157" si="259">C156/C147</f>
        <v>0.24880837530695413</v>
      </c>
      <c r="D157" s="1669">
        <f t="shared" si="259"/>
        <v>0.27493095361680353</v>
      </c>
      <c r="E157" s="1669">
        <f t="shared" si="259"/>
        <v>0.27872366102726714</v>
      </c>
      <c r="F157" s="150">
        <f t="shared" si="259"/>
        <v>0.11537061572732701</v>
      </c>
      <c r="G157" s="150">
        <f t="shared" si="259"/>
        <v>0.11697973408257506</v>
      </c>
      <c r="H157" s="150">
        <f t="shared" si="259"/>
        <v>8.9349234083099402E-2</v>
      </c>
      <c r="I157" s="150">
        <f t="shared" si="259"/>
        <v>0.10683833849500134</v>
      </c>
      <c r="J157" s="150">
        <f t="shared" ref="J157:K157" si="260">J156/J147</f>
        <v>0.12449034199581957</v>
      </c>
      <c r="K157" s="150">
        <f t="shared" si="260"/>
        <v>0.13225382698537069</v>
      </c>
      <c r="L157" s="150">
        <f t="shared" ref="L157" si="261">L156/L147</f>
        <v>0.14500613167236831</v>
      </c>
      <c r="M157" s="110">
        <f t="shared" si="259"/>
        <v>0.17038061969513435</v>
      </c>
      <c r="N157" s="150">
        <f t="shared" si="259"/>
        <v>0.1937541102609858</v>
      </c>
      <c r="O157" s="150">
        <f t="shared" ref="O157" si="262">O156/O147</f>
        <v>0.21672684524347147</v>
      </c>
      <c r="P157" s="110">
        <f t="shared" si="259"/>
        <v>0.23586945687410346</v>
      </c>
      <c r="Q157" s="110">
        <f t="shared" si="259"/>
        <v>0.25420069607388573</v>
      </c>
      <c r="R157" s="110">
        <f t="shared" si="259"/>
        <v>0.27344894686221721</v>
      </c>
      <c r="S157" s="110">
        <f t="shared" si="259"/>
        <v>0.29101662503687697</v>
      </c>
      <c r="T157" s="111">
        <f t="shared" ref="T157" si="263">T156/T147</f>
        <v>0.29994990232840213</v>
      </c>
    </row>
    <row r="158" spans="1:26" ht="5.25" customHeight="1" outlineLevel="1">
      <c r="A158" s="196"/>
      <c r="B158" s="170"/>
      <c r="C158" s="170"/>
      <c r="D158" s="170"/>
      <c r="E158" s="170"/>
      <c r="F158" s="170"/>
      <c r="G158" s="170"/>
      <c r="H158" s="170"/>
      <c r="I158" s="170"/>
      <c r="J158" s="170"/>
      <c r="K158" s="170"/>
      <c r="L158" s="170"/>
      <c r="M158" s="1615"/>
      <c r="N158" s="170"/>
      <c r="O158" s="170"/>
      <c r="P158" s="1615"/>
      <c r="Q158" s="1615"/>
      <c r="R158" s="1615"/>
      <c r="S158" s="1615"/>
      <c r="T158" s="1981"/>
    </row>
    <row r="159" spans="1:26" outlineLevel="1">
      <c r="A159" s="1902" t="s">
        <v>84</v>
      </c>
      <c r="B159" s="182">
        <v>0</v>
      </c>
      <c r="C159" s="182">
        <v>0</v>
      </c>
      <c r="D159" s="182">
        <v>0</v>
      </c>
      <c r="E159" s="182">
        <v>1887.7319999999997</v>
      </c>
      <c r="F159" s="182">
        <f>F114</f>
        <v>0</v>
      </c>
      <c r="G159" s="182">
        <f t="shared" ref="G159:L159" si="264">G39</f>
        <v>242.55300000000003</v>
      </c>
      <c r="H159" s="182">
        <f t="shared" si="264"/>
        <v>221.85299999999998</v>
      </c>
      <c r="I159" s="182">
        <f t="shared" si="264"/>
        <v>341.58500000000021</v>
      </c>
      <c r="J159" s="182">
        <f t="shared" si="264"/>
        <v>506.78300000000024</v>
      </c>
      <c r="K159" s="182">
        <f t="shared" si="264"/>
        <v>705.22399999999914</v>
      </c>
      <c r="L159" s="182">
        <f t="shared" si="264"/>
        <v>991.33699999999953</v>
      </c>
      <c r="M159" s="182">
        <f>M156*0.79</f>
        <v>1678.6743765663471</v>
      </c>
      <c r="N159" s="182">
        <f t="shared" ref="N159:T159" si="265">N156*0.79</f>
        <v>2232.8043578787447</v>
      </c>
      <c r="O159" s="182">
        <f t="shared" si="265"/>
        <v>2878.630201369976</v>
      </c>
      <c r="P159" s="182">
        <f t="shared" si="265"/>
        <v>3577.3679775307996</v>
      </c>
      <c r="Q159" s="182">
        <f t="shared" si="265"/>
        <v>4361.2770313187475</v>
      </c>
      <c r="R159" s="182">
        <f t="shared" si="265"/>
        <v>5231.8249158875833</v>
      </c>
      <c r="S159" s="182">
        <f t="shared" si="265"/>
        <v>6092.1445744865896</v>
      </c>
      <c r="T159" s="1903">
        <f t="shared" si="265"/>
        <v>6739.5759154657226</v>
      </c>
    </row>
    <row r="160" spans="1:26" ht="9.75" customHeight="1" outlineLevel="1" thickBot="1">
      <c r="A160" s="196"/>
      <c r="B160" s="170"/>
      <c r="C160" s="170"/>
      <c r="D160" s="170"/>
      <c r="E160" s="170"/>
      <c r="F160" s="170"/>
      <c r="G160" s="170"/>
      <c r="H160" s="170"/>
      <c r="I160" s="170"/>
      <c r="J160" s="170"/>
      <c r="K160" s="170"/>
      <c r="L160" s="170"/>
      <c r="M160" s="1615"/>
      <c r="N160" s="170"/>
      <c r="O160" s="170"/>
      <c r="P160" s="1615"/>
      <c r="Q160" s="1615"/>
      <c r="R160" s="1615"/>
      <c r="S160" s="1615"/>
      <c r="T160" s="1981"/>
    </row>
    <row r="161" spans="1:23" outlineLevel="1">
      <c r="A161" s="173" t="s">
        <v>125</v>
      </c>
      <c r="B161" s="185">
        <f t="shared" ref="B161:I161" si="266">B117</f>
        <v>160.66500000000005</v>
      </c>
      <c r="C161" s="185">
        <f t="shared" si="266"/>
        <v>165.78300000000007</v>
      </c>
      <c r="D161" s="185">
        <f t="shared" si="266"/>
        <v>215.63900000000007</v>
      </c>
      <c r="E161" s="185">
        <f t="shared" si="266"/>
        <v>89.673999999999864</v>
      </c>
      <c r="F161" s="185">
        <f t="shared" si="266"/>
        <v>420.88700000000011</v>
      </c>
      <c r="G161" s="185">
        <f t="shared" si="266"/>
        <v>552.8811806959086</v>
      </c>
      <c r="H161" s="185">
        <f t="shared" si="266"/>
        <v>593.37665011161448</v>
      </c>
      <c r="I161" s="185">
        <f t="shared" si="266"/>
        <v>906.23176650960954</v>
      </c>
      <c r="J161" s="185">
        <f t="shared" ref="J161:K161" si="267">J117</f>
        <v>1356.8254350112404</v>
      </c>
      <c r="K161" s="185">
        <f t="shared" si="267"/>
        <v>1714.4334789869367</v>
      </c>
      <c r="L161" s="185">
        <f t="shared" ref="L161" si="268">L117</f>
        <v>2208.0509199927565</v>
      </c>
      <c r="M161" s="185">
        <f>M147*M163</f>
        <v>2888.2133514518964</v>
      </c>
      <c r="N161" s="185">
        <f t="shared" ref="N161:S161" si="269">N147*N163</f>
        <v>3591.2316306087237</v>
      </c>
      <c r="O161" s="185">
        <f t="shared" ref="O161" si="270">O147*O163</f>
        <v>4388.0358872925281</v>
      </c>
      <c r="P161" s="185">
        <f t="shared" si="269"/>
        <v>5404.6530318069927</v>
      </c>
      <c r="Q161" s="185">
        <f t="shared" si="269"/>
        <v>6223.180087764712</v>
      </c>
      <c r="R161" s="185">
        <f t="shared" si="269"/>
        <v>7050.3495562281487</v>
      </c>
      <c r="S161" s="185">
        <f t="shared" si="269"/>
        <v>8237.3419547410995</v>
      </c>
      <c r="T161" s="1881">
        <f t="shared" ref="T161" si="271">T147*T163</f>
        <v>9586.0248570004405</v>
      </c>
      <c r="V161" s="1598"/>
      <c r="W161" s="151"/>
    </row>
    <row r="162" spans="1:23" outlineLevel="1">
      <c r="A162" s="186" t="s">
        <v>870</v>
      </c>
      <c r="B162" s="187"/>
      <c r="C162" s="187"/>
      <c r="D162" s="188"/>
      <c r="E162" s="188"/>
      <c r="F162" s="188"/>
      <c r="G162" s="189">
        <f t="shared" ref="G162:T162" si="272">G161/F161-1</f>
        <v>0.31360954530766794</v>
      </c>
      <c r="H162" s="189">
        <f t="shared" si="272"/>
        <v>7.3244434481807508E-2</v>
      </c>
      <c r="I162" s="189">
        <f t="shared" si="272"/>
        <v>0.52724541206524878</v>
      </c>
      <c r="J162" s="189">
        <f t="shared" si="272"/>
        <v>0.4972168104822805</v>
      </c>
      <c r="K162" s="189">
        <f t="shared" si="272"/>
        <v>0.26356230856826013</v>
      </c>
      <c r="L162" s="189">
        <f t="shared" si="272"/>
        <v>0.28791868979221036</v>
      </c>
      <c r="M162" s="189">
        <f t="shared" si="272"/>
        <v>0.30803747563093853</v>
      </c>
      <c r="N162" s="189">
        <f t="shared" si="272"/>
        <v>0.2434094000719933</v>
      </c>
      <c r="O162" s="189">
        <f t="shared" si="272"/>
        <v>0.22187492722343394</v>
      </c>
      <c r="P162" s="189">
        <f t="shared" si="272"/>
        <v>0.2316793140772897</v>
      </c>
      <c r="Q162" s="189">
        <f t="shared" si="272"/>
        <v>0.15144858534684746</v>
      </c>
      <c r="R162" s="189">
        <f t="shared" si="272"/>
        <v>0.13291748861481945</v>
      </c>
      <c r="S162" s="189">
        <f t="shared" si="272"/>
        <v>0.16835936843221955</v>
      </c>
      <c r="T162" s="1882">
        <f t="shared" si="272"/>
        <v>0.16372792457439389</v>
      </c>
    </row>
    <row r="163" spans="1:23" ht="13.5" outlineLevel="1" thickBot="1">
      <c r="A163" s="190" t="s">
        <v>113</v>
      </c>
      <c r="B163" s="191"/>
      <c r="C163" s="191"/>
      <c r="D163" s="109">
        <f t="shared" ref="D163:I163" si="273">D161/D147</f>
        <v>0.16516682585480974</v>
      </c>
      <c r="E163" s="109">
        <f t="shared" si="273"/>
        <v>5.4113746644065389E-2</v>
      </c>
      <c r="F163" s="109">
        <f t="shared" si="273"/>
        <v>0.1856959002249686</v>
      </c>
      <c r="G163" s="109">
        <f t="shared" si="273"/>
        <v>0.18126092944743158</v>
      </c>
      <c r="H163" s="109">
        <f t="shared" si="273"/>
        <v>0.14575686878924293</v>
      </c>
      <c r="I163" s="109">
        <f t="shared" si="273"/>
        <v>0.16864562445071307</v>
      </c>
      <c r="J163" s="109">
        <f t="shared" ref="J163:K163" si="274">J161/J147</f>
        <v>0.20350704627107333</v>
      </c>
      <c r="K163" s="109">
        <f t="shared" si="274"/>
        <v>0.20429417870517111</v>
      </c>
      <c r="L163" s="109">
        <f t="shared" ref="L163" si="275">L161/L147</f>
        <v>0.21069164042872821</v>
      </c>
      <c r="M163" s="192">
        <f t="shared" ref="M163:T163" si="276">M62+(M157-M37)</f>
        <v>0.23158482319517415</v>
      </c>
      <c r="N163" s="192">
        <f t="shared" si="276"/>
        <v>0.24619020051210275</v>
      </c>
      <c r="O163" s="192">
        <f t="shared" si="276"/>
        <v>0.26099013608285176</v>
      </c>
      <c r="P163" s="192">
        <f t="shared" si="276"/>
        <v>0.28151594712582517</v>
      </c>
      <c r="Q163" s="192">
        <f t="shared" si="276"/>
        <v>0.28655139125693874</v>
      </c>
      <c r="R163" s="192">
        <f t="shared" si="276"/>
        <v>0.29111246014601633</v>
      </c>
      <c r="S163" s="192">
        <f t="shared" si="276"/>
        <v>0.31085781144071162</v>
      </c>
      <c r="T163" s="1905">
        <f t="shared" si="276"/>
        <v>0.33704027255655855</v>
      </c>
    </row>
    <row r="164" spans="1:23" ht="5.25" customHeight="1" outlineLevel="1">
      <c r="L164" s="1615"/>
      <c r="M164" s="538"/>
    </row>
    <row r="165" spans="1:23" outlineLevel="1">
      <c r="A165" s="193" t="s">
        <v>114</v>
      </c>
      <c r="B165" s="194"/>
      <c r="C165" s="194"/>
      <c r="D165" s="194"/>
      <c r="E165" s="194"/>
      <c r="F165" s="194"/>
      <c r="G165" s="194"/>
      <c r="H165" s="194"/>
      <c r="I165" s="194"/>
      <c r="J165" s="194"/>
      <c r="K165" s="194"/>
      <c r="L165" s="194"/>
      <c r="M165" s="195"/>
      <c r="N165" s="195"/>
      <c r="O165" s="195"/>
      <c r="P165" s="195"/>
      <c r="Q165" s="195"/>
      <c r="R165" s="1917">
        <v>13</v>
      </c>
    </row>
    <row r="166" spans="1:23" outlineLevel="1">
      <c r="A166" s="196" t="s">
        <v>115</v>
      </c>
      <c r="B166" s="170"/>
      <c r="C166" s="170"/>
      <c r="D166" s="170"/>
      <c r="E166" s="170"/>
      <c r="F166" s="170"/>
      <c r="G166" s="170"/>
      <c r="H166" s="170"/>
      <c r="I166" s="170"/>
      <c r="J166" s="170"/>
      <c r="K166" s="170"/>
      <c r="L166" s="197"/>
      <c r="M166" s="198"/>
      <c r="N166" s="198"/>
      <c r="O166" s="198"/>
      <c r="P166" s="1615"/>
      <c r="Q166" s="1615"/>
      <c r="R166" s="1918">
        <f>_WACC</f>
        <v>9.7388373722812893E-2</v>
      </c>
      <c r="S166" s="1976"/>
    </row>
    <row r="167" spans="1:23" outlineLevel="1">
      <c r="A167" s="199" t="s">
        <v>116</v>
      </c>
      <c r="B167" s="146"/>
      <c r="C167" s="146"/>
      <c r="D167" s="146"/>
      <c r="E167" s="146"/>
      <c r="F167" s="146"/>
      <c r="G167" s="200"/>
      <c r="H167" s="234"/>
      <c r="I167" s="1621"/>
      <c r="J167" s="1621"/>
      <c r="K167" s="1621"/>
      <c r="L167" s="1621">
        <f t="shared" ref="L167:P167" si="277">M167/(1+$R166)</f>
        <v>52479.764032068444</v>
      </c>
      <c r="M167" s="1621">
        <f t="shared" si="277"/>
        <v>57590.682904508561</v>
      </c>
      <c r="N167" s="1621">
        <f t="shared" si="277"/>
        <v>63199.345854164858</v>
      </c>
      <c r="O167" s="1621">
        <f t="shared" si="277"/>
        <v>69354.227367247571</v>
      </c>
      <c r="P167" s="1621">
        <f t="shared" si="277"/>
        <v>76108.522781346022</v>
      </c>
      <c r="Q167" s="1621">
        <f>R167/(1+$R166)</f>
        <v>83520.60804146697</v>
      </c>
      <c r="R167" s="1919">
        <f>(R161)*R165</f>
        <v>91654.544230965927</v>
      </c>
      <c r="S167" s="1976"/>
    </row>
    <row r="168" spans="1:23" ht="4.5" customHeight="1" outlineLevel="1">
      <c r="L168" s="1615"/>
      <c r="M168" s="538"/>
    </row>
    <row r="169" spans="1:23" outlineLevel="1">
      <c r="A169" s="145" t="s">
        <v>117</v>
      </c>
      <c r="G169" s="162"/>
      <c r="H169" s="162"/>
      <c r="I169" s="162"/>
      <c r="J169" s="162"/>
      <c r="K169" s="162"/>
      <c r="L169" s="1622">
        <f>L167/L147</f>
        <v>5.0076053378630148</v>
      </c>
      <c r="M169" s="1622">
        <f>M167/M147</f>
        <v>4.6177780154036814</v>
      </c>
      <c r="N169" s="1622">
        <f>N167/N147</f>
        <v>4.332513529747807</v>
      </c>
    </row>
    <row r="170" spans="1:23" ht="3" customHeight="1" outlineLevel="1">
      <c r="L170" s="538"/>
      <c r="M170" s="538"/>
      <c r="N170" s="538"/>
    </row>
    <row r="171" spans="1:23" ht="15.75" outlineLevel="1" thickBot="1">
      <c r="A171" s="201" t="s">
        <v>9</v>
      </c>
      <c r="B171" s="201"/>
      <c r="C171" s="201"/>
      <c r="D171" s="201"/>
      <c r="E171" s="201"/>
      <c r="F171" s="201"/>
      <c r="G171" s="201"/>
      <c r="H171" s="202"/>
      <c r="I171" s="203"/>
      <c r="J171" s="202"/>
      <c r="K171" s="202"/>
      <c r="L171" s="202">
        <f>L127</f>
        <v>3479.4900000000007</v>
      </c>
      <c r="M171" s="202">
        <f>M127</f>
        <v>3479.4900000000007</v>
      </c>
      <c r="N171" s="202">
        <f>N127</f>
        <v>3479.4900000000007</v>
      </c>
      <c r="V171" s="538"/>
      <c r="W171" s="538"/>
    </row>
    <row r="172" spans="1:23" ht="15.75" outlineLevel="1" thickBot="1">
      <c r="A172" s="1831" t="s">
        <v>1144</v>
      </c>
      <c r="B172" s="206"/>
      <c r="C172" s="206"/>
      <c r="D172" s="206"/>
      <c r="E172" s="206"/>
      <c r="F172" s="206"/>
      <c r="G172" s="206"/>
      <c r="H172" s="537"/>
      <c r="I172" s="537"/>
      <c r="J172" s="1963"/>
      <c r="K172" s="1916"/>
      <c r="L172" s="1916">
        <f>(L167+L171)/$O$73</f>
        <v>68.844373511624639</v>
      </c>
      <c r="M172" s="1916">
        <f>(M167+M171)/$O$73</f>
        <v>75.132127234007001</v>
      </c>
      <c r="N172" s="207">
        <f>(N167+N171)/$O$73</f>
        <v>82.032235065781762</v>
      </c>
      <c r="O172" s="1859"/>
      <c r="P172" s="1979"/>
      <c r="Q172" s="1979"/>
      <c r="R172" s="1860"/>
      <c r="V172" s="204"/>
    </row>
    <row r="173" spans="1:23">
      <c r="L173" s="538"/>
      <c r="M173" s="538"/>
      <c r="W173" s="538"/>
    </row>
    <row r="174" spans="1:23" hidden="1">
      <c r="A174" s="144" t="s">
        <v>291</v>
      </c>
      <c r="L174" s="538"/>
      <c r="M174" s="538"/>
      <c r="W174" s="539"/>
    </row>
    <row r="175" spans="1:23" hidden="1">
      <c r="A175" s="183" t="s">
        <v>292</v>
      </c>
      <c r="L175" s="538"/>
      <c r="M175" s="538"/>
    </row>
    <row r="176" spans="1:23" hidden="1">
      <c r="A176" s="145" t="s">
        <v>293</v>
      </c>
      <c r="G176" s="211">
        <v>24.6</v>
      </c>
      <c r="H176" s="208"/>
      <c r="I176" s="208"/>
      <c r="J176" s="208"/>
      <c r="L176" s="1625">
        <v>42.2</v>
      </c>
      <c r="M176" s="538"/>
      <c r="U176" s="171"/>
    </row>
    <row r="177" spans="1:21" ht="13.5" hidden="1" thickBot="1">
      <c r="A177" s="145" t="s">
        <v>294</v>
      </c>
      <c r="G177" s="212">
        <v>23.8</v>
      </c>
      <c r="H177" s="149"/>
      <c r="I177" s="149"/>
      <c r="J177" s="149"/>
      <c r="L177" s="1625">
        <v>46.3</v>
      </c>
      <c r="M177" s="538"/>
      <c r="U177" s="171"/>
    </row>
    <row r="178" spans="1:21" ht="13.5" hidden="1" thickBot="1">
      <c r="A178" s="213" t="s">
        <v>299</v>
      </c>
      <c r="B178" s="214"/>
      <c r="C178" s="214"/>
      <c r="D178" s="214"/>
      <c r="E178" s="214"/>
      <c r="F178" s="215"/>
      <c r="G178" s="216">
        <f>AVERAGE(G176:G177)</f>
        <v>24.200000000000003</v>
      </c>
      <c r="H178" s="217"/>
      <c r="I178" s="217"/>
      <c r="J178" s="217"/>
      <c r="K178" s="214"/>
      <c r="L178" s="216">
        <f>AVERAGE(L176:L177)</f>
        <v>44.25</v>
      </c>
      <c r="M178" s="218"/>
      <c r="U178" s="171"/>
    </row>
    <row r="179" spans="1:21" hidden="1">
      <c r="A179" s="145" t="s">
        <v>295</v>
      </c>
      <c r="G179" s="219">
        <v>105.8</v>
      </c>
      <c r="L179" s="219">
        <v>105.8</v>
      </c>
      <c r="M179" s="538"/>
    </row>
    <row r="180" spans="1:21" ht="13.5" thickBot="1">
      <c r="F180" s="210"/>
      <c r="K180" s="162"/>
      <c r="L180" s="538"/>
      <c r="M180" s="538"/>
      <c r="N180" s="170"/>
      <c r="O180" s="170"/>
    </row>
    <row r="181" spans="1:21">
      <c r="A181" s="152" t="s">
        <v>767</v>
      </c>
      <c r="B181" s="153"/>
      <c r="C181" s="153"/>
      <c r="D181" s="153"/>
      <c r="E181" s="153"/>
      <c r="F181" s="153"/>
      <c r="G181" s="1648">
        <f>'MS Revenue Analysis'!CA139/1000</f>
        <v>3.529614</v>
      </c>
      <c r="H181" s="1648">
        <f>'MS Revenue Analysis'!CG139/1000</f>
        <v>4.6833459999999993</v>
      </c>
      <c r="I181" s="1648">
        <f>'MS Revenue Analysis'!CM252/1000</f>
        <v>6.0895565399999994</v>
      </c>
      <c r="J181" s="1648">
        <f>'MS Revenue Analysis'!CS252/1000</f>
        <v>7.8001103700000005</v>
      </c>
      <c r="K181" s="1648">
        <f>'MS Revenue Analysis'!CY252/1000</f>
        <v>9.5248406449999994</v>
      </c>
      <c r="L181" s="1648">
        <f>'MS Revenue Analysis'!DE252/1000</f>
        <v>11.671041710000001</v>
      </c>
      <c r="M181" s="1648">
        <f>'MS Revenue Analysis'!DK252/1000</f>
        <v>14.537141021799998</v>
      </c>
      <c r="N181" s="1655">
        <f>'MS Revenue Analysis'!DQ252/1000</f>
        <v>17.454778195385206</v>
      </c>
      <c r="O181" s="1655">
        <f>'MS Revenue Analysis'!DW252/1000</f>
        <v>20.852763524193236</v>
      </c>
      <c r="P181" s="1982">
        <f t="shared" ref="P181:T181" si="278">O181*(1+P12)</f>
        <v>24.74262843181782</v>
      </c>
      <c r="Q181" s="1982">
        <f t="shared" si="278"/>
        <v>29.157416015807623</v>
      </c>
      <c r="R181" s="1982">
        <f t="shared" si="278"/>
        <v>34.124156122226395</v>
      </c>
      <c r="S181" s="1982">
        <f t="shared" si="278"/>
        <v>39.201943339955129</v>
      </c>
      <c r="T181" s="1982">
        <f t="shared" si="278"/>
        <v>44.198793626242242</v>
      </c>
    </row>
    <row r="182" spans="1:21">
      <c r="A182" s="166"/>
      <c r="B182" s="170"/>
      <c r="C182" s="170"/>
      <c r="D182" s="170"/>
      <c r="E182" s="170"/>
      <c r="F182" s="170"/>
      <c r="G182" s="1655"/>
      <c r="H182" s="1655"/>
      <c r="I182" s="1655"/>
      <c r="J182" s="1655"/>
      <c r="K182" s="1655"/>
      <c r="L182" s="1655"/>
      <c r="M182" s="1655"/>
      <c r="N182" s="151">
        <f t="shared" ref="N182:R182" si="279">N181/M181-1</f>
        <v>0.20070226801885593</v>
      </c>
      <c r="O182" s="151">
        <f t="shared" si="279"/>
        <v>0.19467364699635126</v>
      </c>
      <c r="P182" s="1978">
        <f t="shared" si="279"/>
        <v>0.18653953962080805</v>
      </c>
      <c r="Q182" s="1978">
        <f t="shared" si="279"/>
        <v>0.17842839923638021</v>
      </c>
      <c r="R182" s="1978">
        <f t="shared" si="279"/>
        <v>0.17034225885195275</v>
      </c>
      <c r="S182" s="1978">
        <f>S181/R181-1</f>
        <v>0.14880330518771046</v>
      </c>
      <c r="T182" s="1978">
        <f>T181/S181-1</f>
        <v>0.12746435152346791</v>
      </c>
    </row>
    <row r="183" spans="1:21">
      <c r="A183" s="1649" t="s">
        <v>297</v>
      </c>
      <c r="B183" s="1650"/>
      <c r="C183" s="1650"/>
      <c r="D183" s="1650"/>
      <c r="E183" s="1650"/>
      <c r="F183" s="1650"/>
      <c r="G183" s="1651">
        <f>(G181)/G178</f>
        <v>0.14585181818181817</v>
      </c>
      <c r="H183" s="1652"/>
      <c r="I183" s="1652"/>
      <c r="J183" s="1652"/>
      <c r="K183" s="1652"/>
      <c r="L183" s="1653">
        <f>(L181)/L178</f>
        <v>0.26375235502824862</v>
      </c>
      <c r="M183" s="1653"/>
      <c r="N183" s="1653"/>
      <c r="O183" s="1654"/>
    </row>
    <row r="184" spans="1:21">
      <c r="A184" s="1649" t="s">
        <v>298</v>
      </c>
      <c r="B184" s="1650"/>
      <c r="C184" s="1650"/>
      <c r="D184" s="1650"/>
      <c r="E184" s="1650"/>
      <c r="F184" s="1650"/>
      <c r="G184" s="1651">
        <f>G181/G179</f>
        <v>3.3361190926275992E-2</v>
      </c>
      <c r="H184" s="1652"/>
      <c r="I184" s="1652"/>
      <c r="J184" s="1652"/>
      <c r="K184" s="1652"/>
      <c r="L184" s="1653">
        <f>L181/L179</f>
        <v>0.11031230349716448</v>
      </c>
      <c r="M184" s="1653"/>
      <c r="N184" s="1653"/>
      <c r="O184" s="1654"/>
    </row>
    <row r="185" spans="1:21">
      <c r="A185" s="166" t="s">
        <v>154</v>
      </c>
      <c r="B185" s="170"/>
      <c r="C185" s="170"/>
      <c r="D185" s="170"/>
      <c r="E185" s="170"/>
      <c r="F185" s="170"/>
      <c r="G185" s="1655">
        <f t="shared" ref="G185:S185" si="280">G27/1000</f>
        <v>3.050195</v>
      </c>
      <c r="H185" s="1655">
        <f t="shared" si="280"/>
        <v>4.071003000000001</v>
      </c>
      <c r="I185" s="1655">
        <f t="shared" si="280"/>
        <v>5.3735860000000004</v>
      </c>
      <c r="J185" s="1655">
        <f t="shared" si="280"/>
        <v>6.6672160000000007</v>
      </c>
      <c r="K185" s="1655">
        <f t="shared" si="280"/>
        <v>8.3919840000000008</v>
      </c>
      <c r="L185" s="1655">
        <f t="shared" si="280"/>
        <v>10.480011999999999</v>
      </c>
      <c r="M185" s="1655">
        <f t="shared" si="280"/>
        <v>12.709634739347848</v>
      </c>
      <c r="N185" s="1655">
        <f t="shared" si="280"/>
        <v>15.262853949920789</v>
      </c>
      <c r="O185" s="1656">
        <f t="shared" ref="O185" si="281">O27/1000</f>
        <v>18.223210963134115</v>
      </c>
      <c r="P185" s="1667">
        <f t="shared" si="280"/>
        <v>21.612527003262436</v>
      </c>
      <c r="Q185" s="1667">
        <f t="shared" si="280"/>
        <v>25.456992023167516</v>
      </c>
      <c r="R185" s="1667">
        <f t="shared" si="280"/>
        <v>29.779555916460321</v>
      </c>
      <c r="S185" s="1667">
        <f t="shared" si="280"/>
        <v>34.194955547037559</v>
      </c>
      <c r="T185" s="1667">
        <f t="shared" ref="T185" si="282">T27/1000</f>
        <v>38.535670399700116</v>
      </c>
    </row>
    <row r="186" spans="1:21">
      <c r="A186" s="166" t="s">
        <v>296</v>
      </c>
      <c r="B186" s="170"/>
      <c r="C186" s="170"/>
      <c r="D186" s="170"/>
      <c r="E186" s="170"/>
      <c r="F186" s="170"/>
      <c r="G186" s="150">
        <f>G185/G181</f>
        <v>0.86417239958817027</v>
      </c>
      <c r="H186" s="150">
        <f>H185/H181</f>
        <v>0.8692509586095073</v>
      </c>
      <c r="I186" s="150">
        <f>I185/I181</f>
        <v>0.8824264894665057</v>
      </c>
      <c r="J186" s="150">
        <f>J185/J181</f>
        <v>0.85475918720878308</v>
      </c>
      <c r="K186" s="1657">
        <v>0.91</v>
      </c>
      <c r="L186" s="1658">
        <v>0.92</v>
      </c>
      <c r="M186" s="1658">
        <v>0.93</v>
      </c>
      <c r="N186" s="1658"/>
      <c r="O186" s="1659"/>
      <c r="P186" s="1611"/>
      <c r="Q186" s="1611"/>
      <c r="R186" s="1611"/>
      <c r="S186" s="1611"/>
      <c r="T186" s="1611"/>
    </row>
    <row r="187" spans="1:21">
      <c r="A187" s="166"/>
      <c r="B187" s="170"/>
      <c r="C187" s="170"/>
      <c r="D187" s="170"/>
      <c r="E187" s="170"/>
      <c r="F187" s="170"/>
      <c r="G187" s="170"/>
      <c r="H187" s="170"/>
      <c r="I187" s="170"/>
      <c r="J187" s="170"/>
      <c r="K187" s="170"/>
      <c r="L187" s="1615"/>
      <c r="M187" s="1615"/>
      <c r="N187" s="1615"/>
      <c r="O187" s="1660"/>
    </row>
    <row r="188" spans="1:21">
      <c r="A188" s="225" t="s">
        <v>300</v>
      </c>
      <c r="B188" s="170"/>
      <c r="C188" s="170"/>
      <c r="D188" s="170"/>
      <c r="E188" s="170"/>
      <c r="F188" s="170"/>
      <c r="G188" s="1661">
        <f t="shared" ref="G188:S188" si="283">G2</f>
        <v>2013</v>
      </c>
      <c r="H188" s="1661">
        <f t="shared" si="283"/>
        <v>2014</v>
      </c>
      <c r="I188" s="1661">
        <f t="shared" si="283"/>
        <v>2015</v>
      </c>
      <c r="J188" s="1661">
        <f t="shared" si="283"/>
        <v>2016</v>
      </c>
      <c r="K188" s="1661">
        <f t="shared" si="283"/>
        <v>2017</v>
      </c>
      <c r="L188" s="1661">
        <f t="shared" si="283"/>
        <v>2018</v>
      </c>
      <c r="M188" s="1661" t="str">
        <f t="shared" si="283"/>
        <v>2019e</v>
      </c>
      <c r="N188" s="1661" t="str">
        <f t="shared" si="283"/>
        <v>2020e</v>
      </c>
      <c r="O188" s="1662" t="str">
        <f t="shared" ref="O188" si="284">O2</f>
        <v>2021e</v>
      </c>
      <c r="P188" s="156" t="str">
        <f t="shared" si="283"/>
        <v>2022e</v>
      </c>
      <c r="Q188" s="156" t="str">
        <f t="shared" si="283"/>
        <v>2023e</v>
      </c>
      <c r="R188" s="156" t="str">
        <f t="shared" si="283"/>
        <v>2024e</v>
      </c>
      <c r="S188" s="156" t="str">
        <f t="shared" si="283"/>
        <v>2025e</v>
      </c>
      <c r="T188" s="156" t="str">
        <f t="shared" ref="T188" si="285">T2</f>
        <v>2026e</v>
      </c>
    </row>
    <row r="189" spans="1:21">
      <c r="A189" s="166" t="s">
        <v>338</v>
      </c>
      <c r="B189" s="170"/>
      <c r="C189" s="170"/>
      <c r="D189" s="170"/>
      <c r="E189" s="170"/>
      <c r="F189" s="170"/>
      <c r="G189" s="1655">
        <f>'MS Revenue Analysis'!CA111/1000</f>
        <v>1.3302078534624993</v>
      </c>
      <c r="H189" s="1655">
        <f>'MS Revenue Analysis'!CG111/1000</f>
        <v>1.5441224815949999</v>
      </c>
      <c r="I189" s="1655">
        <f>'MS Revenue Analysis'!CM111/1000</f>
        <v>2.0821639156900003</v>
      </c>
      <c r="J189" s="1655">
        <f>'MS Revenue Analysis'!CS111/1000</f>
        <v>2.3652703114350011</v>
      </c>
      <c r="K189" s="1655">
        <f>'MS Revenue Analysis'!CY111/1000</f>
        <v>3.1959215753280006</v>
      </c>
      <c r="L189" s="1655">
        <f>'MS Revenue Analysis'!DE111/1000</f>
        <v>3.9953671599999994</v>
      </c>
      <c r="M189" s="1655">
        <f>'MS Revenue Analysis'!DK111/1000</f>
        <v>4.5477143692999986</v>
      </c>
      <c r="N189" s="1655">
        <f>'MS Revenue Analysis'!DQ111/1000</f>
        <v>5.1408495416987865</v>
      </c>
      <c r="O189" s="1656">
        <f>'MS Revenue Analysis'!DW111/1000</f>
        <v>6.0570527931403966</v>
      </c>
      <c r="P189" s="1625">
        <f t="shared" ref="P189:S189" si="286">P181-P190</f>
        <v>6.8580550976059378</v>
      </c>
      <c r="Q189" s="1625">
        <f t="shared" si="286"/>
        <v>7.8129494633581871</v>
      </c>
      <c r="R189" s="1625">
        <f t="shared" si="286"/>
        <v>8.8254434901899081</v>
      </c>
      <c r="S189" s="1625">
        <f t="shared" si="286"/>
        <v>9.4231700715199835</v>
      </c>
      <c r="T189" s="1625">
        <f t="shared" ref="T189" si="287">T181-T190</f>
        <v>9.7928307543287332</v>
      </c>
    </row>
    <row r="190" spans="1:21">
      <c r="A190" s="166" t="s">
        <v>494</v>
      </c>
      <c r="B190" s="170"/>
      <c r="C190" s="170"/>
      <c r="D190" s="170"/>
      <c r="E190" s="170"/>
      <c r="F190" s="170"/>
      <c r="G190" s="1655">
        <f>'MS Revenue Analysis'!CA124/1000</f>
        <v>2.1994061465375006</v>
      </c>
      <c r="H190" s="1655">
        <f>'MS Revenue Analysis'!CG124/1000</f>
        <v>3.1392235184050001</v>
      </c>
      <c r="I190" s="1655">
        <f>'MS Revenue Analysis'!CM124/1000</f>
        <v>4.0902520843100003</v>
      </c>
      <c r="J190" s="1655">
        <f>'MS Revenue Analysis'!CS124/1000</f>
        <v>5.2716316885649999</v>
      </c>
      <c r="K190" s="1655">
        <f>('MS Revenue Analysis'!CY124)/1000</f>
        <v>6.4318324246720007</v>
      </c>
      <c r="L190" s="1655">
        <f>('MS Revenue Analysis'!DE124-'MS Revenue Analysis'!DE237)/1000</f>
        <v>7.9115488400000009</v>
      </c>
      <c r="M190" s="1655">
        <f>('MS Revenue Analysis'!DK124-'MS Revenue Analysis'!DK237)/1000</f>
        <v>9.9894266525000006</v>
      </c>
      <c r="N190" s="1655">
        <f>('MS Revenue Analysis'!DQ124-'MS Revenue Analysis'!DQ237)/1000</f>
        <v>12.313928653686416</v>
      </c>
      <c r="O190" s="1656">
        <f>('MS Revenue Analysis'!DW124-'MS Revenue Analysis'!DW237)/1000</f>
        <v>14.795710731052843</v>
      </c>
      <c r="P190" s="1983">
        <f t="shared" ref="P190:T190" si="288">P192*O181</f>
        <v>17.884573334211883</v>
      </c>
      <c r="Q190" s="1983">
        <f t="shared" si="288"/>
        <v>21.344466552449436</v>
      </c>
      <c r="R190" s="1983">
        <f t="shared" si="288"/>
        <v>25.298712632036487</v>
      </c>
      <c r="S190" s="1983">
        <f t="shared" si="288"/>
        <v>29.778773268435145</v>
      </c>
      <c r="T190" s="1983">
        <f t="shared" si="288"/>
        <v>34.405962871913509</v>
      </c>
    </row>
    <row r="191" spans="1:21">
      <c r="A191" s="166" t="s">
        <v>301</v>
      </c>
      <c r="B191" s="170"/>
      <c r="C191" s="170"/>
      <c r="D191" s="170"/>
      <c r="E191" s="170"/>
      <c r="F191" s="170"/>
      <c r="G191" s="150">
        <f t="shared" ref="G191:S191" si="289">G190/G181</f>
        <v>0.62312936953941722</v>
      </c>
      <c r="H191" s="150">
        <f t="shared" si="289"/>
        <v>0.67029502377253369</v>
      </c>
      <c r="I191" s="1669">
        <f t="shared" si="289"/>
        <v>0.6716830786351482</v>
      </c>
      <c r="J191" s="1669">
        <f t="shared" si="289"/>
        <v>0.67584065333744747</v>
      </c>
      <c r="K191" s="1669">
        <f t="shared" si="289"/>
        <v>0.67526929472025843</v>
      </c>
      <c r="L191" s="1613">
        <f t="shared" si="289"/>
        <v>0.67787855073992365</v>
      </c>
      <c r="M191" s="1613">
        <f t="shared" si="289"/>
        <v>0.68716583525741315</v>
      </c>
      <c r="N191" s="1613">
        <f t="shared" ref="N191:O191" si="290">N190/N181</f>
        <v>0.70547608888791513</v>
      </c>
      <c r="O191" s="1818">
        <f t="shared" si="290"/>
        <v>0.70953237032045935</v>
      </c>
      <c r="P191" s="1984">
        <f t="shared" si="289"/>
        <v>0.72282431042019724</v>
      </c>
      <c r="Q191" s="1984">
        <f t="shared" si="289"/>
        <v>0.73204246017128494</v>
      </c>
      <c r="R191" s="1984">
        <f t="shared" si="289"/>
        <v>0.74137254973928712</v>
      </c>
      <c r="S191" s="1984">
        <f t="shared" si="289"/>
        <v>0.75962492497366152</v>
      </c>
      <c r="T191" s="1984">
        <f t="shared" ref="T191" si="291">T190/T181</f>
        <v>0.77843669587139108</v>
      </c>
    </row>
    <row r="192" spans="1:21">
      <c r="A192" s="166" t="s">
        <v>302</v>
      </c>
      <c r="B192" s="170"/>
      <c r="C192" s="170"/>
      <c r="D192" s="170"/>
      <c r="E192" s="170"/>
      <c r="F192" s="170"/>
      <c r="G192" s="170"/>
      <c r="H192" s="150">
        <f t="shared" ref="H192:O192" si="292">H190/G181</f>
        <v>0.88939570117440603</v>
      </c>
      <c r="I192" s="1669">
        <f t="shared" si="292"/>
        <v>0.87336107225688664</v>
      </c>
      <c r="J192" s="1669">
        <f t="shared" si="292"/>
        <v>0.86568400407117341</v>
      </c>
      <c r="K192" s="1669">
        <f t="shared" si="292"/>
        <v>0.82458223276038078</v>
      </c>
      <c r="L192" s="1669">
        <f t="shared" si="292"/>
        <v>0.83062269857009263</v>
      </c>
      <c r="M192" s="1669">
        <f t="shared" si="292"/>
        <v>0.85591559868566347</v>
      </c>
      <c r="N192" s="1669">
        <f t="shared" si="292"/>
        <v>0.84706673996079163</v>
      </c>
      <c r="O192" s="1663">
        <f t="shared" si="292"/>
        <v>0.84765962451270893</v>
      </c>
      <c r="P192" s="1822">
        <f>O192+1%</f>
        <v>0.85765962451270894</v>
      </c>
      <c r="Q192" s="1822">
        <f t="shared" ref="Q192:T192" si="293">P192+0.5%</f>
        <v>0.86265962451270894</v>
      </c>
      <c r="R192" s="1822">
        <f>Q192+0.5%</f>
        <v>0.86765962451270895</v>
      </c>
      <c r="S192" s="1822">
        <f t="shared" si="293"/>
        <v>0.87265962451270895</v>
      </c>
      <c r="T192" s="1822">
        <f t="shared" si="293"/>
        <v>0.87765962451270896</v>
      </c>
    </row>
    <row r="193" spans="1:23">
      <c r="A193" s="166"/>
      <c r="B193" s="170"/>
      <c r="C193" s="170"/>
      <c r="D193" s="170"/>
      <c r="E193" s="170"/>
      <c r="F193" s="170"/>
      <c r="G193" s="170"/>
      <c r="H193" s="170"/>
      <c r="I193" s="170"/>
      <c r="J193" s="1664"/>
      <c r="K193" s="1665"/>
      <c r="L193" s="1615"/>
      <c r="M193" s="1615"/>
      <c r="N193" s="1615"/>
      <c r="O193" s="1660"/>
    </row>
    <row r="194" spans="1:23">
      <c r="A194" s="1817" t="s">
        <v>1135</v>
      </c>
      <c r="B194" s="170"/>
      <c r="C194" s="170"/>
      <c r="D194" s="170"/>
      <c r="E194" s="170"/>
      <c r="F194" s="170"/>
      <c r="G194" s="1666">
        <v>0.65</v>
      </c>
      <c r="H194" s="1657">
        <f t="shared" ref="H194" si="294">G194</f>
        <v>0.65</v>
      </c>
      <c r="I194" s="1657">
        <v>0.5</v>
      </c>
      <c r="J194" s="1657">
        <v>0.504</v>
      </c>
      <c r="K194" s="1657">
        <f>J194+1%</f>
        <v>0.51400000000000001</v>
      </c>
      <c r="L194" s="1657">
        <f>K194-1.1%</f>
        <v>0.503</v>
      </c>
      <c r="M194" s="1657">
        <f>L194+0.8%</f>
        <v>0.51100000000000001</v>
      </c>
      <c r="N194" s="1657">
        <f>M194+0.8%</f>
        <v>0.51900000000000002</v>
      </c>
      <c r="O194" s="1986">
        <f>N194+0.8%</f>
        <v>0.52700000000000002</v>
      </c>
      <c r="P194" s="1658">
        <f>O194+1%</f>
        <v>0.53700000000000003</v>
      </c>
      <c r="Q194" s="1658">
        <f>P194+1%</f>
        <v>0.54700000000000004</v>
      </c>
      <c r="R194" s="1658">
        <f t="shared" ref="R194" si="295">Q194+0.5%</f>
        <v>0.55200000000000005</v>
      </c>
      <c r="S194" s="1658">
        <f>R194</f>
        <v>0.55200000000000005</v>
      </c>
      <c r="T194" s="1658">
        <f>S194</f>
        <v>0.55200000000000005</v>
      </c>
    </row>
    <row r="195" spans="1:23">
      <c r="A195" s="166" t="s">
        <v>303</v>
      </c>
      <c r="B195" s="170"/>
      <c r="C195" s="170"/>
      <c r="D195" s="170"/>
      <c r="E195" s="170"/>
      <c r="F195" s="170"/>
      <c r="G195" s="1655">
        <f>G190*G194</f>
        <v>1.4296139952493754</v>
      </c>
      <c r="H195" s="1655">
        <f t="shared" ref="H195:M195" si="296">H190*H194</f>
        <v>2.04049528696325</v>
      </c>
      <c r="I195" s="1655">
        <f t="shared" si="296"/>
        <v>2.0451260421550002</v>
      </c>
      <c r="J195" s="1655">
        <f t="shared" si="296"/>
        <v>2.6569023710367601</v>
      </c>
      <c r="K195" s="1655">
        <f t="shared" si="296"/>
        <v>3.3059618662814083</v>
      </c>
      <c r="L195" s="1667">
        <f t="shared" si="296"/>
        <v>3.9795090665200004</v>
      </c>
      <c r="M195" s="1667">
        <f t="shared" si="296"/>
        <v>5.1045970194275005</v>
      </c>
      <c r="N195" s="1667">
        <f t="shared" ref="N195:O195" si="297">N190*N194</f>
        <v>6.39092897126325</v>
      </c>
      <c r="O195" s="1668">
        <f t="shared" si="297"/>
        <v>7.7973395552648483</v>
      </c>
    </row>
    <row r="196" spans="1:23">
      <c r="A196" s="166"/>
      <c r="B196" s="170"/>
      <c r="C196" s="170"/>
      <c r="D196" s="170"/>
      <c r="E196" s="170"/>
      <c r="F196" s="170"/>
      <c r="G196" s="1657"/>
      <c r="H196" s="1657"/>
      <c r="I196" s="1657"/>
      <c r="J196" s="1657"/>
      <c r="K196" s="1657"/>
      <c r="L196" s="1658"/>
      <c r="M196" s="1658"/>
      <c r="N196" s="1658"/>
      <c r="O196" s="1659"/>
    </row>
    <row r="197" spans="1:23">
      <c r="A197" s="1817" t="s">
        <v>1136</v>
      </c>
      <c r="B197" s="170"/>
      <c r="C197" s="170"/>
      <c r="D197" s="170"/>
      <c r="E197" s="170"/>
      <c r="F197" s="170"/>
      <c r="G197" s="1669">
        <f>G198/G189</f>
        <v>-0.44608366557512841</v>
      </c>
      <c r="H197" s="1669">
        <f>H198/H189</f>
        <v>-0.68933086568610025</v>
      </c>
      <c r="I197" s="1669">
        <v>-0.67</v>
      </c>
      <c r="J197" s="1669">
        <v>-0.64</v>
      </c>
      <c r="K197" s="1670">
        <f>J197</f>
        <v>-0.64</v>
      </c>
      <c r="L197" s="1671">
        <f>K197-0.45%</f>
        <v>-0.64449999999999996</v>
      </c>
      <c r="M197" s="1671">
        <f>K197</f>
        <v>-0.64</v>
      </c>
      <c r="N197" s="1671">
        <f>L197</f>
        <v>-0.64449999999999996</v>
      </c>
      <c r="O197" s="1672">
        <f>M197</f>
        <v>-0.64</v>
      </c>
      <c r="P197" s="1820">
        <f t="shared" ref="P197:R197" si="298">O197</f>
        <v>-0.64</v>
      </c>
      <c r="Q197" s="1820">
        <f t="shared" si="298"/>
        <v>-0.64</v>
      </c>
      <c r="R197" s="1820">
        <f t="shared" si="298"/>
        <v>-0.64</v>
      </c>
      <c r="S197" s="1821">
        <f>R197</f>
        <v>-0.64</v>
      </c>
      <c r="T197" s="1821">
        <f>S197</f>
        <v>-0.64</v>
      </c>
    </row>
    <row r="198" spans="1:23">
      <c r="A198" s="166" t="s">
        <v>304</v>
      </c>
      <c r="B198" s="170"/>
      <c r="C198" s="170"/>
      <c r="D198" s="170"/>
      <c r="E198" s="170"/>
      <c r="F198" s="170"/>
      <c r="G198" s="1673">
        <f>G204-G195</f>
        <v>-0.59338399524937491</v>
      </c>
      <c r="H198" s="1673">
        <f>H204-H195</f>
        <v>-1.0644112869632507</v>
      </c>
      <c r="I198" s="1673">
        <f>I204-I195</f>
        <v>-2.0451260421550002</v>
      </c>
      <c r="J198" s="1673">
        <f>J204-J195</f>
        <v>154.36857998885245</v>
      </c>
      <c r="K198" s="1673">
        <f>K197*K189</f>
        <v>-2.0453898082099204</v>
      </c>
      <c r="L198" s="1674">
        <f>L197*L189</f>
        <v>-2.5750141346199995</v>
      </c>
      <c r="M198" s="1674">
        <f>M197*M189</f>
        <v>-2.9105371963519993</v>
      </c>
      <c r="N198" s="1674">
        <f>N197*N189</f>
        <v>-3.3132775296248678</v>
      </c>
      <c r="O198" s="1675">
        <f>O197*O189</f>
        <v>-3.8765137876098539</v>
      </c>
    </row>
    <row r="199" spans="1:23">
      <c r="A199" s="166"/>
      <c r="B199" s="170"/>
      <c r="C199" s="170"/>
      <c r="D199" s="170"/>
      <c r="E199" s="170"/>
      <c r="F199" s="170"/>
      <c r="G199" s="1673"/>
      <c r="H199" s="1673"/>
      <c r="I199" s="1673"/>
      <c r="J199" s="1673"/>
      <c r="K199" s="1673"/>
      <c r="L199" s="1674"/>
      <c r="M199" s="1674"/>
      <c r="N199" s="1674"/>
      <c r="O199" s="1675"/>
    </row>
    <row r="200" spans="1:23">
      <c r="A200" s="1817" t="s">
        <v>1138</v>
      </c>
      <c r="B200" s="170"/>
      <c r="C200" s="170"/>
      <c r="D200" s="170"/>
      <c r="E200" s="170"/>
      <c r="F200" s="170"/>
      <c r="G200" s="1657"/>
      <c r="H200" s="1657"/>
      <c r="I200" s="1657">
        <f>'5-Year View'!I25</f>
        <v>7.1766840242181329E-2</v>
      </c>
      <c r="J200" s="1657">
        <f>'5-Year View'!J25</f>
        <v>7.4387178417425939E-2</v>
      </c>
      <c r="K200" s="1657">
        <f>'5-Year View'!K25</f>
        <v>8.1970370819234403E-2</v>
      </c>
      <c r="L200" s="1657">
        <f>'5-Year View'!L25</f>
        <v>7.9241129585199091E-2</v>
      </c>
      <c r="M200" s="1657">
        <f>'5-Year View'!M25</f>
        <v>7.8957334691349801E-2</v>
      </c>
      <c r="N200" s="1657">
        <f>'5-Year View'!N25</f>
        <v>7.8182593893265068E-2</v>
      </c>
      <c r="O200" s="1986">
        <f>'5-Year View'!O25</f>
        <v>7.7535154412230606E-2</v>
      </c>
      <c r="P200" s="1658">
        <f>'5-Year View'!P25</f>
        <v>7.7035154412230605E-2</v>
      </c>
      <c r="Q200" s="1658">
        <f>'5-Year View'!Q25</f>
        <v>7.6535154412230605E-2</v>
      </c>
      <c r="R200" s="1658">
        <f>'5-Year View'!R25</f>
        <v>7.6035154412230604E-2</v>
      </c>
      <c r="S200" s="1658">
        <f>'5-Year View'!S25</f>
        <v>7.5535154412230604E-2</v>
      </c>
      <c r="T200" s="1658">
        <f>'5-Year View'!T25</f>
        <v>7.5035154412230604E-2</v>
      </c>
    </row>
    <row r="201" spans="1:23">
      <c r="A201" s="1817" t="s">
        <v>1139</v>
      </c>
      <c r="B201" s="170"/>
      <c r="C201" s="170"/>
      <c r="D201" s="170"/>
      <c r="E201" s="170"/>
      <c r="F201" s="170"/>
      <c r="G201" s="1657"/>
      <c r="H201" s="1657"/>
      <c r="I201" s="1657">
        <v>0</v>
      </c>
      <c r="J201" s="1657">
        <v>0</v>
      </c>
      <c r="K201" s="1657">
        <v>0</v>
      </c>
      <c r="L201" s="1657">
        <v>0</v>
      </c>
      <c r="M201" s="1657">
        <v>0</v>
      </c>
      <c r="N201" s="1657">
        <v>0</v>
      </c>
      <c r="O201" s="1986">
        <v>0</v>
      </c>
      <c r="P201" s="1658">
        <v>0</v>
      </c>
      <c r="Q201" s="1658">
        <v>0</v>
      </c>
      <c r="R201" s="1658">
        <v>0</v>
      </c>
      <c r="S201" s="1658">
        <v>0</v>
      </c>
      <c r="T201" s="1658">
        <v>0</v>
      </c>
    </row>
    <row r="202" spans="1:23">
      <c r="A202" s="166"/>
      <c r="B202" s="170"/>
      <c r="C202" s="170"/>
      <c r="D202" s="170"/>
      <c r="E202" s="170"/>
      <c r="F202" s="170"/>
      <c r="G202" s="1657"/>
      <c r="H202" s="1657"/>
      <c r="I202" s="1657"/>
      <c r="J202" s="1657"/>
      <c r="K202" s="1657"/>
      <c r="L202" s="1658"/>
      <c r="M202" s="1658"/>
      <c r="N202" s="1658"/>
      <c r="O202" s="1659"/>
    </row>
    <row r="203" spans="1:23">
      <c r="A203" s="1817" t="s">
        <v>1137</v>
      </c>
      <c r="B203" s="170"/>
      <c r="C203" s="170"/>
      <c r="D203" s="170"/>
      <c r="E203" s="170"/>
      <c r="F203" s="170"/>
      <c r="G203" s="1657">
        <f>G204/G181</f>
        <v>0.23691825791715482</v>
      </c>
      <c r="H203" s="1657">
        <f>H204/H181</f>
        <v>0.20841594876825234</v>
      </c>
      <c r="I203" s="1669">
        <f>((I191*I194)+(I197*(1-I191)))*(1-I200)</f>
        <v>0.1075536354939762</v>
      </c>
      <c r="J203" s="168">
        <f>((J191*J194)+(J197*(1-J191)))*(1-J200)</f>
        <v>0.12325618372996512</v>
      </c>
      <c r="K203" s="168">
        <f t="shared" ref="K203:S203" si="299">((K191*K194)+(K197*(1-K191)))*(1-K200)</f>
        <v>0.12784550946880216</v>
      </c>
      <c r="L203" s="168">
        <f t="shared" si="299"/>
        <v>0.12279759325238807</v>
      </c>
      <c r="M203" s="168">
        <f t="shared" si="299"/>
        <v>0.13901101353159093</v>
      </c>
      <c r="N203" s="168">
        <f t="shared" ref="N203:O203" si="300">((N191*N194)+(N197*(1-N191)))*(1-N200)</f>
        <v>0.16253616270998023</v>
      </c>
      <c r="O203" s="1987">
        <f t="shared" si="300"/>
        <v>0.1734457848783543</v>
      </c>
      <c r="P203" s="1658">
        <f t="shared" si="299"/>
        <v>0.19452795964346001</v>
      </c>
      <c r="Q203" s="1658">
        <f t="shared" si="299"/>
        <v>0.2114128705519524</v>
      </c>
      <c r="R203" s="1658">
        <f t="shared" si="299"/>
        <v>0.22518508956773023</v>
      </c>
      <c r="S203" s="1658">
        <f t="shared" si="299"/>
        <v>0.24542037327654073</v>
      </c>
      <c r="T203" s="1658">
        <f t="shared" ref="T203" si="301">((T191*T194)+(T197*(1-T191)))*(1-T200)</f>
        <v>0.26629418003409688</v>
      </c>
    </row>
    <row r="204" spans="1:23">
      <c r="A204" s="1796" t="s">
        <v>1140</v>
      </c>
      <c r="B204" s="170"/>
      <c r="C204" s="170"/>
      <c r="D204" s="170"/>
      <c r="E204" s="170"/>
      <c r="F204" s="170"/>
      <c r="G204" s="1655">
        <f>'MS Revenue Analysis'!CA177/1000</f>
        <v>0.83623000000000047</v>
      </c>
      <c r="H204" s="1655">
        <f>'MS Revenue Analysis'!CG177/1000</f>
        <v>0.9760839999999994</v>
      </c>
      <c r="I204" s="1655"/>
      <c r="J204" s="1819">
        <f>(J203-I203)*10000</f>
        <v>157.0254823598892</v>
      </c>
      <c r="K204" s="1819">
        <f t="shared" ref="K204:T204" si="302">(K203-J203)*10000</f>
        <v>45.893257388370387</v>
      </c>
      <c r="L204" s="1819">
        <f t="shared" si="302"/>
        <v>-50.479162164140945</v>
      </c>
      <c r="M204" s="1819">
        <f t="shared" si="302"/>
        <v>162.13420279202862</v>
      </c>
      <c r="N204" s="1819">
        <f t="shared" si="302"/>
        <v>235.25149178389299</v>
      </c>
      <c r="O204" s="1988">
        <f t="shared" si="302"/>
        <v>109.09622168374072</v>
      </c>
      <c r="P204" s="1819">
        <f t="shared" si="302"/>
        <v>210.82174765105711</v>
      </c>
      <c r="Q204" s="1819">
        <f t="shared" si="302"/>
        <v>168.84910908492395</v>
      </c>
      <c r="R204" s="1819">
        <f t="shared" si="302"/>
        <v>137.72219015777824</v>
      </c>
      <c r="S204" s="1819">
        <f t="shared" si="302"/>
        <v>202.35283708810502</v>
      </c>
      <c r="T204" s="1819">
        <f t="shared" si="302"/>
        <v>208.7380675755615</v>
      </c>
    </row>
    <row r="205" spans="1:23" ht="13.5" thickBot="1">
      <c r="A205" s="166"/>
      <c r="B205" s="170"/>
      <c r="C205" s="170"/>
      <c r="D205" s="170"/>
      <c r="E205" s="170"/>
      <c r="F205" s="170"/>
      <c r="G205" s="1655"/>
      <c r="H205" s="1657"/>
      <c r="I205" s="1657"/>
      <c r="J205" s="1657"/>
      <c r="K205" s="1657"/>
      <c r="L205" s="1658"/>
      <c r="M205" s="1658"/>
      <c r="N205" s="1658"/>
      <c r="O205" s="1659"/>
    </row>
    <row r="206" spans="1:23">
      <c r="A206" s="223" t="s">
        <v>800</v>
      </c>
      <c r="B206" s="181"/>
      <c r="C206" s="181"/>
      <c r="D206" s="181"/>
      <c r="E206" s="181"/>
      <c r="F206" s="181"/>
      <c r="G206" s="224">
        <f>CF!BS146/1000</f>
        <v>0.55288118069590864</v>
      </c>
      <c r="H206" s="224">
        <f>CF!BY146/1000</f>
        <v>0.59337665011161445</v>
      </c>
      <c r="I206" s="224">
        <f>CF!CE146/1000</f>
        <v>0.90623176650960957</v>
      </c>
      <c r="J206" s="224">
        <f>CF!CK146/1000</f>
        <v>1.3568254350112403</v>
      </c>
      <c r="K206" s="224">
        <f>CF!CQ146/1000</f>
        <v>1.7144334789869367</v>
      </c>
      <c r="L206" s="224">
        <f>CF!CW146/1000</f>
        <v>2.2080509199927563</v>
      </c>
      <c r="M206" s="224">
        <f>CF!DC146/1000</f>
        <v>3.0133461408733893</v>
      </c>
      <c r="N206" s="224">
        <f>CF!DI146/1000</f>
        <v>3.8680936774670664</v>
      </c>
      <c r="O206" s="1676">
        <f>CF!DO146/1000</f>
        <v>4.9182537073915302</v>
      </c>
      <c r="P206" s="1985"/>
      <c r="Q206" s="1985"/>
      <c r="R206" s="1985"/>
      <c r="S206" s="1985"/>
      <c r="T206" s="1985"/>
      <c r="V206" s="151"/>
      <c r="W206" s="151"/>
    </row>
    <row r="207" spans="1:23">
      <c r="A207" s="225" t="s">
        <v>305</v>
      </c>
      <c r="B207" s="226"/>
      <c r="C207" s="226"/>
      <c r="D207" s="226"/>
      <c r="E207" s="226"/>
      <c r="F207" s="226"/>
      <c r="G207" s="227">
        <f>G206/G204</f>
        <v>0.66115922736078392</v>
      </c>
      <c r="H207" s="227">
        <f>H206/H204</f>
        <v>0.60791555861136415</v>
      </c>
      <c r="I207" s="227" t="e">
        <f>I206/I204</f>
        <v>#DIV/0!</v>
      </c>
      <c r="J207" s="227">
        <f>J206/J204</f>
        <v>8.6407977521859199E-3</v>
      </c>
      <c r="K207" s="221">
        <f>J207</f>
        <v>8.6407977521859199E-3</v>
      </c>
      <c r="L207" s="221">
        <f>K207</f>
        <v>8.6407977521859199E-3</v>
      </c>
      <c r="M207" s="221">
        <f>L207</f>
        <v>8.6407977521859199E-3</v>
      </c>
      <c r="N207" s="221">
        <f>M207</f>
        <v>8.6407977521859199E-3</v>
      </c>
      <c r="O207" s="222">
        <f>N207</f>
        <v>8.6407977521859199E-3</v>
      </c>
      <c r="P207" s="220">
        <f t="shared" ref="P207:T207" si="303">O207</f>
        <v>8.6407977521859199E-3</v>
      </c>
      <c r="Q207" s="220">
        <f t="shared" si="303"/>
        <v>8.6407977521859199E-3</v>
      </c>
      <c r="R207" s="220">
        <f t="shared" si="303"/>
        <v>8.6407977521859199E-3</v>
      </c>
      <c r="S207" s="220">
        <f t="shared" si="303"/>
        <v>8.6407977521859199E-3</v>
      </c>
      <c r="T207" s="220">
        <f t="shared" si="303"/>
        <v>8.6407977521859199E-3</v>
      </c>
    </row>
    <row r="208" spans="1:23" ht="13.5" thickBot="1">
      <c r="A208" s="228" t="s">
        <v>801</v>
      </c>
      <c r="B208" s="229"/>
      <c r="C208" s="229"/>
      <c r="D208" s="229"/>
      <c r="E208" s="229"/>
      <c r="F208" s="229"/>
      <c r="G208" s="230">
        <f t="shared" ref="G208:M208" si="304">G206/G185</f>
        <v>0.18126092944743161</v>
      </c>
      <c r="H208" s="230">
        <f t="shared" si="304"/>
        <v>0.14575686878924293</v>
      </c>
      <c r="I208" s="230">
        <f t="shared" si="304"/>
        <v>0.16864562445071307</v>
      </c>
      <c r="J208" s="230">
        <f t="shared" si="304"/>
        <v>0.2035070462710733</v>
      </c>
      <c r="K208" s="230">
        <f t="shared" si="304"/>
        <v>0.20429417870517108</v>
      </c>
      <c r="L208" s="230">
        <f t="shared" si="304"/>
        <v>0.21069164042872818</v>
      </c>
      <c r="M208" s="230">
        <f t="shared" si="304"/>
        <v>0.23709148238102781</v>
      </c>
      <c r="N208" s="230">
        <f t="shared" ref="N208:O208" si="305">N206/N185</f>
        <v>0.25343187389191657</v>
      </c>
      <c r="O208" s="231">
        <f t="shared" si="305"/>
        <v>0.26988952261713078</v>
      </c>
    </row>
    <row r="209" spans="12:13">
      <c r="L209" s="538"/>
      <c r="M209" s="538"/>
    </row>
    <row r="210" spans="12:13">
      <c r="L210" s="538"/>
      <c r="M210" s="538"/>
    </row>
    <row r="211" spans="12:13">
      <c r="L211" s="538"/>
      <c r="M211" s="538"/>
    </row>
    <row r="212" spans="12:13">
      <c r="L212" s="538"/>
      <c r="M212" s="538"/>
    </row>
    <row r="213" spans="12:13">
      <c r="L213" s="538"/>
      <c r="M213" s="538"/>
    </row>
    <row r="214" spans="12:13">
      <c r="L214" s="538"/>
      <c r="M214" s="538"/>
    </row>
    <row r="215" spans="12:13">
      <c r="L215" s="538"/>
      <c r="M215" s="538"/>
    </row>
    <row r="216" spans="12:13">
      <c r="L216" s="538"/>
      <c r="M216" s="538"/>
    </row>
    <row r="217" spans="12:13">
      <c r="L217" s="538"/>
      <c r="M217" s="538"/>
    </row>
    <row r="218" spans="12:13">
      <c r="L218" s="538"/>
      <c r="M218" s="538"/>
    </row>
    <row r="219" spans="12:13">
      <c r="L219" s="538"/>
      <c r="M219" s="538"/>
    </row>
    <row r="220" spans="12:13">
      <c r="L220" s="538"/>
      <c r="M220" s="538"/>
    </row>
    <row r="221" spans="12:13">
      <c r="L221" s="538"/>
      <c r="M221" s="538"/>
    </row>
    <row r="222" spans="12:13">
      <c r="L222" s="538"/>
      <c r="M222" s="538"/>
    </row>
    <row r="223" spans="12:13">
      <c r="L223" s="538"/>
      <c r="M223" s="538"/>
    </row>
    <row r="224" spans="12:13">
      <c r="L224" s="538"/>
      <c r="M224" s="538"/>
    </row>
    <row r="225" spans="12:13">
      <c r="L225" s="538"/>
      <c r="M225" s="538"/>
    </row>
    <row r="226" spans="12:13">
      <c r="L226" s="538"/>
      <c r="M226" s="538"/>
    </row>
    <row r="227" spans="12:13">
      <c r="L227" s="538"/>
      <c r="M227" s="538"/>
    </row>
    <row r="228" spans="12:13">
      <c r="L228" s="538"/>
      <c r="M228" s="538"/>
    </row>
    <row r="229" spans="12:13">
      <c r="L229" s="538"/>
      <c r="M229" s="538"/>
    </row>
    <row r="230" spans="12:13">
      <c r="L230" s="538"/>
      <c r="M230" s="538"/>
    </row>
    <row r="231" spans="12:13">
      <c r="L231" s="538"/>
      <c r="M231" s="538"/>
    </row>
    <row r="232" spans="12:13">
      <c r="L232" s="538"/>
      <c r="M232" s="538"/>
    </row>
    <row r="233" spans="12:13">
      <c r="L233" s="538"/>
      <c r="M233" s="538"/>
    </row>
    <row r="234" spans="12:13">
      <c r="L234" s="538"/>
      <c r="M234" s="538"/>
    </row>
    <row r="235" spans="12:13">
      <c r="L235" s="538"/>
      <c r="M235" s="538"/>
    </row>
    <row r="236" spans="12:13">
      <c r="L236" s="538"/>
      <c r="M236" s="538"/>
    </row>
    <row r="237" spans="12:13">
      <c r="L237" s="538"/>
      <c r="M237" s="538"/>
    </row>
    <row r="238" spans="12:13">
      <c r="L238" s="538"/>
      <c r="M238" s="538"/>
    </row>
    <row r="239" spans="12:13">
      <c r="L239" s="538"/>
      <c r="M239" s="538"/>
    </row>
    <row r="240" spans="12:13">
      <c r="L240" s="538"/>
      <c r="M240" s="538"/>
    </row>
    <row r="241" spans="12:13">
      <c r="L241" s="538"/>
      <c r="M241" s="538"/>
    </row>
    <row r="242" spans="12:13">
      <c r="L242" s="538"/>
      <c r="M242" s="538"/>
    </row>
    <row r="243" spans="12:13">
      <c r="L243" s="538"/>
      <c r="M243" s="538"/>
    </row>
    <row r="244" spans="12:13">
      <c r="L244" s="538"/>
      <c r="M244" s="538"/>
    </row>
    <row r="245" spans="12:13">
      <c r="L245" s="538"/>
      <c r="M245" s="538"/>
    </row>
    <row r="246" spans="12:13">
      <c r="L246" s="538"/>
      <c r="M246" s="538"/>
    </row>
    <row r="247" spans="12:13">
      <c r="L247" s="538"/>
      <c r="M247" s="538"/>
    </row>
    <row r="248" spans="12:13">
      <c r="L248" s="538"/>
      <c r="M248" s="538"/>
    </row>
    <row r="249" spans="12:13">
      <c r="L249" s="538"/>
      <c r="M249" s="538"/>
    </row>
    <row r="250" spans="12:13">
      <c r="L250" s="538"/>
      <c r="M250" s="538"/>
    </row>
    <row r="251" spans="12:13">
      <c r="L251" s="538"/>
      <c r="M251" s="538"/>
    </row>
    <row r="252" spans="12:13">
      <c r="L252" s="538"/>
      <c r="M252" s="538"/>
    </row>
    <row r="253" spans="12:13">
      <c r="L253" s="538"/>
      <c r="M253" s="538"/>
    </row>
    <row r="254" spans="12:13">
      <c r="L254" s="538"/>
      <c r="M254" s="538"/>
    </row>
    <row r="255" spans="12:13">
      <c r="L255" s="538"/>
      <c r="M255" s="538"/>
    </row>
    <row r="256" spans="12:13">
      <c r="L256" s="538"/>
      <c r="M256" s="538"/>
    </row>
    <row r="257" spans="12:13">
      <c r="L257" s="538"/>
      <c r="M257" s="538"/>
    </row>
    <row r="258" spans="12:13">
      <c r="L258" s="538"/>
      <c r="M258" s="538"/>
    </row>
    <row r="259" spans="12:13">
      <c r="L259" s="538"/>
      <c r="M259" s="538"/>
    </row>
    <row r="260" spans="12:13">
      <c r="L260" s="538"/>
      <c r="M260" s="538"/>
    </row>
    <row r="261" spans="12:13">
      <c r="L261" s="538"/>
      <c r="M261" s="538"/>
    </row>
    <row r="262" spans="12:13">
      <c r="L262" s="538"/>
      <c r="M262" s="538"/>
    </row>
    <row r="263" spans="12:13">
      <c r="L263" s="538"/>
      <c r="M263" s="538"/>
    </row>
    <row r="264" spans="12:13">
      <c r="L264" s="538"/>
      <c r="M264" s="538"/>
    </row>
    <row r="265" spans="12:13">
      <c r="L265" s="538"/>
      <c r="M265" s="538"/>
    </row>
    <row r="266" spans="12:13">
      <c r="L266" s="538"/>
      <c r="M266" s="538"/>
    </row>
  </sheetData>
  <phoneticPr fontId="113" type="noConversion"/>
  <pageMargins left="0" right="0" top="0" bottom="0" header="0" footer="0"/>
  <pageSetup paperSize="5" scale="23" orientation="landscape" r:id="rId1"/>
  <headerFooter alignWithMargins="0"/>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D43"/>
  <sheetViews>
    <sheetView workbookViewId="0">
      <selection activeCell="B42" sqref="B42"/>
    </sheetView>
  </sheetViews>
  <sheetFormatPr defaultRowHeight="12.75"/>
  <cols>
    <col min="1" max="1" width="29.5703125" style="540" bestFit="1" customWidth="1"/>
    <col min="2" max="2" width="19.85546875" style="2050" customWidth="1"/>
    <col min="3" max="3" width="12" style="540" bestFit="1" customWidth="1"/>
    <col min="4" max="256" width="9.140625" style="540"/>
    <col min="257" max="257" width="29.5703125" style="540" bestFit="1" customWidth="1"/>
    <col min="258" max="258" width="19.85546875" style="540" customWidth="1"/>
    <col min="259" max="259" width="12" style="540" bestFit="1" customWidth="1"/>
    <col min="260" max="512" width="9.140625" style="540"/>
    <col min="513" max="513" width="29.5703125" style="540" bestFit="1" customWidth="1"/>
    <col min="514" max="514" width="19.85546875" style="540" customWidth="1"/>
    <col min="515" max="515" width="12" style="540" bestFit="1" customWidth="1"/>
    <col min="516" max="768" width="9.140625" style="540"/>
    <col min="769" max="769" width="29.5703125" style="540" bestFit="1" customWidth="1"/>
    <col min="770" max="770" width="19.85546875" style="540" customWidth="1"/>
    <col min="771" max="771" width="12" style="540" bestFit="1" customWidth="1"/>
    <col min="772" max="1024" width="9.140625" style="540"/>
    <col min="1025" max="1025" width="29.5703125" style="540" bestFit="1" customWidth="1"/>
    <col min="1026" max="1026" width="19.85546875" style="540" customWidth="1"/>
    <col min="1027" max="1027" width="12" style="540" bestFit="1" customWidth="1"/>
    <col min="1028" max="1280" width="9.140625" style="540"/>
    <col min="1281" max="1281" width="29.5703125" style="540" bestFit="1" customWidth="1"/>
    <col min="1282" max="1282" width="19.85546875" style="540" customWidth="1"/>
    <col min="1283" max="1283" width="12" style="540" bestFit="1" customWidth="1"/>
    <col min="1284" max="1536" width="9.140625" style="540"/>
    <col min="1537" max="1537" width="29.5703125" style="540" bestFit="1" customWidth="1"/>
    <col min="1538" max="1538" width="19.85546875" style="540" customWidth="1"/>
    <col min="1539" max="1539" width="12" style="540" bestFit="1" customWidth="1"/>
    <col min="1540" max="1792" width="9.140625" style="540"/>
    <col min="1793" max="1793" width="29.5703125" style="540" bestFit="1" customWidth="1"/>
    <col min="1794" max="1794" width="19.85546875" style="540" customWidth="1"/>
    <col min="1795" max="1795" width="12" style="540" bestFit="1" customWidth="1"/>
    <col min="1796" max="2048" width="9.140625" style="540"/>
    <col min="2049" max="2049" width="29.5703125" style="540" bestFit="1" customWidth="1"/>
    <col min="2050" max="2050" width="19.85546875" style="540" customWidth="1"/>
    <col min="2051" max="2051" width="12" style="540" bestFit="1" customWidth="1"/>
    <col min="2052" max="2304" width="9.140625" style="540"/>
    <col min="2305" max="2305" width="29.5703125" style="540" bestFit="1" customWidth="1"/>
    <col min="2306" max="2306" width="19.85546875" style="540" customWidth="1"/>
    <col min="2307" max="2307" width="12" style="540" bestFit="1" customWidth="1"/>
    <col min="2308" max="2560" width="9.140625" style="540"/>
    <col min="2561" max="2561" width="29.5703125" style="540" bestFit="1" customWidth="1"/>
    <col min="2562" max="2562" width="19.85546875" style="540" customWidth="1"/>
    <col min="2563" max="2563" width="12" style="540" bestFit="1" customWidth="1"/>
    <col min="2564" max="2816" width="9.140625" style="540"/>
    <col min="2817" max="2817" width="29.5703125" style="540" bestFit="1" customWidth="1"/>
    <col min="2818" max="2818" width="19.85546875" style="540" customWidth="1"/>
    <col min="2819" max="2819" width="12" style="540" bestFit="1" customWidth="1"/>
    <col min="2820" max="3072" width="9.140625" style="540"/>
    <col min="3073" max="3073" width="29.5703125" style="540" bestFit="1" customWidth="1"/>
    <col min="3074" max="3074" width="19.85546875" style="540" customWidth="1"/>
    <col min="3075" max="3075" width="12" style="540" bestFit="1" customWidth="1"/>
    <col min="3076" max="3328" width="9.140625" style="540"/>
    <col min="3329" max="3329" width="29.5703125" style="540" bestFit="1" customWidth="1"/>
    <col min="3330" max="3330" width="19.85546875" style="540" customWidth="1"/>
    <col min="3331" max="3331" width="12" style="540" bestFit="1" customWidth="1"/>
    <col min="3332" max="3584" width="9.140625" style="540"/>
    <col min="3585" max="3585" width="29.5703125" style="540" bestFit="1" customWidth="1"/>
    <col min="3586" max="3586" width="19.85546875" style="540" customWidth="1"/>
    <col min="3587" max="3587" width="12" style="540" bestFit="1" customWidth="1"/>
    <col min="3588" max="3840" width="9.140625" style="540"/>
    <col min="3841" max="3841" width="29.5703125" style="540" bestFit="1" customWidth="1"/>
    <col min="3842" max="3842" width="19.85546875" style="540" customWidth="1"/>
    <col min="3843" max="3843" width="12" style="540" bestFit="1" customWidth="1"/>
    <col min="3844" max="4096" width="9.140625" style="540"/>
    <col min="4097" max="4097" width="29.5703125" style="540" bestFit="1" customWidth="1"/>
    <col min="4098" max="4098" width="19.85546875" style="540" customWidth="1"/>
    <col min="4099" max="4099" width="12" style="540" bestFit="1" customWidth="1"/>
    <col min="4100" max="4352" width="9.140625" style="540"/>
    <col min="4353" max="4353" width="29.5703125" style="540" bestFit="1" customWidth="1"/>
    <col min="4354" max="4354" width="19.85546875" style="540" customWidth="1"/>
    <col min="4355" max="4355" width="12" style="540" bestFit="1" customWidth="1"/>
    <col min="4356" max="4608" width="9.140625" style="540"/>
    <col min="4609" max="4609" width="29.5703125" style="540" bestFit="1" customWidth="1"/>
    <col min="4610" max="4610" width="19.85546875" style="540" customWidth="1"/>
    <col min="4611" max="4611" width="12" style="540" bestFit="1" customWidth="1"/>
    <col min="4612" max="4864" width="9.140625" style="540"/>
    <col min="4865" max="4865" width="29.5703125" style="540" bestFit="1" customWidth="1"/>
    <col min="4866" max="4866" width="19.85546875" style="540" customWidth="1"/>
    <col min="4867" max="4867" width="12" style="540" bestFit="1" customWidth="1"/>
    <col min="4868" max="5120" width="9.140625" style="540"/>
    <col min="5121" max="5121" width="29.5703125" style="540" bestFit="1" customWidth="1"/>
    <col min="5122" max="5122" width="19.85546875" style="540" customWidth="1"/>
    <col min="5123" max="5123" width="12" style="540" bestFit="1" customWidth="1"/>
    <col min="5124" max="5376" width="9.140625" style="540"/>
    <col min="5377" max="5377" width="29.5703125" style="540" bestFit="1" customWidth="1"/>
    <col min="5378" max="5378" width="19.85546875" style="540" customWidth="1"/>
    <col min="5379" max="5379" width="12" style="540" bestFit="1" customWidth="1"/>
    <col min="5380" max="5632" width="9.140625" style="540"/>
    <col min="5633" max="5633" width="29.5703125" style="540" bestFit="1" customWidth="1"/>
    <col min="5634" max="5634" width="19.85546875" style="540" customWidth="1"/>
    <col min="5635" max="5635" width="12" style="540" bestFit="1" customWidth="1"/>
    <col min="5636" max="5888" width="9.140625" style="540"/>
    <col min="5889" max="5889" width="29.5703125" style="540" bestFit="1" customWidth="1"/>
    <col min="5890" max="5890" width="19.85546875" style="540" customWidth="1"/>
    <col min="5891" max="5891" width="12" style="540" bestFit="1" customWidth="1"/>
    <col min="5892" max="6144" width="9.140625" style="540"/>
    <col min="6145" max="6145" width="29.5703125" style="540" bestFit="1" customWidth="1"/>
    <col min="6146" max="6146" width="19.85546875" style="540" customWidth="1"/>
    <col min="6147" max="6147" width="12" style="540" bestFit="1" customWidth="1"/>
    <col min="6148" max="6400" width="9.140625" style="540"/>
    <col min="6401" max="6401" width="29.5703125" style="540" bestFit="1" customWidth="1"/>
    <col min="6402" max="6402" width="19.85546875" style="540" customWidth="1"/>
    <col min="6403" max="6403" width="12" style="540" bestFit="1" customWidth="1"/>
    <col min="6404" max="6656" width="9.140625" style="540"/>
    <col min="6657" max="6657" width="29.5703125" style="540" bestFit="1" customWidth="1"/>
    <col min="6658" max="6658" width="19.85546875" style="540" customWidth="1"/>
    <col min="6659" max="6659" width="12" style="540" bestFit="1" customWidth="1"/>
    <col min="6660" max="6912" width="9.140625" style="540"/>
    <col min="6913" max="6913" width="29.5703125" style="540" bestFit="1" customWidth="1"/>
    <col min="6914" max="6914" width="19.85546875" style="540" customWidth="1"/>
    <col min="6915" max="6915" width="12" style="540" bestFit="1" customWidth="1"/>
    <col min="6916" max="7168" width="9.140625" style="540"/>
    <col min="7169" max="7169" width="29.5703125" style="540" bestFit="1" customWidth="1"/>
    <col min="7170" max="7170" width="19.85546875" style="540" customWidth="1"/>
    <col min="7171" max="7171" width="12" style="540" bestFit="1" customWidth="1"/>
    <col min="7172" max="7424" width="9.140625" style="540"/>
    <col min="7425" max="7425" width="29.5703125" style="540" bestFit="1" customWidth="1"/>
    <col min="7426" max="7426" width="19.85546875" style="540" customWidth="1"/>
    <col min="7427" max="7427" width="12" style="540" bestFit="1" customWidth="1"/>
    <col min="7428" max="7680" width="9.140625" style="540"/>
    <col min="7681" max="7681" width="29.5703125" style="540" bestFit="1" customWidth="1"/>
    <col min="7682" max="7682" width="19.85546875" style="540" customWidth="1"/>
    <col min="7683" max="7683" width="12" style="540" bestFit="1" customWidth="1"/>
    <col min="7684" max="7936" width="9.140625" style="540"/>
    <col min="7937" max="7937" width="29.5703125" style="540" bestFit="1" customWidth="1"/>
    <col min="7938" max="7938" width="19.85546875" style="540" customWidth="1"/>
    <col min="7939" max="7939" width="12" style="540" bestFit="1" customWidth="1"/>
    <col min="7940" max="8192" width="9.140625" style="540"/>
    <col min="8193" max="8193" width="29.5703125" style="540" bestFit="1" customWidth="1"/>
    <col min="8194" max="8194" width="19.85546875" style="540" customWidth="1"/>
    <col min="8195" max="8195" width="12" style="540" bestFit="1" customWidth="1"/>
    <col min="8196" max="8448" width="9.140625" style="540"/>
    <col min="8449" max="8449" width="29.5703125" style="540" bestFit="1" customWidth="1"/>
    <col min="8450" max="8450" width="19.85546875" style="540" customWidth="1"/>
    <col min="8451" max="8451" width="12" style="540" bestFit="1" customWidth="1"/>
    <col min="8452" max="8704" width="9.140625" style="540"/>
    <col min="8705" max="8705" width="29.5703125" style="540" bestFit="1" customWidth="1"/>
    <col min="8706" max="8706" width="19.85546875" style="540" customWidth="1"/>
    <col min="8707" max="8707" width="12" style="540" bestFit="1" customWidth="1"/>
    <col min="8708" max="8960" width="9.140625" style="540"/>
    <col min="8961" max="8961" width="29.5703125" style="540" bestFit="1" customWidth="1"/>
    <col min="8962" max="8962" width="19.85546875" style="540" customWidth="1"/>
    <col min="8963" max="8963" width="12" style="540" bestFit="1" customWidth="1"/>
    <col min="8964" max="9216" width="9.140625" style="540"/>
    <col min="9217" max="9217" width="29.5703125" style="540" bestFit="1" customWidth="1"/>
    <col min="9218" max="9218" width="19.85546875" style="540" customWidth="1"/>
    <col min="9219" max="9219" width="12" style="540" bestFit="1" customWidth="1"/>
    <col min="9220" max="9472" width="9.140625" style="540"/>
    <col min="9473" max="9473" width="29.5703125" style="540" bestFit="1" customWidth="1"/>
    <col min="9474" max="9474" width="19.85546875" style="540" customWidth="1"/>
    <col min="9475" max="9475" width="12" style="540" bestFit="1" customWidth="1"/>
    <col min="9476" max="9728" width="9.140625" style="540"/>
    <col min="9729" max="9729" width="29.5703125" style="540" bestFit="1" customWidth="1"/>
    <col min="9730" max="9730" width="19.85546875" style="540" customWidth="1"/>
    <col min="9731" max="9731" width="12" style="540" bestFit="1" customWidth="1"/>
    <col min="9732" max="9984" width="9.140625" style="540"/>
    <col min="9985" max="9985" width="29.5703125" style="540" bestFit="1" customWidth="1"/>
    <col min="9986" max="9986" width="19.85546875" style="540" customWidth="1"/>
    <col min="9987" max="9987" width="12" style="540" bestFit="1" customWidth="1"/>
    <col min="9988" max="10240" width="9.140625" style="540"/>
    <col min="10241" max="10241" width="29.5703125" style="540" bestFit="1" customWidth="1"/>
    <col min="10242" max="10242" width="19.85546875" style="540" customWidth="1"/>
    <col min="10243" max="10243" width="12" style="540" bestFit="1" customWidth="1"/>
    <col min="10244" max="10496" width="9.140625" style="540"/>
    <col min="10497" max="10497" width="29.5703125" style="540" bestFit="1" customWidth="1"/>
    <col min="10498" max="10498" width="19.85546875" style="540" customWidth="1"/>
    <col min="10499" max="10499" width="12" style="540" bestFit="1" customWidth="1"/>
    <col min="10500" max="10752" width="9.140625" style="540"/>
    <col min="10753" max="10753" width="29.5703125" style="540" bestFit="1" customWidth="1"/>
    <col min="10754" max="10754" width="19.85546875" style="540" customWidth="1"/>
    <col min="10755" max="10755" width="12" style="540" bestFit="1" customWidth="1"/>
    <col min="10756" max="11008" width="9.140625" style="540"/>
    <col min="11009" max="11009" width="29.5703125" style="540" bestFit="1" customWidth="1"/>
    <col min="11010" max="11010" width="19.85546875" style="540" customWidth="1"/>
    <col min="11011" max="11011" width="12" style="540" bestFit="1" customWidth="1"/>
    <col min="11012" max="11264" width="9.140625" style="540"/>
    <col min="11265" max="11265" width="29.5703125" style="540" bestFit="1" customWidth="1"/>
    <col min="11266" max="11266" width="19.85546875" style="540" customWidth="1"/>
    <col min="11267" max="11267" width="12" style="540" bestFit="1" customWidth="1"/>
    <col min="11268" max="11520" width="9.140625" style="540"/>
    <col min="11521" max="11521" width="29.5703125" style="540" bestFit="1" customWidth="1"/>
    <col min="11522" max="11522" width="19.85546875" style="540" customWidth="1"/>
    <col min="11523" max="11523" width="12" style="540" bestFit="1" customWidth="1"/>
    <col min="11524" max="11776" width="9.140625" style="540"/>
    <col min="11777" max="11777" width="29.5703125" style="540" bestFit="1" customWidth="1"/>
    <col min="11778" max="11778" width="19.85546875" style="540" customWidth="1"/>
    <col min="11779" max="11779" width="12" style="540" bestFit="1" customWidth="1"/>
    <col min="11780" max="12032" width="9.140625" style="540"/>
    <col min="12033" max="12033" width="29.5703125" style="540" bestFit="1" customWidth="1"/>
    <col min="12034" max="12034" width="19.85546875" style="540" customWidth="1"/>
    <col min="12035" max="12035" width="12" style="540" bestFit="1" customWidth="1"/>
    <col min="12036" max="12288" width="9.140625" style="540"/>
    <col min="12289" max="12289" width="29.5703125" style="540" bestFit="1" customWidth="1"/>
    <col min="12290" max="12290" width="19.85546875" style="540" customWidth="1"/>
    <col min="12291" max="12291" width="12" style="540" bestFit="1" customWidth="1"/>
    <col min="12292" max="12544" width="9.140625" style="540"/>
    <col min="12545" max="12545" width="29.5703125" style="540" bestFit="1" customWidth="1"/>
    <col min="12546" max="12546" width="19.85546875" style="540" customWidth="1"/>
    <col min="12547" max="12547" width="12" style="540" bestFit="1" customWidth="1"/>
    <col min="12548" max="12800" width="9.140625" style="540"/>
    <col min="12801" max="12801" width="29.5703125" style="540" bestFit="1" customWidth="1"/>
    <col min="12802" max="12802" width="19.85546875" style="540" customWidth="1"/>
    <col min="12803" max="12803" width="12" style="540" bestFit="1" customWidth="1"/>
    <col min="12804" max="13056" width="9.140625" style="540"/>
    <col min="13057" max="13057" width="29.5703125" style="540" bestFit="1" customWidth="1"/>
    <col min="13058" max="13058" width="19.85546875" style="540" customWidth="1"/>
    <col min="13059" max="13059" width="12" style="540" bestFit="1" customWidth="1"/>
    <col min="13060" max="13312" width="9.140625" style="540"/>
    <col min="13313" max="13313" width="29.5703125" style="540" bestFit="1" customWidth="1"/>
    <col min="13314" max="13314" width="19.85546875" style="540" customWidth="1"/>
    <col min="13315" max="13315" width="12" style="540" bestFit="1" customWidth="1"/>
    <col min="13316" max="13568" width="9.140625" style="540"/>
    <col min="13569" max="13569" width="29.5703125" style="540" bestFit="1" customWidth="1"/>
    <col min="13570" max="13570" width="19.85546875" style="540" customWidth="1"/>
    <col min="13571" max="13571" width="12" style="540" bestFit="1" customWidth="1"/>
    <col min="13572" max="13824" width="9.140625" style="540"/>
    <col min="13825" max="13825" width="29.5703125" style="540" bestFit="1" customWidth="1"/>
    <col min="13826" max="13826" width="19.85546875" style="540" customWidth="1"/>
    <col min="13827" max="13827" width="12" style="540" bestFit="1" customWidth="1"/>
    <col min="13828" max="14080" width="9.140625" style="540"/>
    <col min="14081" max="14081" width="29.5703125" style="540" bestFit="1" customWidth="1"/>
    <col min="14082" max="14082" width="19.85546875" style="540" customWidth="1"/>
    <col min="14083" max="14083" width="12" style="540" bestFit="1" customWidth="1"/>
    <col min="14084" max="14336" width="9.140625" style="540"/>
    <col min="14337" max="14337" width="29.5703125" style="540" bestFit="1" customWidth="1"/>
    <col min="14338" max="14338" width="19.85546875" style="540" customWidth="1"/>
    <col min="14339" max="14339" width="12" style="540" bestFit="1" customWidth="1"/>
    <col min="14340" max="14592" width="9.140625" style="540"/>
    <col min="14593" max="14593" width="29.5703125" style="540" bestFit="1" customWidth="1"/>
    <col min="14594" max="14594" width="19.85546875" style="540" customWidth="1"/>
    <col min="14595" max="14595" width="12" style="540" bestFit="1" customWidth="1"/>
    <col min="14596" max="14848" width="9.140625" style="540"/>
    <col min="14849" max="14849" width="29.5703125" style="540" bestFit="1" customWidth="1"/>
    <col min="14850" max="14850" width="19.85546875" style="540" customWidth="1"/>
    <col min="14851" max="14851" width="12" style="540" bestFit="1" customWidth="1"/>
    <col min="14852" max="15104" width="9.140625" style="540"/>
    <col min="15105" max="15105" width="29.5703125" style="540" bestFit="1" customWidth="1"/>
    <col min="15106" max="15106" width="19.85546875" style="540" customWidth="1"/>
    <col min="15107" max="15107" width="12" style="540" bestFit="1" customWidth="1"/>
    <col min="15108" max="15360" width="9.140625" style="540"/>
    <col min="15361" max="15361" width="29.5703125" style="540" bestFit="1" customWidth="1"/>
    <col min="15362" max="15362" width="19.85546875" style="540" customWidth="1"/>
    <col min="15363" max="15363" width="12" style="540" bestFit="1" customWidth="1"/>
    <col min="15364" max="15616" width="9.140625" style="540"/>
    <col min="15617" max="15617" width="29.5703125" style="540" bestFit="1" customWidth="1"/>
    <col min="15618" max="15618" width="19.85546875" style="540" customWidth="1"/>
    <col min="15619" max="15619" width="12" style="540" bestFit="1" customWidth="1"/>
    <col min="15620" max="15872" width="9.140625" style="540"/>
    <col min="15873" max="15873" width="29.5703125" style="540" bestFit="1" customWidth="1"/>
    <col min="15874" max="15874" width="19.85546875" style="540" customWidth="1"/>
    <col min="15875" max="15875" width="12" style="540" bestFit="1" customWidth="1"/>
    <col min="15876" max="16128" width="9.140625" style="540"/>
    <col min="16129" max="16129" width="29.5703125" style="540" bestFit="1" customWidth="1"/>
    <col min="16130" max="16130" width="19.85546875" style="540" customWidth="1"/>
    <col min="16131" max="16131" width="12" style="540" bestFit="1" customWidth="1"/>
    <col min="16132" max="16384" width="9.140625" style="540"/>
  </cols>
  <sheetData>
    <row r="1" spans="1:2">
      <c r="A1" s="540" t="s">
        <v>1557</v>
      </c>
      <c r="B1" s="2049">
        <v>6.1</v>
      </c>
    </row>
    <row r="2" spans="1:2">
      <c r="A2" s="540" t="s">
        <v>1558</v>
      </c>
      <c r="B2" s="2053">
        <v>43193.454560185186</v>
      </c>
    </row>
    <row r="3" spans="1:2">
      <c r="A3" s="540" t="s">
        <v>1559</v>
      </c>
      <c r="B3" s="2050" t="s">
        <v>1256</v>
      </c>
    </row>
    <row r="4" spans="1:2">
      <c r="A4" s="540" t="s">
        <v>1560</v>
      </c>
      <c r="B4" s="2050" t="s">
        <v>978</v>
      </c>
    </row>
    <row r="5" spans="1:2">
      <c r="A5" s="540" t="s">
        <v>1561</v>
      </c>
      <c r="B5" s="2050" t="s">
        <v>1562</v>
      </c>
    </row>
    <row r="6" spans="1:2">
      <c r="A6" s="540" t="s">
        <v>1563</v>
      </c>
    </row>
    <row r="7" spans="1:2">
      <c r="A7" s="540" t="s">
        <v>977</v>
      </c>
      <c r="B7" s="2050" t="s">
        <v>976</v>
      </c>
    </row>
    <row r="8" spans="1:2">
      <c r="A8" s="540" t="s">
        <v>1564</v>
      </c>
      <c r="B8" s="2050" t="s">
        <v>1565</v>
      </c>
    </row>
    <row r="9" spans="1:2">
      <c r="A9" s="540" t="s">
        <v>1566</v>
      </c>
      <c r="B9" s="2050" t="s">
        <v>1603</v>
      </c>
    </row>
    <row r="10" spans="1:2">
      <c r="A10" s="540" t="s">
        <v>1567</v>
      </c>
    </row>
    <row r="11" spans="1:2">
      <c r="A11" s="540" t="s">
        <v>1568</v>
      </c>
    </row>
    <row r="12" spans="1:2">
      <c r="A12" s="540" t="s">
        <v>1569</v>
      </c>
    </row>
    <row r="13" spans="1:2">
      <c r="A13" s="540" t="s">
        <v>1570</v>
      </c>
    </row>
    <row r="14" spans="1:2">
      <c r="A14" s="540" t="s">
        <v>1571</v>
      </c>
    </row>
    <row r="15" spans="1:2">
      <c r="A15" s="540" t="s">
        <v>1572</v>
      </c>
    </row>
    <row r="16" spans="1:2">
      <c r="A16" s="540" t="s">
        <v>1573</v>
      </c>
    </row>
    <row r="17" spans="1:4">
      <c r="A17" s="540" t="s">
        <v>1574</v>
      </c>
      <c r="B17" s="2050" t="s">
        <v>1604</v>
      </c>
    </row>
    <row r="18" spans="1:4">
      <c r="A18" s="540" t="s">
        <v>1575</v>
      </c>
      <c r="B18" s="2050" t="s">
        <v>1257</v>
      </c>
    </row>
    <row r="19" spans="1:4">
      <c r="A19" s="540" t="s">
        <v>1576</v>
      </c>
      <c r="B19" s="2050" t="s">
        <v>431</v>
      </c>
    </row>
    <row r="20" spans="1:4">
      <c r="A20" s="540" t="s">
        <v>1577</v>
      </c>
      <c r="B20" s="2051" t="s">
        <v>1607</v>
      </c>
    </row>
    <row r="21" spans="1:4">
      <c r="A21" s="540" t="s">
        <v>1578</v>
      </c>
      <c r="B21" s="2050" t="s">
        <v>431</v>
      </c>
    </row>
    <row r="22" spans="1:4">
      <c r="A22" s="540" t="s">
        <v>1579</v>
      </c>
      <c r="B22" s="2051">
        <v>2310525</v>
      </c>
    </row>
    <row r="23" spans="1:4">
      <c r="A23" s="540" t="s">
        <v>1003</v>
      </c>
      <c r="B23" s="2049">
        <v>114.29</v>
      </c>
    </row>
    <row r="24" spans="1:4">
      <c r="A24" s="540" t="s">
        <v>731</v>
      </c>
      <c r="B24" s="2050" t="s">
        <v>904</v>
      </c>
      <c r="D24" s="540" t="s">
        <v>946</v>
      </c>
    </row>
    <row r="25" spans="1:4">
      <c r="A25" s="540" t="s">
        <v>1580</v>
      </c>
      <c r="B25" s="2050" t="s">
        <v>1608</v>
      </c>
    </row>
    <row r="26" spans="1:4">
      <c r="A26" s="540" t="s">
        <v>1581</v>
      </c>
      <c r="B26" s="2050">
        <v>0</v>
      </c>
    </row>
    <row r="27" spans="1:4">
      <c r="A27" s="540" t="s">
        <v>1582</v>
      </c>
      <c r="B27" s="2050" t="s">
        <v>1583</v>
      </c>
    </row>
    <row r="28" spans="1:4">
      <c r="A28" s="540" t="s">
        <v>1584</v>
      </c>
      <c r="B28" s="2050" t="s">
        <v>1585</v>
      </c>
    </row>
    <row r="29" spans="1:4">
      <c r="A29" s="540" t="s">
        <v>1586</v>
      </c>
    </row>
    <row r="30" spans="1:4">
      <c r="A30" s="540" t="s">
        <v>1587</v>
      </c>
    </row>
    <row r="31" spans="1:4">
      <c r="A31" s="540" t="s">
        <v>1588</v>
      </c>
    </row>
    <row r="32" spans="1:4">
      <c r="A32" s="540" t="s">
        <v>1589</v>
      </c>
      <c r="B32" s="2049"/>
    </row>
    <row r="33" spans="1:2">
      <c r="A33" s="540" t="s">
        <v>1590</v>
      </c>
      <c r="B33" s="2049"/>
    </row>
    <row r="34" spans="1:2">
      <c r="A34" s="540" t="s">
        <v>1591</v>
      </c>
      <c r="B34" s="2049"/>
    </row>
    <row r="35" spans="1:2">
      <c r="A35" s="540" t="s">
        <v>1592</v>
      </c>
      <c r="B35" s="2050">
        <v>1000000</v>
      </c>
    </row>
    <row r="36" spans="1:2">
      <c r="A36" s="540" t="s">
        <v>1593</v>
      </c>
      <c r="B36" s="2050" t="s">
        <v>1605</v>
      </c>
    </row>
    <row r="37" spans="1:2">
      <c r="A37" s="540" t="s">
        <v>1594</v>
      </c>
      <c r="B37" s="2050" t="s">
        <v>1595</v>
      </c>
    </row>
    <row r="38" spans="1:2">
      <c r="A38" s="540" t="s">
        <v>1596</v>
      </c>
      <c r="B38" s="2050" t="s">
        <v>1597</v>
      </c>
    </row>
    <row r="39" spans="1:2">
      <c r="A39" s="540" t="s">
        <v>1598</v>
      </c>
      <c r="B39" s="2050" t="s">
        <v>1606</v>
      </c>
    </row>
    <row r="40" spans="1:2">
      <c r="A40" s="540" t="s">
        <v>1599</v>
      </c>
      <c r="B40" s="2050">
        <v>1500000168</v>
      </c>
    </row>
    <row r="41" spans="1:2">
      <c r="A41" s="540" t="s">
        <v>1600</v>
      </c>
      <c r="B41" s="2050">
        <v>1</v>
      </c>
    </row>
    <row r="42" spans="1:2">
      <c r="A42" s="2052" t="s">
        <v>1601</v>
      </c>
    </row>
    <row r="43" spans="1:2">
      <c r="A43" s="540" t="s">
        <v>1602</v>
      </c>
    </row>
  </sheetData>
  <pageMargins left="0.75" right="0.75" top="1" bottom="1" header="0.5" footer="0.5"/>
  <pageSetup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13"/>
  <sheetViews>
    <sheetView workbookViewId="0">
      <selection activeCell="E11" sqref="E11"/>
    </sheetView>
  </sheetViews>
  <sheetFormatPr defaultRowHeight="12.75"/>
  <cols>
    <col min="1" max="1" width="28.5703125" style="540" bestFit="1" customWidth="1"/>
    <col min="2" max="256" width="9.140625" style="540"/>
    <col min="257" max="257" width="28.5703125" style="540" bestFit="1" customWidth="1"/>
    <col min="258" max="512" width="9.140625" style="540"/>
    <col min="513" max="513" width="28.5703125" style="540" bestFit="1" customWidth="1"/>
    <col min="514" max="768" width="9.140625" style="540"/>
    <col min="769" max="769" width="28.5703125" style="540" bestFit="1" customWidth="1"/>
    <col min="770" max="1024" width="9.140625" style="540"/>
    <col min="1025" max="1025" width="28.5703125" style="540" bestFit="1" customWidth="1"/>
    <col min="1026" max="1280" width="9.140625" style="540"/>
    <col min="1281" max="1281" width="28.5703125" style="540" bestFit="1" customWidth="1"/>
    <col min="1282" max="1536" width="9.140625" style="540"/>
    <col min="1537" max="1537" width="28.5703125" style="540" bestFit="1" customWidth="1"/>
    <col min="1538" max="1792" width="9.140625" style="540"/>
    <col min="1793" max="1793" width="28.5703125" style="540" bestFit="1" customWidth="1"/>
    <col min="1794" max="2048" width="9.140625" style="540"/>
    <col min="2049" max="2049" width="28.5703125" style="540" bestFit="1" customWidth="1"/>
    <col min="2050" max="2304" width="9.140625" style="540"/>
    <col min="2305" max="2305" width="28.5703125" style="540" bestFit="1" customWidth="1"/>
    <col min="2306" max="2560" width="9.140625" style="540"/>
    <col min="2561" max="2561" width="28.5703125" style="540" bestFit="1" customWidth="1"/>
    <col min="2562" max="2816" width="9.140625" style="540"/>
    <col min="2817" max="2817" width="28.5703125" style="540" bestFit="1" customWidth="1"/>
    <col min="2818" max="3072" width="9.140625" style="540"/>
    <col min="3073" max="3073" width="28.5703125" style="540" bestFit="1" customWidth="1"/>
    <col min="3074" max="3328" width="9.140625" style="540"/>
    <col min="3329" max="3329" width="28.5703125" style="540" bestFit="1" customWidth="1"/>
    <col min="3330" max="3584" width="9.140625" style="540"/>
    <col min="3585" max="3585" width="28.5703125" style="540" bestFit="1" customWidth="1"/>
    <col min="3586" max="3840" width="9.140625" style="540"/>
    <col min="3841" max="3841" width="28.5703125" style="540" bestFit="1" customWidth="1"/>
    <col min="3842" max="4096" width="9.140625" style="540"/>
    <col min="4097" max="4097" width="28.5703125" style="540" bestFit="1" customWidth="1"/>
    <col min="4098" max="4352" width="9.140625" style="540"/>
    <col min="4353" max="4353" width="28.5703125" style="540" bestFit="1" customWidth="1"/>
    <col min="4354" max="4608" width="9.140625" style="540"/>
    <col min="4609" max="4609" width="28.5703125" style="540" bestFit="1" customWidth="1"/>
    <col min="4610" max="4864" width="9.140625" style="540"/>
    <col min="4865" max="4865" width="28.5703125" style="540" bestFit="1" customWidth="1"/>
    <col min="4866" max="5120" width="9.140625" style="540"/>
    <col min="5121" max="5121" width="28.5703125" style="540" bestFit="1" customWidth="1"/>
    <col min="5122" max="5376" width="9.140625" style="540"/>
    <col min="5377" max="5377" width="28.5703125" style="540" bestFit="1" customWidth="1"/>
    <col min="5378" max="5632" width="9.140625" style="540"/>
    <col min="5633" max="5633" width="28.5703125" style="540" bestFit="1" customWidth="1"/>
    <col min="5634" max="5888" width="9.140625" style="540"/>
    <col min="5889" max="5889" width="28.5703125" style="540" bestFit="1" customWidth="1"/>
    <col min="5890" max="6144" width="9.140625" style="540"/>
    <col min="6145" max="6145" width="28.5703125" style="540" bestFit="1" customWidth="1"/>
    <col min="6146" max="6400" width="9.140625" style="540"/>
    <col min="6401" max="6401" width="28.5703125" style="540" bestFit="1" customWidth="1"/>
    <col min="6402" max="6656" width="9.140625" style="540"/>
    <col min="6657" max="6657" width="28.5703125" style="540" bestFit="1" customWidth="1"/>
    <col min="6658" max="6912" width="9.140625" style="540"/>
    <col min="6913" max="6913" width="28.5703125" style="540" bestFit="1" customWidth="1"/>
    <col min="6914" max="7168" width="9.140625" style="540"/>
    <col min="7169" max="7169" width="28.5703125" style="540" bestFit="1" customWidth="1"/>
    <col min="7170" max="7424" width="9.140625" style="540"/>
    <col min="7425" max="7425" width="28.5703125" style="540" bestFit="1" customWidth="1"/>
    <col min="7426" max="7680" width="9.140625" style="540"/>
    <col min="7681" max="7681" width="28.5703125" style="540" bestFit="1" customWidth="1"/>
    <col min="7682" max="7936" width="9.140625" style="540"/>
    <col min="7937" max="7937" width="28.5703125" style="540" bestFit="1" customWidth="1"/>
    <col min="7938" max="8192" width="9.140625" style="540"/>
    <col min="8193" max="8193" width="28.5703125" style="540" bestFit="1" customWidth="1"/>
    <col min="8194" max="8448" width="9.140625" style="540"/>
    <col min="8449" max="8449" width="28.5703125" style="540" bestFit="1" customWidth="1"/>
    <col min="8450" max="8704" width="9.140625" style="540"/>
    <col min="8705" max="8705" width="28.5703125" style="540" bestFit="1" customWidth="1"/>
    <col min="8706" max="8960" width="9.140625" style="540"/>
    <col min="8961" max="8961" width="28.5703125" style="540" bestFit="1" customWidth="1"/>
    <col min="8962" max="9216" width="9.140625" style="540"/>
    <col min="9217" max="9217" width="28.5703125" style="540" bestFit="1" customWidth="1"/>
    <col min="9218" max="9472" width="9.140625" style="540"/>
    <col min="9473" max="9473" width="28.5703125" style="540" bestFit="1" customWidth="1"/>
    <col min="9474" max="9728" width="9.140625" style="540"/>
    <col min="9729" max="9729" width="28.5703125" style="540" bestFit="1" customWidth="1"/>
    <col min="9730" max="9984" width="9.140625" style="540"/>
    <col min="9985" max="9985" width="28.5703125" style="540" bestFit="1" customWidth="1"/>
    <col min="9986" max="10240" width="9.140625" style="540"/>
    <col min="10241" max="10241" width="28.5703125" style="540" bestFit="1" customWidth="1"/>
    <col min="10242" max="10496" width="9.140625" style="540"/>
    <col min="10497" max="10497" width="28.5703125" style="540" bestFit="1" customWidth="1"/>
    <col min="10498" max="10752" width="9.140625" style="540"/>
    <col min="10753" max="10753" width="28.5703125" style="540" bestFit="1" customWidth="1"/>
    <col min="10754" max="11008" width="9.140625" style="540"/>
    <col min="11009" max="11009" width="28.5703125" style="540" bestFit="1" customWidth="1"/>
    <col min="11010" max="11264" width="9.140625" style="540"/>
    <col min="11265" max="11265" width="28.5703125" style="540" bestFit="1" customWidth="1"/>
    <col min="11266" max="11520" width="9.140625" style="540"/>
    <col min="11521" max="11521" width="28.5703125" style="540" bestFit="1" customWidth="1"/>
    <col min="11522" max="11776" width="9.140625" style="540"/>
    <col min="11777" max="11777" width="28.5703125" style="540" bestFit="1" customWidth="1"/>
    <col min="11778" max="12032" width="9.140625" style="540"/>
    <col min="12033" max="12033" width="28.5703125" style="540" bestFit="1" customWidth="1"/>
    <col min="12034" max="12288" width="9.140625" style="540"/>
    <col min="12289" max="12289" width="28.5703125" style="540" bestFit="1" customWidth="1"/>
    <col min="12290" max="12544" width="9.140625" style="540"/>
    <col min="12545" max="12545" width="28.5703125" style="540" bestFit="1" customWidth="1"/>
    <col min="12546" max="12800" width="9.140625" style="540"/>
    <col min="12801" max="12801" width="28.5703125" style="540" bestFit="1" customWidth="1"/>
    <col min="12802" max="13056" width="9.140625" style="540"/>
    <col min="13057" max="13057" width="28.5703125" style="540" bestFit="1" customWidth="1"/>
    <col min="13058" max="13312" width="9.140625" style="540"/>
    <col min="13313" max="13313" width="28.5703125" style="540" bestFit="1" customWidth="1"/>
    <col min="13314" max="13568" width="9.140625" style="540"/>
    <col min="13569" max="13569" width="28.5703125" style="540" bestFit="1" customWidth="1"/>
    <col min="13570" max="13824" width="9.140625" style="540"/>
    <col min="13825" max="13825" width="28.5703125" style="540" bestFit="1" customWidth="1"/>
    <col min="13826" max="14080" width="9.140625" style="540"/>
    <col min="14081" max="14081" width="28.5703125" style="540" bestFit="1" customWidth="1"/>
    <col min="14082" max="14336" width="9.140625" style="540"/>
    <col min="14337" max="14337" width="28.5703125" style="540" bestFit="1" customWidth="1"/>
    <col min="14338" max="14592" width="9.140625" style="540"/>
    <col min="14593" max="14593" width="28.5703125" style="540" bestFit="1" customWidth="1"/>
    <col min="14594" max="14848" width="9.140625" style="540"/>
    <col min="14849" max="14849" width="28.5703125" style="540" bestFit="1" customWidth="1"/>
    <col min="14850" max="15104" width="9.140625" style="540"/>
    <col min="15105" max="15105" width="28.5703125" style="540" bestFit="1" customWidth="1"/>
    <col min="15106" max="15360" width="9.140625" style="540"/>
    <col min="15361" max="15361" width="28.5703125" style="540" bestFit="1" customWidth="1"/>
    <col min="15362" max="15616" width="9.140625" style="540"/>
    <col min="15617" max="15617" width="28.5703125" style="540" bestFit="1" customWidth="1"/>
    <col min="15618" max="15872" width="9.140625" style="540"/>
    <col min="15873" max="15873" width="28.5703125" style="540" bestFit="1" customWidth="1"/>
    <col min="15874" max="16128" width="9.140625" style="540"/>
    <col min="16129" max="16129" width="28.5703125" style="540" bestFit="1" customWidth="1"/>
    <col min="16130" max="16384" width="9.140625" style="540"/>
  </cols>
  <sheetData>
    <row r="1" spans="1:1">
      <c r="A1" s="2054" t="s">
        <v>1609</v>
      </c>
    </row>
    <row r="2" spans="1:1">
      <c r="A2" s="2054" t="s">
        <v>1614</v>
      </c>
    </row>
    <row r="3" spans="1:1">
      <c r="A3" s="2054" t="s">
        <v>1615</v>
      </c>
    </row>
    <row r="4" spans="1:1">
      <c r="A4" s="2054" t="s">
        <v>1616</v>
      </c>
    </row>
    <row r="5" spans="1:1">
      <c r="A5" s="2054" t="s">
        <v>1617</v>
      </c>
    </row>
    <row r="6" spans="1:1">
      <c r="A6" s="2054" t="s">
        <v>1610</v>
      </c>
    </row>
    <row r="7" spans="1:1">
      <c r="A7" s="2054" t="s">
        <v>1618</v>
      </c>
    </row>
    <row r="8" spans="1:1">
      <c r="A8" s="2054" t="s">
        <v>1619</v>
      </c>
    </row>
    <row r="9" spans="1:1">
      <c r="A9" s="2054" t="s">
        <v>1620</v>
      </c>
    </row>
    <row r="10" spans="1:1">
      <c r="A10" s="2054" t="s">
        <v>1611</v>
      </c>
    </row>
    <row r="11" spans="1:1">
      <c r="A11" s="2054" t="s">
        <v>1621</v>
      </c>
    </row>
    <row r="12" spans="1:1">
      <c r="A12" s="2054" t="s">
        <v>1612</v>
      </c>
    </row>
    <row r="13" spans="1:1">
      <c r="A13" s="2054" t="s">
        <v>1613</v>
      </c>
    </row>
  </sheetData>
  <pageMargins left="0.75" right="0.75" top="1" bottom="1" header="0.5" footer="0.5"/>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F2"/>
  <sheetViews>
    <sheetView workbookViewId="0"/>
  </sheetViews>
  <sheetFormatPr defaultRowHeight="12.75"/>
  <sheetData>
    <row r="1" spans="1:6">
      <c r="A1" t="s">
        <v>1014</v>
      </c>
    </row>
    <row r="2" spans="1:6">
      <c r="A2" s="652" t="s">
        <v>1013</v>
      </c>
      <c r="B2" s="652" t="s">
        <v>904</v>
      </c>
      <c r="C2" s="652" t="s">
        <v>1011</v>
      </c>
      <c r="D2" s="652" t="s">
        <v>1015</v>
      </c>
      <c r="E2" s="652" t="s">
        <v>1012</v>
      </c>
      <c r="F2" s="652" t="s">
        <v>1255</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yes"?>
<Relationships xmlns="http://schemas.openxmlformats.org/package/2006/relationships">
<Relationship Id="rId1" Target="itemProps2.xml" Type="http://schemas.openxmlformats.org/officeDocument/2006/relationships/customXmlProps"/>
</Relationships>

</file>

<file path=customXml/item1.xml><?xml version="1.0" encoding="utf-8"?>
<lk:Links xmlns:lk="thomsonreuters.linking.metadata">
  <Link>
    <GUID>c4a9b0b1-2b15-4105-a590-4629532c3628</GUID>
    <SOURCETYPE>Chart</SOURCETYPE>
    <SOURCE_OBJECTNAME>Chart 1</SOURCE_OBJECTNAME>
    <SOURCE_SHEETCODE>Sheet3</SOURCE_SHEETCODE>
    <SOURCE_SHEETNAME>SeasonalityAnalysis</SOURCE_SHEETNAME>
    <OBJECTTYPE>Native</OBJECTTYPE>
    <SOURCEAPPLICATION>EXCEL_SOURCE</SOURCEAPPLICATION>
    <UPDATEDAT>5/4/2015 5:25:15 PM</UPDATEDAT>
    <SOURCE_ISOUTOFDATE>False</SOURCE_ISOUTOFDATE>
    <SOURCE_WORKBOOKNAME>CRM.xlsm</SOURCE_WORKBOOKNAME>
    <SOURCE_WORKBOOKPATH>\\MSAD\ROOT\NA\NY\LIB\ER\ER43\ESWModels</SOURCE_WORKBOOKPATH>
    <TRANSPARENTBACKGROUND>False</TRANSPARENTBACKGROUND>
    <TRANSPARENTPLOTAREA>False</TRANSPARENTPLOTAREA>
    <TARGETTYPE>Picture</TARGETTYPE>
    <TARGETAPPLICATION>METHODE_TARGET</TARGETAPPLICATION>
    <TABLEBACKGROUND>Existing</TABLEBACKGROUND>
    <EXTRACTSOURCEMODE>CopyToClipboard</EXTRACTSOURCEMODE>
    <TARGET_BINARYFULLNAME>/MSResearch/Content/ExternalAssets/2015-05/Images/pwoP92f5eU2SoG5DwSB5CQ--.png</TARGET_BINARYFULLNAME>
    <TARGET_STORYFULLNAME>/MSResearch/Content/ExternalAssets/2015-05/Sections/20150504_072513_Chart1.xml</TARGET_STORYFULLNAME>
    <TARGET_UUID>d08133d8-f2b4-11e4-96ae-7c07ebc02301</TARGET_UUID>
  </Link>
  <Link>
    <GUID>a37d9699-a316-4d16-a2ce-80681a975dbe</GUID>
    <SOURCE_ALTADDRESS>$BY$256:$CR$281</SOURCE_ALTADDRESS>
    <SOURCETYPE>Table</SOURCETYPE>
    <SOURCE_OBJECTNAME>Linking_Range_57</SOURCE_OBJECTNAME>
    <OBJECTTYPE>Native</OBJECTTYPE>
    <SOURCE_SHEETCODE>Sheet16</SOURCE_SHEETCODE>
    <SOURCE_SHEETNAME>Charts</SOURCE_SHEETNAME>
    <SOURCEAPPLICATION>EXCEL_SOURCE</SOURCEAPPLICATION>
    <UPDATEDAT>5/4/2015 5:32:33 PM</UPDATEDAT>
    <SOURCE_ISOUTOFDATE>False</SOURCE_ISOUTOFDATE>
    <SOURCE_WORKBOOKNAME>CRM.xlsm</SOURCE_WORKBOOKNAME>
    <SOURCE_WORKBOOKPATH>\\MSAD\ROOT\NA\NY\LIB\ER\ER43\ESWModels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/MSResearch/Content/ExternalAssets/2015-05/Images/slOSQCg-j0ucPzl3MZl5qA--.png</TARGET_BINARYFULLNAME>
    <TARGET_STORYFULLNAME>/MSResearch/Content/ExternalAssets/2015-05/Sections/20150504_073231_Linking_Range_57.xml</TARGET_STORYFULLNAME>
    <TARGET_UUID>d5f17b42-f2b5-11e4-96ae-7c07ebc02301</TARGET_UUID>
  </Link>
  <Link>
    <GUID>81e6b031-87a9-47c2-a95c-f1e126d36ad1</GUID>
    <SOURCETYPE>Chart</SOURCETYPE>
    <SOURCE_OBJECTNAME>MWA_Risk_Reward</SOURCE_OBJECTNAME>
    <SOURCE_SHEETCODE>MWRSSData</SOURCE_SHEETCODE>
    <SOURCE_SHEETNAME>MWA RR</SOURCE_SHEETNAME>
    <OBJECTTYPE>Native</OBJECTTYPE>
    <SOURCEAPPLICATION>EXCEL_SOURCE</SOURCEAPPLICATION>
    <UPDATEDAT>5/13/2015 10:09:54 PM</UPDATEDAT>
    <SOURCE_ISOUTOFDATE>False</SOURCE_ISOUTOFDATE>
    <SOURCE_WORKBOOKNAME>CRM.xlsm</SOURCE_WORKBOOKNAME>
    <SOURCE_WORKBOOKPATH>\\MSAD\ROOT\NA\NY\LIB\ER\ER43\ESWModels</SOURCE_WORKBOOKPATH>
    <TRANSPARENTBACKGROUND>False</TRANSPARENTBACKGROUND>
    <TRANSPARENTPLOTAREA>False</TRANSPARENTPLOTAREA>
    <TARGETTYPE>Picture</TARGETTYPE>
    <TARGETAPPLICATION>METHODE_TARGET</TARGETAPPLICATION>
    <TABLEBACKGROUND>Existing</TABLEBACKGROUND>
    <EXTRACTSOURCEMODE>CopyToClipboard</EXTRACTSOURCEMODE>
    <TARGET_BINARYFULLNAME>/MSResearch/Content/ExternalAssets/2015-05/Images/cJorMOJHYESf0mSNpxt4nA--.png</TARGET_BINARYFULLNAME>
    <TARGET_STORYFULLNAME>/MSResearch/Content/ExternalAssets/2015-05/Sections/20150508_013857_MWA_Risk_Reward.xml</TARGET_STORYFULLNAME>
    <TARGET_UUID>1aaec082-f5a9-11e4-96ae-7c07ebc02301</TARGET_UUID>
    <LINKSTATUS>Unknown</LINKSTATUS>
    <HIDEGRIDLINES>False</HIDEGRIDLINES>
  </Link>
</lk:Links>
</file>

<file path=customXml/item2.xml><?xml version="1.0" encoding="utf-8"?>
<lkmtd:Metadata xmlns:lkmtd="thomsonreuters.linking.metadatachange">
  <MetadataChanged>1</MetadataChanged>
</lkmtd:Metadata>
</file>

<file path=customXml/itemProps1.xml><?xml version="1.0" encoding="utf-8"?>
<ds:datastoreItem xmlns:ds="http://schemas.openxmlformats.org/officeDocument/2006/customXml" ds:itemID="{A8234789-A304-411E-A9C7-3C618C66222A}">
  <ds:schemaRefs>
    <ds:schemaRef ds:uri="thomsonreuters.linking.metadata"/>
  </ds:schemaRefs>
</ds:datastoreItem>
</file>

<file path=customXml/itemProps2.xml><?xml version="1.0" encoding="utf-8"?>
<ds:datastoreItem xmlns:ds="http://schemas.openxmlformats.org/officeDocument/2006/customXml" ds:itemID="{55E83A3E-D360-4EF6-804D-A7425A783DD9}">
  <ds:schemaRefs>
    <ds:schemaRef ds:uri="thomsonreuters.linking.metadatachang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259</vt:i4>
      </vt:variant>
    </vt:vector>
  </HeadingPairs>
  <TitlesOfParts>
    <vt:vector size="267" baseType="lpstr">
      <vt:lpstr>ImportantDisclosures</vt:lpstr>
      <vt:lpstr>Model</vt:lpstr>
      <vt:lpstr>BS</vt:lpstr>
      <vt:lpstr>CF</vt:lpstr>
      <vt:lpstr>MS Revenue Analysis</vt:lpstr>
      <vt:lpstr>5-Year View</vt:lpstr>
      <vt:lpstr>IndexInformation</vt:lpstr>
      <vt:lpstr>ModPubIndex</vt:lpstr>
      <vt:lpstr>_1c00</vt:lpstr>
      <vt:lpstr>_1c01</vt:lpstr>
      <vt:lpstr>_1c02</vt:lpstr>
      <vt:lpstr>_1c03</vt:lpstr>
      <vt:lpstr>_1c04</vt:lpstr>
      <vt:lpstr>_1c05</vt:lpstr>
      <vt:lpstr>_1c06</vt:lpstr>
      <vt:lpstr>_1c07</vt:lpstr>
      <vt:lpstr>_1c08</vt:lpstr>
      <vt:lpstr>_1c09</vt:lpstr>
      <vt:lpstr>_1c10</vt:lpstr>
      <vt:lpstr>_1c11</vt:lpstr>
      <vt:lpstr>_1c12</vt:lpstr>
      <vt:lpstr>_1c13</vt:lpstr>
      <vt:lpstr>_1c14</vt:lpstr>
      <vt:lpstr>_1c15</vt:lpstr>
      <vt:lpstr>_1c99</vt:lpstr>
      <vt:lpstr>_2c00</vt:lpstr>
      <vt:lpstr>_2c01</vt:lpstr>
      <vt:lpstr>_2c02</vt:lpstr>
      <vt:lpstr>_2c03</vt:lpstr>
      <vt:lpstr>_2c04</vt:lpstr>
      <vt:lpstr>_2c05</vt:lpstr>
      <vt:lpstr>_2c06</vt:lpstr>
      <vt:lpstr>_2c07</vt:lpstr>
      <vt:lpstr>_2c08</vt:lpstr>
      <vt:lpstr>_2c09</vt:lpstr>
      <vt:lpstr>_2c10</vt:lpstr>
      <vt:lpstr>_2c11</vt:lpstr>
      <vt:lpstr>_2c12</vt:lpstr>
      <vt:lpstr>_2c13</vt:lpstr>
      <vt:lpstr>_2c14</vt:lpstr>
      <vt:lpstr>_2c15</vt:lpstr>
      <vt:lpstr>_2c99</vt:lpstr>
      <vt:lpstr>_3c00</vt:lpstr>
      <vt:lpstr>_3c01</vt:lpstr>
      <vt:lpstr>_3c02</vt:lpstr>
      <vt:lpstr>_3c03</vt:lpstr>
      <vt:lpstr>_3c04</vt:lpstr>
      <vt:lpstr>_3c05</vt:lpstr>
      <vt:lpstr>_3c06</vt:lpstr>
      <vt:lpstr>_3c07</vt:lpstr>
      <vt:lpstr>_3c08</vt:lpstr>
      <vt:lpstr>_3c09</vt:lpstr>
      <vt:lpstr>_3c10</vt:lpstr>
      <vt:lpstr>_3c11</vt:lpstr>
      <vt:lpstr>_3c12</vt:lpstr>
      <vt:lpstr>_3c13</vt:lpstr>
      <vt:lpstr>_3c14</vt:lpstr>
      <vt:lpstr>_3c15</vt:lpstr>
      <vt:lpstr>_3c99</vt:lpstr>
      <vt:lpstr>_4c00</vt:lpstr>
      <vt:lpstr>_4c01</vt:lpstr>
      <vt:lpstr>_4c02</vt:lpstr>
      <vt:lpstr>_4c03</vt:lpstr>
      <vt:lpstr>_4c04</vt:lpstr>
      <vt:lpstr>_4c05</vt:lpstr>
      <vt:lpstr>_4c06</vt:lpstr>
      <vt:lpstr>_4c07</vt:lpstr>
      <vt:lpstr>_4c08</vt:lpstr>
      <vt:lpstr>_4c09</vt:lpstr>
      <vt:lpstr>_4c10</vt:lpstr>
      <vt:lpstr>_4c11</vt:lpstr>
      <vt:lpstr>_4c12</vt:lpstr>
      <vt:lpstr>_4c13</vt:lpstr>
      <vt:lpstr>_4c14</vt:lpstr>
      <vt:lpstr>_4c15</vt:lpstr>
      <vt:lpstr>_4c99</vt:lpstr>
      <vt:lpstr>_BS</vt:lpstr>
      <vt:lpstr>_CF</vt:lpstr>
      <vt:lpstr>_fy00</vt:lpstr>
      <vt:lpstr>_fy01</vt:lpstr>
      <vt:lpstr>_fy02</vt:lpstr>
      <vt:lpstr>_fy03</vt:lpstr>
      <vt:lpstr>_fy04</vt:lpstr>
      <vt:lpstr>_fy05</vt:lpstr>
      <vt:lpstr>_fy06</vt:lpstr>
      <vt:lpstr>_fy07</vt:lpstr>
      <vt:lpstr>_fy08</vt:lpstr>
      <vt:lpstr>_fy09</vt:lpstr>
      <vt:lpstr>_fy10</vt:lpstr>
      <vt:lpstr>_fy11</vt:lpstr>
      <vt:lpstr>_fy12</vt:lpstr>
      <vt:lpstr>_fy13</vt:lpstr>
      <vt:lpstr>_fy14</vt:lpstr>
      <vt:lpstr>_fy15</vt:lpstr>
      <vt:lpstr>_fy16</vt:lpstr>
      <vt:lpstr>_fy97</vt:lpstr>
      <vt:lpstr>_fy98</vt:lpstr>
      <vt:lpstr>_IS</vt:lpstr>
      <vt:lpstr>_ISA</vt:lpstr>
      <vt:lpstr>_SUBS1</vt:lpstr>
      <vt:lpstr>_SUBS2</vt:lpstr>
      <vt:lpstr>AdditionalInstructions</vt:lpstr>
      <vt:lpstr>ImportantDisclosures!Address</vt:lpstr>
      <vt:lpstr>ModPubIndex!ANA</vt:lpstr>
      <vt:lpstr>apac</vt:lpstr>
      <vt:lpstr>ImportantDisclosures!Authors</vt:lpstr>
      <vt:lpstr>IndexInformation!Authors</vt:lpstr>
      <vt:lpstr>ModPubIndex!BRO</vt:lpstr>
      <vt:lpstr>capex</vt:lpstr>
      <vt:lpstr>cash</vt:lpstr>
      <vt:lpstr>ccrevgr</vt:lpstr>
      <vt:lpstr>CopyrightStamp</vt:lpstr>
      <vt:lpstr>ModPubIndex!COU</vt:lpstr>
      <vt:lpstr>IndexInformation!CQEnd</vt:lpstr>
      <vt:lpstr>curbooks</vt:lpstr>
      <vt:lpstr>IndexInformation!Currency</vt:lpstr>
      <vt:lpstr>IndexInformation!CurrentStockPrice</vt:lpstr>
      <vt:lpstr>IndexInformation!CurrQtrEPS</vt:lpstr>
      <vt:lpstr>IndexInformation!CurrYearEPS</vt:lpstr>
      <vt:lpstr>IndexInformation!CurrYearTotalRevenue</vt:lpstr>
      <vt:lpstr>IndexInformation!CurrYearTotalRevenueActual</vt:lpstr>
      <vt:lpstr>IndexInformation!CUSIP</vt:lpstr>
      <vt:lpstr>IndexInformation!CYEnd</vt:lpstr>
      <vt:lpstr>ImportantDisclosures!Date</vt:lpstr>
      <vt:lpstr>dcfdna</vt:lpstr>
      <vt:lpstr>debt</vt:lpstr>
      <vt:lpstr>defrev</vt:lpstr>
      <vt:lpstr>IndexInformation!Deleted</vt:lpstr>
      <vt:lpstr>IndexInformation!Description</vt:lpstr>
      <vt:lpstr>IndexInformation!Discipline</vt:lpstr>
      <vt:lpstr>ModPubIndex!DISCIPLINE</vt:lpstr>
      <vt:lpstr>DisclosuresText</vt:lpstr>
      <vt:lpstr>IndexInformation!Distribution</vt:lpstr>
      <vt:lpstr>div</vt:lpstr>
      <vt:lpstr>ModPubIndex!DOCDAT</vt:lpstr>
      <vt:lpstr>ModPubIndex!DOCTIME</vt:lpstr>
      <vt:lpstr>IndexInformation!DocType</vt:lpstr>
      <vt:lpstr>dom</vt:lpstr>
      <vt:lpstr>dso</vt:lpstr>
      <vt:lpstr>ModPubIndex!EMAIL_ALERT</vt:lpstr>
      <vt:lpstr>IndexInformation!EmailAlert</vt:lpstr>
      <vt:lpstr>emea</vt:lpstr>
      <vt:lpstr>eps</vt:lpstr>
      <vt:lpstr>fcf</vt:lpstr>
      <vt:lpstr>IndexInformation!FiveYearGrowthRate</vt:lpstr>
      <vt:lpstr>IndexInformation!FollowingYearEPS</vt:lpstr>
      <vt:lpstr>IndexInformation!FollowingYearTotalRevenue</vt:lpstr>
      <vt:lpstr>IndexInformation!FollowingYearTotalRevenueActual</vt:lpstr>
      <vt:lpstr>GEPS</vt:lpstr>
      <vt:lpstr>gna</vt:lpstr>
      <vt:lpstr>grinc</vt:lpstr>
      <vt:lpstr>grmgn</vt:lpstr>
      <vt:lpstr>grp</vt:lpstr>
      <vt:lpstr>hc</vt:lpstr>
      <vt:lpstr>ModPubIndex!HL</vt:lpstr>
      <vt:lpstr>ModPubIndex!IND</vt:lpstr>
      <vt:lpstr>ImportantDisclosures!Industry</vt:lpstr>
      <vt:lpstr>IndustryId</vt:lpstr>
      <vt:lpstr>ImportantDisclosures!IndustryRating</vt:lpstr>
      <vt:lpstr>intl</vt:lpstr>
      <vt:lpstr>IndexInformation!KeepVersions</vt:lpstr>
      <vt:lpstr>LanguageCode</vt:lpstr>
      <vt:lpstr>ImportantDisclosures!LastCell</vt:lpstr>
      <vt:lpstr>Linking_1</vt:lpstr>
      <vt:lpstr>Linking_17</vt:lpstr>
      <vt:lpstr>Linking_26</vt:lpstr>
      <vt:lpstr>Linking_27</vt:lpstr>
      <vt:lpstr>Linking_28</vt:lpstr>
      <vt:lpstr>Linking_3</vt:lpstr>
      <vt:lpstr>Linking_30</vt:lpstr>
      <vt:lpstr>Linking_31</vt:lpstr>
      <vt:lpstr>Linking_34</vt:lpstr>
      <vt:lpstr>Linking_35</vt:lpstr>
      <vt:lpstr>Linking_36</vt:lpstr>
      <vt:lpstr>Linking_37</vt:lpstr>
      <vt:lpstr>Linking_6</vt:lpstr>
      <vt:lpstr>Linking_7</vt:lpstr>
      <vt:lpstr>Linking_8</vt:lpstr>
      <vt:lpstr>Linking_9</vt:lpstr>
      <vt:lpstr>Linking_Range_10</vt:lpstr>
      <vt:lpstr>Linking_range_111</vt:lpstr>
      <vt:lpstr>Linking_Range_12</vt:lpstr>
      <vt:lpstr>'5-Year View'!Linking_Range_17</vt:lpstr>
      <vt:lpstr>Linking_Range_2</vt:lpstr>
      <vt:lpstr>'5-Year View'!Linking_Range_20</vt:lpstr>
      <vt:lpstr>'5-Year View'!Linking_Range_21</vt:lpstr>
      <vt:lpstr>'5-Year View'!Linking_Range_25</vt:lpstr>
      <vt:lpstr>Linking_Range_27</vt:lpstr>
      <vt:lpstr>Linking_Range_31</vt:lpstr>
      <vt:lpstr>Linking_Range_32</vt:lpstr>
      <vt:lpstr>Linking_Range_39</vt:lpstr>
      <vt:lpstr>Linking_Range_43</vt:lpstr>
      <vt:lpstr>Linking_Range_44</vt:lpstr>
      <vt:lpstr>Linking_Range_45</vt:lpstr>
      <vt:lpstr>Linking_Range_47</vt:lpstr>
      <vt:lpstr>Linking_Range_48</vt:lpstr>
      <vt:lpstr>Linking_Range_49</vt:lpstr>
      <vt:lpstr>Linking_Range_5</vt:lpstr>
      <vt:lpstr>Linking_range_500</vt:lpstr>
      <vt:lpstr>Linking_Range_55</vt:lpstr>
      <vt:lpstr>Linking_Range_56</vt:lpstr>
      <vt:lpstr>Linking_Range_6</vt:lpstr>
      <vt:lpstr>ltmeps</vt:lpstr>
      <vt:lpstr>ltmfcf</vt:lpstr>
      <vt:lpstr>ltmop</vt:lpstr>
      <vt:lpstr>ltmopcash</vt:lpstr>
      <vt:lpstr>ltmopmgn</vt:lpstr>
      <vt:lpstr>ltmrev</vt:lpstr>
      <vt:lpstr>ltmrnd</vt:lpstr>
      <vt:lpstr>ltmsubrev</vt:lpstr>
      <vt:lpstr>IndexInformation!MacroVersion</vt:lpstr>
      <vt:lpstr>ImportantDisclosures!ModelPrice</vt:lpstr>
      <vt:lpstr>IndexInformation!Multiplier</vt:lpstr>
      <vt:lpstr>netcash</vt:lpstr>
      <vt:lpstr>IndexInformation!NextYearEPS</vt:lpstr>
      <vt:lpstr>IndexInformation!NextYearTotalRevenue</vt:lpstr>
      <vt:lpstr>IndexInformation!NextYearTotalRevenueActual</vt:lpstr>
      <vt:lpstr>ni</vt:lpstr>
      <vt:lpstr>nopat</vt:lpstr>
      <vt:lpstr>ObjectType</vt:lpstr>
      <vt:lpstr>ocf</vt:lpstr>
      <vt:lpstr>op</vt:lpstr>
      <vt:lpstr>opcash</vt:lpstr>
      <vt:lpstr>opmgn</vt:lpstr>
      <vt:lpstr>othinc</vt:lpstr>
      <vt:lpstr>ModPubIndex!PANA</vt:lpstr>
      <vt:lpstr>IndexInformation!PathName</vt:lpstr>
      <vt:lpstr>pbt</vt:lpstr>
      <vt:lpstr>prev</vt:lpstr>
      <vt:lpstr>BS!Print_Area</vt:lpstr>
      <vt:lpstr>CF!Print_Area</vt:lpstr>
      <vt:lpstr>Model!Print_Area</vt:lpstr>
      <vt:lpstr>'MS Revenue Analysis'!Print_Area</vt:lpstr>
      <vt:lpstr>ModPubIndex!PRODUCT</vt:lpstr>
      <vt:lpstr>ModPubIndex!PSYM</vt:lpstr>
      <vt:lpstr>IndexInformation!PublishDate</vt:lpstr>
      <vt:lpstr>IndexInformation!Rating</vt:lpstr>
      <vt:lpstr>ImportantDisclosures!RatingsDefined</vt:lpstr>
      <vt:lpstr>IndexInformation!ResearchTopic</vt:lpstr>
      <vt:lpstr>rev</vt:lpstr>
      <vt:lpstr>IndexInformation!RIC</vt:lpstr>
      <vt:lpstr>rnd</vt:lpstr>
      <vt:lpstr>IndexInformation!SEDOL</vt:lpstr>
      <vt:lpstr>servicecost</vt:lpstr>
      <vt:lpstr>shs</vt:lpstr>
      <vt:lpstr>slscost</vt:lpstr>
      <vt:lpstr>snm</vt:lpstr>
      <vt:lpstr>ImportantDisclosures!SourceDefined</vt:lpstr>
      <vt:lpstr>srev</vt:lpstr>
      <vt:lpstr>ImportantDisclosures!StockRating</vt:lpstr>
      <vt:lpstr>subcost</vt:lpstr>
      <vt:lpstr>IndexInformation!SubjectCode</vt:lpstr>
      <vt:lpstr>SubmitterUserId</vt:lpstr>
      <vt:lpstr>ModPubIndex!SUPPRESSED</vt:lpstr>
      <vt:lpstr>ImportantDisclosures!TargetPrice</vt:lpstr>
      <vt:lpstr>taxes</vt:lpstr>
      <vt:lpstr>taxrate</vt:lpstr>
      <vt:lpstr>TemplateRegion</vt:lpstr>
      <vt:lpstr>ImportantDisclosures!Ticker</vt:lpstr>
      <vt:lpstr>TickerRegion</vt:lpstr>
      <vt:lpstr>IndexInformation!Tickers</vt:lpstr>
      <vt:lpstr>totcust</vt:lpstr>
      <vt:lpstr>toteq</vt:lpstr>
      <vt:lpstr>totexp</vt:lpstr>
      <vt:lpstr>totrec</vt:lpstr>
      <vt:lpstr>totsubs</vt:lpstr>
      <vt:lpstr>IndexInformation!UpdateReason</vt:lpstr>
    </vt:vector>
  </TitlesOfParts>
  <Company>Morgan Stanley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2003-09-09T19:39:21Z</dcterms:created>
  <dc:creator>bloome</dc:creator>
  <cp:lastModifiedBy>Fodderwala, Hamza (Research)</cp:lastModifiedBy>
  <cp:lastPrinted>2018-04-02T22:28:20Z</cp:lastPrinted>
  <dcterms:modified xsi:type="dcterms:W3CDTF">2018-04-03T14:54:36Z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name="ModelwareExpressVersionNumber" pid="2">
    <vt:lpwstr>3.00</vt:lpwstr>
  </property>
  <property fmtid="{D5CDD505-2E9C-101B-9397-08002B2CF9AE}" name="LinkingAutoNameNumberLinking_Text_" pid="3">
    <vt:lpwstr>1</vt:lpwstr>
  </property>
  <property fmtid="{D5CDD505-2E9C-101B-9397-08002B2CF9AE}" name="LinkingAutoNameNumberLinking_Range_" pid="4">
    <vt:lpwstr>57</vt:lpwstr>
  </property>
  <property fmtid="{D5CDD505-2E9C-101B-9397-08002B2CF9AE}" name="ERModPubTicket" pid="5">
    <vt:lpwstr>NA</vt:lpwstr>
  </property>
  <property fmtid="{D5CDD505-2E9C-101B-9397-08002B2CF9AE}" name="ERCompanyUploadState" pid="6">
    <vt:lpwstr>P</vt:lpwstr>
  </property>
  <property fmtid="{D5CDD505-2E9C-101B-9397-08002B2CF9AE}" name="ModelId" pid="7">
    <vt:lpwstr>759257</vt:lpwstr>
  </property>
  <property fmtid="{D5CDD505-2E9C-101B-9397-08002B2CF9AE}" name="ERModPubCompanyName" pid="8">
    <vt:lpwstr>Salesforce.com</vt:lpwstr>
  </property>
  <property fmtid="{D5CDD505-2E9C-101B-9397-08002B2CF9AE}" name="MSDH34TAG" pid="9">
    <vt:lpwstr>.TEZUF76X5TAHATHESADREYAK-00-INB160+*94600-06=ef9bcbd4/-374e/-11e8/-bf62/-2af41e5950fc,MD=20180403110521/-0400,ZZ=000Z-7db9.</vt:lpwstr>
  </property>
</Properties>
</file>